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codeName="EstaPastaDeTrabalho" defaultThemeVersion="124226"/>
  <mc:AlternateContent xmlns:mc="http://schemas.openxmlformats.org/markup-compatibility/2006">
    <mc:Choice Requires="x15">
      <x15ac:absPath xmlns:x15ac="http://schemas.microsoft.com/office/spreadsheetml/2010/11/ac" url="https://xmobotsaeroespacial-my.sharepoint.com/personal/paulo_acorinte_xmobots_com_br/Documents/Área de Trabalho/Repositorios/simulador/Resultados/field_16ha_100ha_2%_6m_0_TSP/"/>
    </mc:Choice>
  </mc:AlternateContent>
  <xr:revisionPtr revIDLastSave="279" documentId="11_D9A3D9525BEA841513237D128115B2790EA51B52" xr6:coauthVersionLast="47" xr6:coauthVersionMax="47" xr10:uidLastSave="{1B362CBE-820C-4591-AF54-05E47B5BC01C}"/>
  <bookViews>
    <workbookView xWindow="-108" yWindow="-108" windowWidth="23256" windowHeight="12576" firstSheet="26" activeTab="30" xr2:uid="{00000000-000D-0000-FFFF-FFFF00000000}"/>
  </bookViews>
  <sheets>
    <sheet name="RESULTADOS_18" sheetId="1" r:id="rId1"/>
    <sheet name="RESULTADOS_26" sheetId="2" r:id="rId2"/>
    <sheet name="RESULTADOS_6" sheetId="3" r:id="rId3"/>
    <sheet name="RESULTADOS_23" sheetId="4" r:id="rId4"/>
    <sheet name="RESULTADOS_4" sheetId="5" r:id="rId5"/>
    <sheet name="RESULTADOS_1" sheetId="6" r:id="rId6"/>
    <sheet name="RESULTADOS_12" sheetId="7" r:id="rId7"/>
    <sheet name="RESULTADOS_16" sheetId="8" r:id="rId8"/>
    <sheet name="RESULTADOS_20" sheetId="9" r:id="rId9"/>
    <sheet name="RESULTADOS_28" sheetId="10" r:id="rId10"/>
    <sheet name="RESULTADOS_0" sheetId="11" r:id="rId11"/>
    <sheet name="RESULTADOS_7" sheetId="12" r:id="rId12"/>
    <sheet name="RESULTADOS_19" sheetId="13" r:id="rId13"/>
    <sheet name="RESULTADOS_10" sheetId="14" r:id="rId14"/>
    <sheet name="RESULTADOS_25" sheetId="15" r:id="rId15"/>
    <sheet name="RESULTADOS_14" sheetId="16" r:id="rId16"/>
    <sheet name="RESULTADOS_21" sheetId="17" r:id="rId17"/>
    <sheet name="RESULTADOS_5" sheetId="18" r:id="rId18"/>
    <sheet name="RESULTADOS_8" sheetId="19" r:id="rId19"/>
    <sheet name="RESULTADOS_3" sheetId="20" r:id="rId20"/>
    <sheet name="RESULTADOS_15" sheetId="21" r:id="rId21"/>
    <sheet name="RESULTADOS_2" sheetId="22" r:id="rId22"/>
    <sheet name="RESULTADOS_22" sheetId="23" r:id="rId23"/>
    <sheet name="RESULTADOS_27" sheetId="24" r:id="rId24"/>
    <sheet name="RESULTADOS_11" sheetId="25" r:id="rId25"/>
    <sheet name="RESULTADOS_24" sheetId="26" r:id="rId26"/>
    <sheet name="RESULTADOS_13" sheetId="27" r:id="rId27"/>
    <sheet name="RESULTADOS_17" sheetId="28" r:id="rId28"/>
    <sheet name="RESULTADOS_9" sheetId="29" r:id="rId29"/>
    <sheet name="resultados" sheetId="30" r:id="rId30"/>
    <sheet name="Resultados Geral" sheetId="33" r:id="rId31"/>
    <sheet name="gráficos" sheetId="31" r:id="rId32"/>
    <sheet name="hidden" sheetId="32" state="hidden" r:id="rId3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0" i="33" l="1"/>
  <c r="F30" i="33"/>
  <c r="D30" i="33"/>
  <c r="E30" i="33"/>
  <c r="C30" i="33"/>
  <c r="G29" i="33"/>
  <c r="F29" i="33"/>
  <c r="D29" i="33"/>
  <c r="E29" i="33"/>
  <c r="C29" i="33"/>
  <c r="G28" i="33"/>
  <c r="F28" i="33"/>
  <c r="D28" i="33"/>
  <c r="E28" i="33"/>
  <c r="C28" i="33"/>
  <c r="G27" i="33"/>
  <c r="F27" i="33"/>
  <c r="D27" i="33"/>
  <c r="E27" i="33"/>
  <c r="C27" i="33"/>
  <c r="G26" i="33"/>
  <c r="F26" i="33"/>
  <c r="D26" i="33"/>
  <c r="E26" i="33"/>
  <c r="C26" i="33"/>
  <c r="G25" i="33"/>
  <c r="F25" i="33"/>
  <c r="D25" i="33"/>
  <c r="E25" i="33"/>
  <c r="C25" i="33"/>
  <c r="G24" i="33"/>
  <c r="F24" i="33"/>
  <c r="D24" i="33"/>
  <c r="E24" i="33"/>
  <c r="C24" i="33"/>
  <c r="G23" i="33"/>
  <c r="F23" i="33"/>
  <c r="D23" i="33"/>
  <c r="E23" i="33"/>
  <c r="C23" i="33"/>
  <c r="G22" i="33"/>
  <c r="F22" i="33"/>
  <c r="D22" i="33"/>
  <c r="E22" i="33"/>
  <c r="C22" i="33"/>
  <c r="G21" i="33"/>
  <c r="F21" i="33"/>
  <c r="D21" i="33"/>
  <c r="E21" i="33"/>
  <c r="C21" i="33"/>
  <c r="G20" i="33"/>
  <c r="F20" i="33"/>
  <c r="D20" i="33"/>
  <c r="E20" i="33"/>
  <c r="C20" i="33"/>
  <c r="G19" i="33"/>
  <c r="F19" i="33"/>
  <c r="D19" i="33"/>
  <c r="E19" i="33"/>
  <c r="C19" i="33"/>
  <c r="G18" i="33"/>
  <c r="F18" i="33"/>
  <c r="D18" i="33"/>
  <c r="E18" i="33"/>
  <c r="C18" i="33"/>
  <c r="G17" i="33"/>
  <c r="F17" i="33"/>
  <c r="D17" i="33"/>
  <c r="E17" i="33"/>
  <c r="C17" i="33"/>
  <c r="G16" i="33"/>
  <c r="F16" i="33"/>
  <c r="D16" i="33"/>
  <c r="E16" i="33"/>
  <c r="C16" i="33"/>
  <c r="G15" i="33"/>
  <c r="F15" i="33"/>
  <c r="D15" i="33"/>
  <c r="E15" i="33"/>
  <c r="C15" i="33"/>
  <c r="G14" i="33"/>
  <c r="F14" i="33"/>
  <c r="D14" i="33"/>
  <c r="E14" i="33"/>
  <c r="C14" i="33"/>
  <c r="G13" i="33"/>
  <c r="F13" i="33"/>
  <c r="D13" i="33"/>
  <c r="E13" i="33"/>
  <c r="C13" i="33"/>
  <c r="G12" i="33"/>
  <c r="F12" i="33"/>
  <c r="D12" i="33"/>
  <c r="E12" i="33"/>
  <c r="C12" i="33"/>
  <c r="G11" i="33"/>
  <c r="F11" i="33"/>
  <c r="D11" i="33"/>
  <c r="E11" i="33"/>
  <c r="C11" i="33"/>
  <c r="G10" i="33"/>
  <c r="F10" i="33"/>
  <c r="D10" i="33"/>
  <c r="E10" i="33"/>
  <c r="C10" i="33"/>
  <c r="G9" i="33"/>
  <c r="F9" i="33"/>
  <c r="D9" i="33"/>
  <c r="E9" i="33"/>
  <c r="C9" i="33"/>
  <c r="G8" i="33"/>
  <c r="F8" i="33"/>
  <c r="D8" i="33"/>
  <c r="E8" i="33"/>
  <c r="C8" i="33"/>
  <c r="G7" i="33"/>
  <c r="F7" i="33"/>
  <c r="D7" i="33"/>
  <c r="E7" i="33"/>
  <c r="C7" i="33"/>
  <c r="G6" i="33"/>
  <c r="F6" i="33"/>
  <c r="D6" i="33"/>
  <c r="E6" i="33"/>
  <c r="C6" i="33"/>
  <c r="G5" i="33"/>
  <c r="F5" i="33"/>
  <c r="D5" i="33"/>
  <c r="E5" i="33"/>
  <c r="C5" i="33"/>
  <c r="G4" i="33"/>
  <c r="F4" i="33"/>
  <c r="D4" i="33"/>
  <c r="E4" i="33"/>
  <c r="C4" i="33"/>
  <c r="G3" i="33"/>
  <c r="F3" i="33"/>
  <c r="D3" i="33"/>
  <c r="E3" i="33"/>
  <c r="C3" i="33"/>
  <c r="G2" i="33"/>
  <c r="F2" i="33"/>
  <c r="D2" i="33"/>
  <c r="E2" i="33"/>
  <c r="C2" i="33"/>
  <c r="C2295" i="31"/>
  <c r="B2295" i="31"/>
  <c r="A2295" i="31"/>
  <c r="C2294" i="31"/>
  <c r="B2294" i="31"/>
  <c r="A2294" i="31"/>
  <c r="C2293" i="31"/>
  <c r="B2293" i="31"/>
  <c r="A2293" i="31"/>
  <c r="C2292" i="31"/>
  <c r="B2292" i="31"/>
  <c r="A2292" i="31"/>
  <c r="C2291" i="31"/>
  <c r="B2291" i="31"/>
  <c r="A2291" i="31"/>
  <c r="C2290" i="31"/>
  <c r="B2290" i="31"/>
  <c r="A2290" i="31"/>
  <c r="C2289" i="31"/>
  <c r="B2289" i="31"/>
  <c r="A2289" i="31"/>
  <c r="C2288" i="31"/>
  <c r="B2288" i="31"/>
  <c r="A2288" i="31"/>
  <c r="C2287" i="31"/>
  <c r="B2287" i="31"/>
  <c r="A2287" i="31"/>
  <c r="C2286" i="31"/>
  <c r="B2286" i="31"/>
  <c r="A2286" i="31"/>
  <c r="C2285" i="31"/>
  <c r="B2285" i="31"/>
  <c r="A2285" i="31"/>
  <c r="C2284" i="31"/>
  <c r="B2284" i="31"/>
  <c r="A2284" i="31"/>
  <c r="C2283" i="31"/>
  <c r="B2283" i="31"/>
  <c r="A2283" i="31"/>
  <c r="C2282" i="31"/>
  <c r="B2282" i="31"/>
  <c r="A2282" i="31"/>
  <c r="C2281" i="31"/>
  <c r="B2281" i="31"/>
  <c r="A2281" i="31"/>
  <c r="C2280" i="31"/>
  <c r="B2280" i="31"/>
  <c r="A2280" i="31"/>
  <c r="C2279" i="31"/>
  <c r="B2279" i="31"/>
  <c r="A2279" i="31"/>
  <c r="C2278" i="31"/>
  <c r="B2278" i="31"/>
  <c r="A2278" i="31"/>
  <c r="C2277" i="31"/>
  <c r="B2277" i="31"/>
  <c r="A2277" i="31"/>
  <c r="C2276" i="31"/>
  <c r="B2276" i="31"/>
  <c r="A2276" i="31"/>
  <c r="C2275" i="31"/>
  <c r="B2275" i="31"/>
  <c r="A2275" i="31"/>
  <c r="C2274" i="31"/>
  <c r="B2274" i="31"/>
  <c r="A2274" i="31"/>
  <c r="C2273" i="31"/>
  <c r="B2273" i="31"/>
  <c r="A2273" i="31"/>
  <c r="C2272" i="31"/>
  <c r="B2272" i="31"/>
  <c r="A2272" i="31"/>
  <c r="C2271" i="31"/>
  <c r="B2271" i="31"/>
  <c r="A2271" i="31"/>
  <c r="C2270" i="31"/>
  <c r="B2270" i="31"/>
  <c r="A2270" i="31"/>
  <c r="C2269" i="31"/>
  <c r="B2269" i="31"/>
  <c r="A2269" i="31"/>
  <c r="C2268" i="31"/>
  <c r="B2268" i="31"/>
  <c r="A2268" i="31"/>
  <c r="C2267" i="31"/>
  <c r="B2267" i="31"/>
  <c r="A2267" i="31"/>
  <c r="C2266" i="31"/>
  <c r="B2266" i="31"/>
  <c r="A2266" i="31"/>
  <c r="C2265" i="31"/>
  <c r="B2265" i="31"/>
  <c r="A2265" i="31"/>
  <c r="C2264" i="31"/>
  <c r="B2264" i="31"/>
  <c r="A2264" i="31"/>
  <c r="C2263" i="31"/>
  <c r="B2263" i="31"/>
  <c r="A2263" i="31"/>
  <c r="C2262" i="31"/>
  <c r="B2262" i="31"/>
  <c r="A2262" i="31"/>
  <c r="C2261" i="31"/>
  <c r="B2261" i="31"/>
  <c r="A2261" i="31"/>
  <c r="C2260" i="31"/>
  <c r="B2260" i="31"/>
  <c r="A2260" i="31"/>
  <c r="C2259" i="31"/>
  <c r="B2259" i="31"/>
  <c r="A2259" i="31"/>
  <c r="C2258" i="31"/>
  <c r="B2258" i="31"/>
  <c r="A2258" i="31"/>
  <c r="C2257" i="31"/>
  <c r="B2257" i="31"/>
  <c r="A2257" i="31"/>
  <c r="C2256" i="31"/>
  <c r="B2256" i="31"/>
  <c r="A2256" i="31"/>
  <c r="C2255" i="31"/>
  <c r="B2255" i="31"/>
  <c r="A2255" i="31"/>
  <c r="C2254" i="31"/>
  <c r="B2254" i="31"/>
  <c r="A2254" i="31"/>
  <c r="C2253" i="31"/>
  <c r="B2253" i="31"/>
  <c r="A2253" i="31"/>
  <c r="C2252" i="31"/>
  <c r="B2252" i="31"/>
  <c r="A2252" i="31"/>
  <c r="C2251" i="31"/>
  <c r="B2251" i="31"/>
  <c r="A2251" i="31"/>
  <c r="C2250" i="31"/>
  <c r="B2250" i="31"/>
  <c r="A2250" i="31"/>
  <c r="C2249" i="31"/>
  <c r="B2249" i="31"/>
  <c r="A2249" i="31"/>
  <c r="C2248" i="31"/>
  <c r="B2248" i="31"/>
  <c r="A2248" i="31"/>
  <c r="C2247" i="31"/>
  <c r="B2247" i="31"/>
  <c r="A2247" i="31"/>
  <c r="C2246" i="31"/>
  <c r="B2246" i="31"/>
  <c r="A2246" i="31"/>
  <c r="C2245" i="31"/>
  <c r="B2245" i="31"/>
  <c r="A2245" i="31"/>
  <c r="C2244" i="31"/>
  <c r="B2244" i="31"/>
  <c r="A2244" i="31"/>
  <c r="C2243" i="31"/>
  <c r="B2243" i="31"/>
  <c r="A2243" i="31"/>
  <c r="C2242" i="31"/>
  <c r="B2242" i="31"/>
  <c r="A2242" i="31"/>
  <c r="C2241" i="31"/>
  <c r="B2241" i="31"/>
  <c r="A2241" i="31"/>
  <c r="C2240" i="31"/>
  <c r="B2240" i="31"/>
  <c r="A2240" i="31"/>
  <c r="C2239" i="31"/>
  <c r="B2239" i="31"/>
  <c r="A2239" i="31"/>
  <c r="C2238" i="31"/>
  <c r="B2238" i="31"/>
  <c r="A2238" i="31"/>
  <c r="C2237" i="31"/>
  <c r="B2237" i="31"/>
  <c r="A2237" i="31"/>
  <c r="C2236" i="31"/>
  <c r="B2236" i="31"/>
  <c r="A2236" i="31"/>
  <c r="C2235" i="31"/>
  <c r="B2235" i="31"/>
  <c r="A2235" i="31"/>
  <c r="C2234" i="31"/>
  <c r="B2234" i="31"/>
  <c r="A2234" i="31"/>
  <c r="C2233" i="31"/>
  <c r="B2233" i="31"/>
  <c r="A2233" i="31"/>
  <c r="C2232" i="31"/>
  <c r="B2232" i="31"/>
  <c r="A2232" i="31"/>
  <c r="C2231" i="31"/>
  <c r="B2231" i="31"/>
  <c r="A2231" i="31"/>
  <c r="C2230" i="31"/>
  <c r="B2230" i="31"/>
  <c r="A2230" i="31"/>
  <c r="C2229" i="31"/>
  <c r="B2229" i="31"/>
  <c r="A2229" i="31"/>
  <c r="C2228" i="31"/>
  <c r="B2228" i="31"/>
  <c r="A2228" i="31"/>
  <c r="C2227" i="31"/>
  <c r="B2227" i="31"/>
  <c r="A2227" i="31"/>
  <c r="C2226" i="31"/>
  <c r="B2226" i="31"/>
  <c r="A2226" i="31"/>
  <c r="C2225" i="31"/>
  <c r="B2225" i="31"/>
  <c r="A2225" i="31"/>
  <c r="C2224" i="31"/>
  <c r="B2224" i="31"/>
  <c r="A2224" i="31"/>
  <c r="C2223" i="31"/>
  <c r="B2223" i="31"/>
  <c r="A2223" i="31"/>
  <c r="C2222" i="31"/>
  <c r="B2222" i="31"/>
  <c r="A2222" i="31"/>
  <c r="C2221" i="31"/>
  <c r="B2221" i="31"/>
  <c r="A2221" i="31"/>
  <c r="C2220" i="31"/>
  <c r="B2220" i="31"/>
  <c r="A2220" i="31"/>
  <c r="C2219" i="31"/>
  <c r="B2219" i="31"/>
  <c r="A2219" i="31"/>
  <c r="C2218" i="31"/>
  <c r="B2218" i="31"/>
  <c r="A2218" i="31"/>
  <c r="C2217" i="31"/>
  <c r="B2217" i="31"/>
  <c r="A2217" i="31"/>
  <c r="C2216" i="31"/>
  <c r="B2216" i="31"/>
  <c r="A2216" i="31"/>
  <c r="C2215" i="31"/>
  <c r="B2215" i="31"/>
  <c r="A2215" i="31"/>
  <c r="C2214" i="31"/>
  <c r="B2214" i="31"/>
  <c r="A2214" i="31"/>
  <c r="C2213" i="31"/>
  <c r="B2213" i="31"/>
  <c r="A2213" i="31"/>
  <c r="C2212" i="31"/>
  <c r="B2212" i="31"/>
  <c r="A2212" i="31"/>
  <c r="C2211" i="31"/>
  <c r="B2211" i="31"/>
  <c r="A2211" i="31"/>
  <c r="C2210" i="31"/>
  <c r="B2210" i="31"/>
  <c r="A2210" i="31"/>
  <c r="C2209" i="31"/>
  <c r="B2209" i="31"/>
  <c r="A2209" i="31"/>
  <c r="C2208" i="31"/>
  <c r="B2208" i="31"/>
  <c r="A2208" i="31"/>
  <c r="C2207" i="31"/>
  <c r="B2207" i="31"/>
  <c r="A2207" i="31"/>
  <c r="C2206" i="31"/>
  <c r="B2206" i="31"/>
  <c r="A2206" i="31"/>
  <c r="C2205" i="31"/>
  <c r="B2205" i="31"/>
  <c r="A2205" i="31"/>
  <c r="C2204" i="31"/>
  <c r="B2204" i="31"/>
  <c r="A2204" i="31"/>
  <c r="C2203" i="31"/>
  <c r="B2203" i="31"/>
  <c r="A2203" i="31"/>
  <c r="C2202" i="31"/>
  <c r="B2202" i="31"/>
  <c r="A2202" i="31"/>
  <c r="C2201" i="31"/>
  <c r="B2201" i="31"/>
  <c r="A2201" i="31"/>
  <c r="C2200" i="31"/>
  <c r="B2200" i="31"/>
  <c r="A2200" i="31"/>
  <c r="C2199" i="31"/>
  <c r="B2199" i="31"/>
  <c r="A2199" i="31"/>
  <c r="C2198" i="31"/>
  <c r="B2198" i="31"/>
  <c r="A2198" i="31"/>
  <c r="C2197" i="31"/>
  <c r="B2197" i="31"/>
  <c r="A2197" i="31"/>
  <c r="C2196" i="31"/>
  <c r="B2196" i="31"/>
  <c r="A2196" i="31"/>
  <c r="C2195" i="31"/>
  <c r="B2195" i="31"/>
  <c r="A2195" i="31"/>
  <c r="C2194" i="31"/>
  <c r="B2194" i="31"/>
  <c r="A2194" i="31"/>
  <c r="C2193" i="31"/>
  <c r="B2193" i="31"/>
  <c r="A2193" i="31"/>
  <c r="C2192" i="31"/>
  <c r="B2192" i="31"/>
  <c r="A2192" i="31"/>
  <c r="C2191" i="31"/>
  <c r="B2191" i="31"/>
  <c r="A2191" i="31"/>
  <c r="C2190" i="31"/>
  <c r="B2190" i="31"/>
  <c r="A2190" i="31"/>
  <c r="C2189" i="31"/>
  <c r="B2189" i="31"/>
  <c r="A2189" i="31"/>
  <c r="C2188" i="31"/>
  <c r="B2188" i="31"/>
  <c r="A2188" i="31"/>
  <c r="C2187" i="31"/>
  <c r="B2187" i="31"/>
  <c r="A2187" i="31"/>
  <c r="C2186" i="31"/>
  <c r="B2186" i="31"/>
  <c r="A2186" i="31"/>
  <c r="C2185" i="31"/>
  <c r="B2185" i="31"/>
  <c r="A2185" i="31"/>
  <c r="C2184" i="31"/>
  <c r="B2184" i="31"/>
  <c r="A2184" i="31"/>
  <c r="C2183" i="31"/>
  <c r="B2183" i="31"/>
  <c r="A2183" i="31"/>
  <c r="C2182" i="31"/>
  <c r="B2182" i="31"/>
  <c r="A2182" i="31"/>
  <c r="C2181" i="31"/>
  <c r="B2181" i="31"/>
  <c r="A2181" i="31"/>
  <c r="C2180" i="31"/>
  <c r="B2180" i="31"/>
  <c r="A2180" i="31"/>
  <c r="C2179" i="31"/>
  <c r="B2179" i="31"/>
  <c r="A2179" i="31"/>
  <c r="C2178" i="31"/>
  <c r="B2178" i="31"/>
  <c r="A2178" i="31"/>
  <c r="C2177" i="31"/>
  <c r="B2177" i="31"/>
  <c r="A2177" i="31"/>
  <c r="C2176" i="31"/>
  <c r="B2176" i="31"/>
  <c r="A2176" i="31"/>
  <c r="C2175" i="31"/>
  <c r="B2175" i="31"/>
  <c r="A2175" i="31"/>
  <c r="C2174" i="31"/>
  <c r="B2174" i="31"/>
  <c r="A2174" i="31"/>
  <c r="C2173" i="31"/>
  <c r="B2173" i="31"/>
  <c r="A2173" i="31"/>
  <c r="C2172" i="31"/>
  <c r="B2172" i="31"/>
  <c r="A2172" i="31"/>
  <c r="C2171" i="31"/>
  <c r="B2171" i="31"/>
  <c r="A2171" i="31"/>
  <c r="C2170" i="31"/>
  <c r="B2170" i="31"/>
  <c r="A2170" i="31"/>
  <c r="C2169" i="31"/>
  <c r="B2169" i="31"/>
  <c r="A2169" i="31"/>
  <c r="C2168" i="31"/>
  <c r="B2168" i="31"/>
  <c r="A2168" i="31"/>
  <c r="C2167" i="31"/>
  <c r="B2167" i="31"/>
  <c r="A2167" i="31"/>
  <c r="C2166" i="31"/>
  <c r="B2166" i="31"/>
  <c r="A2166" i="31"/>
  <c r="C2165" i="31"/>
  <c r="B2165" i="31"/>
  <c r="A2165" i="31"/>
  <c r="C2164" i="31"/>
  <c r="B2164" i="31"/>
  <c r="A2164" i="31"/>
  <c r="C2163" i="31"/>
  <c r="B2163" i="31"/>
  <c r="A2163" i="31"/>
  <c r="C2162" i="31"/>
  <c r="B2162" i="31"/>
  <c r="A2162" i="31"/>
  <c r="C2161" i="31"/>
  <c r="B2161" i="31"/>
  <c r="A2161" i="31"/>
  <c r="C2160" i="31"/>
  <c r="B2160" i="31"/>
  <c r="A2160" i="31"/>
  <c r="C2159" i="31"/>
  <c r="B2159" i="31"/>
  <c r="A2159" i="31"/>
  <c r="C2158" i="31"/>
  <c r="B2158" i="31"/>
  <c r="A2158" i="31"/>
  <c r="C2157" i="31"/>
  <c r="B2157" i="31"/>
  <c r="A2157" i="31"/>
  <c r="C2156" i="31"/>
  <c r="B2156" i="31"/>
  <c r="A2156" i="31"/>
  <c r="C2155" i="31"/>
  <c r="B2155" i="31"/>
  <c r="A2155" i="31"/>
  <c r="C2154" i="31"/>
  <c r="B2154" i="31"/>
  <c r="A2154" i="31"/>
  <c r="C2153" i="31"/>
  <c r="B2153" i="31"/>
  <c r="A2153" i="31"/>
  <c r="C2152" i="31"/>
  <c r="B2152" i="31"/>
  <c r="A2152" i="31"/>
  <c r="C2151" i="31"/>
  <c r="B2151" i="31"/>
  <c r="A2151" i="31"/>
  <c r="C2150" i="31"/>
  <c r="B2150" i="31"/>
  <c r="A2150" i="31"/>
  <c r="C2149" i="31"/>
  <c r="B2149" i="31"/>
  <c r="A2149" i="31"/>
  <c r="C2148" i="31"/>
  <c r="B2148" i="31"/>
  <c r="A2148" i="31"/>
  <c r="C2147" i="31"/>
  <c r="B2147" i="31"/>
  <c r="A2147" i="31"/>
  <c r="C2146" i="31"/>
  <c r="B2146" i="31"/>
  <c r="A2146" i="31"/>
  <c r="C2145" i="31"/>
  <c r="B2145" i="31"/>
  <c r="A2145" i="31"/>
  <c r="C2144" i="31"/>
  <c r="B2144" i="31"/>
  <c r="A2144" i="31"/>
  <c r="C2143" i="31"/>
  <c r="B2143" i="31"/>
  <c r="A2143" i="31"/>
  <c r="C2142" i="31"/>
  <c r="B2142" i="31"/>
  <c r="A2142" i="31"/>
  <c r="C2141" i="31"/>
  <c r="B2141" i="31"/>
  <c r="A2141" i="31"/>
  <c r="C2140" i="31"/>
  <c r="B2140" i="31"/>
  <c r="A2140" i="31"/>
  <c r="C2139" i="31"/>
  <c r="B2139" i="31"/>
  <c r="A2139" i="31"/>
  <c r="C2138" i="31"/>
  <c r="B2138" i="31"/>
  <c r="A2138" i="31"/>
  <c r="C2137" i="31"/>
  <c r="B2137" i="31"/>
  <c r="A2137" i="31"/>
  <c r="C2136" i="31"/>
  <c r="B2136" i="31"/>
  <c r="A2136" i="31"/>
  <c r="C2135" i="31"/>
  <c r="B2135" i="31"/>
  <c r="A2135" i="31"/>
  <c r="C2134" i="31"/>
  <c r="B2134" i="31"/>
  <c r="A2134" i="31"/>
  <c r="C2133" i="31"/>
  <c r="B2133" i="31"/>
  <c r="A2133" i="31"/>
  <c r="C2132" i="31"/>
  <c r="B2132" i="31"/>
  <c r="A2132" i="31"/>
  <c r="C2131" i="31"/>
  <c r="B2131" i="31"/>
  <c r="A2131" i="31"/>
  <c r="C2130" i="31"/>
  <c r="B2130" i="31"/>
  <c r="A2130" i="31"/>
  <c r="C2129" i="31"/>
  <c r="B2129" i="31"/>
  <c r="A2129" i="31"/>
  <c r="C2128" i="31"/>
  <c r="B2128" i="31"/>
  <c r="A2128" i="31"/>
  <c r="C2127" i="31"/>
  <c r="B2127" i="31"/>
  <c r="A2127" i="31"/>
  <c r="C2126" i="31"/>
  <c r="B2126" i="31"/>
  <c r="A2126" i="31"/>
  <c r="C2125" i="31"/>
  <c r="B2125" i="31"/>
  <c r="A2125" i="31"/>
  <c r="C2124" i="31"/>
  <c r="B2124" i="31"/>
  <c r="A2124" i="31"/>
  <c r="C2123" i="31"/>
  <c r="B2123" i="31"/>
  <c r="A2123" i="31"/>
  <c r="C2122" i="31"/>
  <c r="B2122" i="31"/>
  <c r="A2122" i="31"/>
  <c r="C2121" i="31"/>
  <c r="B2121" i="31"/>
  <c r="A2121" i="31"/>
  <c r="C2120" i="31"/>
  <c r="B2120" i="31"/>
  <c r="A2120" i="31"/>
  <c r="C2119" i="31"/>
  <c r="B2119" i="31"/>
  <c r="A2119" i="31"/>
  <c r="C2118" i="31"/>
  <c r="B2118" i="31"/>
  <c r="A2118" i="31"/>
  <c r="C2117" i="31"/>
  <c r="B2117" i="31"/>
  <c r="A2117" i="31"/>
  <c r="C2116" i="31"/>
  <c r="B2116" i="31"/>
  <c r="A2116" i="31"/>
  <c r="C2115" i="31"/>
  <c r="B2115" i="31"/>
  <c r="A2115" i="31"/>
  <c r="C2114" i="31"/>
  <c r="B2114" i="31"/>
  <c r="A2114" i="31"/>
  <c r="C2113" i="31"/>
  <c r="B2113" i="31"/>
  <c r="A2113" i="31"/>
  <c r="C2112" i="31"/>
  <c r="B2112" i="31"/>
  <c r="A2112" i="31"/>
  <c r="C2111" i="31"/>
  <c r="B2111" i="31"/>
  <c r="A2111" i="31"/>
  <c r="C2110" i="31"/>
  <c r="B2110" i="31"/>
  <c r="A2110" i="31"/>
  <c r="C2109" i="31"/>
  <c r="B2109" i="31"/>
  <c r="A2109" i="31"/>
  <c r="C2108" i="31"/>
  <c r="B2108" i="31"/>
  <c r="A2108" i="31"/>
  <c r="C2107" i="31"/>
  <c r="B2107" i="31"/>
  <c r="A2107" i="31"/>
  <c r="C2106" i="31"/>
  <c r="B2106" i="31"/>
  <c r="A2106" i="31"/>
  <c r="C2105" i="31"/>
  <c r="B2105" i="31"/>
  <c r="A2105" i="31"/>
  <c r="C2104" i="31"/>
  <c r="B2104" i="31"/>
  <c r="A2104" i="31"/>
  <c r="C2103" i="31"/>
  <c r="B2103" i="31"/>
  <c r="A2103" i="31"/>
  <c r="C2102" i="31"/>
  <c r="B2102" i="31"/>
  <c r="A2102" i="31"/>
  <c r="C2101" i="31"/>
  <c r="B2101" i="31"/>
  <c r="A2101" i="31"/>
  <c r="C2100" i="31"/>
  <c r="B2100" i="31"/>
  <c r="A2100" i="31"/>
  <c r="C2099" i="31"/>
  <c r="B2099" i="31"/>
  <c r="A2099" i="31"/>
  <c r="C2098" i="31"/>
  <c r="B2098" i="31"/>
  <c r="A2098" i="31"/>
  <c r="C2097" i="31"/>
  <c r="B2097" i="31"/>
  <c r="A2097" i="31"/>
  <c r="C2096" i="31"/>
  <c r="B2096" i="31"/>
  <c r="A2096" i="31"/>
  <c r="C2095" i="31"/>
  <c r="B2095" i="31"/>
  <c r="A2095" i="31"/>
  <c r="C2094" i="31"/>
  <c r="B2094" i="31"/>
  <c r="A2094" i="31"/>
  <c r="C2093" i="31"/>
  <c r="B2093" i="31"/>
  <c r="A2093" i="31"/>
  <c r="C2092" i="31"/>
  <c r="B2092" i="31"/>
  <c r="A2092" i="31"/>
  <c r="C2091" i="31"/>
  <c r="B2091" i="31"/>
  <c r="A2091" i="31"/>
  <c r="C2090" i="31"/>
  <c r="B2090" i="31"/>
  <c r="A2090" i="31"/>
  <c r="C2089" i="31"/>
  <c r="B2089" i="31"/>
  <c r="A2089" i="31"/>
  <c r="C2088" i="31"/>
  <c r="B2088" i="31"/>
  <c r="A2088" i="31"/>
  <c r="C2087" i="31"/>
  <c r="B2087" i="31"/>
  <c r="A2087" i="31"/>
  <c r="C2086" i="31"/>
  <c r="B2086" i="31"/>
  <c r="A2086" i="31"/>
  <c r="C2085" i="31"/>
  <c r="B2085" i="31"/>
  <c r="A2085" i="31"/>
  <c r="C2084" i="31"/>
  <c r="B2084" i="31"/>
  <c r="A2084" i="31"/>
  <c r="C2083" i="31"/>
  <c r="B2083" i="31"/>
  <c r="A2083" i="31"/>
  <c r="C2082" i="31"/>
  <c r="B2082" i="31"/>
  <c r="A2082" i="31"/>
  <c r="C2081" i="31"/>
  <c r="B2081" i="31"/>
  <c r="A2081" i="31"/>
  <c r="C2080" i="31"/>
  <c r="B2080" i="31"/>
  <c r="A2080" i="31"/>
  <c r="C2079" i="31"/>
  <c r="B2079" i="31"/>
  <c r="A2079" i="31"/>
  <c r="C2078" i="31"/>
  <c r="B2078" i="31"/>
  <c r="A2078" i="31"/>
  <c r="C2077" i="31"/>
  <c r="B2077" i="31"/>
  <c r="A2077" i="31"/>
  <c r="C2076" i="31"/>
  <c r="B2076" i="31"/>
  <c r="A2076" i="31"/>
  <c r="C2075" i="31"/>
  <c r="B2075" i="31"/>
  <c r="A2075" i="31"/>
  <c r="C2074" i="31"/>
  <c r="B2074" i="31"/>
  <c r="A2074" i="31"/>
  <c r="C2073" i="31"/>
  <c r="B2073" i="31"/>
  <c r="A2073" i="31"/>
  <c r="C2072" i="31"/>
  <c r="B2072" i="31"/>
  <c r="A2072" i="31"/>
  <c r="C2071" i="31"/>
  <c r="B2071" i="31"/>
  <c r="A2071" i="31"/>
  <c r="C2070" i="31"/>
  <c r="B2070" i="31"/>
  <c r="A2070" i="31"/>
  <c r="C2069" i="31"/>
  <c r="B2069" i="31"/>
  <c r="A2069" i="31"/>
  <c r="C2068" i="31"/>
  <c r="B2068" i="31"/>
  <c r="A2068" i="31"/>
  <c r="C2067" i="31"/>
  <c r="B2067" i="31"/>
  <c r="A2067" i="31"/>
  <c r="C2066" i="31"/>
  <c r="B2066" i="31"/>
  <c r="A2066" i="31"/>
  <c r="C2065" i="31"/>
  <c r="B2065" i="31"/>
  <c r="A2065" i="31"/>
  <c r="C2064" i="31"/>
  <c r="B2064" i="31"/>
  <c r="A2064" i="31"/>
  <c r="C2063" i="31"/>
  <c r="B2063" i="31"/>
  <c r="A2063" i="31"/>
  <c r="C2062" i="31"/>
  <c r="B2062" i="31"/>
  <c r="A2062" i="31"/>
  <c r="C2061" i="31"/>
  <c r="B2061" i="31"/>
  <c r="A2061" i="31"/>
  <c r="C2060" i="31"/>
  <c r="B2060" i="31"/>
  <c r="A2060" i="31"/>
  <c r="C2059" i="31"/>
  <c r="B2059" i="31"/>
  <c r="A2059" i="31"/>
  <c r="C2058" i="31"/>
  <c r="B2058" i="31"/>
  <c r="A2058" i="31"/>
  <c r="C2057" i="31"/>
  <c r="B2057" i="31"/>
  <c r="A2057" i="31"/>
  <c r="C2056" i="31"/>
  <c r="B2056" i="31"/>
  <c r="A2056" i="31"/>
  <c r="C2055" i="31"/>
  <c r="B2055" i="31"/>
  <c r="A2055" i="31"/>
  <c r="C2054" i="31"/>
  <c r="B2054" i="31"/>
  <c r="A2054" i="31"/>
  <c r="C2053" i="31"/>
  <c r="B2053" i="31"/>
  <c r="A2053" i="31"/>
  <c r="C2052" i="31"/>
  <c r="B2052" i="31"/>
  <c r="A2052" i="31"/>
  <c r="C2051" i="31"/>
  <c r="B2051" i="31"/>
  <c r="A2051" i="31"/>
  <c r="C2050" i="31"/>
  <c r="B2050" i="31"/>
  <c r="A2050" i="31"/>
  <c r="C2049" i="31"/>
  <c r="B2049" i="31"/>
  <c r="A2049" i="31"/>
  <c r="C2048" i="31"/>
  <c r="B2048" i="31"/>
  <c r="A2048" i="31"/>
  <c r="C2047" i="31"/>
  <c r="B2047" i="31"/>
  <c r="A2047" i="31"/>
  <c r="C2046" i="31"/>
  <c r="B2046" i="31"/>
  <c r="A2046" i="31"/>
  <c r="C2045" i="31"/>
  <c r="B2045" i="31"/>
  <c r="A2045" i="31"/>
  <c r="C2044" i="31"/>
  <c r="B2044" i="31"/>
  <c r="A2044" i="31"/>
  <c r="C2043" i="31"/>
  <c r="B2043" i="31"/>
  <c r="A2043" i="31"/>
  <c r="C2042" i="31"/>
  <c r="B2042" i="31"/>
  <c r="A2042" i="31"/>
  <c r="C2041" i="31"/>
  <c r="B2041" i="31"/>
  <c r="A2041" i="31"/>
  <c r="C2040" i="31"/>
  <c r="B2040" i="31"/>
  <c r="A2040" i="31"/>
  <c r="C2039" i="31"/>
  <c r="B2039" i="31"/>
  <c r="A2039" i="31"/>
  <c r="C2038" i="31"/>
  <c r="B2038" i="31"/>
  <c r="A2038" i="31"/>
  <c r="C2037" i="31"/>
  <c r="B2037" i="31"/>
  <c r="A2037" i="31"/>
  <c r="C2036" i="31"/>
  <c r="B2036" i="31"/>
  <c r="A2036" i="31"/>
  <c r="C2035" i="31"/>
  <c r="B2035" i="31"/>
  <c r="A2035" i="31"/>
  <c r="C2034" i="31"/>
  <c r="B2034" i="31"/>
  <c r="A2034" i="31"/>
  <c r="C2033" i="31"/>
  <c r="B2033" i="31"/>
  <c r="A2033" i="31"/>
  <c r="C2032" i="31"/>
  <c r="B2032" i="31"/>
  <c r="A2032" i="31"/>
  <c r="C2031" i="31"/>
  <c r="B2031" i="31"/>
  <c r="A2031" i="31"/>
  <c r="C2030" i="31"/>
  <c r="B2030" i="31"/>
  <c r="A2030" i="31"/>
  <c r="C2029" i="31"/>
  <c r="B2029" i="31"/>
  <c r="A2029" i="31"/>
  <c r="C2028" i="31"/>
  <c r="B2028" i="31"/>
  <c r="A2028" i="31"/>
  <c r="C2027" i="31"/>
  <c r="B2027" i="31"/>
  <c r="A2027" i="31"/>
  <c r="C2026" i="31"/>
  <c r="B2026" i="31"/>
  <c r="A2026" i="31"/>
  <c r="C2025" i="31"/>
  <c r="B2025" i="31"/>
  <c r="A2025" i="31"/>
  <c r="C2024" i="31"/>
  <c r="B2024" i="31"/>
  <c r="A2024" i="31"/>
  <c r="C2023" i="31"/>
  <c r="B2023" i="31"/>
  <c r="A2023" i="31"/>
  <c r="C2022" i="31"/>
  <c r="B2022" i="31"/>
  <c r="A2022" i="31"/>
  <c r="C2021" i="31"/>
  <c r="B2021" i="31"/>
  <c r="A2021" i="31"/>
  <c r="C2020" i="31"/>
  <c r="B2020" i="31"/>
  <c r="A2020" i="31"/>
  <c r="C2019" i="31"/>
  <c r="B2019" i="31"/>
  <c r="A2019" i="31"/>
  <c r="C2018" i="31"/>
  <c r="B2018" i="31"/>
  <c r="A2018" i="31"/>
  <c r="C2017" i="31"/>
  <c r="B2017" i="31"/>
  <c r="A2017" i="31"/>
  <c r="C2016" i="31"/>
  <c r="B2016" i="31"/>
  <c r="A2016" i="31"/>
  <c r="C2015" i="31"/>
  <c r="B2015" i="31"/>
  <c r="A2015" i="31"/>
  <c r="C2014" i="31"/>
  <c r="B2014" i="31"/>
  <c r="A2014" i="31"/>
  <c r="C2013" i="31"/>
  <c r="B2013" i="31"/>
  <c r="A2013" i="31"/>
  <c r="C2012" i="31"/>
  <c r="B2012" i="31"/>
  <c r="A2012" i="31"/>
  <c r="C2011" i="31"/>
  <c r="B2011" i="31"/>
  <c r="A2011" i="31"/>
  <c r="C2010" i="31"/>
  <c r="B2010" i="31"/>
  <c r="A2010" i="31"/>
  <c r="C2009" i="31"/>
  <c r="B2009" i="31"/>
  <c r="A2009" i="31"/>
  <c r="C2008" i="31"/>
  <c r="B2008" i="31"/>
  <c r="A2008" i="31"/>
  <c r="C2007" i="31"/>
  <c r="B2007" i="31"/>
  <c r="A2007" i="31"/>
  <c r="C2006" i="31"/>
  <c r="B2006" i="31"/>
  <c r="A2006" i="31"/>
  <c r="C2005" i="31"/>
  <c r="B2005" i="31"/>
  <c r="A2005" i="31"/>
  <c r="C2004" i="31"/>
  <c r="B2004" i="31"/>
  <c r="A2004" i="31"/>
  <c r="C2003" i="31"/>
  <c r="B2003" i="31"/>
  <c r="A2003" i="31"/>
  <c r="C2002" i="31"/>
  <c r="B2002" i="31"/>
  <c r="A2002" i="31"/>
  <c r="C2001" i="31"/>
  <c r="B2001" i="31"/>
  <c r="A2001" i="31"/>
  <c r="C2000" i="31"/>
  <c r="B2000" i="31"/>
  <c r="A2000" i="31"/>
  <c r="C1999" i="31"/>
  <c r="B1999" i="31"/>
  <c r="A1999" i="31"/>
  <c r="C1998" i="31"/>
  <c r="B1998" i="31"/>
  <c r="A1998" i="31"/>
  <c r="C1997" i="31"/>
  <c r="B1997" i="31"/>
  <c r="A1997" i="31"/>
  <c r="C1996" i="31"/>
  <c r="B1996" i="31"/>
  <c r="A1996" i="31"/>
  <c r="C1995" i="31"/>
  <c r="B1995" i="31"/>
  <c r="A1995" i="31"/>
  <c r="C1994" i="31"/>
  <c r="B1994" i="31"/>
  <c r="A1994" i="31"/>
  <c r="C1993" i="31"/>
  <c r="B1993" i="31"/>
  <c r="A1993" i="31"/>
  <c r="C1992" i="31"/>
  <c r="B1992" i="31"/>
  <c r="A1992" i="31"/>
  <c r="C1991" i="31"/>
  <c r="B1991" i="31"/>
  <c r="A1991" i="31"/>
  <c r="C1990" i="31"/>
  <c r="B1990" i="31"/>
  <c r="A1990" i="31"/>
  <c r="C1989" i="31"/>
  <c r="B1989" i="31"/>
  <c r="A1989" i="31"/>
  <c r="C1988" i="31"/>
  <c r="B1988" i="31"/>
  <c r="A1988" i="31"/>
  <c r="C1987" i="31"/>
  <c r="B1987" i="31"/>
  <c r="A1987" i="31"/>
  <c r="C1986" i="31"/>
  <c r="B1986" i="31"/>
  <c r="A1986" i="31"/>
  <c r="C1985" i="31"/>
  <c r="B1985" i="31"/>
  <c r="A1985" i="31"/>
  <c r="C1984" i="31"/>
  <c r="B1984" i="31"/>
  <c r="A1984" i="31"/>
  <c r="C1983" i="31"/>
  <c r="B1983" i="31"/>
  <c r="A1983" i="31"/>
  <c r="C1982" i="31"/>
  <c r="B1982" i="31"/>
  <c r="A1982" i="31"/>
  <c r="C1981" i="31"/>
  <c r="B1981" i="31"/>
  <c r="A1981" i="31"/>
  <c r="C1980" i="31"/>
  <c r="B1980" i="31"/>
  <c r="A1980" i="31"/>
  <c r="C1979" i="31"/>
  <c r="B1979" i="31"/>
  <c r="A1979" i="31"/>
  <c r="C1978" i="31"/>
  <c r="B1978" i="31"/>
  <c r="A1978" i="31"/>
  <c r="C1977" i="31"/>
  <c r="B1977" i="31"/>
  <c r="A1977" i="31"/>
  <c r="C1976" i="31"/>
  <c r="B1976" i="31"/>
  <c r="A1976" i="31"/>
  <c r="C1975" i="31"/>
  <c r="B1975" i="31"/>
  <c r="A1975" i="31"/>
  <c r="C1974" i="31"/>
  <c r="B1974" i="31"/>
  <c r="A1974" i="31"/>
  <c r="C1973" i="31"/>
  <c r="B1973" i="31"/>
  <c r="A1973" i="31"/>
  <c r="C1972" i="31"/>
  <c r="B1972" i="31"/>
  <c r="A1972" i="31"/>
  <c r="C1971" i="31"/>
  <c r="B1971" i="31"/>
  <c r="A1971" i="31"/>
  <c r="C1970" i="31"/>
  <c r="B1970" i="31"/>
  <c r="A1970" i="31"/>
  <c r="C1969" i="31"/>
  <c r="B1969" i="31"/>
  <c r="A1969" i="31"/>
  <c r="C1968" i="31"/>
  <c r="B1968" i="31"/>
  <c r="A1968" i="31"/>
  <c r="C1967" i="31"/>
  <c r="B1967" i="31"/>
  <c r="A1967" i="31"/>
  <c r="C1966" i="31"/>
  <c r="B1966" i="31"/>
  <c r="A1966" i="31"/>
  <c r="C1965" i="31"/>
  <c r="B1965" i="31"/>
  <c r="A1965" i="31"/>
  <c r="C1964" i="31"/>
  <c r="B1964" i="31"/>
  <c r="A1964" i="31"/>
  <c r="C1963" i="31"/>
  <c r="B1963" i="31"/>
  <c r="A1963" i="31"/>
  <c r="C1962" i="31"/>
  <c r="B1962" i="31"/>
  <c r="A1962" i="31"/>
  <c r="C1961" i="31"/>
  <c r="B1961" i="31"/>
  <c r="A1961" i="31"/>
  <c r="C1960" i="31"/>
  <c r="B1960" i="31"/>
  <c r="A1960" i="31"/>
  <c r="C1959" i="31"/>
  <c r="B1959" i="31"/>
  <c r="A1959" i="31"/>
  <c r="C1958" i="31"/>
  <c r="B1958" i="31"/>
  <c r="A1958" i="31"/>
  <c r="C1957" i="31"/>
  <c r="B1957" i="31"/>
  <c r="A1957" i="31"/>
  <c r="C1956" i="31"/>
  <c r="B1956" i="31"/>
  <c r="A1956" i="31"/>
  <c r="C1955" i="31"/>
  <c r="B1955" i="31"/>
  <c r="A1955" i="31"/>
  <c r="C1954" i="31"/>
  <c r="B1954" i="31"/>
  <c r="A1954" i="31"/>
  <c r="C1953" i="31"/>
  <c r="B1953" i="31"/>
  <c r="A1953" i="31"/>
  <c r="C1952" i="31"/>
  <c r="B1952" i="31"/>
  <c r="A1952" i="31"/>
  <c r="C1951" i="31"/>
  <c r="B1951" i="31"/>
  <c r="A1951" i="31"/>
  <c r="C1950" i="31"/>
  <c r="B1950" i="31"/>
  <c r="A1950" i="31"/>
  <c r="C1949" i="31"/>
  <c r="B1949" i="31"/>
  <c r="A1949" i="31"/>
  <c r="C1948" i="31"/>
  <c r="B1948" i="31"/>
  <c r="A1948" i="31"/>
  <c r="C1947" i="31"/>
  <c r="B1947" i="31"/>
  <c r="A1947" i="31"/>
  <c r="C1946" i="31"/>
  <c r="B1946" i="31"/>
  <c r="A1946" i="31"/>
  <c r="C1945" i="31"/>
  <c r="B1945" i="31"/>
  <c r="A1945" i="31"/>
  <c r="C1944" i="31"/>
  <c r="B1944" i="31"/>
  <c r="A1944" i="31"/>
  <c r="C1943" i="31"/>
  <c r="B1943" i="31"/>
  <c r="A1943" i="31"/>
  <c r="C1942" i="31"/>
  <c r="B1942" i="31"/>
  <c r="A1942" i="31"/>
  <c r="C1941" i="31"/>
  <c r="B1941" i="31"/>
  <c r="A1941" i="31"/>
  <c r="C1940" i="31"/>
  <c r="B1940" i="31"/>
  <c r="A1940" i="31"/>
  <c r="C1939" i="31"/>
  <c r="B1939" i="31"/>
  <c r="A1939" i="31"/>
  <c r="C1938" i="31"/>
  <c r="B1938" i="31"/>
  <c r="A1938" i="31"/>
  <c r="C1937" i="31"/>
  <c r="B1937" i="31"/>
  <c r="A1937" i="31"/>
  <c r="C1936" i="31"/>
  <c r="B1936" i="31"/>
  <c r="A1936" i="31"/>
  <c r="C1935" i="31"/>
  <c r="B1935" i="31"/>
  <c r="A1935" i="31"/>
  <c r="C1934" i="31"/>
  <c r="B1934" i="31"/>
  <c r="A1934" i="31"/>
  <c r="C1933" i="31"/>
  <c r="B1933" i="31"/>
  <c r="A1933" i="31"/>
  <c r="C1932" i="31"/>
  <c r="B1932" i="31"/>
  <c r="A1932" i="31"/>
  <c r="C1931" i="31"/>
  <c r="B1931" i="31"/>
  <c r="A1931" i="31"/>
  <c r="C1930" i="31"/>
  <c r="B1930" i="31"/>
  <c r="A1930" i="31"/>
  <c r="C1929" i="31"/>
  <c r="B1929" i="31"/>
  <c r="A1929" i="31"/>
  <c r="C1928" i="31"/>
  <c r="B1928" i="31"/>
  <c r="A1928" i="31"/>
  <c r="C1927" i="31"/>
  <c r="B1927" i="31"/>
  <c r="A1927" i="31"/>
  <c r="C1926" i="31"/>
  <c r="B1926" i="31"/>
  <c r="A1926" i="31"/>
  <c r="C1925" i="31"/>
  <c r="B1925" i="31"/>
  <c r="A1925" i="31"/>
  <c r="C1924" i="31"/>
  <c r="B1924" i="31"/>
  <c r="A1924" i="31"/>
  <c r="C1923" i="31"/>
  <c r="B1923" i="31"/>
  <c r="A1923" i="31"/>
  <c r="C1922" i="31"/>
  <c r="B1922" i="31"/>
  <c r="A1922" i="31"/>
  <c r="C1921" i="31"/>
  <c r="B1921" i="31"/>
  <c r="A1921" i="31"/>
  <c r="C1920" i="31"/>
  <c r="B1920" i="31"/>
  <c r="A1920" i="31"/>
  <c r="C1919" i="31"/>
  <c r="B1919" i="31"/>
  <c r="A1919" i="31"/>
  <c r="C1918" i="31"/>
  <c r="B1918" i="31"/>
  <c r="A1918" i="31"/>
  <c r="C1917" i="31"/>
  <c r="B1917" i="31"/>
  <c r="A1917" i="31"/>
  <c r="C1916" i="31"/>
  <c r="B1916" i="31"/>
  <c r="A1916" i="31"/>
  <c r="C1915" i="31"/>
  <c r="B1915" i="31"/>
  <c r="A1915" i="31"/>
  <c r="C1914" i="31"/>
  <c r="B1914" i="31"/>
  <c r="A1914" i="31"/>
  <c r="C1913" i="31"/>
  <c r="B1913" i="31"/>
  <c r="A1913" i="31"/>
  <c r="C1912" i="31"/>
  <c r="B1912" i="31"/>
  <c r="A1912" i="31"/>
  <c r="C1911" i="31"/>
  <c r="B1911" i="31"/>
  <c r="A1911" i="31"/>
  <c r="C1910" i="31"/>
  <c r="B1910" i="31"/>
  <c r="A1910" i="31"/>
  <c r="C1909" i="31"/>
  <c r="B1909" i="31"/>
  <c r="A1909" i="31"/>
  <c r="C1908" i="31"/>
  <c r="B1908" i="31"/>
  <c r="A1908" i="31"/>
  <c r="C1907" i="31"/>
  <c r="B1907" i="31"/>
  <c r="A1907" i="31"/>
  <c r="C1906" i="31"/>
  <c r="B1906" i="31"/>
  <c r="A1906" i="31"/>
  <c r="C1905" i="31"/>
  <c r="B1905" i="31"/>
  <c r="A1905" i="31"/>
  <c r="C1904" i="31"/>
  <c r="B1904" i="31"/>
  <c r="A1904" i="31"/>
  <c r="C1903" i="31"/>
  <c r="B1903" i="31"/>
  <c r="A1903" i="31"/>
  <c r="C1902" i="31"/>
  <c r="B1902" i="31"/>
  <c r="A1902" i="31"/>
  <c r="C1901" i="31"/>
  <c r="B1901" i="31"/>
  <c r="A1901" i="31"/>
  <c r="C1900" i="31"/>
  <c r="B1900" i="31"/>
  <c r="A1900" i="31"/>
  <c r="C1899" i="31"/>
  <c r="B1899" i="31"/>
  <c r="A1899" i="31"/>
  <c r="C1898" i="31"/>
  <c r="B1898" i="31"/>
  <c r="A1898" i="31"/>
  <c r="C1897" i="31"/>
  <c r="B1897" i="31"/>
  <c r="A1897" i="31"/>
  <c r="C1896" i="31"/>
  <c r="B1896" i="31"/>
  <c r="A1896" i="31"/>
  <c r="C1895" i="31"/>
  <c r="B1895" i="31"/>
  <c r="A1895" i="31"/>
  <c r="C1894" i="31"/>
  <c r="B1894" i="31"/>
  <c r="A1894" i="31"/>
  <c r="C1893" i="31"/>
  <c r="B1893" i="31"/>
  <c r="A1893" i="31"/>
  <c r="C1892" i="31"/>
  <c r="B1892" i="31"/>
  <c r="A1892" i="31"/>
  <c r="C1891" i="31"/>
  <c r="B1891" i="31"/>
  <c r="A1891" i="31"/>
  <c r="C1890" i="31"/>
  <c r="B1890" i="31"/>
  <c r="A1890" i="31"/>
  <c r="C1889" i="31"/>
  <c r="B1889" i="31"/>
  <c r="A1889" i="31"/>
  <c r="C1888" i="31"/>
  <c r="B1888" i="31"/>
  <c r="A1888" i="31"/>
  <c r="C1887" i="31"/>
  <c r="B1887" i="31"/>
  <c r="A1887" i="31"/>
  <c r="C1886" i="31"/>
  <c r="B1886" i="31"/>
  <c r="A1886" i="31"/>
  <c r="C1885" i="31"/>
  <c r="B1885" i="31"/>
  <c r="A1885" i="31"/>
  <c r="C1884" i="31"/>
  <c r="B1884" i="31"/>
  <c r="A1884" i="31"/>
  <c r="C1883" i="31"/>
  <c r="B1883" i="31"/>
  <c r="A1883" i="31"/>
  <c r="C1882" i="31"/>
  <c r="B1882" i="31"/>
  <c r="A1882" i="31"/>
  <c r="C1881" i="31"/>
  <c r="B1881" i="31"/>
  <c r="A1881" i="31"/>
  <c r="C1880" i="31"/>
  <c r="B1880" i="31"/>
  <c r="A1880" i="31"/>
  <c r="C1879" i="31"/>
  <c r="B1879" i="31"/>
  <c r="A1879" i="31"/>
  <c r="C1878" i="31"/>
  <c r="B1878" i="31"/>
  <c r="A1878" i="31"/>
  <c r="C1877" i="31"/>
  <c r="B1877" i="31"/>
  <c r="A1877" i="31"/>
  <c r="C1876" i="31"/>
  <c r="B1876" i="31"/>
  <c r="A1876" i="31"/>
  <c r="C1875" i="31"/>
  <c r="B1875" i="31"/>
  <c r="A1875" i="31"/>
  <c r="C1874" i="31"/>
  <c r="B1874" i="31"/>
  <c r="A1874" i="31"/>
  <c r="C1873" i="31"/>
  <c r="B1873" i="31"/>
  <c r="A1873" i="31"/>
  <c r="C1872" i="31"/>
  <c r="B1872" i="31"/>
  <c r="A1872" i="31"/>
  <c r="C1871" i="31"/>
  <c r="B1871" i="31"/>
  <c r="A1871" i="31"/>
  <c r="C1870" i="31"/>
  <c r="B1870" i="31"/>
  <c r="A1870" i="31"/>
  <c r="C1869" i="31"/>
  <c r="B1869" i="31"/>
  <c r="A1869" i="31"/>
  <c r="C1868" i="31"/>
  <c r="B1868" i="31"/>
  <c r="A1868" i="31"/>
  <c r="C1867" i="31"/>
  <c r="B1867" i="31"/>
  <c r="A1867" i="31"/>
  <c r="C1866" i="31"/>
  <c r="B1866" i="31"/>
  <c r="A1866" i="31"/>
  <c r="C1865" i="31"/>
  <c r="B1865" i="31"/>
  <c r="A1865" i="31"/>
  <c r="C1864" i="31"/>
  <c r="B1864" i="31"/>
  <c r="A1864" i="31"/>
  <c r="C1863" i="31"/>
  <c r="B1863" i="31"/>
  <c r="A1863" i="31"/>
  <c r="C1862" i="31"/>
  <c r="B1862" i="31"/>
  <c r="A1862" i="31"/>
  <c r="C1861" i="31"/>
  <c r="B1861" i="31"/>
  <c r="A1861" i="31"/>
  <c r="C1860" i="31"/>
  <c r="B1860" i="31"/>
  <c r="A1860" i="31"/>
  <c r="C1859" i="31"/>
  <c r="B1859" i="31"/>
  <c r="A1859" i="31"/>
  <c r="C1858" i="31"/>
  <c r="B1858" i="31"/>
  <c r="A1858" i="31"/>
  <c r="C1857" i="31"/>
  <c r="B1857" i="31"/>
  <c r="A1857" i="31"/>
  <c r="C1856" i="31"/>
  <c r="B1856" i="31"/>
  <c r="A1856" i="31"/>
  <c r="C1855" i="31"/>
  <c r="B1855" i="31"/>
  <c r="A1855" i="31"/>
  <c r="C1854" i="31"/>
  <c r="B1854" i="31"/>
  <c r="A1854" i="31"/>
  <c r="C1853" i="31"/>
  <c r="B1853" i="31"/>
  <c r="A1853" i="31"/>
  <c r="C1852" i="31"/>
  <c r="B1852" i="31"/>
  <c r="A1852" i="31"/>
  <c r="C1851" i="31"/>
  <c r="B1851" i="31"/>
  <c r="A1851" i="31"/>
  <c r="C1850" i="31"/>
  <c r="B1850" i="31"/>
  <c r="A1850" i="31"/>
  <c r="C1849" i="31"/>
  <c r="B1849" i="31"/>
  <c r="A1849" i="31"/>
  <c r="C1848" i="31"/>
  <c r="B1848" i="31"/>
  <c r="A1848" i="31"/>
  <c r="C1847" i="31"/>
  <c r="B1847" i="31"/>
  <c r="A1847" i="31"/>
  <c r="C1846" i="31"/>
  <c r="B1846" i="31"/>
  <c r="A1846" i="31"/>
  <c r="C1845" i="31"/>
  <c r="B1845" i="31"/>
  <c r="A1845" i="31"/>
  <c r="C1844" i="31"/>
  <c r="B1844" i="31"/>
  <c r="A1844" i="31"/>
  <c r="C1843" i="31"/>
  <c r="B1843" i="31"/>
  <c r="A1843" i="31"/>
  <c r="C1842" i="31"/>
  <c r="B1842" i="31"/>
  <c r="A1842" i="31"/>
  <c r="C1841" i="31"/>
  <c r="B1841" i="31"/>
  <c r="A1841" i="31"/>
  <c r="C1840" i="31"/>
  <c r="B1840" i="31"/>
  <c r="A1840" i="31"/>
  <c r="C1839" i="31"/>
  <c r="B1839" i="31"/>
  <c r="A1839" i="31"/>
  <c r="C1838" i="31"/>
  <c r="B1838" i="31"/>
  <c r="A1838" i="31"/>
  <c r="C1837" i="31"/>
  <c r="B1837" i="31"/>
  <c r="A1837" i="31"/>
  <c r="C1836" i="31"/>
  <c r="B1836" i="31"/>
  <c r="A1836" i="31"/>
  <c r="C1835" i="31"/>
  <c r="B1835" i="31"/>
  <c r="A1835" i="31"/>
  <c r="C1834" i="31"/>
  <c r="B1834" i="31"/>
  <c r="A1834" i="31"/>
  <c r="C1833" i="31"/>
  <c r="B1833" i="31"/>
  <c r="A1833" i="31"/>
  <c r="C1832" i="31"/>
  <c r="B1832" i="31"/>
  <c r="A1832" i="31"/>
  <c r="C1831" i="31"/>
  <c r="B1831" i="31"/>
  <c r="A1831" i="31"/>
  <c r="C1830" i="31"/>
  <c r="B1830" i="31"/>
  <c r="A1830" i="31"/>
  <c r="C1829" i="31"/>
  <c r="B1829" i="31"/>
  <c r="A1829" i="31"/>
  <c r="C1828" i="31"/>
  <c r="B1828" i="31"/>
  <c r="A1828" i="31"/>
  <c r="C1827" i="31"/>
  <c r="B1827" i="31"/>
  <c r="A1827" i="31"/>
  <c r="C1826" i="31"/>
  <c r="B1826" i="31"/>
  <c r="A1826" i="31"/>
  <c r="C1825" i="31"/>
  <c r="B1825" i="31"/>
  <c r="A1825" i="31"/>
  <c r="C1824" i="31"/>
  <c r="B1824" i="31"/>
  <c r="A1824" i="31"/>
  <c r="C1823" i="31"/>
  <c r="B1823" i="31"/>
  <c r="A1823" i="31"/>
  <c r="C1822" i="31"/>
  <c r="B1822" i="31"/>
  <c r="A1822" i="31"/>
  <c r="C1821" i="31"/>
  <c r="B1821" i="31"/>
  <c r="A1821" i="31"/>
  <c r="C1820" i="31"/>
  <c r="B1820" i="31"/>
  <c r="A1820" i="31"/>
  <c r="C1819" i="31"/>
  <c r="B1819" i="31"/>
  <c r="A1819" i="31"/>
  <c r="C1818" i="31"/>
  <c r="B1818" i="31"/>
  <c r="A1818" i="31"/>
  <c r="C1817" i="31"/>
  <c r="B1817" i="31"/>
  <c r="A1817" i="31"/>
  <c r="C1816" i="31"/>
  <c r="B1816" i="31"/>
  <c r="A1816" i="31"/>
  <c r="C1815" i="31"/>
  <c r="B1815" i="31"/>
  <c r="A1815" i="31"/>
  <c r="C1814" i="31"/>
  <c r="B1814" i="31"/>
  <c r="A1814" i="31"/>
  <c r="C1813" i="31"/>
  <c r="B1813" i="31"/>
  <c r="A1813" i="31"/>
  <c r="C1812" i="31"/>
  <c r="B1812" i="31"/>
  <c r="A1812" i="31"/>
  <c r="C1811" i="31"/>
  <c r="B1811" i="31"/>
  <c r="A1811" i="31"/>
  <c r="C1810" i="31"/>
  <c r="B1810" i="31"/>
  <c r="A1810" i="31"/>
  <c r="C1809" i="31"/>
  <c r="B1809" i="31"/>
  <c r="A1809" i="31"/>
  <c r="C1808" i="31"/>
  <c r="B1808" i="31"/>
  <c r="A1808" i="31"/>
  <c r="C1807" i="31"/>
  <c r="B1807" i="31"/>
  <c r="A1807" i="31"/>
  <c r="C1806" i="31"/>
  <c r="B1806" i="31"/>
  <c r="A1806" i="31"/>
  <c r="C1805" i="31"/>
  <c r="B1805" i="31"/>
  <c r="A1805" i="31"/>
  <c r="C1804" i="31"/>
  <c r="B1804" i="31"/>
  <c r="A1804" i="31"/>
  <c r="C1803" i="31"/>
  <c r="B1803" i="31"/>
  <c r="A1803" i="31"/>
  <c r="C1802" i="31"/>
  <c r="B1802" i="31"/>
  <c r="A1802" i="31"/>
  <c r="C1801" i="31"/>
  <c r="B1801" i="31"/>
  <c r="A1801" i="31"/>
  <c r="C1800" i="31"/>
  <c r="B1800" i="31"/>
  <c r="A1800" i="31"/>
  <c r="C1799" i="31"/>
  <c r="B1799" i="31"/>
  <c r="A1799" i="31"/>
  <c r="C1798" i="31"/>
  <c r="B1798" i="31"/>
  <c r="A1798" i="31"/>
  <c r="C1797" i="31"/>
  <c r="B1797" i="31"/>
  <c r="A1797" i="31"/>
  <c r="C1796" i="31"/>
  <c r="B1796" i="31"/>
  <c r="A1796" i="31"/>
  <c r="C1795" i="31"/>
  <c r="B1795" i="31"/>
  <c r="A1795" i="31"/>
  <c r="C1794" i="31"/>
  <c r="B1794" i="31"/>
  <c r="A1794" i="31"/>
  <c r="C1793" i="31"/>
  <c r="B1793" i="31"/>
  <c r="A1793" i="31"/>
  <c r="C1792" i="31"/>
  <c r="B1792" i="31"/>
  <c r="A1792" i="31"/>
  <c r="C1791" i="31"/>
  <c r="B1791" i="31"/>
  <c r="A1791" i="31"/>
  <c r="C1790" i="31"/>
  <c r="B1790" i="31"/>
  <c r="A1790" i="31"/>
  <c r="C1789" i="31"/>
  <c r="B1789" i="31"/>
  <c r="A1789" i="31"/>
  <c r="C1788" i="31"/>
  <c r="B1788" i="31"/>
  <c r="A1788" i="31"/>
  <c r="C1787" i="31"/>
  <c r="B1787" i="31"/>
  <c r="A1787" i="31"/>
  <c r="C1786" i="31"/>
  <c r="B1786" i="31"/>
  <c r="A1786" i="31"/>
  <c r="C1785" i="31"/>
  <c r="B1785" i="31"/>
  <c r="A1785" i="31"/>
  <c r="C1784" i="31"/>
  <c r="B1784" i="31"/>
  <c r="A1784" i="31"/>
  <c r="C1783" i="31"/>
  <c r="B1783" i="31"/>
  <c r="A1783" i="31"/>
  <c r="C1782" i="31"/>
  <c r="B1782" i="31"/>
  <c r="A1782" i="31"/>
  <c r="C1781" i="31"/>
  <c r="B1781" i="31"/>
  <c r="A1781" i="31"/>
  <c r="C1780" i="31"/>
  <c r="B1780" i="31"/>
  <c r="A1780" i="31"/>
  <c r="C1779" i="31"/>
  <c r="B1779" i="31"/>
  <c r="A1779" i="31"/>
  <c r="C1778" i="31"/>
  <c r="B1778" i="31"/>
  <c r="A1778" i="31"/>
  <c r="C1777" i="31"/>
  <c r="B1777" i="31"/>
  <c r="A1777" i="31"/>
  <c r="C1776" i="31"/>
  <c r="B1776" i="31"/>
  <c r="A1776" i="31"/>
  <c r="C1775" i="31"/>
  <c r="B1775" i="31"/>
  <c r="A1775" i="31"/>
  <c r="C1774" i="31"/>
  <c r="B1774" i="31"/>
  <c r="A1774" i="31"/>
  <c r="C1773" i="31"/>
  <c r="B1773" i="31"/>
  <c r="A1773" i="31"/>
  <c r="C1772" i="31"/>
  <c r="B1772" i="31"/>
  <c r="A1772" i="31"/>
  <c r="C1771" i="31"/>
  <c r="B1771" i="31"/>
  <c r="A1771" i="31"/>
  <c r="C1770" i="31"/>
  <c r="B1770" i="31"/>
  <c r="A1770" i="31"/>
  <c r="C1769" i="31"/>
  <c r="B1769" i="31"/>
  <c r="A1769" i="31"/>
  <c r="C1768" i="31"/>
  <c r="B1768" i="31"/>
  <c r="A1768" i="31"/>
  <c r="C1767" i="31"/>
  <c r="B1767" i="31"/>
  <c r="A1767" i="31"/>
  <c r="C1766" i="31"/>
  <c r="B1766" i="31"/>
  <c r="A1766" i="31"/>
  <c r="C1765" i="31"/>
  <c r="B1765" i="31"/>
  <c r="A1765" i="31"/>
  <c r="C1764" i="31"/>
  <c r="B1764" i="31"/>
  <c r="A1764" i="31"/>
  <c r="C1763" i="31"/>
  <c r="B1763" i="31"/>
  <c r="A1763" i="31"/>
  <c r="C1762" i="31"/>
  <c r="B1762" i="31"/>
  <c r="A1762" i="31"/>
  <c r="C1761" i="31"/>
  <c r="B1761" i="31"/>
  <c r="A1761" i="31"/>
  <c r="C1760" i="31"/>
  <c r="B1760" i="31"/>
  <c r="A1760" i="31"/>
  <c r="C1759" i="31"/>
  <c r="B1759" i="31"/>
  <c r="A1759" i="31"/>
  <c r="C1758" i="31"/>
  <c r="B1758" i="31"/>
  <c r="A1758" i="31"/>
  <c r="C1757" i="31"/>
  <c r="B1757" i="31"/>
  <c r="A1757" i="31"/>
  <c r="C1756" i="31"/>
  <c r="B1756" i="31"/>
  <c r="A1756" i="31"/>
  <c r="C1755" i="31"/>
  <c r="B1755" i="31"/>
  <c r="A1755" i="31"/>
  <c r="C1754" i="31"/>
  <c r="B1754" i="31"/>
  <c r="A1754" i="31"/>
  <c r="C1753" i="31"/>
  <c r="B1753" i="31"/>
  <c r="A1753" i="31"/>
  <c r="C1752" i="31"/>
  <c r="B1752" i="31"/>
  <c r="A1752" i="31"/>
  <c r="C1751" i="31"/>
  <c r="B1751" i="31"/>
  <c r="A1751" i="31"/>
  <c r="C1750" i="31"/>
  <c r="B1750" i="31"/>
  <c r="A1750" i="31"/>
  <c r="C1749" i="31"/>
  <c r="B1749" i="31"/>
  <c r="A1749" i="31"/>
  <c r="C1748" i="31"/>
  <c r="B1748" i="31"/>
  <c r="A1748" i="31"/>
  <c r="C1747" i="31"/>
  <c r="B1747" i="31"/>
  <c r="A1747" i="31"/>
  <c r="C1746" i="31"/>
  <c r="B1746" i="31"/>
  <c r="A1746" i="31"/>
  <c r="C1745" i="31"/>
  <c r="B1745" i="31"/>
  <c r="A1745" i="31"/>
  <c r="C1744" i="31"/>
  <c r="B1744" i="31"/>
  <c r="A1744" i="31"/>
  <c r="C1743" i="31"/>
  <c r="B1743" i="31"/>
  <c r="A1743" i="31"/>
  <c r="C1742" i="31"/>
  <c r="B1742" i="31"/>
  <c r="A1742" i="31"/>
  <c r="C1741" i="31"/>
  <c r="B1741" i="31"/>
  <c r="A1741" i="31"/>
  <c r="C1740" i="31"/>
  <c r="B1740" i="31"/>
  <c r="A1740" i="31"/>
  <c r="C1739" i="31"/>
  <c r="B1739" i="31"/>
  <c r="A1739" i="31"/>
  <c r="C1738" i="31"/>
  <c r="B1738" i="31"/>
  <c r="A1738" i="31"/>
  <c r="C1737" i="31"/>
  <c r="B1737" i="31"/>
  <c r="A1737" i="31"/>
  <c r="C1736" i="31"/>
  <c r="B1736" i="31"/>
  <c r="A1736" i="31"/>
  <c r="C1735" i="31"/>
  <c r="B1735" i="31"/>
  <c r="A1735" i="31"/>
  <c r="C1734" i="31"/>
  <c r="B1734" i="31"/>
  <c r="A1734" i="31"/>
  <c r="C1733" i="31"/>
  <c r="B1733" i="31"/>
  <c r="A1733" i="31"/>
  <c r="C1732" i="31"/>
  <c r="B1732" i="31"/>
  <c r="A1732" i="31"/>
  <c r="C1731" i="31"/>
  <c r="B1731" i="31"/>
  <c r="A1731" i="31"/>
  <c r="C1730" i="31"/>
  <c r="B1730" i="31"/>
  <c r="A1730" i="31"/>
  <c r="C1729" i="31"/>
  <c r="B1729" i="31"/>
  <c r="A1729" i="31"/>
  <c r="C1728" i="31"/>
  <c r="B1728" i="31"/>
  <c r="A1728" i="31"/>
  <c r="C1727" i="31"/>
  <c r="B1727" i="31"/>
  <c r="A1727" i="31"/>
  <c r="C1726" i="31"/>
  <c r="B1726" i="31"/>
  <c r="A1726" i="31"/>
  <c r="C1725" i="31"/>
  <c r="B1725" i="31"/>
  <c r="A1725" i="31"/>
  <c r="C1724" i="31"/>
  <c r="B1724" i="31"/>
  <c r="A1724" i="31"/>
  <c r="C1723" i="31"/>
  <c r="B1723" i="31"/>
  <c r="A1723" i="31"/>
  <c r="C1722" i="31"/>
  <c r="B1722" i="31"/>
  <c r="A1722" i="31"/>
  <c r="C1721" i="31"/>
  <c r="B1721" i="31"/>
  <c r="A1721" i="31"/>
  <c r="C1720" i="31"/>
  <c r="B1720" i="31"/>
  <c r="A1720" i="31"/>
  <c r="C1719" i="31"/>
  <c r="B1719" i="31"/>
  <c r="A1719" i="31"/>
  <c r="C1718" i="31"/>
  <c r="B1718" i="31"/>
  <c r="A1718" i="31"/>
  <c r="C1717" i="31"/>
  <c r="B1717" i="31"/>
  <c r="A1717" i="31"/>
  <c r="C1716" i="31"/>
  <c r="B1716" i="31"/>
  <c r="A1716" i="31"/>
  <c r="C1715" i="31"/>
  <c r="B1715" i="31"/>
  <c r="A1715" i="31"/>
  <c r="C1714" i="31"/>
  <c r="B1714" i="31"/>
  <c r="A1714" i="31"/>
  <c r="C1713" i="31"/>
  <c r="B1713" i="31"/>
  <c r="A1713" i="31"/>
  <c r="C1712" i="31"/>
  <c r="B1712" i="31"/>
  <c r="A1712" i="31"/>
  <c r="C1711" i="31"/>
  <c r="B1711" i="31"/>
  <c r="A1711" i="31"/>
  <c r="C1710" i="31"/>
  <c r="B1710" i="31"/>
  <c r="A1710" i="31"/>
  <c r="C1709" i="31"/>
  <c r="B1709" i="31"/>
  <c r="A1709" i="31"/>
  <c r="C1708" i="31"/>
  <c r="B1708" i="31"/>
  <c r="A1708" i="31"/>
  <c r="C1707" i="31"/>
  <c r="B1707" i="31"/>
  <c r="A1707" i="31"/>
  <c r="C1706" i="31"/>
  <c r="B1706" i="31"/>
  <c r="A1706" i="31"/>
  <c r="C1705" i="31"/>
  <c r="B1705" i="31"/>
  <c r="A1705" i="31"/>
  <c r="C1704" i="31"/>
  <c r="B1704" i="31"/>
  <c r="A1704" i="31"/>
  <c r="C1703" i="31"/>
  <c r="B1703" i="31"/>
  <c r="A1703" i="31"/>
  <c r="C1702" i="31"/>
  <c r="B1702" i="31"/>
  <c r="A1702" i="31"/>
  <c r="C1701" i="31"/>
  <c r="B1701" i="31"/>
  <c r="A1701" i="31"/>
  <c r="C1700" i="31"/>
  <c r="B1700" i="31"/>
  <c r="A1700" i="31"/>
  <c r="C1699" i="31"/>
  <c r="B1699" i="31"/>
  <c r="A1699" i="31"/>
  <c r="C1698" i="31"/>
  <c r="B1698" i="31"/>
  <c r="A1698" i="31"/>
  <c r="C1697" i="31"/>
  <c r="B1697" i="31"/>
  <c r="A1697" i="31"/>
  <c r="C1696" i="31"/>
  <c r="B1696" i="31"/>
  <c r="A1696" i="31"/>
  <c r="C1695" i="31"/>
  <c r="B1695" i="31"/>
  <c r="A1695" i="31"/>
  <c r="C1694" i="31"/>
  <c r="B1694" i="31"/>
  <c r="A1694" i="31"/>
  <c r="C1693" i="31"/>
  <c r="B1693" i="31"/>
  <c r="A1693" i="31"/>
  <c r="C1692" i="31"/>
  <c r="B1692" i="31"/>
  <c r="A1692" i="31"/>
  <c r="C1691" i="31"/>
  <c r="B1691" i="31"/>
  <c r="A1691" i="31"/>
  <c r="C1690" i="31"/>
  <c r="B1690" i="31"/>
  <c r="A1690" i="31"/>
  <c r="C1689" i="31"/>
  <c r="B1689" i="31"/>
  <c r="A1689" i="31"/>
  <c r="C1688" i="31"/>
  <c r="B1688" i="31"/>
  <c r="A1688" i="31"/>
  <c r="C1687" i="31"/>
  <c r="B1687" i="31"/>
  <c r="A1687" i="31"/>
  <c r="C1686" i="31"/>
  <c r="B1686" i="31"/>
  <c r="A1686" i="31"/>
  <c r="C1685" i="31"/>
  <c r="B1685" i="31"/>
  <c r="A1685" i="31"/>
  <c r="C1684" i="31"/>
  <c r="B1684" i="31"/>
  <c r="A1684" i="31"/>
  <c r="C1683" i="31"/>
  <c r="B1683" i="31"/>
  <c r="A1683" i="31"/>
  <c r="C1682" i="31"/>
  <c r="B1682" i="31"/>
  <c r="A1682" i="31"/>
  <c r="C1681" i="31"/>
  <c r="B1681" i="31"/>
  <c r="A1681" i="31"/>
  <c r="C1680" i="31"/>
  <c r="B1680" i="31"/>
  <c r="A1680" i="31"/>
  <c r="C1679" i="31"/>
  <c r="B1679" i="31"/>
  <c r="A1679" i="31"/>
  <c r="C1678" i="31"/>
  <c r="B1678" i="31"/>
  <c r="A1678" i="31"/>
  <c r="C1677" i="31"/>
  <c r="B1677" i="31"/>
  <c r="A1677" i="31"/>
  <c r="C1676" i="31"/>
  <c r="B1676" i="31"/>
  <c r="A1676" i="31"/>
  <c r="C1675" i="31"/>
  <c r="B1675" i="31"/>
  <c r="A1675" i="31"/>
  <c r="C1674" i="31"/>
  <c r="B1674" i="31"/>
  <c r="A1674" i="31"/>
  <c r="C1673" i="31"/>
  <c r="B1673" i="31"/>
  <c r="A1673" i="31"/>
  <c r="C1672" i="31"/>
  <c r="B1672" i="31"/>
  <c r="A1672" i="31"/>
  <c r="C1671" i="31"/>
  <c r="B1671" i="31"/>
  <c r="A1671" i="31"/>
  <c r="C1670" i="31"/>
  <c r="B1670" i="31"/>
  <c r="A1670" i="31"/>
  <c r="C1669" i="31"/>
  <c r="B1669" i="31"/>
  <c r="A1669" i="31"/>
  <c r="C1668" i="31"/>
  <c r="B1668" i="31"/>
  <c r="A1668" i="31"/>
  <c r="C1667" i="31"/>
  <c r="B1667" i="31"/>
  <c r="A1667" i="31"/>
  <c r="C1666" i="31"/>
  <c r="B1666" i="31"/>
  <c r="A1666" i="31"/>
  <c r="C1665" i="31"/>
  <c r="B1665" i="31"/>
  <c r="A1665" i="31"/>
  <c r="C1664" i="31"/>
  <c r="B1664" i="31"/>
  <c r="A1664" i="31"/>
  <c r="C1663" i="31"/>
  <c r="B1663" i="31"/>
  <c r="A1663" i="31"/>
  <c r="C1662" i="31"/>
  <c r="B1662" i="31"/>
  <c r="A1662" i="31"/>
  <c r="C1661" i="31"/>
  <c r="B1661" i="31"/>
  <c r="A1661" i="31"/>
  <c r="C1660" i="31"/>
  <c r="B1660" i="31"/>
  <c r="A1660" i="31"/>
  <c r="C1659" i="31"/>
  <c r="B1659" i="31"/>
  <c r="A1659" i="31"/>
  <c r="C1658" i="31"/>
  <c r="B1658" i="31"/>
  <c r="A1658" i="31"/>
  <c r="C1657" i="31"/>
  <c r="B1657" i="31"/>
  <c r="A1657" i="31"/>
  <c r="C1656" i="31"/>
  <c r="B1656" i="31"/>
  <c r="A1656" i="31"/>
  <c r="C1655" i="31"/>
  <c r="B1655" i="31"/>
  <c r="A1655" i="31"/>
  <c r="C1654" i="31"/>
  <c r="B1654" i="31"/>
  <c r="A1654" i="31"/>
  <c r="C1653" i="31"/>
  <c r="B1653" i="31"/>
  <c r="A1653" i="31"/>
  <c r="C1652" i="31"/>
  <c r="B1652" i="31"/>
  <c r="A1652" i="31"/>
  <c r="C1651" i="31"/>
  <c r="B1651" i="31"/>
  <c r="A1651" i="31"/>
  <c r="C1650" i="31"/>
  <c r="B1650" i="31"/>
  <c r="A1650" i="31"/>
  <c r="C1649" i="31"/>
  <c r="B1649" i="31"/>
  <c r="A1649" i="31"/>
  <c r="C1648" i="31"/>
  <c r="B1648" i="31"/>
  <c r="A1648" i="31"/>
  <c r="C1647" i="31"/>
  <c r="B1647" i="31"/>
  <c r="A1647" i="31"/>
  <c r="C1646" i="31"/>
  <c r="B1646" i="31"/>
  <c r="A1646" i="31"/>
  <c r="C1645" i="31"/>
  <c r="B1645" i="31"/>
  <c r="A1645" i="31"/>
  <c r="C1644" i="31"/>
  <c r="B1644" i="31"/>
  <c r="A1644" i="31"/>
  <c r="C1643" i="31"/>
  <c r="B1643" i="31"/>
  <c r="A1643" i="31"/>
  <c r="C1642" i="31"/>
  <c r="B1642" i="31"/>
  <c r="A1642" i="31"/>
  <c r="C1641" i="31"/>
  <c r="B1641" i="31"/>
  <c r="A1641" i="31"/>
  <c r="C1640" i="31"/>
  <c r="B1640" i="31"/>
  <c r="A1640" i="31"/>
  <c r="C1639" i="31"/>
  <c r="B1639" i="31"/>
  <c r="A1639" i="31"/>
  <c r="C1638" i="31"/>
  <c r="B1638" i="31"/>
  <c r="A1638" i="31"/>
  <c r="C1637" i="31"/>
  <c r="B1637" i="31"/>
  <c r="A1637" i="31"/>
  <c r="C1636" i="31"/>
  <c r="B1636" i="31"/>
  <c r="A1636" i="31"/>
  <c r="C1635" i="31"/>
  <c r="B1635" i="31"/>
  <c r="A1635" i="31"/>
  <c r="C1634" i="31"/>
  <c r="B1634" i="31"/>
  <c r="A1634" i="31"/>
  <c r="C1633" i="31"/>
  <c r="B1633" i="31"/>
  <c r="A1633" i="31"/>
  <c r="C1632" i="31"/>
  <c r="B1632" i="31"/>
  <c r="A1632" i="31"/>
  <c r="C1631" i="31"/>
  <c r="B1631" i="31"/>
  <c r="A1631" i="31"/>
  <c r="C1630" i="31"/>
  <c r="B1630" i="31"/>
  <c r="A1630" i="31"/>
  <c r="C1629" i="31"/>
  <c r="B1629" i="31"/>
  <c r="A1629" i="31"/>
  <c r="C1628" i="31"/>
  <c r="B1628" i="31"/>
  <c r="A1628" i="31"/>
  <c r="C1627" i="31"/>
  <c r="B1627" i="31"/>
  <c r="A1627" i="31"/>
  <c r="C1626" i="31"/>
  <c r="B1626" i="31"/>
  <c r="A1626" i="31"/>
  <c r="C1625" i="31"/>
  <c r="B1625" i="31"/>
  <c r="A1625" i="31"/>
  <c r="C1624" i="31"/>
  <c r="B1624" i="31"/>
  <c r="A1624" i="31"/>
  <c r="C1623" i="31"/>
  <c r="B1623" i="31"/>
  <c r="A1623" i="31"/>
  <c r="C1622" i="31"/>
  <c r="B1622" i="31"/>
  <c r="A1622" i="31"/>
  <c r="C1621" i="31"/>
  <c r="B1621" i="31"/>
  <c r="A1621" i="31"/>
  <c r="C1620" i="31"/>
  <c r="B1620" i="31"/>
  <c r="A1620" i="31"/>
  <c r="C1619" i="31"/>
  <c r="B1619" i="31"/>
  <c r="A1619" i="31"/>
  <c r="C1618" i="31"/>
  <c r="B1618" i="31"/>
  <c r="A1618" i="31"/>
  <c r="C1617" i="31"/>
  <c r="B1617" i="31"/>
  <c r="A1617" i="31"/>
  <c r="C1616" i="31"/>
  <c r="B1616" i="31"/>
  <c r="A1616" i="31"/>
  <c r="C1615" i="31"/>
  <c r="B1615" i="31"/>
  <c r="A1615" i="31"/>
  <c r="C1614" i="31"/>
  <c r="B1614" i="31"/>
  <c r="A1614" i="31"/>
  <c r="C1613" i="31"/>
  <c r="B1613" i="31"/>
  <c r="A1613" i="31"/>
  <c r="C1612" i="31"/>
  <c r="B1612" i="31"/>
  <c r="A1612" i="31"/>
  <c r="C1611" i="31"/>
  <c r="B1611" i="31"/>
  <c r="A1611" i="31"/>
  <c r="C1610" i="31"/>
  <c r="B1610" i="31"/>
  <c r="A1610" i="31"/>
  <c r="C1609" i="31"/>
  <c r="B1609" i="31"/>
  <c r="A1609" i="31"/>
  <c r="C1608" i="31"/>
  <c r="B1608" i="31"/>
  <c r="A1608" i="31"/>
  <c r="C1607" i="31"/>
  <c r="B1607" i="31"/>
  <c r="A1607" i="31"/>
  <c r="C1606" i="31"/>
  <c r="B1606" i="31"/>
  <c r="A1606" i="31"/>
  <c r="C1605" i="31"/>
  <c r="B1605" i="31"/>
  <c r="A1605" i="31"/>
  <c r="C1604" i="31"/>
  <c r="B1604" i="31"/>
  <c r="A1604" i="31"/>
  <c r="C1603" i="31"/>
  <c r="B1603" i="31"/>
  <c r="A1603" i="31"/>
  <c r="C1602" i="31"/>
  <c r="B1602" i="31"/>
  <c r="A1602" i="31"/>
  <c r="C1601" i="31"/>
  <c r="B1601" i="31"/>
  <c r="A1601" i="31"/>
  <c r="C1600" i="31"/>
  <c r="B1600" i="31"/>
  <c r="A1600" i="31"/>
  <c r="C1599" i="31"/>
  <c r="B1599" i="31"/>
  <c r="A1599" i="31"/>
  <c r="C1598" i="31"/>
  <c r="B1598" i="31"/>
  <c r="A1598" i="31"/>
  <c r="C1597" i="31"/>
  <c r="B1597" i="31"/>
  <c r="A1597" i="31"/>
  <c r="C1596" i="31"/>
  <c r="B1596" i="31"/>
  <c r="A1596" i="31"/>
  <c r="C1595" i="31"/>
  <c r="B1595" i="31"/>
  <c r="A1595" i="31"/>
  <c r="C1594" i="31"/>
  <c r="B1594" i="31"/>
  <c r="A1594" i="31"/>
  <c r="C1593" i="31"/>
  <c r="B1593" i="31"/>
  <c r="A1593" i="31"/>
  <c r="C1592" i="31"/>
  <c r="B1592" i="31"/>
  <c r="A1592" i="31"/>
  <c r="C1591" i="31"/>
  <c r="B1591" i="31"/>
  <c r="A1591" i="31"/>
  <c r="C1590" i="31"/>
  <c r="B1590" i="31"/>
  <c r="A1590" i="31"/>
  <c r="C1589" i="31"/>
  <c r="B1589" i="31"/>
  <c r="A1589" i="31"/>
  <c r="C1588" i="31"/>
  <c r="B1588" i="31"/>
  <c r="A1588" i="31"/>
  <c r="C1587" i="31"/>
  <c r="B1587" i="31"/>
  <c r="A1587" i="31"/>
  <c r="C1586" i="31"/>
  <c r="B1586" i="31"/>
  <c r="A1586" i="31"/>
  <c r="C1585" i="31"/>
  <c r="B1585" i="31"/>
  <c r="A1585" i="31"/>
  <c r="C1584" i="31"/>
  <c r="B1584" i="31"/>
  <c r="A1584" i="31"/>
  <c r="C1583" i="31"/>
  <c r="B1583" i="31"/>
  <c r="A1583" i="31"/>
  <c r="C1582" i="31"/>
  <c r="B1582" i="31"/>
  <c r="A1582" i="31"/>
  <c r="C1581" i="31"/>
  <c r="B1581" i="31"/>
  <c r="A1581" i="31"/>
  <c r="C1580" i="31"/>
  <c r="B1580" i="31"/>
  <c r="A1580" i="31"/>
  <c r="C1579" i="31"/>
  <c r="B1579" i="31"/>
  <c r="A1579" i="31"/>
  <c r="C1578" i="31"/>
  <c r="B1578" i="31"/>
  <c r="A1578" i="31"/>
  <c r="C1577" i="31"/>
  <c r="B1577" i="31"/>
  <c r="A1577" i="31"/>
  <c r="C1576" i="31"/>
  <c r="B1576" i="31"/>
  <c r="A1576" i="31"/>
  <c r="C1575" i="31"/>
  <c r="B1575" i="31"/>
  <c r="A1575" i="31"/>
  <c r="C1574" i="31"/>
  <c r="B1574" i="31"/>
  <c r="A1574" i="31"/>
  <c r="C1573" i="31"/>
  <c r="B1573" i="31"/>
  <c r="A1573" i="31"/>
  <c r="C1572" i="31"/>
  <c r="B1572" i="31"/>
  <c r="A1572" i="31"/>
  <c r="C1571" i="31"/>
  <c r="B1571" i="31"/>
  <c r="A1571" i="31"/>
  <c r="C1570" i="31"/>
  <c r="B1570" i="31"/>
  <c r="A1570" i="31"/>
  <c r="C1569" i="31"/>
  <c r="B1569" i="31"/>
  <c r="A1569" i="31"/>
  <c r="C1568" i="31"/>
  <c r="B1568" i="31"/>
  <c r="A1568" i="31"/>
  <c r="C1567" i="31"/>
  <c r="B1567" i="31"/>
  <c r="A1567" i="31"/>
  <c r="C1566" i="31"/>
  <c r="B1566" i="31"/>
  <c r="A1566" i="31"/>
  <c r="C1565" i="31"/>
  <c r="B1565" i="31"/>
  <c r="A1565" i="31"/>
  <c r="C1564" i="31"/>
  <c r="B1564" i="31"/>
  <c r="A1564" i="31"/>
  <c r="C1563" i="31"/>
  <c r="B1563" i="31"/>
  <c r="A1563" i="31"/>
  <c r="C1562" i="31"/>
  <c r="B1562" i="31"/>
  <c r="A1562" i="31"/>
  <c r="C1561" i="31"/>
  <c r="B1561" i="31"/>
  <c r="A1561" i="31"/>
  <c r="C1560" i="31"/>
  <c r="B1560" i="31"/>
  <c r="A1560" i="31"/>
  <c r="C1559" i="31"/>
  <c r="B1559" i="31"/>
  <c r="A1559" i="31"/>
  <c r="C1558" i="31"/>
  <c r="B1558" i="31"/>
  <c r="A1558" i="31"/>
  <c r="C1557" i="31"/>
  <c r="B1557" i="31"/>
  <c r="A1557" i="31"/>
  <c r="C1556" i="31"/>
  <c r="B1556" i="31"/>
  <c r="A1556" i="31"/>
  <c r="C1555" i="31"/>
  <c r="B1555" i="31"/>
  <c r="A1555" i="31"/>
  <c r="C1554" i="31"/>
  <c r="B1554" i="31"/>
  <c r="A1554" i="31"/>
  <c r="C1553" i="31"/>
  <c r="B1553" i="31"/>
  <c r="A1553" i="31"/>
  <c r="C1552" i="31"/>
  <c r="B1552" i="31"/>
  <c r="A1552" i="31"/>
  <c r="C1551" i="31"/>
  <c r="B1551" i="31"/>
  <c r="A1551" i="31"/>
  <c r="C1550" i="31"/>
  <c r="B1550" i="31"/>
  <c r="A1550" i="31"/>
  <c r="C1549" i="31"/>
  <c r="B1549" i="31"/>
  <c r="A1549" i="31"/>
  <c r="C1548" i="31"/>
  <c r="B1548" i="31"/>
  <c r="A1548" i="31"/>
  <c r="C1547" i="31"/>
  <c r="B1547" i="31"/>
  <c r="A1547" i="31"/>
  <c r="C1546" i="31"/>
  <c r="B1546" i="31"/>
  <c r="A1546" i="31"/>
  <c r="C1545" i="31"/>
  <c r="B1545" i="31"/>
  <c r="A1545" i="31"/>
  <c r="C1544" i="31"/>
  <c r="B1544" i="31"/>
  <c r="A1544" i="31"/>
  <c r="C1543" i="31"/>
  <c r="B1543" i="31"/>
  <c r="A1543" i="31"/>
  <c r="C1542" i="31"/>
  <c r="B1542" i="31"/>
  <c r="A1542" i="31"/>
  <c r="C1541" i="31"/>
  <c r="B1541" i="31"/>
  <c r="A1541" i="31"/>
  <c r="C1540" i="31"/>
  <c r="B1540" i="31"/>
  <c r="A1540" i="31"/>
  <c r="C1539" i="31"/>
  <c r="B1539" i="31"/>
  <c r="A1539" i="31"/>
  <c r="C1538" i="31"/>
  <c r="B1538" i="31"/>
  <c r="A1538" i="31"/>
  <c r="C1537" i="31"/>
  <c r="B1537" i="31"/>
  <c r="A1537" i="31"/>
  <c r="C1536" i="31"/>
  <c r="B1536" i="31"/>
  <c r="A1536" i="31"/>
  <c r="C1535" i="31"/>
  <c r="B1535" i="31"/>
  <c r="A1535" i="31"/>
  <c r="C1534" i="31"/>
  <c r="B1534" i="31"/>
  <c r="A1534" i="31"/>
  <c r="C1533" i="31"/>
  <c r="B1533" i="31"/>
  <c r="A1533" i="31"/>
  <c r="C1532" i="31"/>
  <c r="B1532" i="31"/>
  <c r="A1532" i="31"/>
  <c r="C1531" i="31"/>
  <c r="B1531" i="31"/>
  <c r="A1531" i="31"/>
  <c r="C1530" i="31"/>
  <c r="B1530" i="31"/>
  <c r="A1530" i="31"/>
  <c r="C1529" i="31"/>
  <c r="B1529" i="31"/>
  <c r="A1529" i="31"/>
  <c r="C1528" i="31"/>
  <c r="B1528" i="31"/>
  <c r="A1528" i="31"/>
  <c r="C1527" i="31"/>
  <c r="B1527" i="31"/>
  <c r="A1527" i="31"/>
  <c r="C1526" i="31"/>
  <c r="B1526" i="31"/>
  <c r="A1526" i="31"/>
  <c r="C1525" i="31"/>
  <c r="B1525" i="31"/>
  <c r="A1525" i="31"/>
  <c r="C1524" i="31"/>
  <c r="B1524" i="31"/>
  <c r="A1524" i="31"/>
  <c r="C1523" i="31"/>
  <c r="B1523" i="31"/>
  <c r="A1523" i="31"/>
  <c r="C1522" i="31"/>
  <c r="B1522" i="31"/>
  <c r="A1522" i="31"/>
  <c r="C1521" i="31"/>
  <c r="B1521" i="31"/>
  <c r="A1521" i="31"/>
  <c r="C1520" i="31"/>
  <c r="B1520" i="31"/>
  <c r="A1520" i="31"/>
  <c r="C1519" i="31"/>
  <c r="B1519" i="31"/>
  <c r="A1519" i="31"/>
  <c r="C1518" i="31"/>
  <c r="B1518" i="31"/>
  <c r="A1518" i="31"/>
  <c r="C1517" i="31"/>
  <c r="B1517" i="31"/>
  <c r="A1517" i="31"/>
  <c r="C1516" i="31"/>
  <c r="B1516" i="31"/>
  <c r="A1516" i="31"/>
  <c r="C1515" i="31"/>
  <c r="B1515" i="31"/>
  <c r="A1515" i="31"/>
  <c r="C1514" i="31"/>
  <c r="B1514" i="31"/>
  <c r="A1514" i="31"/>
  <c r="C1513" i="31"/>
  <c r="B1513" i="31"/>
  <c r="A1513" i="31"/>
  <c r="C1512" i="31"/>
  <c r="B1512" i="31"/>
  <c r="A1512" i="31"/>
  <c r="C1511" i="31"/>
  <c r="B1511" i="31"/>
  <c r="A1511" i="31"/>
  <c r="C1510" i="31"/>
  <c r="B1510" i="31"/>
  <c r="A1510" i="31"/>
  <c r="C1509" i="31"/>
  <c r="B1509" i="31"/>
  <c r="A1509" i="31"/>
  <c r="C1508" i="31"/>
  <c r="B1508" i="31"/>
  <c r="A1508" i="31"/>
  <c r="C1507" i="31"/>
  <c r="B1507" i="31"/>
  <c r="A1507" i="31"/>
  <c r="C1506" i="31"/>
  <c r="B1506" i="31"/>
  <c r="A1506" i="31"/>
  <c r="C1505" i="31"/>
  <c r="B1505" i="31"/>
  <c r="A1505" i="31"/>
  <c r="C1504" i="31"/>
  <c r="B1504" i="31"/>
  <c r="A1504" i="31"/>
  <c r="C1503" i="31"/>
  <c r="B1503" i="31"/>
  <c r="A1503" i="31"/>
  <c r="C1502" i="31"/>
  <c r="B1502" i="31"/>
  <c r="A1502" i="31"/>
  <c r="C1501" i="31"/>
  <c r="B1501" i="31"/>
  <c r="A1501" i="31"/>
  <c r="C1500" i="31"/>
  <c r="B1500" i="31"/>
  <c r="A1500" i="31"/>
  <c r="C1499" i="31"/>
  <c r="B1499" i="31"/>
  <c r="A1499" i="31"/>
  <c r="C1498" i="31"/>
  <c r="B1498" i="31"/>
  <c r="A1498" i="31"/>
  <c r="C1497" i="31"/>
  <c r="B1497" i="31"/>
  <c r="A1497" i="31"/>
  <c r="C1496" i="31"/>
  <c r="B1496" i="31"/>
  <c r="A1496" i="31"/>
  <c r="C1495" i="31"/>
  <c r="B1495" i="31"/>
  <c r="A1495" i="31"/>
  <c r="C1494" i="31"/>
  <c r="B1494" i="31"/>
  <c r="A1494" i="31"/>
  <c r="C1493" i="31"/>
  <c r="B1493" i="31"/>
  <c r="A1493" i="31"/>
  <c r="C1492" i="31"/>
  <c r="B1492" i="31"/>
  <c r="A1492" i="31"/>
  <c r="C1491" i="31"/>
  <c r="B1491" i="31"/>
  <c r="A1491" i="31"/>
  <c r="C1490" i="31"/>
  <c r="B1490" i="31"/>
  <c r="A1490" i="31"/>
  <c r="C1489" i="31"/>
  <c r="B1489" i="31"/>
  <c r="A1489" i="31"/>
  <c r="C1488" i="31"/>
  <c r="B1488" i="31"/>
  <c r="A1488" i="31"/>
  <c r="C1487" i="31"/>
  <c r="B1487" i="31"/>
  <c r="A1487" i="31"/>
  <c r="C1486" i="31"/>
  <c r="B1486" i="31"/>
  <c r="A1486" i="31"/>
  <c r="C1485" i="31"/>
  <c r="B1485" i="31"/>
  <c r="A1485" i="31"/>
  <c r="C1484" i="31"/>
  <c r="B1484" i="31"/>
  <c r="A1484" i="31"/>
  <c r="C1483" i="31"/>
  <c r="B1483" i="31"/>
  <c r="A1483" i="31"/>
  <c r="C1482" i="31"/>
  <c r="B1482" i="31"/>
  <c r="A1482" i="31"/>
  <c r="C1481" i="31"/>
  <c r="B1481" i="31"/>
  <c r="A1481" i="31"/>
  <c r="C1480" i="31"/>
  <c r="B1480" i="31"/>
  <c r="A1480" i="31"/>
  <c r="C1479" i="31"/>
  <c r="B1479" i="31"/>
  <c r="A1479" i="31"/>
  <c r="C1478" i="31"/>
  <c r="B1478" i="31"/>
  <c r="A1478" i="31"/>
  <c r="C1477" i="31"/>
  <c r="B1477" i="31"/>
  <c r="A1477" i="31"/>
  <c r="C1476" i="31"/>
  <c r="B1476" i="31"/>
  <c r="A1476" i="31"/>
  <c r="C1475" i="31"/>
  <c r="B1475" i="31"/>
  <c r="A1475" i="31"/>
  <c r="C1474" i="31"/>
  <c r="B1474" i="31"/>
  <c r="A1474" i="31"/>
  <c r="C1473" i="31"/>
  <c r="B1473" i="31"/>
  <c r="A1473" i="31"/>
  <c r="C1472" i="31"/>
  <c r="B1472" i="31"/>
  <c r="A1472" i="31"/>
  <c r="C1471" i="31"/>
  <c r="B1471" i="31"/>
  <c r="A1471" i="31"/>
  <c r="C1470" i="31"/>
  <c r="B1470" i="31"/>
  <c r="A1470" i="31"/>
  <c r="C1469" i="31"/>
  <c r="B1469" i="31"/>
  <c r="A1469" i="31"/>
  <c r="C1468" i="31"/>
  <c r="B1468" i="31"/>
  <c r="A1468" i="31"/>
  <c r="C1467" i="31"/>
  <c r="B1467" i="31"/>
  <c r="A1467" i="31"/>
  <c r="C1466" i="31"/>
  <c r="B1466" i="31"/>
  <c r="A1466" i="31"/>
  <c r="C1465" i="31"/>
  <c r="B1465" i="31"/>
  <c r="A1465" i="31"/>
  <c r="C1464" i="31"/>
  <c r="B1464" i="31"/>
  <c r="A1464" i="31"/>
  <c r="C1463" i="31"/>
  <c r="B1463" i="31"/>
  <c r="A1463" i="31"/>
  <c r="C1462" i="31"/>
  <c r="B1462" i="31"/>
  <c r="A1462" i="31"/>
  <c r="C1461" i="31"/>
  <c r="B1461" i="31"/>
  <c r="A1461" i="31"/>
  <c r="C1460" i="31"/>
  <c r="B1460" i="31"/>
  <c r="A1460" i="31"/>
  <c r="C1459" i="31"/>
  <c r="B1459" i="31"/>
  <c r="A1459" i="31"/>
  <c r="C1458" i="31"/>
  <c r="B1458" i="31"/>
  <c r="A1458" i="31"/>
  <c r="C1457" i="31"/>
  <c r="B1457" i="31"/>
  <c r="A1457" i="31"/>
  <c r="C1456" i="31"/>
  <c r="B1456" i="31"/>
  <c r="A1456" i="31"/>
  <c r="C1455" i="31"/>
  <c r="B1455" i="31"/>
  <c r="A1455" i="31"/>
  <c r="C1454" i="31"/>
  <c r="B1454" i="31"/>
  <c r="A1454" i="31"/>
  <c r="C1453" i="31"/>
  <c r="B1453" i="31"/>
  <c r="A1453" i="31"/>
  <c r="C1452" i="31"/>
  <c r="B1452" i="31"/>
  <c r="A1452" i="31"/>
  <c r="C1451" i="31"/>
  <c r="B1451" i="31"/>
  <c r="A1451" i="31"/>
  <c r="C1450" i="31"/>
  <c r="B1450" i="31"/>
  <c r="A1450" i="31"/>
  <c r="C1449" i="31"/>
  <c r="B1449" i="31"/>
  <c r="A1449" i="31"/>
  <c r="C1448" i="31"/>
  <c r="B1448" i="31"/>
  <c r="A1448" i="31"/>
  <c r="C1447" i="31"/>
  <c r="B1447" i="31"/>
  <c r="A1447" i="31"/>
  <c r="C1446" i="31"/>
  <c r="B1446" i="31"/>
  <c r="A1446" i="31"/>
  <c r="C1445" i="31"/>
  <c r="B1445" i="31"/>
  <c r="A1445" i="31"/>
  <c r="C1444" i="31"/>
  <c r="B1444" i="31"/>
  <c r="A1444" i="31"/>
  <c r="C1443" i="31"/>
  <c r="B1443" i="31"/>
  <c r="A1443" i="31"/>
  <c r="C1442" i="31"/>
  <c r="B1442" i="31"/>
  <c r="A1442" i="31"/>
  <c r="C1441" i="31"/>
  <c r="B1441" i="31"/>
  <c r="A1441" i="31"/>
  <c r="C1440" i="31"/>
  <c r="B1440" i="31"/>
  <c r="A1440" i="31"/>
  <c r="C1439" i="31"/>
  <c r="B1439" i="31"/>
  <c r="A1439" i="31"/>
  <c r="C1438" i="31"/>
  <c r="B1438" i="31"/>
  <c r="A1438" i="31"/>
  <c r="C1437" i="31"/>
  <c r="B1437" i="31"/>
  <c r="A1437" i="31"/>
  <c r="C1436" i="31"/>
  <c r="B1436" i="31"/>
  <c r="A1436" i="31"/>
  <c r="C1435" i="31"/>
  <c r="B1435" i="31"/>
  <c r="A1435" i="31"/>
  <c r="C1434" i="31"/>
  <c r="B1434" i="31"/>
  <c r="A1434" i="31"/>
  <c r="C1433" i="31"/>
  <c r="B1433" i="31"/>
  <c r="A1433" i="31"/>
  <c r="C1432" i="31"/>
  <c r="B1432" i="31"/>
  <c r="A1432" i="31"/>
  <c r="C1431" i="31"/>
  <c r="B1431" i="31"/>
  <c r="A1431" i="31"/>
  <c r="C1430" i="31"/>
  <c r="B1430" i="31"/>
  <c r="A1430" i="31"/>
  <c r="C1429" i="31"/>
  <c r="B1429" i="31"/>
  <c r="A1429" i="31"/>
  <c r="C1428" i="31"/>
  <c r="B1428" i="31"/>
  <c r="A1428" i="31"/>
  <c r="C1427" i="31"/>
  <c r="B1427" i="31"/>
  <c r="A1427" i="31"/>
  <c r="C1426" i="31"/>
  <c r="B1426" i="31"/>
  <c r="A1426" i="31"/>
  <c r="C1425" i="31"/>
  <c r="B1425" i="31"/>
  <c r="A1425" i="31"/>
  <c r="C1424" i="31"/>
  <c r="B1424" i="31"/>
  <c r="A1424" i="31"/>
  <c r="C1423" i="31"/>
  <c r="B1423" i="31"/>
  <c r="A1423" i="31"/>
  <c r="C1422" i="31"/>
  <c r="B1422" i="31"/>
  <c r="A1422" i="31"/>
  <c r="C1421" i="31"/>
  <c r="B1421" i="31"/>
  <c r="A1421" i="31"/>
  <c r="C1420" i="31"/>
  <c r="B1420" i="31"/>
  <c r="A1420" i="31"/>
  <c r="C1419" i="31"/>
  <c r="B1419" i="31"/>
  <c r="A1419" i="31"/>
  <c r="C1418" i="31"/>
  <c r="B1418" i="31"/>
  <c r="A1418" i="31"/>
  <c r="C1417" i="31"/>
  <c r="B1417" i="31"/>
  <c r="A1417" i="31"/>
  <c r="C1416" i="31"/>
  <c r="B1416" i="31"/>
  <c r="A1416" i="31"/>
  <c r="C1415" i="31"/>
  <c r="B1415" i="31"/>
  <c r="A1415" i="31"/>
  <c r="C1414" i="31"/>
  <c r="B1414" i="31"/>
  <c r="A1414" i="31"/>
  <c r="C1413" i="31"/>
  <c r="B1413" i="31"/>
  <c r="A1413" i="31"/>
  <c r="C1412" i="31"/>
  <c r="B1412" i="31"/>
  <c r="A1412" i="31"/>
  <c r="C1411" i="31"/>
  <c r="B1411" i="31"/>
  <c r="A1411" i="31"/>
  <c r="C1410" i="31"/>
  <c r="B1410" i="31"/>
  <c r="A1410" i="31"/>
  <c r="C1409" i="31"/>
  <c r="B1409" i="31"/>
  <c r="A1409" i="31"/>
  <c r="C1408" i="31"/>
  <c r="B1408" i="31"/>
  <c r="A1408" i="31"/>
  <c r="C1407" i="31"/>
  <c r="B1407" i="31"/>
  <c r="A1407" i="31"/>
  <c r="C1406" i="31"/>
  <c r="B1406" i="31"/>
  <c r="A1406" i="31"/>
  <c r="C1405" i="31"/>
  <c r="B1405" i="31"/>
  <c r="A1405" i="31"/>
  <c r="C1404" i="31"/>
  <c r="B1404" i="31"/>
  <c r="A1404" i="31"/>
  <c r="C1403" i="31"/>
  <c r="B1403" i="31"/>
  <c r="A1403" i="31"/>
  <c r="C1402" i="31"/>
  <c r="B1402" i="31"/>
  <c r="A1402" i="31"/>
  <c r="C1401" i="31"/>
  <c r="B1401" i="31"/>
  <c r="A1401" i="31"/>
  <c r="C1400" i="31"/>
  <c r="B1400" i="31"/>
  <c r="A1400" i="31"/>
  <c r="C1399" i="31"/>
  <c r="B1399" i="31"/>
  <c r="A1399" i="31"/>
  <c r="C1398" i="31"/>
  <c r="B1398" i="31"/>
  <c r="A1398" i="31"/>
  <c r="C1397" i="31"/>
  <c r="B1397" i="31"/>
  <c r="A1397" i="31"/>
  <c r="C1396" i="31"/>
  <c r="B1396" i="31"/>
  <c r="A1396" i="31"/>
  <c r="C1395" i="31"/>
  <c r="B1395" i="31"/>
  <c r="A1395" i="31"/>
  <c r="C1394" i="31"/>
  <c r="B1394" i="31"/>
  <c r="A1394" i="31"/>
  <c r="C1393" i="31"/>
  <c r="B1393" i="31"/>
  <c r="A1393" i="31"/>
  <c r="C1392" i="31"/>
  <c r="B1392" i="31"/>
  <c r="A1392" i="31"/>
  <c r="C1391" i="31"/>
  <c r="B1391" i="31"/>
  <c r="A1391" i="31"/>
  <c r="C1390" i="31"/>
  <c r="B1390" i="31"/>
  <c r="A1390" i="31"/>
  <c r="C1389" i="31"/>
  <c r="B1389" i="31"/>
  <c r="A1389" i="31"/>
  <c r="C1388" i="31"/>
  <c r="B1388" i="31"/>
  <c r="A1388" i="31"/>
  <c r="C1387" i="31"/>
  <c r="B1387" i="31"/>
  <c r="A1387" i="31"/>
  <c r="C1386" i="31"/>
  <c r="B1386" i="31"/>
  <c r="A1386" i="31"/>
  <c r="C1385" i="31"/>
  <c r="B1385" i="31"/>
  <c r="A1385" i="31"/>
  <c r="C1384" i="31"/>
  <c r="B1384" i="31"/>
  <c r="A1384" i="31"/>
  <c r="C1383" i="31"/>
  <c r="B1383" i="31"/>
  <c r="A1383" i="31"/>
  <c r="C1382" i="31"/>
  <c r="B1382" i="31"/>
  <c r="A1382" i="31"/>
  <c r="C1381" i="31"/>
  <c r="B1381" i="31"/>
  <c r="A1381" i="31"/>
  <c r="C1380" i="31"/>
  <c r="B1380" i="31"/>
  <c r="A1380" i="31"/>
  <c r="C1379" i="31"/>
  <c r="B1379" i="31"/>
  <c r="A1379" i="31"/>
  <c r="C1378" i="31"/>
  <c r="B1378" i="31"/>
  <c r="A1378" i="31"/>
  <c r="C1377" i="31"/>
  <c r="B1377" i="31"/>
  <c r="A1377" i="31"/>
  <c r="C1376" i="31"/>
  <c r="B1376" i="31"/>
  <c r="A1376" i="31"/>
  <c r="C1375" i="31"/>
  <c r="B1375" i="31"/>
  <c r="A1375" i="31"/>
  <c r="C1374" i="31"/>
  <c r="B1374" i="31"/>
  <c r="A1374" i="31"/>
  <c r="C1373" i="31"/>
  <c r="B1373" i="31"/>
  <c r="A1373" i="31"/>
  <c r="C1372" i="31"/>
  <c r="B1372" i="31"/>
  <c r="A1372" i="31"/>
  <c r="C1371" i="31"/>
  <c r="B1371" i="31"/>
  <c r="A1371" i="31"/>
  <c r="C1370" i="31"/>
  <c r="B1370" i="31"/>
  <c r="A1370" i="31"/>
  <c r="C1369" i="31"/>
  <c r="B1369" i="31"/>
  <c r="A1369" i="31"/>
  <c r="C1368" i="31"/>
  <c r="B1368" i="31"/>
  <c r="A1368" i="31"/>
  <c r="C1367" i="31"/>
  <c r="B1367" i="31"/>
  <c r="A1367" i="31"/>
  <c r="C1366" i="31"/>
  <c r="B1366" i="31"/>
  <c r="A1366" i="31"/>
  <c r="C1365" i="31"/>
  <c r="B1365" i="31"/>
  <c r="A1365" i="31"/>
  <c r="C1364" i="31"/>
  <c r="B1364" i="31"/>
  <c r="A1364" i="31"/>
  <c r="C1363" i="31"/>
  <c r="B1363" i="31"/>
  <c r="A1363" i="31"/>
  <c r="C1362" i="31"/>
  <c r="B1362" i="31"/>
  <c r="A1362" i="31"/>
  <c r="C1361" i="31"/>
  <c r="B1361" i="31"/>
  <c r="A1361" i="31"/>
  <c r="C1360" i="31"/>
  <c r="B1360" i="31"/>
  <c r="A1360" i="31"/>
  <c r="C1359" i="31"/>
  <c r="B1359" i="31"/>
  <c r="A1359" i="31"/>
  <c r="C1358" i="31"/>
  <c r="B1358" i="31"/>
  <c r="A1358" i="31"/>
  <c r="C1357" i="31"/>
  <c r="B1357" i="31"/>
  <c r="A1357" i="31"/>
  <c r="C1356" i="31"/>
  <c r="B1356" i="31"/>
  <c r="A1356" i="31"/>
  <c r="C1355" i="31"/>
  <c r="B1355" i="31"/>
  <c r="A1355" i="31"/>
  <c r="C1354" i="31"/>
  <c r="B1354" i="31"/>
  <c r="A1354" i="31"/>
  <c r="C1353" i="31"/>
  <c r="B1353" i="31"/>
  <c r="A1353" i="31"/>
  <c r="C1352" i="31"/>
  <c r="B1352" i="31"/>
  <c r="A1352" i="31"/>
  <c r="C1351" i="31"/>
  <c r="B1351" i="31"/>
  <c r="A1351" i="31"/>
  <c r="C1350" i="31"/>
  <c r="B1350" i="31"/>
  <c r="A1350" i="31"/>
  <c r="C1349" i="31"/>
  <c r="B1349" i="31"/>
  <c r="A1349" i="31"/>
  <c r="C1348" i="31"/>
  <c r="B1348" i="31"/>
  <c r="A1348" i="31"/>
  <c r="C1347" i="31"/>
  <c r="B1347" i="31"/>
  <c r="A1347" i="31"/>
  <c r="C1346" i="31"/>
  <c r="B1346" i="31"/>
  <c r="A1346" i="31"/>
  <c r="C1345" i="31"/>
  <c r="B1345" i="31"/>
  <c r="A1345" i="31"/>
  <c r="C1344" i="31"/>
  <c r="B1344" i="31"/>
  <c r="A1344" i="31"/>
  <c r="C1343" i="31"/>
  <c r="B1343" i="31"/>
  <c r="A1343" i="31"/>
  <c r="C1342" i="31"/>
  <c r="B1342" i="31"/>
  <c r="A1342" i="31"/>
  <c r="C1341" i="31"/>
  <c r="B1341" i="31"/>
  <c r="A1341" i="31"/>
  <c r="C1340" i="31"/>
  <c r="B1340" i="31"/>
  <c r="A1340" i="31"/>
  <c r="C1339" i="31"/>
  <c r="B1339" i="31"/>
  <c r="A1339" i="31"/>
  <c r="C1338" i="31"/>
  <c r="B1338" i="31"/>
  <c r="A1338" i="31"/>
  <c r="C1337" i="31"/>
  <c r="B1337" i="31"/>
  <c r="A1337" i="31"/>
  <c r="C1336" i="31"/>
  <c r="B1336" i="31"/>
  <c r="A1336" i="31"/>
  <c r="C1335" i="31"/>
  <c r="B1335" i="31"/>
  <c r="A1335" i="31"/>
  <c r="C1334" i="31"/>
  <c r="B1334" i="31"/>
  <c r="A1334" i="31"/>
  <c r="C1333" i="31"/>
  <c r="B1333" i="31"/>
  <c r="A1333" i="31"/>
  <c r="C1332" i="31"/>
  <c r="B1332" i="31"/>
  <c r="A1332" i="31"/>
  <c r="C1331" i="31"/>
  <c r="B1331" i="31"/>
  <c r="A1331" i="31"/>
  <c r="C1330" i="31"/>
  <c r="B1330" i="31"/>
  <c r="A1330" i="31"/>
  <c r="C1329" i="31"/>
  <c r="B1329" i="31"/>
  <c r="A1329" i="31"/>
  <c r="C1328" i="31"/>
  <c r="B1328" i="31"/>
  <c r="A1328" i="31"/>
  <c r="C1327" i="31"/>
  <c r="B1327" i="31"/>
  <c r="A1327" i="31"/>
  <c r="C1326" i="31"/>
  <c r="B1326" i="31"/>
  <c r="A1326" i="31"/>
  <c r="C1325" i="31"/>
  <c r="B1325" i="31"/>
  <c r="A1325" i="31"/>
  <c r="C1324" i="31"/>
  <c r="B1324" i="31"/>
  <c r="A1324" i="31"/>
  <c r="C1323" i="31"/>
  <c r="B1323" i="31"/>
  <c r="A1323" i="31"/>
  <c r="C1322" i="31"/>
  <c r="B1322" i="31"/>
  <c r="A1322" i="31"/>
  <c r="C1321" i="31"/>
  <c r="B1321" i="31"/>
  <c r="A1321" i="31"/>
  <c r="C1320" i="31"/>
  <c r="B1320" i="31"/>
  <c r="A1320" i="31"/>
  <c r="C1319" i="31"/>
  <c r="B1319" i="31"/>
  <c r="A1319" i="31"/>
  <c r="C1318" i="31"/>
  <c r="B1318" i="31"/>
  <c r="A1318" i="31"/>
  <c r="C1317" i="31"/>
  <c r="B1317" i="31"/>
  <c r="A1317" i="31"/>
  <c r="C1316" i="31"/>
  <c r="B1316" i="31"/>
  <c r="A1316" i="31"/>
  <c r="C1315" i="31"/>
  <c r="B1315" i="31"/>
  <c r="A1315" i="31"/>
  <c r="C1314" i="31"/>
  <c r="B1314" i="31"/>
  <c r="A1314" i="31"/>
  <c r="C1313" i="31"/>
  <c r="B1313" i="31"/>
  <c r="A1313" i="31"/>
  <c r="C1312" i="31"/>
  <c r="B1312" i="31"/>
  <c r="A1312" i="31"/>
  <c r="C1311" i="31"/>
  <c r="B1311" i="31"/>
  <c r="A1311" i="31"/>
  <c r="C1310" i="31"/>
  <c r="B1310" i="31"/>
  <c r="A1310" i="31"/>
  <c r="C1309" i="31"/>
  <c r="B1309" i="31"/>
  <c r="A1309" i="31"/>
  <c r="C1308" i="31"/>
  <c r="B1308" i="31"/>
  <c r="A1308" i="31"/>
  <c r="C1307" i="31"/>
  <c r="B1307" i="31"/>
  <c r="A1307" i="31"/>
  <c r="C1306" i="31"/>
  <c r="B1306" i="31"/>
  <c r="A1306" i="31"/>
  <c r="C1305" i="31"/>
  <c r="B1305" i="31"/>
  <c r="A1305" i="31"/>
  <c r="C1304" i="31"/>
  <c r="B1304" i="31"/>
  <c r="A1304" i="31"/>
  <c r="C1303" i="31"/>
  <c r="B1303" i="31"/>
  <c r="A1303" i="31"/>
  <c r="C1302" i="31"/>
  <c r="B1302" i="31"/>
  <c r="A1302" i="31"/>
  <c r="C1301" i="31"/>
  <c r="B1301" i="31"/>
  <c r="A1301" i="31"/>
  <c r="C1300" i="31"/>
  <c r="B1300" i="31"/>
  <c r="A1300" i="31"/>
  <c r="C1299" i="31"/>
  <c r="B1299" i="31"/>
  <c r="A1299" i="31"/>
  <c r="C1298" i="31"/>
  <c r="B1298" i="31"/>
  <c r="A1298" i="31"/>
  <c r="C1297" i="31"/>
  <c r="B1297" i="31"/>
  <c r="A1297" i="31"/>
  <c r="C1296" i="31"/>
  <c r="B1296" i="31"/>
  <c r="A1296" i="31"/>
  <c r="C1295" i="31"/>
  <c r="B1295" i="31"/>
  <c r="A1295" i="31"/>
  <c r="C1294" i="31"/>
  <c r="B1294" i="31"/>
  <c r="A1294" i="31"/>
  <c r="C1293" i="31"/>
  <c r="B1293" i="31"/>
  <c r="A1293" i="31"/>
  <c r="C1292" i="31"/>
  <c r="B1292" i="31"/>
  <c r="A1292" i="31"/>
  <c r="C1291" i="31"/>
  <c r="B1291" i="31"/>
  <c r="A1291" i="31"/>
  <c r="C1290" i="31"/>
  <c r="B1290" i="31"/>
  <c r="A1290" i="31"/>
  <c r="C1289" i="31"/>
  <c r="B1289" i="31"/>
  <c r="A1289" i="31"/>
  <c r="C1288" i="31"/>
  <c r="B1288" i="31"/>
  <c r="A1288" i="31"/>
  <c r="C1287" i="31"/>
  <c r="B1287" i="31"/>
  <c r="A1287" i="31"/>
  <c r="C1286" i="31"/>
  <c r="B1286" i="31"/>
  <c r="A1286" i="31"/>
  <c r="C1285" i="31"/>
  <c r="B1285" i="31"/>
  <c r="A1285" i="31"/>
  <c r="C1284" i="31"/>
  <c r="B1284" i="31"/>
  <c r="A1284" i="31"/>
  <c r="C1283" i="31"/>
  <c r="B1283" i="31"/>
  <c r="A1283" i="31"/>
  <c r="C1282" i="31"/>
  <c r="B1282" i="31"/>
  <c r="A1282" i="31"/>
  <c r="C1281" i="31"/>
  <c r="B1281" i="31"/>
  <c r="A1281" i="31"/>
  <c r="C1280" i="31"/>
  <c r="B1280" i="31"/>
  <c r="A1280" i="31"/>
  <c r="C1279" i="31"/>
  <c r="B1279" i="31"/>
  <c r="A1279" i="31"/>
  <c r="C1278" i="31"/>
  <c r="B1278" i="31"/>
  <c r="A1278" i="31"/>
  <c r="C1277" i="31"/>
  <c r="B1277" i="31"/>
  <c r="A1277" i="31"/>
  <c r="C1276" i="31"/>
  <c r="B1276" i="31"/>
  <c r="A1276" i="31"/>
  <c r="C1275" i="31"/>
  <c r="B1275" i="31"/>
  <c r="A1275" i="31"/>
  <c r="C1274" i="31"/>
  <c r="B1274" i="31"/>
  <c r="A1274" i="31"/>
  <c r="C1273" i="31"/>
  <c r="B1273" i="31"/>
  <c r="A1273" i="31"/>
  <c r="C1272" i="31"/>
  <c r="B1272" i="31"/>
  <c r="A1272" i="31"/>
  <c r="C1271" i="31"/>
  <c r="B1271" i="31"/>
  <c r="A1271" i="31"/>
  <c r="C1270" i="31"/>
  <c r="B1270" i="31"/>
  <c r="A1270" i="31"/>
  <c r="C1269" i="31"/>
  <c r="B1269" i="31"/>
  <c r="A1269" i="31"/>
  <c r="C1268" i="31"/>
  <c r="B1268" i="31"/>
  <c r="A1268" i="31"/>
  <c r="C1267" i="31"/>
  <c r="B1267" i="31"/>
  <c r="A1267" i="31"/>
  <c r="C1266" i="31"/>
  <c r="B1266" i="31"/>
  <c r="A1266" i="31"/>
  <c r="C1265" i="31"/>
  <c r="B1265" i="31"/>
  <c r="A1265" i="31"/>
  <c r="C1264" i="31"/>
  <c r="B1264" i="31"/>
  <c r="A1264" i="31"/>
  <c r="C1263" i="31"/>
  <c r="B1263" i="31"/>
  <c r="A1263" i="31"/>
  <c r="C1262" i="31"/>
  <c r="B1262" i="31"/>
  <c r="A1262" i="31"/>
  <c r="C1261" i="31"/>
  <c r="B1261" i="31"/>
  <c r="A1261" i="31"/>
  <c r="C1260" i="31"/>
  <c r="B1260" i="31"/>
  <c r="A1260" i="31"/>
  <c r="C1259" i="31"/>
  <c r="B1259" i="31"/>
  <c r="A1259" i="31"/>
  <c r="C1258" i="31"/>
  <c r="B1258" i="31"/>
  <c r="A1258" i="31"/>
  <c r="C1257" i="31"/>
  <c r="B1257" i="31"/>
  <c r="A1257" i="31"/>
  <c r="C1256" i="31"/>
  <c r="B1256" i="31"/>
  <c r="A1256" i="31"/>
  <c r="C1255" i="31"/>
  <c r="B1255" i="31"/>
  <c r="A1255" i="31"/>
  <c r="C1254" i="31"/>
  <c r="B1254" i="31"/>
  <c r="A1254" i="31"/>
  <c r="C1253" i="31"/>
  <c r="B1253" i="31"/>
  <c r="A1253" i="31"/>
  <c r="C1252" i="31"/>
  <c r="B1252" i="31"/>
  <c r="A1252" i="31"/>
  <c r="C1251" i="31"/>
  <c r="B1251" i="31"/>
  <c r="A1251" i="31"/>
  <c r="C1250" i="31"/>
  <c r="B1250" i="31"/>
  <c r="A1250" i="31"/>
  <c r="C1249" i="31"/>
  <c r="B1249" i="31"/>
  <c r="A1249" i="31"/>
  <c r="C1248" i="31"/>
  <c r="B1248" i="31"/>
  <c r="A1248" i="31"/>
  <c r="C1247" i="31"/>
  <c r="B1247" i="31"/>
  <c r="A1247" i="31"/>
  <c r="C1246" i="31"/>
  <c r="B1246" i="31"/>
  <c r="A1246" i="31"/>
  <c r="C1245" i="31"/>
  <c r="B1245" i="31"/>
  <c r="A1245" i="31"/>
  <c r="C1244" i="31"/>
  <c r="B1244" i="31"/>
  <c r="A1244" i="31"/>
  <c r="C1243" i="31"/>
  <c r="B1243" i="31"/>
  <c r="A1243" i="31"/>
  <c r="C1242" i="31"/>
  <c r="B1242" i="31"/>
  <c r="A1242" i="31"/>
  <c r="C1241" i="31"/>
  <c r="B1241" i="31"/>
  <c r="A1241" i="31"/>
  <c r="C1240" i="31"/>
  <c r="B1240" i="31"/>
  <c r="A1240" i="31"/>
  <c r="C1239" i="31"/>
  <c r="B1239" i="31"/>
  <c r="A1239" i="31"/>
  <c r="C1238" i="31"/>
  <c r="B1238" i="31"/>
  <c r="A1238" i="31"/>
  <c r="C1237" i="31"/>
  <c r="B1237" i="31"/>
  <c r="A1237" i="31"/>
  <c r="C1236" i="31"/>
  <c r="B1236" i="31"/>
  <c r="A1236" i="31"/>
  <c r="C1235" i="31"/>
  <c r="B1235" i="31"/>
  <c r="A1235" i="31"/>
  <c r="C1234" i="31"/>
  <c r="B1234" i="31"/>
  <c r="A1234" i="31"/>
  <c r="C1233" i="31"/>
  <c r="B1233" i="31"/>
  <c r="A1233" i="31"/>
  <c r="C1232" i="31"/>
  <c r="B1232" i="31"/>
  <c r="A1232" i="31"/>
  <c r="C1231" i="31"/>
  <c r="B1231" i="31"/>
  <c r="A1231" i="31"/>
  <c r="C1230" i="31"/>
  <c r="B1230" i="31"/>
  <c r="A1230" i="31"/>
  <c r="C1229" i="31"/>
  <c r="B1229" i="31"/>
  <c r="A1229" i="31"/>
  <c r="C1228" i="31"/>
  <c r="B1228" i="31"/>
  <c r="A1228" i="31"/>
  <c r="C1227" i="31"/>
  <c r="B1227" i="31"/>
  <c r="A1227" i="31"/>
  <c r="C1226" i="31"/>
  <c r="B1226" i="31"/>
  <c r="A1226" i="31"/>
  <c r="C1225" i="31"/>
  <c r="B1225" i="31"/>
  <c r="A1225" i="31"/>
  <c r="C1224" i="31"/>
  <c r="B1224" i="31"/>
  <c r="A1224" i="31"/>
  <c r="C1223" i="31"/>
  <c r="B1223" i="31"/>
  <c r="A1223" i="31"/>
  <c r="C1222" i="31"/>
  <c r="B1222" i="31"/>
  <c r="A1222" i="31"/>
  <c r="C1221" i="31"/>
  <c r="B1221" i="31"/>
  <c r="A1221" i="31"/>
  <c r="C1220" i="31"/>
  <c r="B1220" i="31"/>
  <c r="A1220" i="31"/>
  <c r="C1219" i="31"/>
  <c r="B1219" i="31"/>
  <c r="A1219" i="31"/>
  <c r="C1218" i="31"/>
  <c r="B1218" i="31"/>
  <c r="A1218" i="31"/>
  <c r="C1217" i="31"/>
  <c r="B1217" i="31"/>
  <c r="A1217" i="31"/>
  <c r="C1216" i="31"/>
  <c r="B1216" i="31"/>
  <c r="A1216" i="31"/>
  <c r="C1215" i="31"/>
  <c r="B1215" i="31"/>
  <c r="A1215" i="31"/>
  <c r="C1214" i="31"/>
  <c r="B1214" i="31"/>
  <c r="A1214" i="31"/>
  <c r="C1213" i="31"/>
  <c r="B1213" i="31"/>
  <c r="A1213" i="31"/>
  <c r="C1212" i="31"/>
  <c r="B1212" i="31"/>
  <c r="A1212" i="31"/>
  <c r="C1211" i="31"/>
  <c r="B1211" i="31"/>
  <c r="A1211" i="31"/>
  <c r="C1210" i="31"/>
  <c r="B1210" i="31"/>
  <c r="A1210" i="31"/>
  <c r="C1209" i="31"/>
  <c r="B1209" i="31"/>
  <c r="A1209" i="31"/>
  <c r="C1208" i="31"/>
  <c r="B1208" i="31"/>
  <c r="A1208" i="31"/>
  <c r="C1207" i="31"/>
  <c r="B1207" i="31"/>
  <c r="A1207" i="31"/>
  <c r="C1206" i="31"/>
  <c r="B1206" i="31"/>
  <c r="A1206" i="31"/>
  <c r="C1205" i="31"/>
  <c r="B1205" i="31"/>
  <c r="A1205" i="31"/>
  <c r="C1204" i="31"/>
  <c r="B1204" i="31"/>
  <c r="A1204" i="31"/>
  <c r="C1203" i="31"/>
  <c r="B1203" i="31"/>
  <c r="A1203" i="31"/>
  <c r="C1202" i="31"/>
  <c r="B1202" i="31"/>
  <c r="A1202" i="31"/>
  <c r="C1201" i="31"/>
  <c r="B1201" i="31"/>
  <c r="A1201" i="31"/>
  <c r="C1200" i="31"/>
  <c r="B1200" i="31"/>
  <c r="A1200" i="31"/>
  <c r="C1199" i="31"/>
  <c r="B1199" i="31"/>
  <c r="A1199" i="31"/>
  <c r="C1198" i="31"/>
  <c r="B1198" i="31"/>
  <c r="A1198" i="31"/>
  <c r="C1197" i="31"/>
  <c r="B1197" i="31"/>
  <c r="A1197" i="31"/>
  <c r="C1196" i="31"/>
  <c r="B1196" i="31"/>
  <c r="A1196" i="31"/>
  <c r="C1195" i="31"/>
  <c r="B1195" i="31"/>
  <c r="A1195" i="31"/>
  <c r="C1194" i="31"/>
  <c r="B1194" i="31"/>
  <c r="A1194" i="31"/>
  <c r="C1193" i="31"/>
  <c r="B1193" i="31"/>
  <c r="A1193" i="31"/>
  <c r="C1192" i="31"/>
  <c r="B1192" i="31"/>
  <c r="A1192" i="31"/>
  <c r="C1191" i="31"/>
  <c r="B1191" i="31"/>
  <c r="A1191" i="31"/>
  <c r="C1190" i="31"/>
  <c r="B1190" i="31"/>
  <c r="A1190" i="31"/>
  <c r="C1189" i="31"/>
  <c r="B1189" i="31"/>
  <c r="A1189" i="31"/>
  <c r="C1188" i="31"/>
  <c r="B1188" i="31"/>
  <c r="A1188" i="31"/>
  <c r="C1187" i="31"/>
  <c r="B1187" i="31"/>
  <c r="A1187" i="31"/>
  <c r="C1186" i="31"/>
  <c r="B1186" i="31"/>
  <c r="A1186" i="31"/>
  <c r="C1185" i="31"/>
  <c r="B1185" i="31"/>
  <c r="A1185" i="31"/>
  <c r="C1184" i="31"/>
  <c r="B1184" i="31"/>
  <c r="A1184" i="31"/>
  <c r="C1183" i="31"/>
  <c r="B1183" i="31"/>
  <c r="A1183" i="31"/>
  <c r="C1182" i="31"/>
  <c r="B1182" i="31"/>
  <c r="A1182" i="31"/>
  <c r="C1181" i="31"/>
  <c r="B1181" i="31"/>
  <c r="A1181" i="31"/>
  <c r="C1180" i="31"/>
  <c r="B1180" i="31"/>
  <c r="A1180" i="31"/>
  <c r="C1179" i="31"/>
  <c r="B1179" i="31"/>
  <c r="A1179" i="31"/>
  <c r="C1178" i="31"/>
  <c r="B1178" i="31"/>
  <c r="A1178" i="31"/>
  <c r="C1177" i="31"/>
  <c r="B1177" i="31"/>
  <c r="A1177" i="31"/>
  <c r="C1176" i="31"/>
  <c r="B1176" i="31"/>
  <c r="A1176" i="31"/>
  <c r="C1175" i="31"/>
  <c r="B1175" i="31"/>
  <c r="A1175" i="31"/>
  <c r="C1174" i="31"/>
  <c r="B1174" i="31"/>
  <c r="A1174" i="31"/>
  <c r="C1173" i="31"/>
  <c r="B1173" i="31"/>
  <c r="A1173" i="31"/>
  <c r="C1172" i="31"/>
  <c r="B1172" i="31"/>
  <c r="A1172" i="31"/>
  <c r="C1171" i="31"/>
  <c r="B1171" i="31"/>
  <c r="A1171" i="31"/>
  <c r="C1170" i="31"/>
  <c r="B1170" i="31"/>
  <c r="A1170" i="31"/>
  <c r="C1169" i="31"/>
  <c r="B1169" i="31"/>
  <c r="A1169" i="31"/>
  <c r="C1168" i="31"/>
  <c r="B1168" i="31"/>
  <c r="A1168" i="31"/>
  <c r="C1167" i="31"/>
  <c r="B1167" i="31"/>
  <c r="A1167" i="31"/>
  <c r="C1166" i="31"/>
  <c r="B1166" i="31"/>
  <c r="A1166" i="31"/>
  <c r="C1165" i="31"/>
  <c r="B1165" i="31"/>
  <c r="A1165" i="31"/>
  <c r="C1164" i="31"/>
  <c r="B1164" i="31"/>
  <c r="A1164" i="31"/>
  <c r="C1163" i="31"/>
  <c r="B1163" i="31"/>
  <c r="A1163" i="31"/>
  <c r="C1162" i="31"/>
  <c r="B1162" i="31"/>
  <c r="A1162" i="31"/>
  <c r="C1161" i="31"/>
  <c r="B1161" i="31"/>
  <c r="A1161" i="31"/>
  <c r="C1160" i="31"/>
  <c r="B1160" i="31"/>
  <c r="A1160" i="31"/>
  <c r="C1159" i="31"/>
  <c r="B1159" i="31"/>
  <c r="A1159" i="31"/>
  <c r="C1158" i="31"/>
  <c r="B1158" i="31"/>
  <c r="A1158" i="31"/>
  <c r="C1157" i="31"/>
  <c r="B1157" i="31"/>
  <c r="A1157" i="31"/>
  <c r="C1156" i="31"/>
  <c r="B1156" i="31"/>
  <c r="A1156" i="31"/>
  <c r="C1155" i="31"/>
  <c r="B1155" i="31"/>
  <c r="A1155" i="31"/>
  <c r="C1154" i="31"/>
  <c r="B1154" i="31"/>
  <c r="A1154" i="31"/>
  <c r="C1153" i="31"/>
  <c r="B1153" i="31"/>
  <c r="A1153" i="31"/>
  <c r="C1152" i="31"/>
  <c r="B1152" i="31"/>
  <c r="A1152" i="31"/>
  <c r="C1151" i="31"/>
  <c r="B1151" i="31"/>
  <c r="A1151" i="31"/>
  <c r="C1150" i="31"/>
  <c r="B1150" i="31"/>
  <c r="A1150" i="31"/>
  <c r="C1149" i="31"/>
  <c r="B1149" i="31"/>
  <c r="A1149" i="31"/>
  <c r="C1148" i="31"/>
  <c r="B1148" i="31"/>
  <c r="A1148" i="31"/>
  <c r="C1147" i="31"/>
  <c r="B1147" i="31"/>
  <c r="A1147" i="31"/>
  <c r="C1146" i="31"/>
  <c r="B1146" i="31"/>
  <c r="A1146" i="31"/>
  <c r="C1145" i="31"/>
  <c r="B1145" i="31"/>
  <c r="A1145" i="31"/>
  <c r="C1144" i="31"/>
  <c r="B1144" i="31"/>
  <c r="A1144" i="31"/>
  <c r="C1143" i="31"/>
  <c r="B1143" i="31"/>
  <c r="A1143" i="31"/>
  <c r="C1142" i="31"/>
  <c r="B1142" i="31"/>
  <c r="A1142" i="31"/>
  <c r="C1141" i="31"/>
  <c r="B1141" i="31"/>
  <c r="A1141" i="31"/>
  <c r="C1140" i="31"/>
  <c r="B1140" i="31"/>
  <c r="A1140" i="31"/>
  <c r="C1139" i="31"/>
  <c r="B1139" i="31"/>
  <c r="A1139" i="31"/>
  <c r="C1138" i="31"/>
  <c r="B1138" i="31"/>
  <c r="A1138" i="31"/>
  <c r="C1137" i="31"/>
  <c r="B1137" i="31"/>
  <c r="A1137" i="31"/>
  <c r="C1136" i="31"/>
  <c r="B1136" i="31"/>
  <c r="A1136" i="31"/>
  <c r="C1135" i="31"/>
  <c r="B1135" i="31"/>
  <c r="A1135" i="31"/>
  <c r="C1134" i="31"/>
  <c r="B1134" i="31"/>
  <c r="A1134" i="31"/>
  <c r="C1133" i="31"/>
  <c r="B1133" i="31"/>
  <c r="A1133" i="31"/>
  <c r="C1132" i="31"/>
  <c r="B1132" i="31"/>
  <c r="A1132" i="31"/>
  <c r="C1131" i="31"/>
  <c r="B1131" i="31"/>
  <c r="A1131" i="31"/>
  <c r="C1130" i="31"/>
  <c r="B1130" i="31"/>
  <c r="A1130" i="31"/>
  <c r="C1129" i="31"/>
  <c r="B1129" i="31"/>
  <c r="A1129" i="31"/>
  <c r="C1128" i="31"/>
  <c r="B1128" i="31"/>
  <c r="A1128" i="31"/>
  <c r="C1127" i="31"/>
  <c r="B1127" i="31"/>
  <c r="A1127" i="31"/>
  <c r="C1126" i="31"/>
  <c r="B1126" i="31"/>
  <c r="A1126" i="31"/>
  <c r="C1125" i="31"/>
  <c r="B1125" i="31"/>
  <c r="A1125" i="31"/>
  <c r="C1124" i="31"/>
  <c r="B1124" i="31"/>
  <c r="A1124" i="31"/>
  <c r="C1123" i="31"/>
  <c r="B1123" i="31"/>
  <c r="A1123" i="31"/>
  <c r="C1122" i="31"/>
  <c r="B1122" i="31"/>
  <c r="A1122" i="31"/>
  <c r="C1121" i="31"/>
  <c r="B1121" i="31"/>
  <c r="A1121" i="31"/>
  <c r="C1120" i="31"/>
  <c r="B1120" i="31"/>
  <c r="A1120" i="31"/>
  <c r="C1119" i="31"/>
  <c r="B1119" i="31"/>
  <c r="A1119" i="31"/>
  <c r="C1118" i="31"/>
  <c r="B1118" i="31"/>
  <c r="A1118" i="31"/>
  <c r="C1117" i="31"/>
  <c r="B1117" i="31"/>
  <c r="A1117" i="31"/>
  <c r="C1116" i="31"/>
  <c r="B1116" i="31"/>
  <c r="A1116" i="31"/>
  <c r="C1115" i="31"/>
  <c r="B1115" i="31"/>
  <c r="A1115" i="31"/>
  <c r="C1114" i="31"/>
  <c r="B1114" i="31"/>
  <c r="A1114" i="31"/>
  <c r="C1113" i="31"/>
  <c r="B1113" i="31"/>
  <c r="A1113" i="31"/>
  <c r="C1112" i="31"/>
  <c r="B1112" i="31"/>
  <c r="A1112" i="31"/>
  <c r="C1111" i="31"/>
  <c r="B1111" i="31"/>
  <c r="A1111" i="31"/>
  <c r="C1110" i="31"/>
  <c r="B1110" i="31"/>
  <c r="A1110" i="31"/>
  <c r="C1109" i="31"/>
  <c r="B1109" i="31"/>
  <c r="A1109" i="31"/>
  <c r="C1108" i="31"/>
  <c r="B1108" i="31"/>
  <c r="A1108" i="31"/>
  <c r="C1107" i="31"/>
  <c r="B1107" i="31"/>
  <c r="A1107" i="31"/>
  <c r="C1106" i="31"/>
  <c r="B1106" i="31"/>
  <c r="A1106" i="31"/>
  <c r="C1105" i="31"/>
  <c r="B1105" i="31"/>
  <c r="A1105" i="31"/>
  <c r="C1104" i="31"/>
  <c r="B1104" i="31"/>
  <c r="A1104" i="31"/>
  <c r="C1103" i="31"/>
  <c r="B1103" i="31"/>
  <c r="A1103" i="31"/>
  <c r="C1102" i="31"/>
  <c r="B1102" i="31"/>
  <c r="A1102" i="31"/>
  <c r="C1101" i="31"/>
  <c r="B1101" i="31"/>
  <c r="A1101" i="31"/>
  <c r="C1100" i="31"/>
  <c r="B1100" i="31"/>
  <c r="A1100" i="31"/>
  <c r="C1099" i="31"/>
  <c r="B1099" i="31"/>
  <c r="A1099" i="31"/>
  <c r="C1098" i="31"/>
  <c r="B1098" i="31"/>
  <c r="A1098" i="31"/>
  <c r="C1097" i="31"/>
  <c r="B1097" i="31"/>
  <c r="A1097" i="31"/>
  <c r="C1096" i="31"/>
  <c r="B1096" i="31"/>
  <c r="A1096" i="31"/>
  <c r="C1095" i="31"/>
  <c r="B1095" i="31"/>
  <c r="A1095" i="31"/>
  <c r="C1094" i="31"/>
  <c r="B1094" i="31"/>
  <c r="A1094" i="31"/>
  <c r="C1093" i="31"/>
  <c r="B1093" i="31"/>
  <c r="A1093" i="31"/>
  <c r="C1092" i="31"/>
  <c r="B1092" i="31"/>
  <c r="A1092" i="31"/>
  <c r="C1091" i="31"/>
  <c r="B1091" i="31"/>
  <c r="A1091" i="31"/>
  <c r="C1090" i="31"/>
  <c r="B1090" i="31"/>
  <c r="A1090" i="31"/>
  <c r="C1089" i="31"/>
  <c r="B1089" i="31"/>
  <c r="A1089" i="31"/>
  <c r="C1088" i="31"/>
  <c r="B1088" i="31"/>
  <c r="A1088" i="31"/>
  <c r="C1087" i="31"/>
  <c r="B1087" i="31"/>
  <c r="A1087" i="31"/>
  <c r="C1086" i="31"/>
  <c r="B1086" i="31"/>
  <c r="A1086" i="31"/>
  <c r="C1085" i="31"/>
  <c r="B1085" i="31"/>
  <c r="A1085" i="31"/>
  <c r="C1084" i="31"/>
  <c r="B1084" i="31"/>
  <c r="A1084" i="31"/>
  <c r="C1083" i="31"/>
  <c r="B1083" i="31"/>
  <c r="A1083" i="31"/>
  <c r="C1082" i="31"/>
  <c r="B1082" i="31"/>
  <c r="A1082" i="31"/>
  <c r="C1081" i="31"/>
  <c r="B1081" i="31"/>
  <c r="A1081" i="31"/>
  <c r="C1080" i="31"/>
  <c r="B1080" i="31"/>
  <c r="A1080" i="31"/>
  <c r="C1079" i="31"/>
  <c r="B1079" i="31"/>
  <c r="A1079" i="31"/>
  <c r="C1078" i="31"/>
  <c r="B1078" i="31"/>
  <c r="A1078" i="31"/>
  <c r="C1077" i="31"/>
  <c r="B1077" i="31"/>
  <c r="A1077" i="31"/>
  <c r="C1076" i="31"/>
  <c r="B1076" i="31"/>
  <c r="A1076" i="31"/>
  <c r="C1075" i="31"/>
  <c r="B1075" i="31"/>
  <c r="A1075" i="31"/>
  <c r="C1074" i="31"/>
  <c r="B1074" i="31"/>
  <c r="A1074" i="31"/>
  <c r="C1073" i="31"/>
  <c r="B1073" i="31"/>
  <c r="A1073" i="31"/>
  <c r="C1072" i="31"/>
  <c r="B1072" i="31"/>
  <c r="A1072" i="31"/>
  <c r="C1071" i="31"/>
  <c r="B1071" i="31"/>
  <c r="A1071" i="31"/>
  <c r="C1070" i="31"/>
  <c r="B1070" i="31"/>
  <c r="A1070" i="31"/>
  <c r="C1069" i="31"/>
  <c r="B1069" i="31"/>
  <c r="A1069" i="31"/>
  <c r="C1068" i="31"/>
  <c r="B1068" i="31"/>
  <c r="A1068" i="31"/>
  <c r="C1067" i="31"/>
  <c r="B1067" i="31"/>
  <c r="A1067" i="31"/>
  <c r="C1066" i="31"/>
  <c r="B1066" i="31"/>
  <c r="A1066" i="31"/>
  <c r="C1065" i="31"/>
  <c r="B1065" i="31"/>
  <c r="A1065" i="31"/>
  <c r="C1064" i="31"/>
  <c r="B1064" i="31"/>
  <c r="A1064" i="31"/>
  <c r="C1063" i="31"/>
  <c r="B1063" i="31"/>
  <c r="A1063" i="31"/>
  <c r="C1062" i="31"/>
  <c r="B1062" i="31"/>
  <c r="A1062" i="31"/>
  <c r="C1061" i="31"/>
  <c r="B1061" i="31"/>
  <c r="A1061" i="31"/>
  <c r="C1060" i="31"/>
  <c r="B1060" i="31"/>
  <c r="A1060" i="31"/>
  <c r="C1059" i="31"/>
  <c r="B1059" i="31"/>
  <c r="A1059" i="31"/>
  <c r="C1058" i="31"/>
  <c r="B1058" i="31"/>
  <c r="A1058" i="31"/>
  <c r="C1057" i="31"/>
  <c r="B1057" i="31"/>
  <c r="A1057" i="31"/>
  <c r="C1056" i="31"/>
  <c r="B1056" i="31"/>
  <c r="A1056" i="31"/>
  <c r="C1055" i="31"/>
  <c r="B1055" i="31"/>
  <c r="A1055" i="31"/>
  <c r="C1054" i="31"/>
  <c r="B1054" i="31"/>
  <c r="A1054" i="31"/>
  <c r="C1053" i="31"/>
  <c r="B1053" i="31"/>
  <c r="A1053" i="31"/>
  <c r="C1052" i="31"/>
  <c r="B1052" i="31"/>
  <c r="A1052" i="31"/>
  <c r="C1051" i="31"/>
  <c r="B1051" i="31"/>
  <c r="A1051" i="31"/>
  <c r="C1050" i="31"/>
  <c r="B1050" i="31"/>
  <c r="A1050" i="31"/>
  <c r="C1049" i="31"/>
  <c r="B1049" i="31"/>
  <c r="A1049" i="31"/>
  <c r="C1048" i="31"/>
  <c r="B1048" i="31"/>
  <c r="A1048" i="31"/>
  <c r="C1047" i="31"/>
  <c r="B1047" i="31"/>
  <c r="A1047" i="31"/>
  <c r="C1046" i="31"/>
  <c r="B1046" i="31"/>
  <c r="A1046" i="31"/>
  <c r="C1045" i="31"/>
  <c r="B1045" i="31"/>
  <c r="A1045" i="31"/>
  <c r="C1044" i="31"/>
  <c r="B1044" i="31"/>
  <c r="A1044" i="31"/>
  <c r="C1043" i="31"/>
  <c r="B1043" i="31"/>
  <c r="A1043" i="31"/>
  <c r="C1042" i="31"/>
  <c r="B1042" i="31"/>
  <c r="A1042" i="31"/>
  <c r="C1041" i="31"/>
  <c r="B1041" i="31"/>
  <c r="A1041" i="31"/>
  <c r="C1040" i="31"/>
  <c r="B1040" i="31"/>
  <c r="A1040" i="31"/>
  <c r="C1039" i="31"/>
  <c r="B1039" i="31"/>
  <c r="A1039" i="31"/>
  <c r="C1038" i="31"/>
  <c r="B1038" i="31"/>
  <c r="A1038" i="31"/>
  <c r="C1037" i="31"/>
  <c r="B1037" i="31"/>
  <c r="A1037" i="31"/>
  <c r="C1036" i="31"/>
  <c r="B1036" i="31"/>
  <c r="A1036" i="31"/>
  <c r="C1035" i="31"/>
  <c r="B1035" i="31"/>
  <c r="A1035" i="31"/>
  <c r="C1034" i="31"/>
  <c r="B1034" i="31"/>
  <c r="A1034" i="31"/>
  <c r="C1033" i="31"/>
  <c r="B1033" i="31"/>
  <c r="A1033" i="31"/>
  <c r="C1032" i="31"/>
  <c r="B1032" i="31"/>
  <c r="A1032" i="31"/>
  <c r="C1031" i="31"/>
  <c r="B1031" i="31"/>
  <c r="A1031" i="31"/>
  <c r="C1030" i="31"/>
  <c r="B1030" i="31"/>
  <c r="A1030" i="31"/>
  <c r="C1029" i="31"/>
  <c r="B1029" i="31"/>
  <c r="A1029" i="31"/>
  <c r="C1028" i="31"/>
  <c r="B1028" i="31"/>
  <c r="A1028" i="31"/>
  <c r="C1027" i="31"/>
  <c r="B1027" i="31"/>
  <c r="A1027" i="31"/>
  <c r="C1026" i="31"/>
  <c r="B1026" i="31"/>
  <c r="A1026" i="31"/>
  <c r="C1025" i="31"/>
  <c r="B1025" i="31"/>
  <c r="A1025" i="31"/>
  <c r="C1024" i="31"/>
  <c r="B1024" i="31"/>
  <c r="A1024" i="31"/>
  <c r="C1023" i="31"/>
  <c r="B1023" i="31"/>
  <c r="A1023" i="31"/>
  <c r="C1022" i="31"/>
  <c r="B1022" i="31"/>
  <c r="A1022" i="31"/>
  <c r="C1021" i="31"/>
  <c r="B1021" i="31"/>
  <c r="A1021" i="31"/>
  <c r="C1020" i="31"/>
  <c r="B1020" i="31"/>
  <c r="A1020" i="31"/>
  <c r="C1019" i="31"/>
  <c r="B1019" i="31"/>
  <c r="A1019" i="31"/>
  <c r="C1018" i="31"/>
  <c r="B1018" i="31"/>
  <c r="A1018" i="31"/>
  <c r="C1017" i="31"/>
  <c r="B1017" i="31"/>
  <c r="A1017" i="31"/>
  <c r="C1016" i="31"/>
  <c r="B1016" i="31"/>
  <c r="A1016" i="31"/>
  <c r="C1015" i="31"/>
  <c r="B1015" i="31"/>
  <c r="A1015" i="31"/>
  <c r="C1014" i="31"/>
  <c r="B1014" i="31"/>
  <c r="A1014" i="31"/>
  <c r="C1013" i="31"/>
  <c r="B1013" i="31"/>
  <c r="A1013" i="31"/>
  <c r="C1012" i="31"/>
  <c r="B1012" i="31"/>
  <c r="A1012" i="31"/>
  <c r="C1011" i="31"/>
  <c r="B1011" i="31"/>
  <c r="A1011" i="31"/>
  <c r="C1010" i="31"/>
  <c r="B1010" i="31"/>
  <c r="A1010" i="31"/>
  <c r="C1009" i="31"/>
  <c r="B1009" i="31"/>
  <c r="A1009" i="31"/>
  <c r="C1008" i="31"/>
  <c r="B1008" i="31"/>
  <c r="A1008" i="31"/>
  <c r="C1007" i="31"/>
  <c r="B1007" i="31"/>
  <c r="A1007" i="31"/>
  <c r="C1006" i="31"/>
  <c r="B1006" i="31"/>
  <c r="A1006" i="31"/>
  <c r="C1005" i="31"/>
  <c r="B1005" i="31"/>
  <c r="A1005" i="31"/>
  <c r="C1004" i="31"/>
  <c r="B1004" i="31"/>
  <c r="A1004" i="31"/>
  <c r="C1003" i="31"/>
  <c r="B1003" i="31"/>
  <c r="A1003" i="31"/>
  <c r="C1002" i="31"/>
  <c r="B1002" i="31"/>
  <c r="A1002" i="31"/>
  <c r="C1001" i="31"/>
  <c r="B1001" i="31"/>
  <c r="A1001" i="31"/>
  <c r="C1000" i="31"/>
  <c r="B1000" i="31"/>
  <c r="A1000" i="31"/>
  <c r="C999" i="31"/>
  <c r="B999" i="31"/>
  <c r="A999" i="31"/>
  <c r="C998" i="31"/>
  <c r="B998" i="31"/>
  <c r="A998" i="31"/>
  <c r="C997" i="31"/>
  <c r="B997" i="31"/>
  <c r="A997" i="31"/>
  <c r="C996" i="31"/>
  <c r="B996" i="31"/>
  <c r="A996" i="31"/>
  <c r="C995" i="31"/>
  <c r="B995" i="31"/>
  <c r="A995" i="31"/>
  <c r="C994" i="31"/>
  <c r="B994" i="31"/>
  <c r="A994" i="31"/>
  <c r="C993" i="31"/>
  <c r="B993" i="31"/>
  <c r="A993" i="31"/>
  <c r="C992" i="31"/>
  <c r="B992" i="31"/>
  <c r="A992" i="31"/>
  <c r="C991" i="31"/>
  <c r="B991" i="31"/>
  <c r="A991" i="31"/>
  <c r="C990" i="31"/>
  <c r="B990" i="31"/>
  <c r="A990" i="31"/>
  <c r="C989" i="31"/>
  <c r="B989" i="31"/>
  <c r="A989" i="31"/>
  <c r="C988" i="31"/>
  <c r="B988" i="31"/>
  <c r="A988" i="31"/>
  <c r="C987" i="31"/>
  <c r="B987" i="31"/>
  <c r="A987" i="31"/>
  <c r="C986" i="31"/>
  <c r="B986" i="31"/>
  <c r="A986" i="31"/>
  <c r="C985" i="31"/>
  <c r="B985" i="31"/>
  <c r="A985" i="31"/>
  <c r="C984" i="31"/>
  <c r="B984" i="31"/>
  <c r="A984" i="31"/>
  <c r="C983" i="31"/>
  <c r="B983" i="31"/>
  <c r="A983" i="31"/>
  <c r="C982" i="31"/>
  <c r="B982" i="31"/>
  <c r="A982" i="31"/>
  <c r="C981" i="31"/>
  <c r="B981" i="31"/>
  <c r="A981" i="31"/>
  <c r="C980" i="31"/>
  <c r="B980" i="31"/>
  <c r="A980" i="31"/>
  <c r="C979" i="31"/>
  <c r="B979" i="31"/>
  <c r="A979" i="31"/>
  <c r="C978" i="31"/>
  <c r="B978" i="31"/>
  <c r="A978" i="31"/>
  <c r="C977" i="31"/>
  <c r="B977" i="31"/>
  <c r="A977" i="31"/>
  <c r="C976" i="31"/>
  <c r="B976" i="31"/>
  <c r="A976" i="31"/>
  <c r="C975" i="31"/>
  <c r="B975" i="31"/>
  <c r="A975" i="31"/>
  <c r="C974" i="31"/>
  <c r="B974" i="31"/>
  <c r="A974" i="31"/>
  <c r="C973" i="31"/>
  <c r="B973" i="31"/>
  <c r="A973" i="31"/>
  <c r="C972" i="31"/>
  <c r="B972" i="31"/>
  <c r="A972" i="31"/>
  <c r="C971" i="31"/>
  <c r="B971" i="31"/>
  <c r="A971" i="31"/>
  <c r="C970" i="31"/>
  <c r="B970" i="31"/>
  <c r="A970" i="31"/>
  <c r="C969" i="31"/>
  <c r="B969" i="31"/>
  <c r="A969" i="31"/>
  <c r="C968" i="31"/>
  <c r="B968" i="31"/>
  <c r="A968" i="31"/>
  <c r="C967" i="31"/>
  <c r="B967" i="31"/>
  <c r="A967" i="31"/>
  <c r="C966" i="31"/>
  <c r="B966" i="31"/>
  <c r="A966" i="31"/>
  <c r="C965" i="31"/>
  <c r="B965" i="31"/>
  <c r="A965" i="31"/>
  <c r="C964" i="31"/>
  <c r="B964" i="31"/>
  <c r="A964" i="31"/>
  <c r="C963" i="31"/>
  <c r="B963" i="31"/>
  <c r="A963" i="31"/>
  <c r="C962" i="31"/>
  <c r="B962" i="31"/>
  <c r="A962" i="31"/>
  <c r="C961" i="31"/>
  <c r="B961" i="31"/>
  <c r="A961" i="31"/>
  <c r="C960" i="31"/>
  <c r="B960" i="31"/>
  <c r="A960" i="31"/>
  <c r="C959" i="31"/>
  <c r="B959" i="31"/>
  <c r="A959" i="31"/>
  <c r="C958" i="31"/>
  <c r="B958" i="31"/>
  <c r="A958" i="31"/>
  <c r="C957" i="31"/>
  <c r="B957" i="31"/>
  <c r="A957" i="31"/>
  <c r="C956" i="31"/>
  <c r="B956" i="31"/>
  <c r="A956" i="31"/>
  <c r="C955" i="31"/>
  <c r="B955" i="31"/>
  <c r="A955" i="31"/>
  <c r="C954" i="31"/>
  <c r="B954" i="31"/>
  <c r="A954" i="31"/>
  <c r="C953" i="31"/>
  <c r="B953" i="31"/>
  <c r="A953" i="31"/>
  <c r="C952" i="31"/>
  <c r="B952" i="31"/>
  <c r="A952" i="31"/>
  <c r="C951" i="31"/>
  <c r="B951" i="31"/>
  <c r="A951" i="31"/>
  <c r="C950" i="31"/>
  <c r="B950" i="31"/>
  <c r="A950" i="31"/>
  <c r="C949" i="31"/>
  <c r="B949" i="31"/>
  <c r="A949" i="31"/>
  <c r="C948" i="31"/>
  <c r="B948" i="31"/>
  <c r="A948" i="31"/>
  <c r="C947" i="31"/>
  <c r="B947" i="31"/>
  <c r="A947" i="31"/>
  <c r="C946" i="31"/>
  <c r="B946" i="31"/>
  <c r="A946" i="31"/>
  <c r="C945" i="31"/>
  <c r="B945" i="31"/>
  <c r="A945" i="31"/>
  <c r="C944" i="31"/>
  <c r="B944" i="31"/>
  <c r="A944" i="31"/>
  <c r="C943" i="31"/>
  <c r="B943" i="31"/>
  <c r="A943" i="31"/>
  <c r="C942" i="31"/>
  <c r="B942" i="31"/>
  <c r="A942" i="31"/>
  <c r="C941" i="31"/>
  <c r="B941" i="31"/>
  <c r="A941" i="31"/>
  <c r="C940" i="31"/>
  <c r="B940" i="31"/>
  <c r="A940" i="31"/>
  <c r="C939" i="31"/>
  <c r="B939" i="31"/>
  <c r="A939" i="31"/>
  <c r="C938" i="31"/>
  <c r="B938" i="31"/>
  <c r="A938" i="31"/>
  <c r="C937" i="31"/>
  <c r="B937" i="31"/>
  <c r="A937" i="31"/>
  <c r="C936" i="31"/>
  <c r="B936" i="31"/>
  <c r="A936" i="31"/>
  <c r="C935" i="31"/>
  <c r="B935" i="31"/>
  <c r="A935" i="31"/>
  <c r="C934" i="31"/>
  <c r="B934" i="31"/>
  <c r="A934" i="31"/>
  <c r="C933" i="31"/>
  <c r="B933" i="31"/>
  <c r="A933" i="31"/>
  <c r="C932" i="31"/>
  <c r="B932" i="31"/>
  <c r="A932" i="31"/>
  <c r="C931" i="31"/>
  <c r="B931" i="31"/>
  <c r="A931" i="31"/>
  <c r="C930" i="31"/>
  <c r="B930" i="31"/>
  <c r="A930" i="31"/>
  <c r="C929" i="31"/>
  <c r="B929" i="31"/>
  <c r="A929" i="31"/>
  <c r="C928" i="31"/>
  <c r="B928" i="31"/>
  <c r="A928" i="31"/>
  <c r="C927" i="31"/>
  <c r="B927" i="31"/>
  <c r="A927" i="31"/>
  <c r="C926" i="31"/>
  <c r="B926" i="31"/>
  <c r="A926" i="31"/>
  <c r="C925" i="31"/>
  <c r="B925" i="31"/>
  <c r="A925" i="31"/>
  <c r="C924" i="31"/>
  <c r="B924" i="31"/>
  <c r="A924" i="31"/>
  <c r="C923" i="31"/>
  <c r="B923" i="31"/>
  <c r="A923" i="31"/>
  <c r="C922" i="31"/>
  <c r="B922" i="31"/>
  <c r="A922" i="31"/>
  <c r="C921" i="31"/>
  <c r="B921" i="31"/>
  <c r="A921" i="31"/>
  <c r="C920" i="31"/>
  <c r="B920" i="31"/>
  <c r="A920" i="31"/>
  <c r="C919" i="31"/>
  <c r="B919" i="31"/>
  <c r="A919" i="31"/>
  <c r="C918" i="31"/>
  <c r="B918" i="31"/>
  <c r="A918" i="31"/>
  <c r="C917" i="31"/>
  <c r="B917" i="31"/>
  <c r="A917" i="31"/>
  <c r="C916" i="31"/>
  <c r="B916" i="31"/>
  <c r="A916" i="31"/>
  <c r="C915" i="31"/>
  <c r="B915" i="31"/>
  <c r="A915" i="31"/>
  <c r="C914" i="31"/>
  <c r="B914" i="31"/>
  <c r="A914" i="31"/>
  <c r="C913" i="31"/>
  <c r="B913" i="31"/>
  <c r="A913" i="31"/>
  <c r="C912" i="31"/>
  <c r="B912" i="31"/>
  <c r="A912" i="31"/>
  <c r="C911" i="31"/>
  <c r="B911" i="31"/>
  <c r="A911" i="31"/>
  <c r="C910" i="31"/>
  <c r="B910" i="31"/>
  <c r="A910" i="31"/>
  <c r="C909" i="31"/>
  <c r="B909" i="31"/>
  <c r="A909" i="31"/>
  <c r="C908" i="31"/>
  <c r="B908" i="31"/>
  <c r="A908" i="31"/>
  <c r="C907" i="31"/>
  <c r="B907" i="31"/>
  <c r="A907" i="31"/>
  <c r="C906" i="31"/>
  <c r="B906" i="31"/>
  <c r="A906" i="31"/>
  <c r="C905" i="31"/>
  <c r="B905" i="31"/>
  <c r="A905" i="31"/>
  <c r="C904" i="31"/>
  <c r="B904" i="31"/>
  <c r="A904" i="31"/>
  <c r="C903" i="31"/>
  <c r="B903" i="31"/>
  <c r="A903" i="31"/>
  <c r="C902" i="31"/>
  <c r="B902" i="31"/>
  <c r="A902" i="31"/>
  <c r="C901" i="31"/>
  <c r="B901" i="31"/>
  <c r="A901" i="31"/>
  <c r="C900" i="31"/>
  <c r="B900" i="31"/>
  <c r="A900" i="31"/>
  <c r="C899" i="31"/>
  <c r="B899" i="31"/>
  <c r="A899" i="31"/>
  <c r="C898" i="31"/>
  <c r="B898" i="31"/>
  <c r="A898" i="31"/>
  <c r="C897" i="31"/>
  <c r="B897" i="31"/>
  <c r="A897" i="31"/>
  <c r="C896" i="31"/>
  <c r="B896" i="31"/>
  <c r="A896" i="31"/>
  <c r="C895" i="31"/>
  <c r="B895" i="31"/>
  <c r="A895" i="31"/>
  <c r="C894" i="31"/>
  <c r="B894" i="31"/>
  <c r="A894" i="31"/>
  <c r="C893" i="31"/>
  <c r="B893" i="31"/>
  <c r="A893" i="31"/>
  <c r="C892" i="31"/>
  <c r="B892" i="31"/>
  <c r="A892" i="31"/>
  <c r="C891" i="31"/>
  <c r="B891" i="31"/>
  <c r="A891" i="31"/>
  <c r="C890" i="31"/>
  <c r="B890" i="31"/>
  <c r="A890" i="31"/>
  <c r="C889" i="31"/>
  <c r="B889" i="31"/>
  <c r="A889" i="31"/>
  <c r="C888" i="31"/>
  <c r="B888" i="31"/>
  <c r="A888" i="31"/>
  <c r="C887" i="31"/>
  <c r="B887" i="31"/>
  <c r="A887" i="31"/>
  <c r="C886" i="31"/>
  <c r="B886" i="31"/>
  <c r="A886" i="31"/>
  <c r="C885" i="31"/>
  <c r="B885" i="31"/>
  <c r="A885" i="31"/>
  <c r="C884" i="31"/>
  <c r="B884" i="31"/>
  <c r="A884" i="31"/>
  <c r="C883" i="31"/>
  <c r="B883" i="31"/>
  <c r="A883" i="31"/>
  <c r="C882" i="31"/>
  <c r="B882" i="31"/>
  <c r="A882" i="31"/>
  <c r="C881" i="31"/>
  <c r="B881" i="31"/>
  <c r="A881" i="31"/>
  <c r="C880" i="31"/>
  <c r="B880" i="31"/>
  <c r="A880" i="31"/>
  <c r="C879" i="31"/>
  <c r="B879" i="31"/>
  <c r="A879" i="31"/>
  <c r="C878" i="31"/>
  <c r="B878" i="31"/>
  <c r="A878" i="31"/>
  <c r="C877" i="31"/>
  <c r="B877" i="31"/>
  <c r="A877" i="31"/>
  <c r="C876" i="31"/>
  <c r="B876" i="31"/>
  <c r="A876" i="31"/>
  <c r="C875" i="31"/>
  <c r="B875" i="31"/>
  <c r="A875" i="31"/>
  <c r="C874" i="31"/>
  <c r="B874" i="31"/>
  <c r="A874" i="31"/>
  <c r="C873" i="31"/>
  <c r="B873" i="31"/>
  <c r="A873" i="31"/>
  <c r="C872" i="31"/>
  <c r="B872" i="31"/>
  <c r="A872" i="31"/>
  <c r="C871" i="31"/>
  <c r="B871" i="31"/>
  <c r="A871" i="31"/>
  <c r="C870" i="31"/>
  <c r="B870" i="31"/>
  <c r="A870" i="31"/>
  <c r="C869" i="31"/>
  <c r="B869" i="31"/>
  <c r="A869" i="31"/>
  <c r="C868" i="31"/>
  <c r="B868" i="31"/>
  <c r="A868" i="31"/>
  <c r="C867" i="31"/>
  <c r="B867" i="31"/>
  <c r="A867" i="31"/>
  <c r="C866" i="31"/>
  <c r="B866" i="31"/>
  <c r="A866" i="31"/>
  <c r="C865" i="31"/>
  <c r="B865" i="31"/>
  <c r="A865" i="31"/>
  <c r="C864" i="31"/>
  <c r="B864" i="31"/>
  <c r="A864" i="31"/>
  <c r="C863" i="31"/>
  <c r="B863" i="31"/>
  <c r="A863" i="31"/>
  <c r="C862" i="31"/>
  <c r="B862" i="31"/>
  <c r="A862" i="31"/>
  <c r="C861" i="31"/>
  <c r="B861" i="31"/>
  <c r="A861" i="31"/>
  <c r="C860" i="31"/>
  <c r="B860" i="31"/>
  <c r="A860" i="31"/>
  <c r="C859" i="31"/>
  <c r="B859" i="31"/>
  <c r="A859" i="31"/>
  <c r="C858" i="31"/>
  <c r="B858" i="31"/>
  <c r="A858" i="31"/>
  <c r="C857" i="31"/>
  <c r="B857" i="31"/>
  <c r="A857" i="31"/>
  <c r="C856" i="31"/>
  <c r="B856" i="31"/>
  <c r="A856" i="31"/>
  <c r="C855" i="31"/>
  <c r="B855" i="31"/>
  <c r="A855" i="31"/>
  <c r="C854" i="31"/>
  <c r="B854" i="31"/>
  <c r="A854" i="31"/>
  <c r="C853" i="31"/>
  <c r="B853" i="31"/>
  <c r="A853" i="31"/>
  <c r="C852" i="31"/>
  <c r="B852" i="31"/>
  <c r="A852" i="31"/>
  <c r="C851" i="31"/>
  <c r="B851" i="31"/>
  <c r="A851" i="31"/>
  <c r="C850" i="31"/>
  <c r="B850" i="31"/>
  <c r="A850" i="31"/>
  <c r="C849" i="31"/>
  <c r="B849" i="31"/>
  <c r="A849" i="31"/>
  <c r="C848" i="31"/>
  <c r="B848" i="31"/>
  <c r="A848" i="31"/>
  <c r="C847" i="31"/>
  <c r="B847" i="31"/>
  <c r="A847" i="31"/>
  <c r="C846" i="31"/>
  <c r="B846" i="31"/>
  <c r="A846" i="31"/>
  <c r="C845" i="31"/>
  <c r="B845" i="31"/>
  <c r="A845" i="31"/>
  <c r="C844" i="31"/>
  <c r="B844" i="31"/>
  <c r="A844" i="31"/>
  <c r="C843" i="31"/>
  <c r="B843" i="31"/>
  <c r="A843" i="31"/>
  <c r="C842" i="31"/>
  <c r="B842" i="31"/>
  <c r="A842" i="31"/>
  <c r="C841" i="31"/>
  <c r="B841" i="31"/>
  <c r="A841" i="31"/>
  <c r="C840" i="31"/>
  <c r="B840" i="31"/>
  <c r="A840" i="31"/>
  <c r="C839" i="31"/>
  <c r="B839" i="31"/>
  <c r="A839" i="31"/>
  <c r="C838" i="31"/>
  <c r="B838" i="31"/>
  <c r="A838" i="31"/>
  <c r="C837" i="31"/>
  <c r="B837" i="31"/>
  <c r="A837" i="31"/>
  <c r="C836" i="31"/>
  <c r="B836" i="31"/>
  <c r="A836" i="31"/>
  <c r="C835" i="31"/>
  <c r="B835" i="31"/>
  <c r="A835" i="31"/>
  <c r="C834" i="31"/>
  <c r="B834" i="31"/>
  <c r="A834" i="31"/>
  <c r="C833" i="31"/>
  <c r="B833" i="31"/>
  <c r="A833" i="31"/>
  <c r="C832" i="31"/>
  <c r="B832" i="31"/>
  <c r="A832" i="31"/>
  <c r="C831" i="31"/>
  <c r="B831" i="31"/>
  <c r="A831" i="31"/>
  <c r="C830" i="31"/>
  <c r="B830" i="31"/>
  <c r="A830" i="31"/>
  <c r="C829" i="31"/>
  <c r="B829" i="31"/>
  <c r="A829" i="31"/>
  <c r="C828" i="31"/>
  <c r="B828" i="31"/>
  <c r="A828" i="31"/>
  <c r="C827" i="31"/>
  <c r="B827" i="31"/>
  <c r="A827" i="31"/>
  <c r="C826" i="31"/>
  <c r="B826" i="31"/>
  <c r="A826" i="31"/>
  <c r="C825" i="31"/>
  <c r="B825" i="31"/>
  <c r="A825" i="31"/>
  <c r="C824" i="31"/>
  <c r="B824" i="31"/>
  <c r="A824" i="31"/>
  <c r="C823" i="31"/>
  <c r="B823" i="31"/>
  <c r="A823" i="31"/>
  <c r="C822" i="31"/>
  <c r="B822" i="31"/>
  <c r="A822" i="31"/>
  <c r="C821" i="31"/>
  <c r="B821" i="31"/>
  <c r="A821" i="31"/>
  <c r="C820" i="31"/>
  <c r="B820" i="31"/>
  <c r="A820" i="31"/>
  <c r="C819" i="31"/>
  <c r="B819" i="31"/>
  <c r="A819" i="31"/>
  <c r="C818" i="31"/>
  <c r="B818" i="31"/>
  <c r="A818" i="31"/>
  <c r="C817" i="31"/>
  <c r="B817" i="31"/>
  <c r="A817" i="31"/>
  <c r="C816" i="31"/>
  <c r="B816" i="31"/>
  <c r="A816" i="31"/>
  <c r="C815" i="31"/>
  <c r="B815" i="31"/>
  <c r="A815" i="31"/>
  <c r="C814" i="31"/>
  <c r="B814" i="31"/>
  <c r="A814" i="31"/>
  <c r="C813" i="31"/>
  <c r="B813" i="31"/>
  <c r="A813" i="31"/>
  <c r="C812" i="31"/>
  <c r="B812" i="31"/>
  <c r="A812" i="31"/>
  <c r="C811" i="31"/>
  <c r="B811" i="31"/>
  <c r="A811" i="31"/>
  <c r="C810" i="31"/>
  <c r="B810" i="31"/>
  <c r="A810" i="31"/>
  <c r="C809" i="31"/>
  <c r="B809" i="31"/>
  <c r="A809" i="31"/>
  <c r="C808" i="31"/>
  <c r="B808" i="31"/>
  <c r="A808" i="31"/>
  <c r="C807" i="31"/>
  <c r="B807" i="31"/>
  <c r="A807" i="31"/>
  <c r="C806" i="31"/>
  <c r="B806" i="31"/>
  <c r="A806" i="31"/>
  <c r="C805" i="31"/>
  <c r="B805" i="31"/>
  <c r="A805" i="31"/>
  <c r="C804" i="31"/>
  <c r="B804" i="31"/>
  <c r="A804" i="31"/>
  <c r="C803" i="31"/>
  <c r="B803" i="31"/>
  <c r="A803" i="31"/>
  <c r="C802" i="31"/>
  <c r="B802" i="31"/>
  <c r="A802" i="31"/>
  <c r="C801" i="31"/>
  <c r="B801" i="31"/>
  <c r="A801" i="31"/>
  <c r="C800" i="31"/>
  <c r="B800" i="31"/>
  <c r="A800" i="31"/>
  <c r="C799" i="31"/>
  <c r="B799" i="31"/>
  <c r="A799" i="31"/>
  <c r="C798" i="31"/>
  <c r="B798" i="31"/>
  <c r="A798" i="31"/>
  <c r="C797" i="31"/>
  <c r="B797" i="31"/>
  <c r="A797" i="31"/>
  <c r="C796" i="31"/>
  <c r="B796" i="31"/>
  <c r="A796" i="31"/>
  <c r="C795" i="31"/>
  <c r="B795" i="31"/>
  <c r="A795" i="31"/>
  <c r="C794" i="31"/>
  <c r="B794" i="31"/>
  <c r="A794" i="31"/>
  <c r="C793" i="31"/>
  <c r="B793" i="31"/>
  <c r="A793" i="31"/>
  <c r="C792" i="31"/>
  <c r="B792" i="31"/>
  <c r="A792" i="31"/>
  <c r="C791" i="31"/>
  <c r="B791" i="31"/>
  <c r="A791" i="31"/>
  <c r="C790" i="31"/>
  <c r="B790" i="31"/>
  <c r="A790" i="31"/>
  <c r="C789" i="31"/>
  <c r="B789" i="31"/>
  <c r="A789" i="31"/>
  <c r="C788" i="31"/>
  <c r="B788" i="31"/>
  <c r="A788" i="31"/>
  <c r="C787" i="31"/>
  <c r="B787" i="31"/>
  <c r="A787" i="31"/>
  <c r="C786" i="31"/>
  <c r="B786" i="31"/>
  <c r="A786" i="31"/>
  <c r="C785" i="31"/>
  <c r="B785" i="31"/>
  <c r="A785" i="31"/>
  <c r="C784" i="31"/>
  <c r="B784" i="31"/>
  <c r="A784" i="31"/>
  <c r="C783" i="31"/>
  <c r="B783" i="31"/>
  <c r="A783" i="31"/>
  <c r="C782" i="31"/>
  <c r="B782" i="31"/>
  <c r="A782" i="31"/>
  <c r="C781" i="31"/>
  <c r="B781" i="31"/>
  <c r="A781" i="31"/>
  <c r="C780" i="31"/>
  <c r="B780" i="31"/>
  <c r="A780" i="31"/>
  <c r="C779" i="31"/>
  <c r="B779" i="31"/>
  <c r="A779" i="31"/>
  <c r="C778" i="31"/>
  <c r="B778" i="31"/>
  <c r="A778" i="31"/>
  <c r="C777" i="31"/>
  <c r="B777" i="31"/>
  <c r="A777" i="31"/>
  <c r="C776" i="31"/>
  <c r="B776" i="31"/>
  <c r="A776" i="31"/>
  <c r="C775" i="31"/>
  <c r="B775" i="31"/>
  <c r="A775" i="31"/>
  <c r="C774" i="31"/>
  <c r="B774" i="31"/>
  <c r="A774" i="31"/>
  <c r="C773" i="31"/>
  <c r="B773" i="31"/>
  <c r="A773" i="31"/>
  <c r="C772" i="31"/>
  <c r="B772" i="31"/>
  <c r="A772" i="31"/>
  <c r="C771" i="31"/>
  <c r="B771" i="31"/>
  <c r="A771" i="31"/>
  <c r="C770" i="31"/>
  <c r="B770" i="31"/>
  <c r="A770" i="31"/>
  <c r="C769" i="31"/>
  <c r="B769" i="31"/>
  <c r="A769" i="31"/>
  <c r="C768" i="31"/>
  <c r="B768" i="31"/>
  <c r="A768" i="31"/>
  <c r="C767" i="31"/>
  <c r="B767" i="31"/>
  <c r="A767" i="31"/>
  <c r="C766" i="31"/>
  <c r="B766" i="31"/>
  <c r="A766" i="31"/>
  <c r="C765" i="31"/>
  <c r="B765" i="31"/>
  <c r="A765" i="31"/>
  <c r="C764" i="31"/>
  <c r="B764" i="31"/>
  <c r="A764" i="31"/>
  <c r="C763" i="31"/>
  <c r="B763" i="31"/>
  <c r="A763" i="31"/>
  <c r="C762" i="31"/>
  <c r="B762" i="31"/>
  <c r="A762" i="31"/>
  <c r="C761" i="31"/>
  <c r="B761" i="31"/>
  <c r="A761" i="31"/>
  <c r="C760" i="31"/>
  <c r="B760" i="31"/>
  <c r="A760" i="31"/>
  <c r="C759" i="31"/>
  <c r="B759" i="31"/>
  <c r="A759" i="31"/>
  <c r="C758" i="31"/>
  <c r="B758" i="31"/>
  <c r="A758" i="31"/>
  <c r="C757" i="31"/>
  <c r="B757" i="31"/>
  <c r="A757" i="31"/>
  <c r="C756" i="31"/>
  <c r="B756" i="31"/>
  <c r="A756" i="31"/>
  <c r="C755" i="31"/>
  <c r="B755" i="31"/>
  <c r="A755" i="31"/>
  <c r="C754" i="31"/>
  <c r="B754" i="31"/>
  <c r="A754" i="31"/>
  <c r="C753" i="31"/>
  <c r="B753" i="31"/>
  <c r="A753" i="31"/>
  <c r="C752" i="31"/>
  <c r="B752" i="31"/>
  <c r="A752" i="31"/>
  <c r="C751" i="31"/>
  <c r="B751" i="31"/>
  <c r="A751" i="31"/>
  <c r="C750" i="31"/>
  <c r="B750" i="31"/>
  <c r="A750" i="31"/>
  <c r="C749" i="31"/>
  <c r="B749" i="31"/>
  <c r="A749" i="31"/>
  <c r="C748" i="31"/>
  <c r="B748" i="31"/>
  <c r="A748" i="31"/>
  <c r="C747" i="31"/>
  <c r="B747" i="31"/>
  <c r="A747" i="31"/>
  <c r="C746" i="31"/>
  <c r="B746" i="31"/>
  <c r="A746" i="31"/>
  <c r="C745" i="31"/>
  <c r="B745" i="31"/>
  <c r="A745" i="31"/>
  <c r="C744" i="31"/>
  <c r="B744" i="31"/>
  <c r="A744" i="31"/>
  <c r="C743" i="31"/>
  <c r="B743" i="31"/>
  <c r="A743" i="31"/>
  <c r="C742" i="31"/>
  <c r="B742" i="31"/>
  <c r="A742" i="31"/>
  <c r="C741" i="31"/>
  <c r="B741" i="31"/>
  <c r="A741" i="31"/>
  <c r="C740" i="31"/>
  <c r="B740" i="31"/>
  <c r="A740" i="31"/>
  <c r="C739" i="31"/>
  <c r="B739" i="31"/>
  <c r="A739" i="31"/>
  <c r="C738" i="31"/>
  <c r="B738" i="31"/>
  <c r="A738" i="31"/>
  <c r="C737" i="31"/>
  <c r="B737" i="31"/>
  <c r="A737" i="31"/>
  <c r="C736" i="31"/>
  <c r="B736" i="31"/>
  <c r="A736" i="31"/>
  <c r="C735" i="31"/>
  <c r="B735" i="31"/>
  <c r="A735" i="31"/>
  <c r="C734" i="31"/>
  <c r="B734" i="31"/>
  <c r="A734" i="31"/>
  <c r="C733" i="31"/>
  <c r="B733" i="31"/>
  <c r="A733" i="31"/>
  <c r="C732" i="31"/>
  <c r="B732" i="31"/>
  <c r="A732" i="31"/>
  <c r="C731" i="31"/>
  <c r="B731" i="31"/>
  <c r="A731" i="31"/>
  <c r="C730" i="31"/>
  <c r="B730" i="31"/>
  <c r="A730" i="31"/>
  <c r="C729" i="31"/>
  <c r="B729" i="31"/>
  <c r="A729" i="31"/>
  <c r="C728" i="31"/>
  <c r="B728" i="31"/>
  <c r="A728" i="31"/>
  <c r="C727" i="31"/>
  <c r="B727" i="31"/>
  <c r="A727" i="31"/>
  <c r="C726" i="31"/>
  <c r="B726" i="31"/>
  <c r="A726" i="31"/>
  <c r="C725" i="31"/>
  <c r="B725" i="31"/>
  <c r="A725" i="31"/>
  <c r="C724" i="31"/>
  <c r="B724" i="31"/>
  <c r="A724" i="31"/>
  <c r="C723" i="31"/>
  <c r="B723" i="31"/>
  <c r="A723" i="31"/>
  <c r="C722" i="31"/>
  <c r="B722" i="31"/>
  <c r="A722" i="31"/>
  <c r="C721" i="31"/>
  <c r="B721" i="31"/>
  <c r="A721" i="31"/>
  <c r="C720" i="31"/>
  <c r="B720" i="31"/>
  <c r="A720" i="31"/>
  <c r="C719" i="31"/>
  <c r="B719" i="31"/>
  <c r="A719" i="31"/>
  <c r="C718" i="31"/>
  <c r="B718" i="31"/>
  <c r="A718" i="31"/>
  <c r="C717" i="31"/>
  <c r="B717" i="31"/>
  <c r="A717" i="31"/>
  <c r="C716" i="31"/>
  <c r="B716" i="31"/>
  <c r="A716" i="31"/>
  <c r="C715" i="31"/>
  <c r="B715" i="31"/>
  <c r="A715" i="31"/>
  <c r="C714" i="31"/>
  <c r="B714" i="31"/>
  <c r="A714" i="31"/>
  <c r="C713" i="31"/>
  <c r="B713" i="31"/>
  <c r="A713" i="31"/>
  <c r="C712" i="31"/>
  <c r="B712" i="31"/>
  <c r="A712" i="31"/>
  <c r="C711" i="31"/>
  <c r="B711" i="31"/>
  <c r="A711" i="31"/>
  <c r="C710" i="31"/>
  <c r="B710" i="31"/>
  <c r="A710" i="31"/>
  <c r="C709" i="31"/>
  <c r="B709" i="31"/>
  <c r="A709" i="31"/>
  <c r="C708" i="31"/>
  <c r="B708" i="31"/>
  <c r="A708" i="31"/>
  <c r="C707" i="31"/>
  <c r="B707" i="31"/>
  <c r="A707" i="31"/>
  <c r="C706" i="31"/>
  <c r="B706" i="31"/>
  <c r="A706" i="31"/>
  <c r="C705" i="31"/>
  <c r="B705" i="31"/>
  <c r="A705" i="31"/>
  <c r="C704" i="31"/>
  <c r="B704" i="31"/>
  <c r="A704" i="31"/>
  <c r="C703" i="31"/>
  <c r="B703" i="31"/>
  <c r="A703" i="31"/>
  <c r="C702" i="31"/>
  <c r="B702" i="31"/>
  <c r="A702" i="31"/>
  <c r="C701" i="31"/>
  <c r="B701" i="31"/>
  <c r="A701" i="31"/>
  <c r="C700" i="31"/>
  <c r="B700" i="31"/>
  <c r="A700" i="31"/>
  <c r="C699" i="31"/>
  <c r="B699" i="31"/>
  <c r="A699" i="31"/>
  <c r="C698" i="31"/>
  <c r="B698" i="31"/>
  <c r="A698" i="31"/>
  <c r="C697" i="31"/>
  <c r="B697" i="31"/>
  <c r="A697" i="31"/>
  <c r="C696" i="31"/>
  <c r="B696" i="31"/>
  <c r="A696" i="31"/>
  <c r="C695" i="31"/>
  <c r="B695" i="31"/>
  <c r="A695" i="31"/>
  <c r="C694" i="31"/>
  <c r="B694" i="31"/>
  <c r="A694" i="31"/>
  <c r="C693" i="31"/>
  <c r="B693" i="31"/>
  <c r="A693" i="31"/>
  <c r="C692" i="31"/>
  <c r="B692" i="31"/>
  <c r="A692" i="31"/>
  <c r="C691" i="31"/>
  <c r="B691" i="31"/>
  <c r="A691" i="31"/>
  <c r="C690" i="31"/>
  <c r="B690" i="31"/>
  <c r="A690" i="31"/>
  <c r="C689" i="31"/>
  <c r="B689" i="31"/>
  <c r="A689" i="31"/>
  <c r="C688" i="31"/>
  <c r="B688" i="31"/>
  <c r="A688" i="31"/>
  <c r="C687" i="31"/>
  <c r="B687" i="31"/>
  <c r="A687" i="31"/>
  <c r="C686" i="31"/>
  <c r="B686" i="31"/>
  <c r="A686" i="31"/>
  <c r="C685" i="31"/>
  <c r="B685" i="31"/>
  <c r="A685" i="31"/>
  <c r="C684" i="31"/>
  <c r="B684" i="31"/>
  <c r="A684" i="31"/>
  <c r="C683" i="31"/>
  <c r="B683" i="31"/>
  <c r="A683" i="31"/>
  <c r="C682" i="31"/>
  <c r="B682" i="31"/>
  <c r="A682" i="31"/>
  <c r="C681" i="31"/>
  <c r="B681" i="31"/>
  <c r="A681" i="31"/>
  <c r="C680" i="31"/>
  <c r="B680" i="31"/>
  <c r="A680" i="31"/>
  <c r="C679" i="31"/>
  <c r="B679" i="31"/>
  <c r="A679" i="31"/>
  <c r="C678" i="31"/>
  <c r="B678" i="31"/>
  <c r="A678" i="31"/>
  <c r="C677" i="31"/>
  <c r="B677" i="31"/>
  <c r="A677" i="31"/>
  <c r="C676" i="31"/>
  <c r="B676" i="31"/>
  <c r="A676" i="31"/>
  <c r="C675" i="31"/>
  <c r="B675" i="31"/>
  <c r="A675" i="31"/>
  <c r="C674" i="31"/>
  <c r="B674" i="31"/>
  <c r="A674" i="31"/>
  <c r="C673" i="31"/>
  <c r="B673" i="31"/>
  <c r="A673" i="31"/>
  <c r="C672" i="31"/>
  <c r="B672" i="31"/>
  <c r="A672" i="31"/>
  <c r="C671" i="31"/>
  <c r="B671" i="31"/>
  <c r="A671" i="31"/>
  <c r="C670" i="31"/>
  <c r="B670" i="31"/>
  <c r="A670" i="31"/>
  <c r="C669" i="31"/>
  <c r="B669" i="31"/>
  <c r="A669" i="31"/>
  <c r="C668" i="31"/>
  <c r="B668" i="31"/>
  <c r="A668" i="31"/>
  <c r="C667" i="31"/>
  <c r="B667" i="31"/>
  <c r="A667" i="31"/>
  <c r="C666" i="31"/>
  <c r="B666" i="31"/>
  <c r="A666" i="31"/>
  <c r="C665" i="31"/>
  <c r="B665" i="31"/>
  <c r="A665" i="31"/>
  <c r="C664" i="31"/>
  <c r="B664" i="31"/>
  <c r="A664" i="31"/>
  <c r="C663" i="31"/>
  <c r="B663" i="31"/>
  <c r="A663" i="31"/>
  <c r="C662" i="31"/>
  <c r="B662" i="31"/>
  <c r="A662" i="31"/>
  <c r="C661" i="31"/>
  <c r="B661" i="31"/>
  <c r="A661" i="31"/>
  <c r="C660" i="31"/>
  <c r="B660" i="31"/>
  <c r="A660" i="31"/>
  <c r="C659" i="31"/>
  <c r="B659" i="31"/>
  <c r="A659" i="31"/>
  <c r="C658" i="31"/>
  <c r="B658" i="31"/>
  <c r="A658" i="31"/>
  <c r="C657" i="31"/>
  <c r="B657" i="31"/>
  <c r="A657" i="31"/>
  <c r="C656" i="31"/>
  <c r="B656" i="31"/>
  <c r="A656" i="31"/>
  <c r="C655" i="31"/>
  <c r="B655" i="31"/>
  <c r="A655" i="31"/>
  <c r="C654" i="31"/>
  <c r="B654" i="31"/>
  <c r="A654" i="31"/>
  <c r="C653" i="31"/>
  <c r="B653" i="31"/>
  <c r="A653" i="31"/>
  <c r="C652" i="31"/>
  <c r="B652" i="31"/>
  <c r="A652" i="31"/>
  <c r="C651" i="31"/>
  <c r="B651" i="31"/>
  <c r="A651" i="31"/>
  <c r="C650" i="31"/>
  <c r="B650" i="31"/>
  <c r="A650" i="31"/>
  <c r="C649" i="31"/>
  <c r="B649" i="31"/>
  <c r="A649" i="31"/>
  <c r="C648" i="31"/>
  <c r="B648" i="31"/>
  <c r="A648" i="31"/>
  <c r="C647" i="31"/>
  <c r="B647" i="31"/>
  <c r="A647" i="31"/>
  <c r="C646" i="31"/>
  <c r="B646" i="31"/>
  <c r="A646" i="31"/>
  <c r="C645" i="31"/>
  <c r="B645" i="31"/>
  <c r="A645" i="31"/>
  <c r="C644" i="31"/>
  <c r="B644" i="31"/>
  <c r="A644" i="31"/>
  <c r="C643" i="31"/>
  <c r="B643" i="31"/>
  <c r="A643" i="31"/>
  <c r="C642" i="31"/>
  <c r="B642" i="31"/>
  <c r="A642" i="31"/>
  <c r="C641" i="31"/>
  <c r="B641" i="31"/>
  <c r="A641" i="31"/>
  <c r="C640" i="31"/>
  <c r="B640" i="31"/>
  <c r="A640" i="31"/>
  <c r="C639" i="31"/>
  <c r="B639" i="31"/>
  <c r="A639" i="31"/>
  <c r="C638" i="31"/>
  <c r="B638" i="31"/>
  <c r="A638" i="31"/>
  <c r="C637" i="31"/>
  <c r="B637" i="31"/>
  <c r="A637" i="31"/>
  <c r="C636" i="31"/>
  <c r="B636" i="31"/>
  <c r="A636" i="31"/>
  <c r="C635" i="31"/>
  <c r="B635" i="31"/>
  <c r="A635" i="31"/>
  <c r="C634" i="31"/>
  <c r="B634" i="31"/>
  <c r="A634" i="31"/>
  <c r="C633" i="31"/>
  <c r="B633" i="31"/>
  <c r="A633" i="31"/>
  <c r="C632" i="31"/>
  <c r="B632" i="31"/>
  <c r="A632" i="31"/>
  <c r="C631" i="31"/>
  <c r="B631" i="31"/>
  <c r="A631" i="31"/>
  <c r="C630" i="31"/>
  <c r="B630" i="31"/>
  <c r="A630" i="31"/>
  <c r="C629" i="31"/>
  <c r="B629" i="31"/>
  <c r="A629" i="31"/>
  <c r="C628" i="31"/>
  <c r="B628" i="31"/>
  <c r="A628" i="31"/>
  <c r="C627" i="31"/>
  <c r="B627" i="31"/>
  <c r="A627" i="31"/>
  <c r="C626" i="31"/>
  <c r="B626" i="31"/>
  <c r="A626" i="31"/>
  <c r="C625" i="31"/>
  <c r="B625" i="31"/>
  <c r="A625" i="31"/>
  <c r="C624" i="31"/>
  <c r="B624" i="31"/>
  <c r="A624" i="31"/>
  <c r="C623" i="31"/>
  <c r="B623" i="31"/>
  <c r="A623" i="31"/>
  <c r="C622" i="31"/>
  <c r="B622" i="31"/>
  <c r="A622" i="31"/>
  <c r="C621" i="31"/>
  <c r="B621" i="31"/>
  <c r="A621" i="31"/>
  <c r="C620" i="31"/>
  <c r="B620" i="31"/>
  <c r="A620" i="31"/>
  <c r="C619" i="31"/>
  <c r="B619" i="31"/>
  <c r="A619" i="31"/>
  <c r="C618" i="31"/>
  <c r="B618" i="31"/>
  <c r="A618" i="31"/>
  <c r="C617" i="31"/>
  <c r="B617" i="31"/>
  <c r="A617" i="31"/>
  <c r="C616" i="31"/>
  <c r="B616" i="31"/>
  <c r="A616" i="31"/>
  <c r="C615" i="31"/>
  <c r="B615" i="31"/>
  <c r="A615" i="31"/>
  <c r="C614" i="31"/>
  <c r="B614" i="31"/>
  <c r="A614" i="31"/>
  <c r="C613" i="31"/>
  <c r="B613" i="31"/>
  <c r="A613" i="31"/>
  <c r="C612" i="31"/>
  <c r="B612" i="31"/>
  <c r="A612" i="31"/>
  <c r="C611" i="31"/>
  <c r="B611" i="31"/>
  <c r="A611" i="31"/>
  <c r="C610" i="31"/>
  <c r="B610" i="31"/>
  <c r="A610" i="31"/>
  <c r="C609" i="31"/>
  <c r="B609" i="31"/>
  <c r="A609" i="31"/>
  <c r="C608" i="31"/>
  <c r="B608" i="31"/>
  <c r="A608" i="31"/>
  <c r="C607" i="31"/>
  <c r="B607" i="31"/>
  <c r="A607" i="31"/>
  <c r="C606" i="31"/>
  <c r="B606" i="31"/>
  <c r="A606" i="31"/>
  <c r="C605" i="31"/>
  <c r="B605" i="31"/>
  <c r="A605" i="31"/>
  <c r="C604" i="31"/>
  <c r="B604" i="31"/>
  <c r="A604" i="31"/>
  <c r="C603" i="31"/>
  <c r="B603" i="31"/>
  <c r="A603" i="31"/>
  <c r="C602" i="31"/>
  <c r="B602" i="31"/>
  <c r="A602" i="31"/>
  <c r="C601" i="31"/>
  <c r="B601" i="31"/>
  <c r="A601" i="31"/>
  <c r="C600" i="31"/>
  <c r="B600" i="31"/>
  <c r="A600" i="31"/>
  <c r="C599" i="31"/>
  <c r="B599" i="31"/>
  <c r="A599" i="31"/>
  <c r="C598" i="31"/>
  <c r="B598" i="31"/>
  <c r="A598" i="31"/>
  <c r="C597" i="31"/>
  <c r="B597" i="31"/>
  <c r="A597" i="31"/>
  <c r="C596" i="31"/>
  <c r="B596" i="31"/>
  <c r="A596" i="31"/>
  <c r="C595" i="31"/>
  <c r="B595" i="31"/>
  <c r="A595" i="31"/>
  <c r="C594" i="31"/>
  <c r="B594" i="31"/>
  <c r="A594" i="31"/>
  <c r="C593" i="31"/>
  <c r="B593" i="31"/>
  <c r="A593" i="31"/>
  <c r="C592" i="31"/>
  <c r="B592" i="31"/>
  <c r="A592" i="31"/>
  <c r="C591" i="31"/>
  <c r="B591" i="31"/>
  <c r="A591" i="31"/>
  <c r="C590" i="31"/>
  <c r="B590" i="31"/>
  <c r="A590" i="31"/>
  <c r="C589" i="31"/>
  <c r="B589" i="31"/>
  <c r="A589" i="31"/>
  <c r="C588" i="31"/>
  <c r="B588" i="31"/>
  <c r="A588" i="31"/>
  <c r="C587" i="31"/>
  <c r="B587" i="31"/>
  <c r="A587" i="31"/>
  <c r="C586" i="31"/>
  <c r="B586" i="31"/>
  <c r="A586" i="31"/>
  <c r="C585" i="31"/>
  <c r="B585" i="31"/>
  <c r="A585" i="31"/>
  <c r="C584" i="31"/>
  <c r="B584" i="31"/>
  <c r="A584" i="31"/>
  <c r="C583" i="31"/>
  <c r="B583" i="31"/>
  <c r="A583" i="31"/>
  <c r="C582" i="31"/>
  <c r="B582" i="31"/>
  <c r="A582" i="31"/>
  <c r="C581" i="31"/>
  <c r="B581" i="31"/>
  <c r="A581" i="31"/>
  <c r="C580" i="31"/>
  <c r="B580" i="31"/>
  <c r="A580" i="31"/>
  <c r="C579" i="31"/>
  <c r="B579" i="31"/>
  <c r="A579" i="31"/>
  <c r="C578" i="31"/>
  <c r="B578" i="31"/>
  <c r="A578" i="31"/>
  <c r="C577" i="31"/>
  <c r="B577" i="31"/>
  <c r="A577" i="31"/>
  <c r="C576" i="31"/>
  <c r="B576" i="31"/>
  <c r="A576" i="31"/>
  <c r="C575" i="31"/>
  <c r="B575" i="31"/>
  <c r="A575" i="31"/>
  <c r="C574" i="31"/>
  <c r="B574" i="31"/>
  <c r="A574" i="31"/>
  <c r="C573" i="31"/>
  <c r="B573" i="31"/>
  <c r="A573" i="31"/>
  <c r="C572" i="31"/>
  <c r="B572" i="31"/>
  <c r="A572" i="31"/>
  <c r="C571" i="31"/>
  <c r="B571" i="31"/>
  <c r="A571" i="31"/>
  <c r="C570" i="31"/>
  <c r="B570" i="31"/>
  <c r="A570" i="31"/>
  <c r="C569" i="31"/>
  <c r="B569" i="31"/>
  <c r="A569" i="31"/>
  <c r="C568" i="31"/>
  <c r="B568" i="31"/>
  <c r="A568" i="31"/>
  <c r="C567" i="31"/>
  <c r="B567" i="31"/>
  <c r="A567" i="31"/>
  <c r="C566" i="31"/>
  <c r="B566" i="31"/>
  <c r="A566" i="31"/>
  <c r="C565" i="31"/>
  <c r="B565" i="31"/>
  <c r="A565" i="31"/>
  <c r="C564" i="31"/>
  <c r="B564" i="31"/>
  <c r="A564" i="31"/>
  <c r="C563" i="31"/>
  <c r="B563" i="31"/>
  <c r="A563" i="31"/>
  <c r="C562" i="31"/>
  <c r="B562" i="31"/>
  <c r="A562" i="31"/>
  <c r="C561" i="31"/>
  <c r="B561" i="31"/>
  <c r="A561" i="31"/>
  <c r="C560" i="31"/>
  <c r="B560" i="31"/>
  <c r="A560" i="31"/>
  <c r="C559" i="31"/>
  <c r="B559" i="31"/>
  <c r="A559" i="31"/>
  <c r="C558" i="31"/>
  <c r="B558" i="31"/>
  <c r="A558" i="31"/>
  <c r="C557" i="31"/>
  <c r="B557" i="31"/>
  <c r="A557" i="31"/>
  <c r="C556" i="31"/>
  <c r="B556" i="31"/>
  <c r="A556" i="31"/>
  <c r="C555" i="31"/>
  <c r="B555" i="31"/>
  <c r="A555" i="31"/>
  <c r="C554" i="31"/>
  <c r="B554" i="31"/>
  <c r="A554" i="31"/>
  <c r="C553" i="31"/>
  <c r="B553" i="31"/>
  <c r="A553" i="31"/>
  <c r="C552" i="31"/>
  <c r="B552" i="31"/>
  <c r="A552" i="31"/>
  <c r="C551" i="31"/>
  <c r="B551" i="31"/>
  <c r="A551" i="31"/>
  <c r="C550" i="31"/>
  <c r="B550" i="31"/>
  <c r="A550" i="31"/>
  <c r="C549" i="31"/>
  <c r="B549" i="31"/>
  <c r="A549" i="31"/>
  <c r="C548" i="31"/>
  <c r="B548" i="31"/>
  <c r="A548" i="31"/>
  <c r="C547" i="31"/>
  <c r="B547" i="31"/>
  <c r="A547" i="31"/>
  <c r="C546" i="31"/>
  <c r="B546" i="31"/>
  <c r="A546" i="31"/>
  <c r="C545" i="31"/>
  <c r="B545" i="31"/>
  <c r="A545" i="31"/>
  <c r="C544" i="31"/>
  <c r="B544" i="31"/>
  <c r="A544" i="31"/>
  <c r="C543" i="31"/>
  <c r="B543" i="31"/>
  <c r="A543" i="31"/>
  <c r="C542" i="31"/>
  <c r="B542" i="31"/>
  <c r="A542" i="31"/>
  <c r="C541" i="31"/>
  <c r="B541" i="31"/>
  <c r="A541" i="31"/>
  <c r="C540" i="31"/>
  <c r="B540" i="31"/>
  <c r="A540" i="31"/>
  <c r="C539" i="31"/>
  <c r="B539" i="31"/>
  <c r="A539" i="31"/>
  <c r="C538" i="31"/>
  <c r="B538" i="31"/>
  <c r="A538" i="31"/>
  <c r="C537" i="31"/>
  <c r="B537" i="31"/>
  <c r="A537" i="31"/>
  <c r="C536" i="31"/>
  <c r="B536" i="31"/>
  <c r="A536" i="31"/>
  <c r="C535" i="31"/>
  <c r="B535" i="31"/>
  <c r="A535" i="31"/>
  <c r="C534" i="31"/>
  <c r="B534" i="31"/>
  <c r="A534" i="31"/>
  <c r="C533" i="31"/>
  <c r="B533" i="31"/>
  <c r="A533" i="31"/>
  <c r="C532" i="31"/>
  <c r="B532" i="31"/>
  <c r="A532" i="31"/>
  <c r="C531" i="31"/>
  <c r="B531" i="31"/>
  <c r="A531" i="31"/>
  <c r="C530" i="31"/>
  <c r="B530" i="31"/>
  <c r="A530" i="31"/>
  <c r="C529" i="31"/>
  <c r="B529" i="31"/>
  <c r="A529" i="31"/>
  <c r="C528" i="31"/>
  <c r="B528" i="31"/>
  <c r="A528" i="31"/>
  <c r="C527" i="31"/>
  <c r="B527" i="31"/>
  <c r="A527" i="31"/>
  <c r="C526" i="31"/>
  <c r="B526" i="31"/>
  <c r="A526" i="31"/>
  <c r="C525" i="31"/>
  <c r="B525" i="31"/>
  <c r="A525" i="31"/>
  <c r="C524" i="31"/>
  <c r="B524" i="31"/>
  <c r="A524" i="31"/>
  <c r="C523" i="31"/>
  <c r="B523" i="31"/>
  <c r="A523" i="31"/>
  <c r="C522" i="31"/>
  <c r="B522" i="31"/>
  <c r="A522" i="31"/>
  <c r="C521" i="31"/>
  <c r="B521" i="31"/>
  <c r="A521" i="31"/>
  <c r="C520" i="31"/>
  <c r="B520" i="31"/>
  <c r="A520" i="31"/>
  <c r="C519" i="31"/>
  <c r="B519" i="31"/>
  <c r="A519" i="31"/>
  <c r="C518" i="31"/>
  <c r="B518" i="31"/>
  <c r="A518" i="31"/>
  <c r="C517" i="31"/>
  <c r="B517" i="31"/>
  <c r="A517" i="31"/>
  <c r="C516" i="31"/>
  <c r="B516" i="31"/>
  <c r="A516" i="31"/>
  <c r="C515" i="31"/>
  <c r="B515" i="31"/>
  <c r="A515" i="31"/>
  <c r="C514" i="31"/>
  <c r="B514" i="31"/>
  <c r="A514" i="31"/>
  <c r="C513" i="31"/>
  <c r="B513" i="31"/>
  <c r="A513" i="31"/>
  <c r="C512" i="31"/>
  <c r="B512" i="31"/>
  <c r="A512" i="31"/>
  <c r="C511" i="31"/>
  <c r="B511" i="31"/>
  <c r="A511" i="31"/>
  <c r="C510" i="31"/>
  <c r="B510" i="31"/>
  <c r="A510" i="31"/>
  <c r="C509" i="31"/>
  <c r="B509" i="31"/>
  <c r="A509" i="31"/>
  <c r="C508" i="31"/>
  <c r="B508" i="31"/>
  <c r="A508" i="31"/>
  <c r="C507" i="31"/>
  <c r="B507" i="31"/>
  <c r="A507" i="31"/>
  <c r="C506" i="31"/>
  <c r="B506" i="31"/>
  <c r="A506" i="31"/>
  <c r="C505" i="31"/>
  <c r="B505" i="31"/>
  <c r="A505" i="31"/>
  <c r="C504" i="31"/>
  <c r="B504" i="31"/>
  <c r="A504" i="31"/>
  <c r="C503" i="31"/>
  <c r="B503" i="31"/>
  <c r="A503" i="31"/>
  <c r="C502" i="31"/>
  <c r="B502" i="31"/>
  <c r="A502" i="31"/>
  <c r="C501" i="31"/>
  <c r="B501" i="31"/>
  <c r="A501" i="31"/>
  <c r="C500" i="31"/>
  <c r="B500" i="31"/>
  <c r="A500" i="31"/>
  <c r="C499" i="31"/>
  <c r="B499" i="31"/>
  <c r="A499" i="31"/>
  <c r="C498" i="31"/>
  <c r="B498" i="31"/>
  <c r="A498" i="31"/>
  <c r="C497" i="31"/>
  <c r="B497" i="31"/>
  <c r="A497" i="31"/>
  <c r="C496" i="31"/>
  <c r="B496" i="31"/>
  <c r="A496" i="31"/>
  <c r="C495" i="31"/>
  <c r="B495" i="31"/>
  <c r="A495" i="31"/>
  <c r="C494" i="31"/>
  <c r="B494" i="31"/>
  <c r="A494" i="31"/>
  <c r="C493" i="31"/>
  <c r="B493" i="31"/>
  <c r="A493" i="31"/>
  <c r="C492" i="31"/>
  <c r="B492" i="31"/>
  <c r="A492" i="31"/>
  <c r="C491" i="31"/>
  <c r="B491" i="31"/>
  <c r="A491" i="31"/>
  <c r="C490" i="31"/>
  <c r="B490" i="31"/>
  <c r="A490" i="31"/>
  <c r="C489" i="31"/>
  <c r="B489" i="31"/>
  <c r="A489" i="31"/>
  <c r="C488" i="31"/>
  <c r="B488" i="31"/>
  <c r="A488" i="31"/>
  <c r="C487" i="31"/>
  <c r="B487" i="31"/>
  <c r="A487" i="31"/>
  <c r="C486" i="31"/>
  <c r="B486" i="31"/>
  <c r="A486" i="31"/>
  <c r="C485" i="31"/>
  <c r="B485" i="31"/>
  <c r="A485" i="31"/>
  <c r="C484" i="31"/>
  <c r="B484" i="31"/>
  <c r="A484" i="31"/>
  <c r="C483" i="31"/>
  <c r="B483" i="31"/>
  <c r="A483" i="31"/>
  <c r="C482" i="31"/>
  <c r="B482" i="31"/>
  <c r="A482" i="31"/>
  <c r="C481" i="31"/>
  <c r="B481" i="31"/>
  <c r="A481" i="31"/>
  <c r="C480" i="31"/>
  <c r="B480" i="31"/>
  <c r="A480" i="31"/>
  <c r="C479" i="31"/>
  <c r="B479" i="31"/>
  <c r="A479" i="31"/>
  <c r="C478" i="31"/>
  <c r="B478" i="31"/>
  <c r="A478" i="31"/>
  <c r="C477" i="31"/>
  <c r="B477" i="31"/>
  <c r="A477" i="31"/>
  <c r="C476" i="31"/>
  <c r="B476" i="31"/>
  <c r="A476" i="31"/>
  <c r="C475" i="31"/>
  <c r="B475" i="31"/>
  <c r="A475" i="31"/>
  <c r="C474" i="31"/>
  <c r="B474" i="31"/>
  <c r="A474" i="31"/>
  <c r="C473" i="31"/>
  <c r="B473" i="31"/>
  <c r="A473" i="31"/>
  <c r="C472" i="31"/>
  <c r="B472" i="31"/>
  <c r="A472" i="31"/>
  <c r="C471" i="31"/>
  <c r="B471" i="31"/>
  <c r="A471" i="31"/>
  <c r="C470" i="31"/>
  <c r="B470" i="31"/>
  <c r="A470" i="31"/>
  <c r="C469" i="31"/>
  <c r="B469" i="31"/>
  <c r="A469" i="31"/>
  <c r="C468" i="31"/>
  <c r="B468" i="31"/>
  <c r="A468" i="31"/>
  <c r="C467" i="31"/>
  <c r="B467" i="31"/>
  <c r="A467" i="31"/>
  <c r="C466" i="31"/>
  <c r="B466" i="31"/>
  <c r="A466" i="31"/>
  <c r="C465" i="31"/>
  <c r="B465" i="31"/>
  <c r="A465" i="31"/>
  <c r="C464" i="31"/>
  <c r="B464" i="31"/>
  <c r="A464" i="31"/>
  <c r="C463" i="31"/>
  <c r="B463" i="31"/>
  <c r="A463" i="31"/>
  <c r="C462" i="31"/>
  <c r="B462" i="31"/>
  <c r="A462" i="31"/>
  <c r="C461" i="31"/>
  <c r="B461" i="31"/>
  <c r="A461" i="31"/>
  <c r="C460" i="31"/>
  <c r="B460" i="31"/>
  <c r="A460" i="31"/>
  <c r="C459" i="31"/>
  <c r="B459" i="31"/>
  <c r="A459" i="31"/>
  <c r="C458" i="31"/>
  <c r="B458" i="31"/>
  <c r="A458" i="31"/>
  <c r="C457" i="31"/>
  <c r="B457" i="31"/>
  <c r="A457" i="31"/>
  <c r="C456" i="31"/>
  <c r="B456" i="31"/>
  <c r="A456" i="31"/>
  <c r="C455" i="31"/>
  <c r="B455" i="31"/>
  <c r="A455" i="31"/>
  <c r="C454" i="31"/>
  <c r="B454" i="31"/>
  <c r="A454" i="31"/>
  <c r="C453" i="31"/>
  <c r="B453" i="31"/>
  <c r="A453" i="31"/>
  <c r="C452" i="31"/>
  <c r="B452" i="31"/>
  <c r="A452" i="31"/>
  <c r="C451" i="31"/>
  <c r="B451" i="31"/>
  <c r="A451" i="31"/>
  <c r="C450" i="31"/>
  <c r="B450" i="31"/>
  <c r="A450" i="31"/>
  <c r="C449" i="31"/>
  <c r="B449" i="31"/>
  <c r="A449" i="31"/>
  <c r="C448" i="31"/>
  <c r="B448" i="31"/>
  <c r="A448" i="31"/>
  <c r="C447" i="31"/>
  <c r="B447" i="31"/>
  <c r="A447" i="31"/>
  <c r="C446" i="31"/>
  <c r="B446" i="31"/>
  <c r="A446" i="31"/>
  <c r="C445" i="31"/>
  <c r="B445" i="31"/>
  <c r="A445" i="31"/>
  <c r="C444" i="31"/>
  <c r="B444" i="31"/>
  <c r="A444" i="31"/>
  <c r="C443" i="31"/>
  <c r="B443" i="31"/>
  <c r="A443" i="31"/>
  <c r="C442" i="31"/>
  <c r="B442" i="31"/>
  <c r="A442" i="31"/>
  <c r="C441" i="31"/>
  <c r="B441" i="31"/>
  <c r="A441" i="31"/>
  <c r="C440" i="31"/>
  <c r="B440" i="31"/>
  <c r="A440" i="31"/>
  <c r="C439" i="31"/>
  <c r="B439" i="31"/>
  <c r="A439" i="31"/>
  <c r="C438" i="31"/>
  <c r="B438" i="31"/>
  <c r="A438" i="31"/>
  <c r="C437" i="31"/>
  <c r="B437" i="31"/>
  <c r="A437" i="31"/>
  <c r="C436" i="31"/>
  <c r="B436" i="31"/>
  <c r="A436" i="31"/>
  <c r="C435" i="31"/>
  <c r="B435" i="31"/>
  <c r="A435" i="31"/>
  <c r="C434" i="31"/>
  <c r="B434" i="31"/>
  <c r="A434" i="31"/>
  <c r="C433" i="31"/>
  <c r="B433" i="31"/>
  <c r="A433" i="31"/>
  <c r="C432" i="31"/>
  <c r="B432" i="31"/>
  <c r="A432" i="31"/>
  <c r="C431" i="31"/>
  <c r="B431" i="31"/>
  <c r="A431" i="31"/>
  <c r="C430" i="31"/>
  <c r="B430" i="31"/>
  <c r="A430" i="31"/>
  <c r="C429" i="31"/>
  <c r="B429" i="31"/>
  <c r="A429" i="31"/>
  <c r="C428" i="31"/>
  <c r="B428" i="31"/>
  <c r="A428" i="31"/>
  <c r="C427" i="31"/>
  <c r="B427" i="31"/>
  <c r="A427" i="31"/>
  <c r="C426" i="31"/>
  <c r="B426" i="31"/>
  <c r="A426" i="31"/>
  <c r="C425" i="31"/>
  <c r="B425" i="31"/>
  <c r="A425" i="31"/>
  <c r="C424" i="31"/>
  <c r="B424" i="31"/>
  <c r="A424" i="31"/>
  <c r="C423" i="31"/>
  <c r="B423" i="31"/>
  <c r="A423" i="31"/>
  <c r="C422" i="31"/>
  <c r="B422" i="31"/>
  <c r="A422" i="31"/>
  <c r="C421" i="31"/>
  <c r="B421" i="31"/>
  <c r="A421" i="31"/>
  <c r="C420" i="31"/>
  <c r="B420" i="31"/>
  <c r="A420" i="31"/>
  <c r="C419" i="31"/>
  <c r="B419" i="31"/>
  <c r="A419" i="31"/>
  <c r="C418" i="31"/>
  <c r="B418" i="31"/>
  <c r="A418" i="31"/>
  <c r="C417" i="31"/>
  <c r="B417" i="31"/>
  <c r="A417" i="31"/>
  <c r="C416" i="31"/>
  <c r="B416" i="31"/>
  <c r="A416" i="31"/>
  <c r="C415" i="31"/>
  <c r="B415" i="31"/>
  <c r="A415" i="31"/>
  <c r="C414" i="31"/>
  <c r="B414" i="31"/>
  <c r="A414" i="31"/>
  <c r="C413" i="31"/>
  <c r="B413" i="31"/>
  <c r="A413" i="31"/>
  <c r="C412" i="31"/>
  <c r="B412" i="31"/>
  <c r="A412" i="31"/>
  <c r="C411" i="31"/>
  <c r="B411" i="31"/>
  <c r="A411" i="31"/>
  <c r="C410" i="31"/>
  <c r="B410" i="31"/>
  <c r="A410" i="31"/>
  <c r="C409" i="31"/>
  <c r="B409" i="31"/>
  <c r="A409" i="31"/>
  <c r="C408" i="31"/>
  <c r="B408" i="31"/>
  <c r="A408" i="31"/>
  <c r="C407" i="31"/>
  <c r="B407" i="31"/>
  <c r="A407" i="31"/>
  <c r="C406" i="31"/>
  <c r="B406" i="31"/>
  <c r="A406" i="31"/>
  <c r="C405" i="31"/>
  <c r="B405" i="31"/>
  <c r="A405" i="31"/>
  <c r="C404" i="31"/>
  <c r="B404" i="31"/>
  <c r="A404" i="31"/>
  <c r="C403" i="31"/>
  <c r="B403" i="31"/>
  <c r="A403" i="31"/>
  <c r="C402" i="31"/>
  <c r="B402" i="31"/>
  <c r="A402" i="31"/>
  <c r="C401" i="31"/>
  <c r="B401" i="31"/>
  <c r="A401" i="31"/>
  <c r="C400" i="31"/>
  <c r="B400" i="31"/>
  <c r="A400" i="31"/>
  <c r="C399" i="31"/>
  <c r="B399" i="31"/>
  <c r="A399" i="31"/>
  <c r="C398" i="31"/>
  <c r="B398" i="31"/>
  <c r="A398" i="31"/>
  <c r="C397" i="31"/>
  <c r="B397" i="31"/>
  <c r="A397" i="31"/>
  <c r="C396" i="31"/>
  <c r="B396" i="31"/>
  <c r="A396" i="31"/>
  <c r="C395" i="31"/>
  <c r="B395" i="31"/>
  <c r="A395" i="31"/>
  <c r="C394" i="31"/>
  <c r="B394" i="31"/>
  <c r="A394" i="31"/>
  <c r="C393" i="31"/>
  <c r="B393" i="31"/>
  <c r="A393" i="31"/>
  <c r="C392" i="31"/>
  <c r="B392" i="31"/>
  <c r="A392" i="31"/>
  <c r="C391" i="31"/>
  <c r="B391" i="31"/>
  <c r="A391" i="31"/>
  <c r="C390" i="31"/>
  <c r="B390" i="31"/>
  <c r="A390" i="31"/>
  <c r="C389" i="31"/>
  <c r="B389" i="31"/>
  <c r="A389" i="31"/>
  <c r="C388" i="31"/>
  <c r="B388" i="31"/>
  <c r="A388" i="31"/>
  <c r="C387" i="31"/>
  <c r="B387" i="31"/>
  <c r="A387" i="31"/>
  <c r="C386" i="31"/>
  <c r="B386" i="31"/>
  <c r="A386" i="31"/>
  <c r="C385" i="31"/>
  <c r="B385" i="31"/>
  <c r="A385" i="31"/>
  <c r="C384" i="31"/>
  <c r="B384" i="31"/>
  <c r="A384" i="31"/>
  <c r="C383" i="31"/>
  <c r="B383" i="31"/>
  <c r="A383" i="31"/>
  <c r="C382" i="31"/>
  <c r="B382" i="31"/>
  <c r="A382" i="31"/>
  <c r="C381" i="31"/>
  <c r="B381" i="31"/>
  <c r="A381" i="31"/>
  <c r="C380" i="31"/>
  <c r="B380" i="31"/>
  <c r="A380" i="31"/>
  <c r="C379" i="31"/>
  <c r="B379" i="31"/>
  <c r="A379" i="31"/>
  <c r="C378" i="31"/>
  <c r="B378" i="31"/>
  <c r="A378" i="31"/>
  <c r="C377" i="31"/>
  <c r="B377" i="31"/>
  <c r="A377" i="31"/>
  <c r="C376" i="31"/>
  <c r="B376" i="31"/>
  <c r="A376" i="31"/>
  <c r="C375" i="31"/>
  <c r="B375" i="31"/>
  <c r="A375" i="31"/>
  <c r="C374" i="31"/>
  <c r="B374" i="31"/>
  <c r="A374" i="31"/>
  <c r="C373" i="31"/>
  <c r="B373" i="31"/>
  <c r="A373" i="31"/>
  <c r="C372" i="31"/>
  <c r="B372" i="31"/>
  <c r="A372" i="31"/>
  <c r="C371" i="31"/>
  <c r="B371" i="31"/>
  <c r="A371" i="31"/>
  <c r="C370" i="31"/>
  <c r="B370" i="31"/>
  <c r="A370" i="31"/>
  <c r="C369" i="31"/>
  <c r="B369" i="31"/>
  <c r="A369" i="31"/>
  <c r="C368" i="31"/>
  <c r="B368" i="31"/>
  <c r="A368" i="31"/>
  <c r="C367" i="31"/>
  <c r="B367" i="31"/>
  <c r="A367" i="31"/>
  <c r="C366" i="31"/>
  <c r="B366" i="31"/>
  <c r="A366" i="31"/>
  <c r="C365" i="31"/>
  <c r="B365" i="31"/>
  <c r="A365" i="31"/>
  <c r="C364" i="31"/>
  <c r="B364" i="31"/>
  <c r="A364" i="31"/>
  <c r="C363" i="31"/>
  <c r="B363" i="31"/>
  <c r="A363" i="31"/>
  <c r="C362" i="31"/>
  <c r="B362" i="31"/>
  <c r="A362" i="31"/>
  <c r="C361" i="31"/>
  <c r="B361" i="31"/>
  <c r="A361" i="31"/>
  <c r="C360" i="31"/>
  <c r="B360" i="31"/>
  <c r="A360" i="31"/>
  <c r="C359" i="31"/>
  <c r="B359" i="31"/>
  <c r="A359" i="31"/>
  <c r="C358" i="31"/>
  <c r="B358" i="31"/>
  <c r="A358" i="31"/>
  <c r="C357" i="31"/>
  <c r="B357" i="31"/>
  <c r="A357" i="31"/>
  <c r="C356" i="31"/>
  <c r="B356" i="31"/>
  <c r="A356" i="31"/>
  <c r="C355" i="31"/>
  <c r="B355" i="31"/>
  <c r="A355" i="31"/>
  <c r="C354" i="31"/>
  <c r="B354" i="31"/>
  <c r="A354" i="31"/>
  <c r="C353" i="31"/>
  <c r="B353" i="31"/>
  <c r="A353" i="31"/>
  <c r="C352" i="31"/>
  <c r="B352" i="31"/>
  <c r="A352" i="31"/>
  <c r="C351" i="31"/>
  <c r="B351" i="31"/>
  <c r="A351" i="31"/>
  <c r="C350" i="31"/>
  <c r="B350" i="31"/>
  <c r="A350" i="31"/>
  <c r="C349" i="31"/>
  <c r="B349" i="31"/>
  <c r="A349" i="31"/>
  <c r="C348" i="31"/>
  <c r="B348" i="31"/>
  <c r="A348" i="31"/>
  <c r="C347" i="31"/>
  <c r="B347" i="31"/>
  <c r="A347" i="31"/>
  <c r="C346" i="31"/>
  <c r="B346" i="31"/>
  <c r="A346" i="31"/>
  <c r="C345" i="31"/>
  <c r="B345" i="31"/>
  <c r="A345" i="31"/>
  <c r="C344" i="31"/>
  <c r="B344" i="31"/>
  <c r="A344" i="31"/>
  <c r="C343" i="31"/>
  <c r="B343" i="31"/>
  <c r="A343" i="31"/>
  <c r="C342" i="31"/>
  <c r="B342" i="31"/>
  <c r="A342" i="31"/>
  <c r="C341" i="31"/>
  <c r="B341" i="31"/>
  <c r="A341" i="31"/>
  <c r="C340" i="31"/>
  <c r="B340" i="31"/>
  <c r="A340" i="31"/>
  <c r="C339" i="31"/>
  <c r="B339" i="31"/>
  <c r="A339" i="31"/>
  <c r="C338" i="31"/>
  <c r="B338" i="31"/>
  <c r="A338" i="31"/>
  <c r="C337" i="31"/>
  <c r="B337" i="31"/>
  <c r="A337" i="31"/>
  <c r="C336" i="31"/>
  <c r="B336" i="31"/>
  <c r="A336" i="31"/>
  <c r="C335" i="31"/>
  <c r="B335" i="31"/>
  <c r="A335" i="31"/>
  <c r="C334" i="31"/>
  <c r="B334" i="31"/>
  <c r="A334" i="31"/>
  <c r="C333" i="31"/>
  <c r="B333" i="31"/>
  <c r="A333" i="31"/>
  <c r="C332" i="31"/>
  <c r="B332" i="31"/>
  <c r="A332" i="31"/>
  <c r="C331" i="31"/>
  <c r="B331" i="31"/>
  <c r="A331" i="31"/>
  <c r="C330" i="31"/>
  <c r="B330" i="31"/>
  <c r="A330" i="31"/>
  <c r="C329" i="31"/>
  <c r="B329" i="31"/>
  <c r="A329" i="31"/>
  <c r="C328" i="31"/>
  <c r="B328" i="31"/>
  <c r="A328" i="31"/>
  <c r="C327" i="31"/>
  <c r="B327" i="31"/>
  <c r="A327" i="31"/>
  <c r="C326" i="31"/>
  <c r="B326" i="31"/>
  <c r="A326" i="31"/>
  <c r="C325" i="31"/>
  <c r="B325" i="31"/>
  <c r="A325" i="31"/>
  <c r="C324" i="31"/>
  <c r="B324" i="31"/>
  <c r="A324" i="31"/>
  <c r="C323" i="31"/>
  <c r="B323" i="31"/>
  <c r="A323" i="31"/>
  <c r="C322" i="31"/>
  <c r="B322" i="31"/>
  <c r="A322" i="31"/>
  <c r="C321" i="31"/>
  <c r="B321" i="31"/>
  <c r="A321" i="31"/>
  <c r="C320" i="31"/>
  <c r="B320" i="31"/>
  <c r="A320" i="31"/>
  <c r="C319" i="31"/>
  <c r="B319" i="31"/>
  <c r="A319" i="31"/>
  <c r="C318" i="31"/>
  <c r="B318" i="31"/>
  <c r="A318" i="31"/>
  <c r="C317" i="31"/>
  <c r="B317" i="31"/>
  <c r="A317" i="31"/>
  <c r="C316" i="31"/>
  <c r="B316" i="31"/>
  <c r="A316" i="31"/>
  <c r="C315" i="31"/>
  <c r="B315" i="31"/>
  <c r="A315" i="31"/>
  <c r="C314" i="31"/>
  <c r="B314" i="31"/>
  <c r="A314" i="31"/>
  <c r="C313" i="31"/>
  <c r="B313" i="31"/>
  <c r="A313" i="31"/>
  <c r="C312" i="31"/>
  <c r="B312" i="31"/>
  <c r="A312" i="31"/>
  <c r="C311" i="31"/>
  <c r="B311" i="31"/>
  <c r="A311" i="31"/>
  <c r="C310" i="31"/>
  <c r="B310" i="31"/>
  <c r="A310" i="31"/>
  <c r="C309" i="31"/>
  <c r="B309" i="31"/>
  <c r="A309" i="31"/>
  <c r="C308" i="31"/>
  <c r="B308" i="31"/>
  <c r="A308" i="31"/>
  <c r="C307" i="31"/>
  <c r="B307" i="31"/>
  <c r="A307" i="31"/>
  <c r="C306" i="31"/>
  <c r="B306" i="31"/>
  <c r="A306" i="31"/>
  <c r="C305" i="31"/>
  <c r="B305" i="31"/>
  <c r="A305" i="31"/>
  <c r="C304" i="31"/>
  <c r="B304" i="31"/>
  <c r="A304" i="31"/>
  <c r="C303" i="31"/>
  <c r="B303" i="31"/>
  <c r="A303" i="31"/>
  <c r="C302" i="31"/>
  <c r="B302" i="31"/>
  <c r="A302" i="31"/>
  <c r="C301" i="31"/>
  <c r="B301" i="31"/>
  <c r="A301" i="31"/>
  <c r="C300" i="31"/>
  <c r="B300" i="31"/>
  <c r="A300" i="31"/>
  <c r="C299" i="31"/>
  <c r="B299" i="31"/>
  <c r="A299" i="31"/>
  <c r="C298" i="31"/>
  <c r="B298" i="31"/>
  <c r="A298" i="31"/>
  <c r="C297" i="31"/>
  <c r="B297" i="31"/>
  <c r="A297" i="31"/>
  <c r="C296" i="31"/>
  <c r="B296" i="31"/>
  <c r="A296" i="31"/>
  <c r="C295" i="31"/>
  <c r="B295" i="31"/>
  <c r="A295" i="31"/>
  <c r="C294" i="31"/>
  <c r="B294" i="31"/>
  <c r="A294" i="31"/>
  <c r="C293" i="31"/>
  <c r="B293" i="31"/>
  <c r="A293" i="31"/>
  <c r="C292" i="31"/>
  <c r="B292" i="31"/>
  <c r="A292" i="31"/>
  <c r="C291" i="31"/>
  <c r="B291" i="31"/>
  <c r="A291" i="31"/>
  <c r="C290" i="31"/>
  <c r="B290" i="31"/>
  <c r="A290" i="31"/>
  <c r="C289" i="31"/>
  <c r="B289" i="31"/>
  <c r="A289" i="31"/>
  <c r="C288" i="31"/>
  <c r="B288" i="31"/>
  <c r="A288" i="31"/>
  <c r="C287" i="31"/>
  <c r="B287" i="31"/>
  <c r="A287" i="31"/>
  <c r="C286" i="31"/>
  <c r="B286" i="31"/>
  <c r="A286" i="31"/>
  <c r="C285" i="31"/>
  <c r="B285" i="31"/>
  <c r="A285" i="31"/>
  <c r="C284" i="31"/>
  <c r="B284" i="31"/>
  <c r="A284" i="31"/>
  <c r="C283" i="31"/>
  <c r="B283" i="31"/>
  <c r="A283" i="31"/>
  <c r="C282" i="31"/>
  <c r="B282" i="31"/>
  <c r="A282" i="31"/>
  <c r="C281" i="31"/>
  <c r="B281" i="31"/>
  <c r="A281" i="31"/>
  <c r="C280" i="31"/>
  <c r="B280" i="31"/>
  <c r="A280" i="31"/>
  <c r="C279" i="31"/>
  <c r="B279" i="31"/>
  <c r="A279" i="31"/>
  <c r="C278" i="31"/>
  <c r="B278" i="31"/>
  <c r="A278" i="31"/>
  <c r="C277" i="31"/>
  <c r="B277" i="31"/>
  <c r="A277" i="31"/>
  <c r="C276" i="31"/>
  <c r="B276" i="31"/>
  <c r="A276" i="31"/>
  <c r="C275" i="31"/>
  <c r="B275" i="31"/>
  <c r="A275" i="31"/>
  <c r="C274" i="31"/>
  <c r="B274" i="31"/>
  <c r="A274" i="31"/>
  <c r="C273" i="31"/>
  <c r="B273" i="31"/>
  <c r="A273" i="31"/>
  <c r="C272" i="31"/>
  <c r="B272" i="31"/>
  <c r="A272" i="31"/>
  <c r="C271" i="31"/>
  <c r="B271" i="31"/>
  <c r="A271" i="31"/>
  <c r="C270" i="31"/>
  <c r="B270" i="31"/>
  <c r="A270" i="31"/>
  <c r="C269" i="31"/>
  <c r="B269" i="31"/>
  <c r="A269" i="31"/>
  <c r="C268" i="31"/>
  <c r="B268" i="31"/>
  <c r="A268" i="31"/>
  <c r="C267" i="31"/>
  <c r="B267" i="31"/>
  <c r="A267" i="31"/>
  <c r="C266" i="31"/>
  <c r="B266" i="31"/>
  <c r="A266" i="31"/>
  <c r="C265" i="31"/>
  <c r="B265" i="31"/>
  <c r="A265" i="31"/>
  <c r="C264" i="31"/>
  <c r="B264" i="31"/>
  <c r="A264" i="31"/>
  <c r="C263" i="31"/>
  <c r="B263" i="31"/>
  <c r="A263" i="31"/>
  <c r="C262" i="31"/>
  <c r="B262" i="31"/>
  <c r="A262" i="31"/>
  <c r="C261" i="31"/>
  <c r="B261" i="31"/>
  <c r="A261" i="31"/>
  <c r="C260" i="31"/>
  <c r="B260" i="31"/>
  <c r="A260" i="31"/>
  <c r="C259" i="31"/>
  <c r="B259" i="31"/>
  <c r="A259" i="31"/>
  <c r="C258" i="31"/>
  <c r="B258" i="31"/>
  <c r="A258" i="31"/>
  <c r="C257" i="31"/>
  <c r="B257" i="31"/>
  <c r="A257" i="31"/>
  <c r="C256" i="31"/>
  <c r="B256" i="31"/>
  <c r="A256" i="31"/>
  <c r="C255" i="31"/>
  <c r="B255" i="31"/>
  <c r="A255" i="31"/>
  <c r="C254" i="31"/>
  <c r="B254" i="31"/>
  <c r="A254" i="31"/>
  <c r="C253" i="31"/>
  <c r="B253" i="31"/>
  <c r="A253" i="31"/>
  <c r="C252" i="31"/>
  <c r="B252" i="31"/>
  <c r="A252" i="31"/>
  <c r="C251" i="31"/>
  <c r="B251" i="31"/>
  <c r="A251" i="31"/>
  <c r="C250" i="31"/>
  <c r="B250" i="31"/>
  <c r="A250" i="31"/>
  <c r="C249" i="31"/>
  <c r="B249" i="31"/>
  <c r="A249" i="31"/>
  <c r="C248" i="31"/>
  <c r="B248" i="31"/>
  <c r="A248" i="31"/>
  <c r="C247" i="31"/>
  <c r="B247" i="31"/>
  <c r="A247" i="31"/>
  <c r="C246" i="31"/>
  <c r="B246" i="31"/>
  <c r="A246" i="31"/>
  <c r="C245" i="31"/>
  <c r="B245" i="31"/>
  <c r="A245" i="31"/>
  <c r="C244" i="31"/>
  <c r="B244" i="31"/>
  <c r="A244" i="31"/>
  <c r="C243" i="31"/>
  <c r="B243" i="31"/>
  <c r="A243" i="31"/>
  <c r="C242" i="31"/>
  <c r="B242" i="31"/>
  <c r="A242" i="31"/>
  <c r="C241" i="31"/>
  <c r="B241" i="31"/>
  <c r="A241" i="31"/>
  <c r="C240" i="31"/>
  <c r="B240" i="31"/>
  <c r="A240" i="31"/>
  <c r="C239" i="31"/>
  <c r="B239" i="31"/>
  <c r="A239" i="31"/>
  <c r="C238" i="31"/>
  <c r="B238" i="31"/>
  <c r="A238" i="31"/>
  <c r="C237" i="31"/>
  <c r="B237" i="31"/>
  <c r="A237" i="31"/>
  <c r="C236" i="31"/>
  <c r="B236" i="31"/>
  <c r="A236" i="31"/>
  <c r="C235" i="31"/>
  <c r="B235" i="31"/>
  <c r="A235" i="31"/>
  <c r="C234" i="31"/>
  <c r="B234" i="31"/>
  <c r="A234" i="31"/>
  <c r="C233" i="31"/>
  <c r="B233" i="31"/>
  <c r="A233" i="31"/>
  <c r="C232" i="31"/>
  <c r="B232" i="31"/>
  <c r="A232" i="31"/>
  <c r="C231" i="31"/>
  <c r="B231" i="31"/>
  <c r="A231" i="31"/>
  <c r="C230" i="31"/>
  <c r="B230" i="31"/>
  <c r="A230" i="31"/>
  <c r="C229" i="31"/>
  <c r="B229" i="31"/>
  <c r="A229" i="31"/>
  <c r="C228" i="31"/>
  <c r="B228" i="31"/>
  <c r="A228" i="31"/>
  <c r="C227" i="31"/>
  <c r="B227" i="31"/>
  <c r="A227" i="31"/>
  <c r="C226" i="31"/>
  <c r="B226" i="31"/>
  <c r="A226" i="31"/>
  <c r="C225" i="31"/>
  <c r="B225" i="31"/>
  <c r="A225" i="31"/>
  <c r="C224" i="31"/>
  <c r="B224" i="31"/>
  <c r="A224" i="31"/>
  <c r="C223" i="31"/>
  <c r="B223" i="31"/>
  <c r="A223" i="31"/>
  <c r="C222" i="31"/>
  <c r="B222" i="31"/>
  <c r="A222" i="31"/>
  <c r="C221" i="31"/>
  <c r="B221" i="31"/>
  <c r="A221" i="31"/>
  <c r="C220" i="31"/>
  <c r="B220" i="31"/>
  <c r="A220" i="31"/>
  <c r="C219" i="31"/>
  <c r="B219" i="31"/>
  <c r="A219" i="31"/>
  <c r="C218" i="31"/>
  <c r="B218" i="31"/>
  <c r="A218" i="31"/>
  <c r="C217" i="31"/>
  <c r="B217" i="31"/>
  <c r="A217" i="31"/>
  <c r="C216" i="31"/>
  <c r="B216" i="31"/>
  <c r="A216" i="31"/>
  <c r="C215" i="31"/>
  <c r="B215" i="31"/>
  <c r="A215" i="31"/>
  <c r="C214" i="31"/>
  <c r="B214" i="31"/>
  <c r="A214" i="31"/>
  <c r="C213" i="31"/>
  <c r="B213" i="31"/>
  <c r="A213" i="31"/>
  <c r="C212" i="31"/>
  <c r="B212" i="31"/>
  <c r="A212" i="31"/>
  <c r="C211" i="31"/>
  <c r="B211" i="31"/>
  <c r="A211" i="31"/>
  <c r="C210" i="31"/>
  <c r="B210" i="31"/>
  <c r="A210" i="31"/>
  <c r="C209" i="31"/>
  <c r="B209" i="31"/>
  <c r="A209" i="31"/>
  <c r="C208" i="31"/>
  <c r="B208" i="31"/>
  <c r="A208" i="31"/>
  <c r="C207" i="31"/>
  <c r="B207" i="31"/>
  <c r="A207" i="31"/>
  <c r="C206" i="31"/>
  <c r="B206" i="31"/>
  <c r="A206" i="31"/>
  <c r="C205" i="31"/>
  <c r="B205" i="31"/>
  <c r="A205" i="31"/>
  <c r="C204" i="31"/>
  <c r="B204" i="31"/>
  <c r="A204" i="31"/>
  <c r="C203" i="31"/>
  <c r="B203" i="31"/>
  <c r="A203" i="31"/>
  <c r="C202" i="31"/>
  <c r="B202" i="31"/>
  <c r="A202" i="31"/>
  <c r="C201" i="31"/>
  <c r="B201" i="31"/>
  <c r="A201" i="31"/>
  <c r="C200" i="31"/>
  <c r="B200" i="31"/>
  <c r="A200" i="31"/>
  <c r="C199" i="31"/>
  <c r="B199" i="31"/>
  <c r="A199" i="31"/>
  <c r="C198" i="31"/>
  <c r="B198" i="31"/>
  <c r="A198" i="31"/>
  <c r="C197" i="31"/>
  <c r="B197" i="31"/>
  <c r="A197" i="31"/>
  <c r="C196" i="31"/>
  <c r="B196" i="31"/>
  <c r="A196" i="31"/>
  <c r="C195" i="31"/>
  <c r="B195" i="31"/>
  <c r="A195" i="31"/>
  <c r="C194" i="31"/>
  <c r="B194" i="31"/>
  <c r="A194" i="31"/>
  <c r="C193" i="31"/>
  <c r="B193" i="31"/>
  <c r="A193" i="31"/>
  <c r="C192" i="31"/>
  <c r="B192" i="31"/>
  <c r="A192" i="31"/>
  <c r="C191" i="31"/>
  <c r="B191" i="31"/>
  <c r="A191" i="31"/>
  <c r="C190" i="31"/>
  <c r="B190" i="31"/>
  <c r="A190" i="31"/>
  <c r="C189" i="31"/>
  <c r="B189" i="31"/>
  <c r="A189" i="31"/>
  <c r="C188" i="31"/>
  <c r="B188" i="31"/>
  <c r="A188" i="31"/>
  <c r="C187" i="31"/>
  <c r="B187" i="31"/>
  <c r="A187" i="31"/>
  <c r="C186" i="31"/>
  <c r="B186" i="31"/>
  <c r="A186" i="31"/>
  <c r="C185" i="31"/>
  <c r="B185" i="31"/>
  <c r="A185" i="31"/>
  <c r="C184" i="31"/>
  <c r="B184" i="31"/>
  <c r="A184" i="31"/>
  <c r="C183" i="31"/>
  <c r="B183" i="31"/>
  <c r="A183" i="31"/>
  <c r="C182" i="31"/>
  <c r="B182" i="31"/>
  <c r="A182" i="31"/>
  <c r="C181" i="31"/>
  <c r="B181" i="31"/>
  <c r="A181" i="31"/>
  <c r="C180" i="31"/>
  <c r="B180" i="31"/>
  <c r="A180" i="31"/>
  <c r="C179" i="31"/>
  <c r="B179" i="31"/>
  <c r="A179" i="31"/>
  <c r="C178" i="31"/>
  <c r="B178" i="31"/>
  <c r="A178" i="31"/>
  <c r="C177" i="31"/>
  <c r="B177" i="31"/>
  <c r="A177" i="31"/>
  <c r="C176" i="31"/>
  <c r="B176" i="31"/>
  <c r="A176" i="31"/>
  <c r="C175" i="31"/>
  <c r="B175" i="31"/>
  <c r="A175" i="31"/>
  <c r="C174" i="31"/>
  <c r="B174" i="31"/>
  <c r="A174" i="31"/>
  <c r="C173" i="31"/>
  <c r="B173" i="31"/>
  <c r="A173" i="31"/>
  <c r="C172" i="31"/>
  <c r="B172" i="31"/>
  <c r="A172" i="31"/>
  <c r="C171" i="31"/>
  <c r="B171" i="31"/>
  <c r="A171" i="31"/>
  <c r="C170" i="31"/>
  <c r="B170" i="31"/>
  <c r="A170" i="31"/>
  <c r="C169" i="31"/>
  <c r="B169" i="31"/>
  <c r="A169" i="31"/>
  <c r="C168" i="31"/>
  <c r="B168" i="31"/>
  <c r="A168" i="31"/>
  <c r="C167" i="31"/>
  <c r="B167" i="31"/>
  <c r="A167" i="31"/>
  <c r="C166" i="31"/>
  <c r="B166" i="31"/>
  <c r="A166" i="31"/>
  <c r="C165" i="31"/>
  <c r="B165" i="31"/>
  <c r="A165" i="31"/>
  <c r="C164" i="31"/>
  <c r="B164" i="31"/>
  <c r="A164" i="31"/>
  <c r="C163" i="31"/>
  <c r="B163" i="31"/>
  <c r="A163" i="31"/>
  <c r="C162" i="31"/>
  <c r="B162" i="31"/>
  <c r="A162" i="31"/>
  <c r="C161" i="31"/>
  <c r="B161" i="31"/>
  <c r="A161" i="31"/>
  <c r="C160" i="31"/>
  <c r="B160" i="31"/>
  <c r="A160" i="31"/>
  <c r="C159" i="31"/>
  <c r="B159" i="31"/>
  <c r="A159" i="31"/>
  <c r="C158" i="31"/>
  <c r="B158" i="31"/>
  <c r="A158" i="31"/>
  <c r="C157" i="31"/>
  <c r="B157" i="31"/>
  <c r="A157" i="31"/>
  <c r="C156" i="31"/>
  <c r="B156" i="31"/>
  <c r="A156" i="31"/>
  <c r="C155" i="31"/>
  <c r="B155" i="31"/>
  <c r="A155" i="31"/>
  <c r="C154" i="31"/>
  <c r="B154" i="31"/>
  <c r="A154" i="31"/>
  <c r="C153" i="31"/>
  <c r="B153" i="31"/>
  <c r="A153" i="31"/>
  <c r="C152" i="31"/>
  <c r="B152" i="31"/>
  <c r="A152" i="31"/>
  <c r="C151" i="31"/>
  <c r="B151" i="31"/>
  <c r="A151" i="31"/>
  <c r="C150" i="31"/>
  <c r="B150" i="31"/>
  <c r="A150" i="31"/>
  <c r="C149" i="31"/>
  <c r="B149" i="31"/>
  <c r="A149" i="31"/>
  <c r="C148" i="31"/>
  <c r="B148" i="31"/>
  <c r="A148" i="31"/>
  <c r="C147" i="31"/>
  <c r="B147" i="31"/>
  <c r="A147" i="31"/>
  <c r="C146" i="31"/>
  <c r="B146" i="31"/>
  <c r="A146" i="31"/>
  <c r="C145" i="31"/>
  <c r="B145" i="31"/>
  <c r="A145" i="31"/>
  <c r="C144" i="31"/>
  <c r="B144" i="31"/>
  <c r="A144" i="31"/>
  <c r="C143" i="31"/>
  <c r="B143" i="31"/>
  <c r="A143" i="31"/>
  <c r="C142" i="31"/>
  <c r="B142" i="31"/>
  <c r="A142" i="31"/>
  <c r="C141" i="31"/>
  <c r="B141" i="31"/>
  <c r="A141" i="31"/>
  <c r="C140" i="31"/>
  <c r="B140" i="31"/>
  <c r="A140" i="31"/>
  <c r="C139" i="31"/>
  <c r="B139" i="31"/>
  <c r="A139" i="31"/>
  <c r="C138" i="31"/>
  <c r="B138" i="31"/>
  <c r="A138" i="31"/>
  <c r="C137" i="31"/>
  <c r="B137" i="31"/>
  <c r="A137" i="31"/>
  <c r="C136" i="31"/>
  <c r="B136" i="31"/>
  <c r="A136" i="31"/>
  <c r="C135" i="31"/>
  <c r="B135" i="31"/>
  <c r="A135" i="31"/>
  <c r="C134" i="31"/>
  <c r="B134" i="31"/>
  <c r="A134" i="31"/>
  <c r="C133" i="31"/>
  <c r="B133" i="31"/>
  <c r="A133" i="31"/>
  <c r="C132" i="31"/>
  <c r="B132" i="31"/>
  <c r="A132" i="31"/>
  <c r="C131" i="31"/>
  <c r="B131" i="31"/>
  <c r="A131" i="31"/>
  <c r="C130" i="31"/>
  <c r="B130" i="31"/>
  <c r="A130" i="31"/>
  <c r="C129" i="31"/>
  <c r="B129" i="31"/>
  <c r="A129" i="31"/>
  <c r="C128" i="31"/>
  <c r="B128" i="31"/>
  <c r="A128" i="31"/>
  <c r="C127" i="31"/>
  <c r="B127" i="31"/>
  <c r="A127" i="31"/>
  <c r="C126" i="31"/>
  <c r="B126" i="31"/>
  <c r="A126" i="31"/>
  <c r="C125" i="31"/>
  <c r="B125" i="31"/>
  <c r="A125" i="31"/>
  <c r="C124" i="31"/>
  <c r="B124" i="31"/>
  <c r="A124" i="31"/>
  <c r="C123" i="31"/>
  <c r="B123" i="31"/>
  <c r="A123" i="31"/>
  <c r="C122" i="31"/>
  <c r="B122" i="31"/>
  <c r="A122" i="31"/>
  <c r="C121" i="31"/>
  <c r="B121" i="31"/>
  <c r="A121" i="31"/>
  <c r="C120" i="31"/>
  <c r="B120" i="31"/>
  <c r="A120" i="31"/>
  <c r="C119" i="31"/>
  <c r="B119" i="31"/>
  <c r="A119" i="31"/>
  <c r="C118" i="31"/>
  <c r="B118" i="31"/>
  <c r="A118" i="31"/>
  <c r="C117" i="31"/>
  <c r="B117" i="31"/>
  <c r="A117" i="31"/>
  <c r="C116" i="31"/>
  <c r="B116" i="31"/>
  <c r="A116" i="31"/>
  <c r="C115" i="31"/>
  <c r="B115" i="31"/>
  <c r="A115" i="31"/>
  <c r="C114" i="31"/>
  <c r="B114" i="31"/>
  <c r="A114" i="31"/>
  <c r="C113" i="31"/>
  <c r="B113" i="31"/>
  <c r="A113" i="31"/>
  <c r="C112" i="31"/>
  <c r="B112" i="31"/>
  <c r="A112" i="31"/>
  <c r="C111" i="31"/>
  <c r="B111" i="31"/>
  <c r="A111" i="31"/>
  <c r="C110" i="31"/>
  <c r="B110" i="31"/>
  <c r="A110" i="31"/>
  <c r="C109" i="31"/>
  <c r="B109" i="31"/>
  <c r="A109" i="31"/>
  <c r="C108" i="31"/>
  <c r="B108" i="31"/>
  <c r="A108" i="31"/>
  <c r="C107" i="31"/>
  <c r="B107" i="31"/>
  <c r="A107" i="31"/>
  <c r="C106" i="31"/>
  <c r="B106" i="31"/>
  <c r="A106" i="31"/>
  <c r="C105" i="31"/>
  <c r="B105" i="31"/>
  <c r="A105" i="31"/>
  <c r="C104" i="31"/>
  <c r="B104" i="31"/>
  <c r="A104" i="31"/>
  <c r="C103" i="31"/>
  <c r="B103" i="31"/>
  <c r="A103" i="31"/>
  <c r="C102" i="31"/>
  <c r="B102" i="31"/>
  <c r="A102" i="31"/>
  <c r="C101" i="31"/>
  <c r="B101" i="31"/>
  <c r="A101" i="31"/>
  <c r="C100" i="31"/>
  <c r="B100" i="31"/>
  <c r="A100" i="31"/>
  <c r="C99" i="31"/>
  <c r="B99" i="31"/>
  <c r="A99" i="31"/>
  <c r="C98" i="31"/>
  <c r="B98" i="31"/>
  <c r="A98" i="31"/>
  <c r="C97" i="31"/>
  <c r="B97" i="31"/>
  <c r="A97" i="31"/>
  <c r="C96" i="31"/>
  <c r="B96" i="31"/>
  <c r="A96" i="31"/>
  <c r="C95" i="31"/>
  <c r="B95" i="31"/>
  <c r="A95" i="31"/>
  <c r="C94" i="31"/>
  <c r="B94" i="31"/>
  <c r="A94" i="31"/>
  <c r="C93" i="31"/>
  <c r="B93" i="31"/>
  <c r="A93" i="31"/>
  <c r="C92" i="31"/>
  <c r="B92" i="31"/>
  <c r="A92" i="31"/>
  <c r="C91" i="31"/>
  <c r="B91" i="31"/>
  <c r="A91" i="31"/>
  <c r="C90" i="31"/>
  <c r="B90" i="31"/>
  <c r="A90" i="31"/>
  <c r="C89" i="31"/>
  <c r="B89" i="31"/>
  <c r="A89" i="31"/>
  <c r="C88" i="31"/>
  <c r="B88" i="31"/>
  <c r="A88" i="31"/>
  <c r="C87" i="31"/>
  <c r="B87" i="31"/>
  <c r="A87" i="31"/>
  <c r="C86" i="31"/>
  <c r="B86" i="31"/>
  <c r="A86" i="31"/>
  <c r="C85" i="31"/>
  <c r="B85" i="31"/>
  <c r="A85" i="31"/>
  <c r="C84" i="31"/>
  <c r="B84" i="31"/>
  <c r="A84" i="31"/>
  <c r="C83" i="31"/>
  <c r="B83" i="31"/>
  <c r="A83" i="31"/>
  <c r="C82" i="31"/>
  <c r="B82" i="31"/>
  <c r="A82" i="31"/>
  <c r="C81" i="31"/>
  <c r="B81" i="31"/>
  <c r="A81" i="31"/>
  <c r="C80" i="31"/>
  <c r="B80" i="31"/>
  <c r="A80" i="31"/>
  <c r="C79" i="31"/>
  <c r="B79" i="31"/>
  <c r="A79" i="31"/>
  <c r="C78" i="31"/>
  <c r="B78" i="31"/>
  <c r="A78" i="31"/>
  <c r="C77" i="31"/>
  <c r="B77" i="31"/>
  <c r="A77" i="31"/>
  <c r="C76" i="31"/>
  <c r="B76" i="31"/>
  <c r="A76" i="31"/>
  <c r="C75" i="31"/>
  <c r="B75" i="31"/>
  <c r="A75" i="31"/>
  <c r="C74" i="31"/>
  <c r="B74" i="31"/>
  <c r="A74" i="31"/>
  <c r="C73" i="31"/>
  <c r="B73" i="31"/>
  <c r="A73" i="31"/>
  <c r="C72" i="31"/>
  <c r="B72" i="31"/>
  <c r="A72" i="31"/>
  <c r="C71" i="31"/>
  <c r="B71" i="31"/>
  <c r="A71" i="31"/>
  <c r="C70" i="31"/>
  <c r="B70" i="31"/>
  <c r="A70" i="31"/>
  <c r="C69" i="31"/>
  <c r="B69" i="31"/>
  <c r="A69" i="31"/>
  <c r="C68" i="31"/>
  <c r="B68" i="31"/>
  <c r="A68" i="31"/>
  <c r="C67" i="31"/>
  <c r="B67" i="31"/>
  <c r="A67" i="31"/>
  <c r="C66" i="31"/>
  <c r="B66" i="31"/>
  <c r="A66" i="31"/>
  <c r="C65" i="31"/>
  <c r="B65" i="31"/>
  <c r="A65" i="31"/>
  <c r="C64" i="31"/>
  <c r="B64" i="31"/>
  <c r="A64" i="31"/>
  <c r="C63" i="31"/>
  <c r="B63" i="31"/>
  <c r="A63" i="31"/>
  <c r="C62" i="31"/>
  <c r="B62" i="31"/>
  <c r="A62" i="31"/>
  <c r="C61" i="31"/>
  <c r="B61" i="31"/>
  <c r="A61" i="31"/>
  <c r="C60" i="31"/>
  <c r="B60" i="31"/>
  <c r="A60" i="31"/>
  <c r="C59" i="31"/>
  <c r="B59" i="31"/>
  <c r="A59" i="31"/>
  <c r="C58" i="31"/>
  <c r="B58" i="31"/>
  <c r="A58" i="31"/>
  <c r="C57" i="31"/>
  <c r="B57" i="31"/>
  <c r="A57" i="31"/>
  <c r="C56" i="31"/>
  <c r="B56" i="31"/>
  <c r="A56" i="31"/>
  <c r="C55" i="31"/>
  <c r="B55" i="31"/>
  <c r="A55" i="31"/>
  <c r="C54" i="31"/>
  <c r="B54" i="31"/>
  <c r="A54" i="31"/>
  <c r="C53" i="31"/>
  <c r="B53" i="31"/>
  <c r="A53" i="31"/>
  <c r="C52" i="31"/>
  <c r="B52" i="31"/>
  <c r="A52" i="31"/>
  <c r="C51" i="31"/>
  <c r="B51" i="31"/>
  <c r="A51" i="31"/>
  <c r="C50" i="31"/>
  <c r="B50" i="31"/>
  <c r="A50" i="31"/>
  <c r="C49" i="31"/>
  <c r="B49" i="31"/>
  <c r="A49" i="31"/>
  <c r="C48" i="31"/>
  <c r="B48" i="31"/>
  <c r="A48" i="31"/>
  <c r="C47" i="31"/>
  <c r="B47" i="31"/>
  <c r="A47" i="31"/>
  <c r="C46" i="31"/>
  <c r="B46" i="31"/>
  <c r="A46" i="31"/>
  <c r="C45" i="31"/>
  <c r="B45" i="31"/>
  <c r="A45" i="31"/>
  <c r="C44" i="31"/>
  <c r="B44" i="31"/>
  <c r="A44" i="31"/>
  <c r="C43" i="31"/>
  <c r="B43" i="31"/>
  <c r="A43" i="31"/>
  <c r="C42" i="31"/>
  <c r="B42" i="31"/>
  <c r="A42" i="31"/>
  <c r="C41" i="31"/>
  <c r="B41" i="31"/>
  <c r="A41" i="31"/>
  <c r="C40" i="31"/>
  <c r="B40" i="31"/>
  <c r="A40" i="31"/>
  <c r="C39" i="31"/>
  <c r="B39" i="31"/>
  <c r="A39" i="31"/>
  <c r="C38" i="31"/>
  <c r="B38" i="31"/>
  <c r="A38" i="31"/>
  <c r="C37" i="31"/>
  <c r="B37" i="31"/>
  <c r="A37" i="31"/>
  <c r="C36" i="31"/>
  <c r="B36" i="31"/>
  <c r="A36" i="31"/>
  <c r="C35" i="31"/>
  <c r="B35" i="31"/>
  <c r="A35" i="31"/>
  <c r="C34" i="31"/>
  <c r="B34" i="31"/>
  <c r="A34" i="31"/>
  <c r="C33" i="31"/>
  <c r="B33" i="31"/>
  <c r="A33" i="31"/>
  <c r="C32" i="31"/>
  <c r="B32" i="31"/>
  <c r="A32" i="31"/>
  <c r="C31" i="31"/>
  <c r="B31" i="31"/>
  <c r="A31" i="31"/>
  <c r="C30" i="31"/>
  <c r="B30" i="31"/>
  <c r="A30" i="31"/>
  <c r="C29" i="31"/>
  <c r="B29" i="31"/>
  <c r="A29" i="31"/>
  <c r="C28" i="31"/>
  <c r="B28" i="31"/>
  <c r="A28" i="31"/>
  <c r="C27" i="31"/>
  <c r="B27" i="31"/>
  <c r="A27" i="31"/>
  <c r="C26" i="31"/>
  <c r="B26" i="31"/>
  <c r="A26" i="31"/>
  <c r="C25" i="31"/>
  <c r="B25" i="31"/>
  <c r="A25" i="31"/>
  <c r="C24" i="31"/>
  <c r="B24" i="31"/>
  <c r="A24" i="31"/>
  <c r="C23" i="31"/>
  <c r="B23" i="31"/>
  <c r="A23" i="31"/>
  <c r="C22" i="31"/>
  <c r="B22" i="31"/>
  <c r="A22" i="31"/>
  <c r="C21" i="31"/>
  <c r="B21" i="31"/>
  <c r="A21" i="31"/>
  <c r="C20" i="31"/>
  <c r="B20" i="31"/>
  <c r="A20" i="31"/>
  <c r="C19" i="31"/>
  <c r="B19" i="31"/>
  <c r="A19" i="31"/>
  <c r="C18" i="31"/>
  <c r="B18" i="31"/>
  <c r="A18" i="31"/>
  <c r="C17" i="31"/>
  <c r="B17" i="31"/>
  <c r="A17" i="31"/>
  <c r="C16" i="31"/>
  <c r="B16" i="31"/>
  <c r="A16" i="31"/>
  <c r="C15" i="31"/>
  <c r="B15" i="31"/>
  <c r="A15" i="31"/>
  <c r="C14" i="31"/>
  <c r="B14" i="31"/>
  <c r="A14" i="31"/>
  <c r="C13" i="31"/>
  <c r="B13" i="31"/>
  <c r="A13" i="31"/>
  <c r="C12" i="31"/>
  <c r="B12" i="31"/>
  <c r="A12" i="31"/>
  <c r="C11" i="31"/>
  <c r="B11" i="31"/>
  <c r="A11" i="31"/>
  <c r="C10" i="31"/>
  <c r="B10" i="31"/>
  <c r="A10" i="31"/>
  <c r="C9" i="31"/>
  <c r="B9" i="31"/>
  <c r="A9" i="31"/>
  <c r="C8" i="31"/>
  <c r="B8" i="31"/>
  <c r="A8" i="31"/>
  <c r="C7" i="31"/>
  <c r="B7" i="31"/>
  <c r="A7" i="31"/>
</calcChain>
</file>

<file path=xl/sharedStrings.xml><?xml version="1.0" encoding="utf-8"?>
<sst xmlns="http://schemas.openxmlformats.org/spreadsheetml/2006/main" count="5428" uniqueCount="69">
  <si>
    <t>Unnamed: 0</t>
  </si>
  <si>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</si>
  <si>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</si>
  <si>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</si>
  <si>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</si>
  <si>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</si>
  <si>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</si>
  <si>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</si>
  <si>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</si>
  <si>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</si>
  <si>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</si>
  <si>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</si>
  <si>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</si>
  <si>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</si>
  <si>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</si>
  <si>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</si>
  <si>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</si>
  <si>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</si>
  <si>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</si>
  <si>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</si>
  <si>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</si>
  <si>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</si>
  <si>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</si>
  <si>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</si>
  <si>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</si>
  <si>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</si>
  <si>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</si>
  <si>
    <t>Selecione o eixo X:</t>
  </si>
  <si>
    <t>Selecione o eixo Y:</t>
  </si>
  <si>
    <t>Selecione o eixo Z:</t>
  </si>
  <si>
    <t>Eixo X</t>
  </si>
  <si>
    <t>Eixo Y</t>
  </si>
  <si>
    <t>Eixo Z</t>
  </si>
  <si>
    <t>Capacidade op. [ha/h]</t>
  </si>
  <si>
    <t>Massa de combustível [kg]</t>
  </si>
  <si>
    <t>N° voo</t>
  </si>
  <si>
    <t>Abastecimento</t>
  </si>
  <si>
    <t>Ha</t>
  </si>
  <si>
    <t>Capacidade op. corrigida [ha/h]</t>
  </si>
  <si>
    <t>%</t>
  </si>
  <si>
    <t>Resultado 0</t>
  </si>
  <si>
    <t>Resultado 1</t>
  </si>
  <si>
    <t>Resultado 2</t>
  </si>
  <si>
    <t>Resultado 3</t>
  </si>
  <si>
    <t>Resultado 4</t>
  </si>
  <si>
    <t>Resultado 5</t>
  </si>
  <si>
    <t>Resultado 6</t>
  </si>
  <si>
    <t>Resultado 7</t>
  </si>
  <si>
    <t>Resultado 8</t>
  </si>
  <si>
    <t>Resultado 9</t>
  </si>
  <si>
    <t>Resultado 10</t>
  </si>
  <si>
    <t>Resultado 11</t>
  </si>
  <si>
    <t>Resultado 12</t>
  </si>
  <si>
    <t>Resultado 13</t>
  </si>
  <si>
    <t>Resultado 14</t>
  </si>
  <si>
    <t>Resultado 15</t>
  </si>
  <si>
    <t>Resultado 16</t>
  </si>
  <si>
    <t>Resultado 17</t>
  </si>
  <si>
    <t>Resultado 18</t>
  </si>
  <si>
    <t>Resultado 19</t>
  </si>
  <si>
    <t>Resultado 20</t>
  </si>
  <si>
    <t>Resultado 21</t>
  </si>
  <si>
    <t>Resultado 22</t>
  </si>
  <si>
    <t>Resultado 23</t>
  </si>
  <si>
    <t>Resultado 24</t>
  </si>
  <si>
    <t>Resultado 25</t>
  </si>
  <si>
    <t>Resultado 26</t>
  </si>
  <si>
    <t>Resultado 27</t>
  </si>
  <si>
    <t>Resultado 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</si>
</sst>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BR"/>
              <a:t>Capacidade Operacional vs Volume de Calda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xVal>
            <c:numRef>
              <c:f>'Resultados Geral'!$C$2:$C$30</c:f>
              <c:numCache>
                <c:formatCode>General</c:formatCode>
                <c:ptCount val="29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45</c:v>
                </c:pt>
                <c:pt idx="8">
                  <c:v>50</c:v>
                </c:pt>
                <c:pt idx="9">
                  <c:v>55</c:v>
                </c:pt>
                <c:pt idx="10">
                  <c:v>60</c:v>
                </c:pt>
                <c:pt idx="11">
                  <c:v>65</c:v>
                </c:pt>
                <c:pt idx="12">
                  <c:v>70</c:v>
                </c:pt>
                <c:pt idx="13">
                  <c:v>75</c:v>
                </c:pt>
                <c:pt idx="14">
                  <c:v>80</c:v>
                </c:pt>
                <c:pt idx="15">
                  <c:v>85</c:v>
                </c:pt>
                <c:pt idx="16">
                  <c:v>90</c:v>
                </c:pt>
                <c:pt idx="17">
                  <c:v>95</c:v>
                </c:pt>
                <c:pt idx="18">
                  <c:v>100</c:v>
                </c:pt>
                <c:pt idx="19">
                  <c:v>105</c:v>
                </c:pt>
                <c:pt idx="20">
                  <c:v>110</c:v>
                </c:pt>
                <c:pt idx="21">
                  <c:v>115</c:v>
                </c:pt>
                <c:pt idx="22">
                  <c:v>120</c:v>
                </c:pt>
                <c:pt idx="23">
                  <c:v>125</c:v>
                </c:pt>
                <c:pt idx="24">
                  <c:v>130</c:v>
                </c:pt>
                <c:pt idx="25">
                  <c:v>135</c:v>
                </c:pt>
                <c:pt idx="26">
                  <c:v>140</c:v>
                </c:pt>
                <c:pt idx="27">
                  <c:v>145</c:v>
                </c:pt>
                <c:pt idx="28">
                  <c:v>150</c:v>
                </c:pt>
              </c:numCache>
            </c:numRef>
          </c:xVal>
          <c:yVal>
            <c:numRef>
              <c:f>'Resultados Geral'!$I$2:$I$30</c:f>
              <c:numCache>
                <c:formatCode>General</c:formatCode>
                <c:ptCount val="29"/>
                <c:pt idx="0">
                  <c:v>1.77264</c:v>
                </c:pt>
                <c:pt idx="1">
                  <c:v>1.80576</c:v>
                </c:pt>
                <c:pt idx="2">
                  <c:v>1.8166880000000001</c:v>
                </c:pt>
                <c:pt idx="3">
                  <c:v>1.8175520000000001</c:v>
                </c:pt>
                <c:pt idx="4">
                  <c:v>1.8173280000000001</c:v>
                </c:pt>
                <c:pt idx="5">
                  <c:v>1.8121119999999999</c:v>
                </c:pt>
                <c:pt idx="6">
                  <c:v>1.8033760000000001</c:v>
                </c:pt>
                <c:pt idx="7">
                  <c:v>1.7989279999999999</c:v>
                </c:pt>
                <c:pt idx="8">
                  <c:v>1.786816</c:v>
                </c:pt>
                <c:pt idx="9">
                  <c:v>1.783056</c:v>
                </c:pt>
                <c:pt idx="10">
                  <c:v>1.7718240000000001</c:v>
                </c:pt>
                <c:pt idx="11">
                  <c:v>1.761744</c:v>
                </c:pt>
                <c:pt idx="12">
                  <c:v>1.7589920000000001</c:v>
                </c:pt>
                <c:pt idx="13">
                  <c:v>1.750176</c:v>
                </c:pt>
                <c:pt idx="14">
                  <c:v>1.740016</c:v>
                </c:pt>
                <c:pt idx="15">
                  <c:v>1.7295679999999998</c:v>
                </c:pt>
                <c:pt idx="16">
                  <c:v>1.720064</c:v>
                </c:pt>
                <c:pt idx="17">
                  <c:v>1.711184</c:v>
                </c:pt>
                <c:pt idx="18">
                  <c:v>1.7008160000000001</c:v>
                </c:pt>
                <c:pt idx="19">
                  <c:v>1.7007679999999998</c:v>
                </c:pt>
                <c:pt idx="20">
                  <c:v>1.6918719999999998</c:v>
                </c:pt>
                <c:pt idx="21">
                  <c:v>1.682544</c:v>
                </c:pt>
                <c:pt idx="22">
                  <c:v>1.67344</c:v>
                </c:pt>
                <c:pt idx="23">
                  <c:v>1.6642080000000001</c:v>
                </c:pt>
                <c:pt idx="24">
                  <c:v>1.6550240000000001</c:v>
                </c:pt>
                <c:pt idx="25">
                  <c:v>1.6459520000000001</c:v>
                </c:pt>
                <c:pt idx="26">
                  <c:v>1.636736</c:v>
                </c:pt>
                <c:pt idx="27">
                  <c:v>1.6163839999999998</c:v>
                </c:pt>
                <c:pt idx="28">
                  <c:v>1.607504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CFFC-4041-93BC-2875240B81B9}"/>
            </c:ext>
          </c:extLst>
        </c:ser>
        <c:ser>
          <c:idx val="1"/>
          <c:order val="1"/>
          <c:smooth val="0"/>
          <c:extLst>
            <c:ext xmlns:c16="http://schemas.microsoft.com/office/drawing/2014/chart" uri="{C3380CC4-5D6E-409C-BE32-E72D297353CC}">
              <c16:uniqueId val="{0000000A-CFFC-4041-93BC-2875240B81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8083168"/>
        <c:axId val="708083648"/>
      </c:scatterChart>
      <c:valAx>
        <c:axId val="7080831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pt-BR"/>
                  <a:t>Volume de Calda [L]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08083648"/>
        <c:crosses val="autoZero"/>
        <c:crossBetween val="midCat"/>
      </c:valAx>
      <c:valAx>
        <c:axId val="70808364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pt-BR"/>
                  <a:t>Capacidade Operacional [ha/h]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08083168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Gráfico 2D com 3 Eixos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Dados Selecionados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FF9900"/>
              </a:solidFill>
              <a:ln>
                <a:solidFill>
                  <a:srgbClr val="000000"/>
                </a:solidFill>
              </a:ln>
            </c:spPr>
          </c:marker>
          <c:dPt>
            <c:idx val="0"/>
            <c:marker>
              <c:spPr>
                <a:solidFill>
                  <a:srgbClr val="F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C974-49B2-9C17-08E16E5C920D}"/>
              </c:ext>
            </c:extLst>
          </c:dPt>
          <c:dPt>
            <c:idx val="1"/>
            <c:marker>
              <c:spPr>
                <a:solidFill>
                  <a:srgbClr val="F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C974-49B2-9C17-08E16E5C920D}"/>
              </c:ext>
            </c:extLst>
          </c:dPt>
          <c:dPt>
            <c:idx val="2"/>
            <c:marker>
              <c:spPr>
                <a:solidFill>
                  <a:srgbClr val="F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C974-49B2-9C17-08E16E5C920D}"/>
              </c:ext>
            </c:extLst>
          </c:dPt>
          <c:dPt>
            <c:idx val="3"/>
            <c:marker>
              <c:spPr>
                <a:solidFill>
                  <a:srgbClr val="F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C974-49B2-9C17-08E16E5C920D}"/>
              </c:ext>
            </c:extLst>
          </c:dPt>
          <c:dPt>
            <c:idx val="4"/>
            <c:marker>
              <c:spPr>
                <a:solidFill>
                  <a:srgbClr val="F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C974-49B2-9C17-08E16E5C920D}"/>
              </c:ext>
            </c:extLst>
          </c:dPt>
          <c:dPt>
            <c:idx val="5"/>
            <c:marker>
              <c:spPr>
                <a:solidFill>
                  <a:srgbClr val="F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C974-49B2-9C17-08E16E5C920D}"/>
              </c:ext>
            </c:extLst>
          </c:dPt>
          <c:dPt>
            <c:idx val="6"/>
            <c:marker>
              <c:spPr>
                <a:solidFill>
                  <a:srgbClr val="F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C974-49B2-9C17-08E16E5C920D}"/>
              </c:ext>
            </c:extLst>
          </c:dPt>
          <c:dPt>
            <c:idx val="7"/>
            <c:marker>
              <c:spPr>
                <a:solidFill>
                  <a:srgbClr val="F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7-C974-49B2-9C17-08E16E5C920D}"/>
              </c:ext>
            </c:extLst>
          </c:dPt>
          <c:dPt>
            <c:idx val="8"/>
            <c:marker>
              <c:spPr>
                <a:solidFill>
                  <a:srgbClr val="F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C974-49B2-9C17-08E16E5C920D}"/>
              </c:ext>
            </c:extLst>
          </c:dPt>
          <c:dPt>
            <c:idx val="9"/>
            <c:marker>
              <c:spPr>
                <a:solidFill>
                  <a:srgbClr val="F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9-C974-49B2-9C17-08E16E5C920D}"/>
              </c:ext>
            </c:extLst>
          </c:dPt>
          <c:dPt>
            <c:idx val="10"/>
            <c:marker>
              <c:spPr>
                <a:solidFill>
                  <a:srgbClr val="F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A-C974-49B2-9C17-08E16E5C920D}"/>
              </c:ext>
            </c:extLst>
          </c:dPt>
          <c:dPt>
            <c:idx val="11"/>
            <c:marker>
              <c:spPr>
                <a:solidFill>
                  <a:srgbClr val="F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B-C974-49B2-9C17-08E16E5C920D}"/>
              </c:ext>
            </c:extLst>
          </c:dPt>
          <c:dPt>
            <c:idx val="12"/>
            <c:marker>
              <c:spPr>
                <a:solidFill>
                  <a:srgbClr val="F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C-C974-49B2-9C17-08E16E5C920D}"/>
              </c:ext>
            </c:extLst>
          </c:dPt>
          <c:dPt>
            <c:idx val="13"/>
            <c:marker>
              <c:spPr>
                <a:solidFill>
                  <a:srgbClr val="F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D-C974-49B2-9C17-08E16E5C920D}"/>
              </c:ext>
            </c:extLst>
          </c:dPt>
          <c:dPt>
            <c:idx val="14"/>
            <c:marker>
              <c:spPr>
                <a:solidFill>
                  <a:srgbClr val="F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E-C974-49B2-9C17-08E16E5C920D}"/>
              </c:ext>
            </c:extLst>
          </c:dPt>
          <c:dPt>
            <c:idx val="15"/>
            <c:marker>
              <c:spPr>
                <a:solidFill>
                  <a:srgbClr val="F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F-C974-49B2-9C17-08E16E5C920D}"/>
              </c:ext>
            </c:extLst>
          </c:dPt>
          <c:dPt>
            <c:idx val="16"/>
            <c:marker>
              <c:spPr>
                <a:solidFill>
                  <a:srgbClr val="F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0-C974-49B2-9C17-08E16E5C920D}"/>
              </c:ext>
            </c:extLst>
          </c:dPt>
          <c:dPt>
            <c:idx val="17"/>
            <c:marker>
              <c:spPr>
                <a:solidFill>
                  <a:srgbClr val="F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1-C974-49B2-9C17-08E16E5C920D}"/>
              </c:ext>
            </c:extLst>
          </c:dPt>
          <c:dPt>
            <c:idx val="18"/>
            <c:marker>
              <c:spPr>
                <a:solidFill>
                  <a:srgbClr val="F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2-C974-49B2-9C17-08E16E5C920D}"/>
              </c:ext>
            </c:extLst>
          </c:dPt>
          <c:dPt>
            <c:idx val="19"/>
            <c:marker>
              <c:spPr>
                <a:solidFill>
                  <a:srgbClr val="F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3-C974-49B2-9C17-08E16E5C920D}"/>
              </c:ext>
            </c:extLst>
          </c:dPt>
          <c:dPt>
            <c:idx val="20"/>
            <c:marker>
              <c:spPr>
                <a:solidFill>
                  <a:srgbClr val="F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4-C974-49B2-9C17-08E16E5C920D}"/>
              </c:ext>
            </c:extLst>
          </c:dPt>
          <c:dPt>
            <c:idx val="21"/>
            <c:marker>
              <c:spPr>
                <a:solidFill>
                  <a:srgbClr val="F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5-C974-49B2-9C17-08E16E5C920D}"/>
              </c:ext>
            </c:extLst>
          </c:dPt>
          <c:dPt>
            <c:idx val="22"/>
            <c:marker>
              <c:spPr>
                <a:solidFill>
                  <a:srgbClr val="F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6-C974-49B2-9C17-08E16E5C920D}"/>
              </c:ext>
            </c:extLst>
          </c:dPt>
          <c:dPt>
            <c:idx val="23"/>
            <c:marker>
              <c:spPr>
                <a:solidFill>
                  <a:srgbClr val="F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7-C974-49B2-9C17-08E16E5C920D}"/>
              </c:ext>
            </c:extLst>
          </c:dPt>
          <c:dPt>
            <c:idx val="24"/>
            <c:marker>
              <c:spPr>
                <a:solidFill>
                  <a:srgbClr val="F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8-C974-49B2-9C17-08E16E5C920D}"/>
              </c:ext>
            </c:extLst>
          </c:dPt>
          <c:dPt>
            <c:idx val="25"/>
            <c:marker>
              <c:spPr>
                <a:solidFill>
                  <a:srgbClr val="F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9-C974-49B2-9C17-08E16E5C920D}"/>
              </c:ext>
            </c:extLst>
          </c:dPt>
          <c:dPt>
            <c:idx val="26"/>
            <c:marker>
              <c:spPr>
                <a:solidFill>
                  <a:srgbClr val="F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A-C974-49B2-9C17-08E16E5C920D}"/>
              </c:ext>
            </c:extLst>
          </c:dPt>
          <c:dPt>
            <c:idx val="27"/>
            <c:marker>
              <c:spPr>
                <a:solidFill>
                  <a:srgbClr val="F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B-C974-49B2-9C17-08E16E5C920D}"/>
              </c:ext>
            </c:extLst>
          </c:dPt>
          <c:dPt>
            <c:idx val="28"/>
            <c:marker>
              <c:spPr>
                <a:solidFill>
                  <a:srgbClr val="F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C-C974-49B2-9C17-08E16E5C920D}"/>
              </c:ext>
            </c:extLst>
          </c:dPt>
          <c:dPt>
            <c:idx val="29"/>
            <c:marker>
              <c:spPr>
                <a:solidFill>
                  <a:srgbClr val="F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D-C974-49B2-9C17-08E16E5C920D}"/>
              </c:ext>
            </c:extLst>
          </c:dPt>
          <c:dPt>
            <c:idx val="30"/>
            <c:marker>
              <c:spPr>
                <a:solidFill>
                  <a:srgbClr val="F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E-C974-49B2-9C17-08E16E5C920D}"/>
              </c:ext>
            </c:extLst>
          </c:dPt>
          <c:dPt>
            <c:idx val="31"/>
            <c:marker>
              <c:spPr>
                <a:solidFill>
                  <a:srgbClr val="F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F-C974-49B2-9C17-08E16E5C920D}"/>
              </c:ext>
            </c:extLst>
          </c:dPt>
          <c:dPt>
            <c:idx val="32"/>
            <c:marker>
              <c:spPr>
                <a:solidFill>
                  <a:srgbClr val="F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0-C974-49B2-9C17-08E16E5C920D}"/>
              </c:ext>
            </c:extLst>
          </c:dPt>
          <c:dPt>
            <c:idx val="33"/>
            <c:marker>
              <c:spPr>
                <a:solidFill>
                  <a:srgbClr val="F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1-C974-49B2-9C17-08E16E5C920D}"/>
              </c:ext>
            </c:extLst>
          </c:dPt>
          <c:dPt>
            <c:idx val="34"/>
            <c:marker>
              <c:spPr>
                <a:solidFill>
                  <a:srgbClr val="F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2-C974-49B2-9C17-08E16E5C920D}"/>
              </c:ext>
            </c:extLst>
          </c:dPt>
          <c:dPt>
            <c:idx val="35"/>
            <c:marker>
              <c:spPr>
                <a:solidFill>
                  <a:srgbClr val="F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3-C974-49B2-9C17-08E16E5C920D}"/>
              </c:ext>
            </c:extLst>
          </c:dPt>
          <c:dPt>
            <c:idx val="36"/>
            <c:marker>
              <c:spPr>
                <a:solidFill>
                  <a:srgbClr val="F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4-C974-49B2-9C17-08E16E5C920D}"/>
              </c:ext>
            </c:extLst>
          </c:dPt>
          <c:dPt>
            <c:idx val="37"/>
            <c:marker>
              <c:spPr>
                <a:solidFill>
                  <a:srgbClr val="F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5-C974-49B2-9C17-08E16E5C920D}"/>
              </c:ext>
            </c:extLst>
          </c:dPt>
          <c:dPt>
            <c:idx val="38"/>
            <c:marker>
              <c:spPr>
                <a:solidFill>
                  <a:srgbClr val="F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6-C974-49B2-9C17-08E16E5C920D}"/>
              </c:ext>
            </c:extLst>
          </c:dPt>
          <c:dPt>
            <c:idx val="39"/>
            <c:marker>
              <c:spPr>
                <a:solidFill>
                  <a:srgbClr val="F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7-C974-49B2-9C17-08E16E5C920D}"/>
              </c:ext>
            </c:extLst>
          </c:dPt>
          <c:dPt>
            <c:idx val="40"/>
            <c:marker>
              <c:spPr>
                <a:solidFill>
                  <a:srgbClr val="F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8-C974-49B2-9C17-08E16E5C920D}"/>
              </c:ext>
            </c:extLst>
          </c:dPt>
          <c:dPt>
            <c:idx val="41"/>
            <c:marker>
              <c:spPr>
                <a:solidFill>
                  <a:srgbClr val="F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9-C974-49B2-9C17-08E16E5C920D}"/>
              </c:ext>
            </c:extLst>
          </c:dPt>
          <c:dPt>
            <c:idx val="42"/>
            <c:marker>
              <c:spPr>
                <a:solidFill>
                  <a:srgbClr val="F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A-C974-49B2-9C17-08E16E5C920D}"/>
              </c:ext>
            </c:extLst>
          </c:dPt>
          <c:dPt>
            <c:idx val="43"/>
            <c:marker>
              <c:spPr>
                <a:solidFill>
                  <a:srgbClr val="F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B-C974-49B2-9C17-08E16E5C920D}"/>
              </c:ext>
            </c:extLst>
          </c:dPt>
          <c:dPt>
            <c:idx val="44"/>
            <c:marker>
              <c:spPr>
                <a:solidFill>
                  <a:srgbClr val="F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C-C974-49B2-9C17-08E16E5C920D}"/>
              </c:ext>
            </c:extLst>
          </c:dPt>
          <c:dPt>
            <c:idx val="45"/>
            <c:marker>
              <c:spPr>
                <a:solidFill>
                  <a:srgbClr val="F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D-C974-49B2-9C17-08E16E5C920D}"/>
              </c:ext>
            </c:extLst>
          </c:dPt>
          <c:dPt>
            <c:idx val="46"/>
            <c:marker>
              <c:spPr>
                <a:solidFill>
                  <a:srgbClr val="F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E-C974-49B2-9C17-08E16E5C920D}"/>
              </c:ext>
            </c:extLst>
          </c:dPt>
          <c:dPt>
            <c:idx val="47"/>
            <c:marker>
              <c:spPr>
                <a:solidFill>
                  <a:srgbClr val="F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F-C974-49B2-9C17-08E16E5C920D}"/>
              </c:ext>
            </c:extLst>
          </c:dPt>
          <c:dPt>
            <c:idx val="48"/>
            <c:marker>
              <c:spPr>
                <a:solidFill>
                  <a:srgbClr val="F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0-C974-49B2-9C17-08E16E5C920D}"/>
              </c:ext>
            </c:extLst>
          </c:dPt>
          <c:dPt>
            <c:idx val="49"/>
            <c:marker>
              <c:spPr>
                <a:solidFill>
                  <a:srgbClr val="F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1-C974-49B2-9C17-08E16E5C920D}"/>
              </c:ext>
            </c:extLst>
          </c:dPt>
          <c:dPt>
            <c:idx val="50"/>
            <c:marker>
              <c:spPr>
                <a:solidFill>
                  <a:srgbClr val="F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2-C974-49B2-9C17-08E16E5C920D}"/>
              </c:ext>
            </c:extLst>
          </c:dPt>
          <c:dPt>
            <c:idx val="51"/>
            <c:marker>
              <c:spPr>
                <a:solidFill>
                  <a:srgbClr val="F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3-C974-49B2-9C17-08E16E5C920D}"/>
              </c:ext>
            </c:extLst>
          </c:dPt>
          <c:dPt>
            <c:idx val="52"/>
            <c:marker>
              <c:spPr>
                <a:solidFill>
                  <a:srgbClr val="F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4-C974-49B2-9C17-08E16E5C920D}"/>
              </c:ext>
            </c:extLst>
          </c:dPt>
          <c:dPt>
            <c:idx val="53"/>
            <c:marker>
              <c:spPr>
                <a:solidFill>
                  <a:srgbClr val="F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5-C974-49B2-9C17-08E16E5C920D}"/>
              </c:ext>
            </c:extLst>
          </c:dPt>
          <c:dPt>
            <c:idx val="54"/>
            <c:marker>
              <c:spPr>
                <a:solidFill>
                  <a:srgbClr val="F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6-C974-49B2-9C17-08E16E5C920D}"/>
              </c:ext>
            </c:extLst>
          </c:dPt>
          <c:dPt>
            <c:idx val="55"/>
            <c:marker>
              <c:spPr>
                <a:solidFill>
                  <a:srgbClr val="F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7-C974-49B2-9C17-08E16E5C920D}"/>
              </c:ext>
            </c:extLst>
          </c:dPt>
          <c:dPt>
            <c:idx val="56"/>
            <c:marker>
              <c:spPr>
                <a:solidFill>
                  <a:srgbClr val="F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8-C974-49B2-9C17-08E16E5C920D}"/>
              </c:ext>
            </c:extLst>
          </c:dPt>
          <c:dPt>
            <c:idx val="57"/>
            <c:marker>
              <c:spPr>
                <a:solidFill>
                  <a:srgbClr val="F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9-C974-49B2-9C17-08E16E5C920D}"/>
              </c:ext>
            </c:extLst>
          </c:dPt>
          <c:dPt>
            <c:idx val="58"/>
            <c:marker>
              <c:spPr>
                <a:solidFill>
                  <a:srgbClr val="F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A-C974-49B2-9C17-08E16E5C920D}"/>
              </c:ext>
            </c:extLst>
          </c:dPt>
          <c:dPt>
            <c:idx val="59"/>
            <c:marker>
              <c:spPr>
                <a:solidFill>
                  <a:srgbClr val="F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B-C974-49B2-9C17-08E16E5C920D}"/>
              </c:ext>
            </c:extLst>
          </c:dPt>
          <c:dPt>
            <c:idx val="60"/>
            <c:marker>
              <c:spPr>
                <a:solidFill>
                  <a:srgbClr val="F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C-C974-49B2-9C17-08E16E5C920D}"/>
              </c:ext>
            </c:extLst>
          </c:dPt>
          <c:dPt>
            <c:idx val="61"/>
            <c:marker>
              <c:spPr>
                <a:solidFill>
                  <a:srgbClr val="F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D-C974-49B2-9C17-08E16E5C920D}"/>
              </c:ext>
            </c:extLst>
          </c:dPt>
          <c:dPt>
            <c:idx val="62"/>
            <c:marker>
              <c:spPr>
                <a:solidFill>
                  <a:srgbClr val="F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E-C974-49B2-9C17-08E16E5C920D}"/>
              </c:ext>
            </c:extLst>
          </c:dPt>
          <c:dPt>
            <c:idx val="63"/>
            <c:marker>
              <c:spPr>
                <a:solidFill>
                  <a:srgbClr val="F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F-C974-49B2-9C17-08E16E5C920D}"/>
              </c:ext>
            </c:extLst>
          </c:dPt>
          <c:dPt>
            <c:idx val="64"/>
            <c:marker>
              <c:spPr>
                <a:solidFill>
                  <a:srgbClr val="F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40-C974-49B2-9C17-08E16E5C920D}"/>
              </c:ext>
            </c:extLst>
          </c:dPt>
          <c:dPt>
            <c:idx val="65"/>
            <c:marker>
              <c:spPr>
                <a:solidFill>
                  <a:srgbClr val="F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41-C974-49B2-9C17-08E16E5C920D}"/>
              </c:ext>
            </c:extLst>
          </c:dPt>
          <c:dPt>
            <c:idx val="66"/>
            <c:marker>
              <c:spPr>
                <a:solidFill>
                  <a:srgbClr val="F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42-C974-49B2-9C17-08E16E5C920D}"/>
              </c:ext>
            </c:extLst>
          </c:dPt>
          <c:dPt>
            <c:idx val="67"/>
            <c:marker>
              <c:spPr>
                <a:solidFill>
                  <a:srgbClr val="F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43-C974-49B2-9C17-08E16E5C920D}"/>
              </c:ext>
            </c:extLst>
          </c:dPt>
          <c:dPt>
            <c:idx val="68"/>
            <c:marker>
              <c:spPr>
                <a:solidFill>
                  <a:srgbClr val="F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44-C974-49B2-9C17-08E16E5C920D}"/>
              </c:ext>
            </c:extLst>
          </c:dPt>
          <c:dPt>
            <c:idx val="69"/>
            <c:marker>
              <c:spPr>
                <a:solidFill>
                  <a:srgbClr val="F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45-C974-49B2-9C17-08E16E5C920D}"/>
              </c:ext>
            </c:extLst>
          </c:dPt>
          <c:dPt>
            <c:idx val="70"/>
            <c:marker>
              <c:spPr>
                <a:solidFill>
                  <a:srgbClr val="F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46-C974-49B2-9C17-08E16E5C920D}"/>
              </c:ext>
            </c:extLst>
          </c:dPt>
          <c:dPt>
            <c:idx val="71"/>
            <c:marker>
              <c:spPr>
                <a:solidFill>
                  <a:srgbClr val="F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47-C974-49B2-9C17-08E16E5C920D}"/>
              </c:ext>
            </c:extLst>
          </c:dPt>
          <c:dPt>
            <c:idx val="72"/>
            <c:marker>
              <c:spPr>
                <a:solidFill>
                  <a:srgbClr val="F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48-C974-49B2-9C17-08E16E5C920D}"/>
              </c:ext>
            </c:extLst>
          </c:dPt>
          <c:dPt>
            <c:idx val="73"/>
            <c:marker>
              <c:spPr>
                <a:solidFill>
                  <a:srgbClr val="F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49-C974-49B2-9C17-08E16E5C920D}"/>
              </c:ext>
            </c:extLst>
          </c:dPt>
          <c:dPt>
            <c:idx val="74"/>
            <c:marker>
              <c:spPr>
                <a:solidFill>
                  <a:srgbClr val="F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4A-C974-49B2-9C17-08E16E5C920D}"/>
              </c:ext>
            </c:extLst>
          </c:dPt>
          <c:dPt>
            <c:idx val="75"/>
            <c:marker>
              <c:spPr>
                <a:solidFill>
                  <a:srgbClr val="F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4B-C974-49B2-9C17-08E16E5C920D}"/>
              </c:ext>
            </c:extLst>
          </c:dPt>
          <c:dPt>
            <c:idx val="76"/>
            <c:marker>
              <c:spPr>
                <a:solidFill>
                  <a:srgbClr val="F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4C-C974-49B2-9C17-08E16E5C920D}"/>
              </c:ext>
            </c:extLst>
          </c:dPt>
          <c:dPt>
            <c:idx val="77"/>
            <c:marker>
              <c:spPr>
                <a:solidFill>
                  <a:srgbClr val="F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4D-C974-49B2-9C17-08E16E5C920D}"/>
              </c:ext>
            </c:extLst>
          </c:dPt>
          <c:dPt>
            <c:idx val="78"/>
            <c:marker>
              <c:spPr>
                <a:solidFill>
                  <a:srgbClr val="F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4E-C974-49B2-9C17-08E16E5C920D}"/>
              </c:ext>
            </c:extLst>
          </c:dPt>
          <c:dPt>
            <c:idx val="79"/>
            <c:marker>
              <c:spPr>
                <a:solidFill>
                  <a:srgbClr val="F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4F-C974-49B2-9C17-08E16E5C920D}"/>
              </c:ext>
            </c:extLst>
          </c:dPt>
          <c:dPt>
            <c:idx val="80"/>
            <c:marker>
              <c:spPr>
                <a:solidFill>
                  <a:srgbClr val="F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50-C974-49B2-9C17-08E16E5C920D}"/>
              </c:ext>
            </c:extLst>
          </c:dPt>
          <c:dPt>
            <c:idx val="81"/>
            <c:marker>
              <c:spPr>
                <a:solidFill>
                  <a:srgbClr val="F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51-C974-49B2-9C17-08E16E5C920D}"/>
              </c:ext>
            </c:extLst>
          </c:dPt>
          <c:dPt>
            <c:idx val="82"/>
            <c:marker>
              <c:spPr>
                <a:solidFill>
                  <a:srgbClr val="F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52-C974-49B2-9C17-08E16E5C920D}"/>
              </c:ext>
            </c:extLst>
          </c:dPt>
          <c:dPt>
            <c:idx val="83"/>
            <c:marker>
              <c:spPr>
                <a:solidFill>
                  <a:srgbClr val="F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53-C974-49B2-9C17-08E16E5C920D}"/>
              </c:ext>
            </c:extLst>
          </c:dPt>
          <c:dPt>
            <c:idx val="84"/>
            <c:marker>
              <c:spPr>
                <a:solidFill>
                  <a:srgbClr val="F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54-C974-49B2-9C17-08E16E5C920D}"/>
              </c:ext>
            </c:extLst>
          </c:dPt>
          <c:dPt>
            <c:idx val="85"/>
            <c:marker>
              <c:spPr>
                <a:solidFill>
                  <a:srgbClr val="F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55-C974-49B2-9C17-08E16E5C920D}"/>
              </c:ext>
            </c:extLst>
          </c:dPt>
          <c:dPt>
            <c:idx val="86"/>
            <c:marker>
              <c:spPr>
                <a:solidFill>
                  <a:srgbClr val="F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56-C974-49B2-9C17-08E16E5C920D}"/>
              </c:ext>
            </c:extLst>
          </c:dPt>
          <c:dPt>
            <c:idx val="87"/>
            <c:marker>
              <c:spPr>
                <a:solidFill>
                  <a:srgbClr val="F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57-C974-49B2-9C17-08E16E5C920D}"/>
              </c:ext>
            </c:extLst>
          </c:dPt>
          <c:dPt>
            <c:idx val="88"/>
            <c:marker>
              <c:spPr>
                <a:solidFill>
                  <a:srgbClr val="F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58-C974-49B2-9C17-08E16E5C920D}"/>
              </c:ext>
            </c:extLst>
          </c:dPt>
          <c:dPt>
            <c:idx val="89"/>
            <c:marker>
              <c:spPr>
                <a:solidFill>
                  <a:srgbClr val="F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59-C974-49B2-9C17-08E16E5C920D}"/>
              </c:ext>
            </c:extLst>
          </c:dPt>
          <c:dPt>
            <c:idx val="90"/>
            <c:marker>
              <c:spPr>
                <a:solidFill>
                  <a:srgbClr val="F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5A-C974-49B2-9C17-08E16E5C920D}"/>
              </c:ext>
            </c:extLst>
          </c:dPt>
          <c:dPt>
            <c:idx val="91"/>
            <c:marker>
              <c:spPr>
                <a:solidFill>
                  <a:srgbClr val="F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5B-C974-49B2-9C17-08E16E5C920D}"/>
              </c:ext>
            </c:extLst>
          </c:dPt>
          <c:dPt>
            <c:idx val="92"/>
            <c:marker>
              <c:spPr>
                <a:solidFill>
                  <a:srgbClr val="F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5C-C974-49B2-9C17-08E16E5C920D}"/>
              </c:ext>
            </c:extLst>
          </c:dPt>
          <c:dPt>
            <c:idx val="93"/>
            <c:marker>
              <c:spPr>
                <a:solidFill>
                  <a:srgbClr val="F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5D-C974-49B2-9C17-08E16E5C920D}"/>
              </c:ext>
            </c:extLst>
          </c:dPt>
          <c:dPt>
            <c:idx val="94"/>
            <c:marker>
              <c:spPr>
                <a:solidFill>
                  <a:srgbClr val="F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5E-C974-49B2-9C17-08E16E5C920D}"/>
              </c:ext>
            </c:extLst>
          </c:dPt>
          <c:dPt>
            <c:idx val="95"/>
            <c:marker>
              <c:spPr>
                <a:solidFill>
                  <a:srgbClr val="F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5F-C974-49B2-9C17-08E16E5C920D}"/>
              </c:ext>
            </c:extLst>
          </c:dPt>
          <c:dPt>
            <c:idx val="96"/>
            <c:marker>
              <c:spPr>
                <a:solidFill>
                  <a:srgbClr val="F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60-C974-49B2-9C17-08E16E5C920D}"/>
              </c:ext>
            </c:extLst>
          </c:dPt>
          <c:dPt>
            <c:idx val="97"/>
            <c:marker>
              <c:spPr>
                <a:solidFill>
                  <a:srgbClr val="F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61-C974-49B2-9C17-08E16E5C920D}"/>
              </c:ext>
            </c:extLst>
          </c:dPt>
          <c:dPt>
            <c:idx val="98"/>
            <c:marker>
              <c:spPr>
                <a:solidFill>
                  <a:srgbClr val="F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62-C974-49B2-9C17-08E16E5C920D}"/>
              </c:ext>
            </c:extLst>
          </c:dPt>
          <c:dPt>
            <c:idx val="99"/>
            <c:marker>
              <c:spPr>
                <a:solidFill>
                  <a:srgbClr val="F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63-C974-49B2-9C17-08E16E5C920D}"/>
              </c:ext>
            </c:extLst>
          </c:dPt>
          <c:dPt>
            <c:idx val="100"/>
            <c:marker>
              <c:spPr>
                <a:solidFill>
                  <a:srgbClr val="F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64-C974-49B2-9C17-08E16E5C920D}"/>
              </c:ext>
            </c:extLst>
          </c:dPt>
          <c:dPt>
            <c:idx val="101"/>
            <c:marker>
              <c:spPr>
                <a:solidFill>
                  <a:srgbClr val="F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65-C974-49B2-9C17-08E16E5C920D}"/>
              </c:ext>
            </c:extLst>
          </c:dPt>
          <c:dPt>
            <c:idx val="102"/>
            <c:marker>
              <c:spPr>
                <a:solidFill>
                  <a:srgbClr val="F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66-C974-49B2-9C17-08E16E5C920D}"/>
              </c:ext>
            </c:extLst>
          </c:dPt>
          <c:dPt>
            <c:idx val="103"/>
            <c:marker>
              <c:spPr>
                <a:solidFill>
                  <a:srgbClr val="F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67-C974-49B2-9C17-08E16E5C920D}"/>
              </c:ext>
            </c:extLst>
          </c:dPt>
          <c:dPt>
            <c:idx val="104"/>
            <c:marker>
              <c:spPr>
                <a:solidFill>
                  <a:srgbClr val="F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68-C974-49B2-9C17-08E16E5C920D}"/>
              </c:ext>
            </c:extLst>
          </c:dPt>
          <c:dPt>
            <c:idx val="105"/>
            <c:marker>
              <c:spPr>
                <a:solidFill>
                  <a:srgbClr val="F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69-C974-49B2-9C17-08E16E5C920D}"/>
              </c:ext>
            </c:extLst>
          </c:dPt>
          <c:dPt>
            <c:idx val="106"/>
            <c:marker>
              <c:spPr>
                <a:solidFill>
                  <a:srgbClr val="F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6A-C974-49B2-9C17-08E16E5C920D}"/>
              </c:ext>
            </c:extLst>
          </c:dPt>
          <c:dPt>
            <c:idx val="107"/>
            <c:marker>
              <c:spPr>
                <a:solidFill>
                  <a:srgbClr val="F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6B-C974-49B2-9C17-08E16E5C920D}"/>
              </c:ext>
            </c:extLst>
          </c:dPt>
          <c:dPt>
            <c:idx val="108"/>
            <c:marker>
              <c:spPr>
                <a:solidFill>
                  <a:srgbClr val="F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6C-C974-49B2-9C17-08E16E5C920D}"/>
              </c:ext>
            </c:extLst>
          </c:dPt>
          <c:dPt>
            <c:idx val="109"/>
            <c:marker>
              <c:spPr>
                <a:solidFill>
                  <a:srgbClr val="F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6D-C974-49B2-9C17-08E16E5C920D}"/>
              </c:ext>
            </c:extLst>
          </c:dPt>
          <c:dPt>
            <c:idx val="110"/>
            <c:marker>
              <c:spPr>
                <a:solidFill>
                  <a:srgbClr val="F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6E-C974-49B2-9C17-08E16E5C920D}"/>
              </c:ext>
            </c:extLst>
          </c:dPt>
          <c:dPt>
            <c:idx val="111"/>
            <c:marker>
              <c:spPr>
                <a:solidFill>
                  <a:srgbClr val="F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6F-C974-49B2-9C17-08E16E5C920D}"/>
              </c:ext>
            </c:extLst>
          </c:dPt>
          <c:dPt>
            <c:idx val="112"/>
            <c:marker>
              <c:spPr>
                <a:solidFill>
                  <a:srgbClr val="F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70-C974-49B2-9C17-08E16E5C920D}"/>
              </c:ext>
            </c:extLst>
          </c:dPt>
          <c:dPt>
            <c:idx val="113"/>
            <c:marker>
              <c:spPr>
                <a:solidFill>
                  <a:srgbClr val="F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71-C974-49B2-9C17-08E16E5C920D}"/>
              </c:ext>
            </c:extLst>
          </c:dPt>
          <c:dPt>
            <c:idx val="114"/>
            <c:marker>
              <c:spPr>
                <a:solidFill>
                  <a:srgbClr val="F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72-C974-49B2-9C17-08E16E5C920D}"/>
              </c:ext>
            </c:extLst>
          </c:dPt>
          <c:dPt>
            <c:idx val="115"/>
            <c:marker>
              <c:spPr>
                <a:solidFill>
                  <a:srgbClr val="F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73-C974-49B2-9C17-08E16E5C920D}"/>
              </c:ext>
            </c:extLst>
          </c:dPt>
          <c:dPt>
            <c:idx val="116"/>
            <c:marker>
              <c:spPr>
                <a:solidFill>
                  <a:srgbClr val="F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74-C974-49B2-9C17-08E16E5C920D}"/>
              </c:ext>
            </c:extLst>
          </c:dPt>
          <c:dPt>
            <c:idx val="117"/>
            <c:marker>
              <c:spPr>
                <a:solidFill>
                  <a:srgbClr val="F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75-C974-49B2-9C17-08E16E5C920D}"/>
              </c:ext>
            </c:extLst>
          </c:dPt>
          <c:dPt>
            <c:idx val="118"/>
            <c:marker>
              <c:spPr>
                <a:solidFill>
                  <a:srgbClr val="F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76-C974-49B2-9C17-08E16E5C920D}"/>
              </c:ext>
            </c:extLst>
          </c:dPt>
          <c:dPt>
            <c:idx val="119"/>
            <c:marker>
              <c:spPr>
                <a:solidFill>
                  <a:srgbClr val="F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77-C974-49B2-9C17-08E16E5C920D}"/>
              </c:ext>
            </c:extLst>
          </c:dPt>
          <c:dPt>
            <c:idx val="120"/>
            <c:marker>
              <c:spPr>
                <a:solidFill>
                  <a:srgbClr val="F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78-C974-49B2-9C17-08E16E5C920D}"/>
              </c:ext>
            </c:extLst>
          </c:dPt>
          <c:dPt>
            <c:idx val="121"/>
            <c:marker>
              <c:spPr>
                <a:solidFill>
                  <a:srgbClr val="F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79-C974-49B2-9C17-08E16E5C920D}"/>
              </c:ext>
            </c:extLst>
          </c:dPt>
          <c:dPt>
            <c:idx val="122"/>
            <c:marker>
              <c:spPr>
                <a:solidFill>
                  <a:srgbClr val="F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7A-C974-49B2-9C17-08E16E5C920D}"/>
              </c:ext>
            </c:extLst>
          </c:dPt>
          <c:dPt>
            <c:idx val="123"/>
            <c:marker>
              <c:spPr>
                <a:solidFill>
                  <a:srgbClr val="F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7B-C974-49B2-9C17-08E16E5C920D}"/>
              </c:ext>
            </c:extLst>
          </c:dPt>
          <c:dPt>
            <c:idx val="124"/>
            <c:marker>
              <c:spPr>
                <a:solidFill>
                  <a:srgbClr val="F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7C-C974-49B2-9C17-08E16E5C920D}"/>
              </c:ext>
            </c:extLst>
          </c:dPt>
          <c:dPt>
            <c:idx val="125"/>
            <c:marker>
              <c:spPr>
                <a:solidFill>
                  <a:srgbClr val="F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7D-C974-49B2-9C17-08E16E5C920D}"/>
              </c:ext>
            </c:extLst>
          </c:dPt>
          <c:dPt>
            <c:idx val="126"/>
            <c:marker>
              <c:spPr>
                <a:solidFill>
                  <a:srgbClr val="F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7E-C974-49B2-9C17-08E16E5C920D}"/>
              </c:ext>
            </c:extLst>
          </c:dPt>
          <c:dPt>
            <c:idx val="127"/>
            <c:marker>
              <c:spPr>
                <a:solidFill>
                  <a:srgbClr val="F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7F-C974-49B2-9C17-08E16E5C920D}"/>
              </c:ext>
            </c:extLst>
          </c:dPt>
          <c:dPt>
            <c:idx val="128"/>
            <c:marker>
              <c:spPr>
                <a:solidFill>
                  <a:srgbClr val="F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80-C974-49B2-9C17-08E16E5C920D}"/>
              </c:ext>
            </c:extLst>
          </c:dPt>
          <c:dPt>
            <c:idx val="129"/>
            <c:marker>
              <c:spPr>
                <a:solidFill>
                  <a:srgbClr val="F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81-C974-49B2-9C17-08E16E5C920D}"/>
              </c:ext>
            </c:extLst>
          </c:dPt>
          <c:dPt>
            <c:idx val="130"/>
            <c:marker>
              <c:spPr>
                <a:solidFill>
                  <a:srgbClr val="F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82-C974-49B2-9C17-08E16E5C920D}"/>
              </c:ext>
            </c:extLst>
          </c:dPt>
          <c:dPt>
            <c:idx val="131"/>
            <c:marker>
              <c:spPr>
                <a:solidFill>
                  <a:srgbClr val="F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83-C974-49B2-9C17-08E16E5C920D}"/>
              </c:ext>
            </c:extLst>
          </c:dPt>
          <c:dPt>
            <c:idx val="132"/>
            <c:marker>
              <c:spPr>
                <a:solidFill>
                  <a:srgbClr val="F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84-C974-49B2-9C17-08E16E5C920D}"/>
              </c:ext>
            </c:extLst>
          </c:dPt>
          <c:dPt>
            <c:idx val="133"/>
            <c:marker>
              <c:spPr>
                <a:solidFill>
                  <a:srgbClr val="F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85-C974-49B2-9C17-08E16E5C920D}"/>
              </c:ext>
            </c:extLst>
          </c:dPt>
          <c:dPt>
            <c:idx val="134"/>
            <c:marker>
              <c:spPr>
                <a:solidFill>
                  <a:srgbClr val="F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86-C974-49B2-9C17-08E16E5C920D}"/>
              </c:ext>
            </c:extLst>
          </c:dPt>
          <c:dPt>
            <c:idx val="135"/>
            <c:marker>
              <c:spPr>
                <a:solidFill>
                  <a:srgbClr val="E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87-C974-49B2-9C17-08E16E5C920D}"/>
              </c:ext>
            </c:extLst>
          </c:dPt>
          <c:dPt>
            <c:idx val="136"/>
            <c:marker>
              <c:spPr>
                <a:solidFill>
                  <a:srgbClr val="E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88-C974-49B2-9C17-08E16E5C920D}"/>
              </c:ext>
            </c:extLst>
          </c:dPt>
          <c:dPt>
            <c:idx val="137"/>
            <c:marker>
              <c:spPr>
                <a:solidFill>
                  <a:srgbClr val="E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89-C974-49B2-9C17-08E16E5C920D}"/>
              </c:ext>
            </c:extLst>
          </c:dPt>
          <c:dPt>
            <c:idx val="138"/>
            <c:marker>
              <c:spPr>
                <a:solidFill>
                  <a:srgbClr val="E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8A-C974-49B2-9C17-08E16E5C920D}"/>
              </c:ext>
            </c:extLst>
          </c:dPt>
          <c:dPt>
            <c:idx val="139"/>
            <c:marker>
              <c:spPr>
                <a:solidFill>
                  <a:srgbClr val="E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8B-C974-49B2-9C17-08E16E5C920D}"/>
              </c:ext>
            </c:extLst>
          </c:dPt>
          <c:dPt>
            <c:idx val="140"/>
            <c:marker>
              <c:spPr>
                <a:solidFill>
                  <a:srgbClr val="E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8C-C974-49B2-9C17-08E16E5C920D}"/>
              </c:ext>
            </c:extLst>
          </c:dPt>
          <c:dPt>
            <c:idx val="141"/>
            <c:marker>
              <c:spPr>
                <a:solidFill>
                  <a:srgbClr val="E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8D-C974-49B2-9C17-08E16E5C920D}"/>
              </c:ext>
            </c:extLst>
          </c:dPt>
          <c:dPt>
            <c:idx val="142"/>
            <c:marker>
              <c:spPr>
                <a:solidFill>
                  <a:srgbClr val="E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8E-C974-49B2-9C17-08E16E5C920D}"/>
              </c:ext>
            </c:extLst>
          </c:dPt>
          <c:dPt>
            <c:idx val="143"/>
            <c:marker>
              <c:spPr>
                <a:solidFill>
                  <a:srgbClr val="E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8F-C974-49B2-9C17-08E16E5C920D}"/>
              </c:ext>
            </c:extLst>
          </c:dPt>
          <c:dPt>
            <c:idx val="144"/>
            <c:marker>
              <c:spPr>
                <a:solidFill>
                  <a:srgbClr val="E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90-C974-49B2-9C17-08E16E5C920D}"/>
              </c:ext>
            </c:extLst>
          </c:dPt>
          <c:dPt>
            <c:idx val="145"/>
            <c:marker>
              <c:spPr>
                <a:solidFill>
                  <a:srgbClr val="E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91-C974-49B2-9C17-08E16E5C920D}"/>
              </c:ext>
            </c:extLst>
          </c:dPt>
          <c:dPt>
            <c:idx val="146"/>
            <c:marker>
              <c:spPr>
                <a:solidFill>
                  <a:srgbClr val="E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92-C974-49B2-9C17-08E16E5C920D}"/>
              </c:ext>
            </c:extLst>
          </c:dPt>
          <c:dPt>
            <c:idx val="147"/>
            <c:marker>
              <c:spPr>
                <a:solidFill>
                  <a:srgbClr val="E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93-C974-49B2-9C17-08E16E5C920D}"/>
              </c:ext>
            </c:extLst>
          </c:dPt>
          <c:dPt>
            <c:idx val="148"/>
            <c:marker>
              <c:spPr>
                <a:solidFill>
                  <a:srgbClr val="E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94-C974-49B2-9C17-08E16E5C920D}"/>
              </c:ext>
            </c:extLst>
          </c:dPt>
          <c:dPt>
            <c:idx val="149"/>
            <c:marker>
              <c:spPr>
                <a:solidFill>
                  <a:srgbClr val="E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95-C974-49B2-9C17-08E16E5C920D}"/>
              </c:ext>
            </c:extLst>
          </c:dPt>
          <c:dPt>
            <c:idx val="150"/>
            <c:marker>
              <c:spPr>
                <a:solidFill>
                  <a:srgbClr val="E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96-C974-49B2-9C17-08E16E5C920D}"/>
              </c:ext>
            </c:extLst>
          </c:dPt>
          <c:dPt>
            <c:idx val="151"/>
            <c:marker>
              <c:spPr>
                <a:solidFill>
                  <a:srgbClr val="E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97-C974-49B2-9C17-08E16E5C920D}"/>
              </c:ext>
            </c:extLst>
          </c:dPt>
          <c:dPt>
            <c:idx val="152"/>
            <c:marker>
              <c:spPr>
                <a:solidFill>
                  <a:srgbClr val="E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98-C974-49B2-9C17-08E16E5C920D}"/>
              </c:ext>
            </c:extLst>
          </c:dPt>
          <c:dPt>
            <c:idx val="153"/>
            <c:marker>
              <c:spPr>
                <a:solidFill>
                  <a:srgbClr val="E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99-C974-49B2-9C17-08E16E5C920D}"/>
              </c:ext>
            </c:extLst>
          </c:dPt>
          <c:dPt>
            <c:idx val="154"/>
            <c:marker>
              <c:spPr>
                <a:solidFill>
                  <a:srgbClr val="E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9A-C974-49B2-9C17-08E16E5C920D}"/>
              </c:ext>
            </c:extLst>
          </c:dPt>
          <c:dPt>
            <c:idx val="155"/>
            <c:marker>
              <c:spPr>
                <a:solidFill>
                  <a:srgbClr val="E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9B-C974-49B2-9C17-08E16E5C920D}"/>
              </c:ext>
            </c:extLst>
          </c:dPt>
          <c:dPt>
            <c:idx val="156"/>
            <c:marker>
              <c:spPr>
                <a:solidFill>
                  <a:srgbClr val="E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9C-C974-49B2-9C17-08E16E5C920D}"/>
              </c:ext>
            </c:extLst>
          </c:dPt>
          <c:dPt>
            <c:idx val="157"/>
            <c:marker>
              <c:spPr>
                <a:solidFill>
                  <a:srgbClr val="E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9D-C974-49B2-9C17-08E16E5C920D}"/>
              </c:ext>
            </c:extLst>
          </c:dPt>
          <c:dPt>
            <c:idx val="158"/>
            <c:marker>
              <c:spPr>
                <a:solidFill>
                  <a:srgbClr val="E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9E-C974-49B2-9C17-08E16E5C920D}"/>
              </c:ext>
            </c:extLst>
          </c:dPt>
          <c:dPt>
            <c:idx val="159"/>
            <c:marker>
              <c:spPr>
                <a:solidFill>
                  <a:srgbClr val="E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9F-C974-49B2-9C17-08E16E5C920D}"/>
              </c:ext>
            </c:extLst>
          </c:dPt>
          <c:dPt>
            <c:idx val="160"/>
            <c:marker>
              <c:spPr>
                <a:solidFill>
                  <a:srgbClr val="E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A0-C974-49B2-9C17-08E16E5C920D}"/>
              </c:ext>
            </c:extLst>
          </c:dPt>
          <c:dPt>
            <c:idx val="161"/>
            <c:marker>
              <c:spPr>
                <a:solidFill>
                  <a:srgbClr val="E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A1-C974-49B2-9C17-08E16E5C920D}"/>
              </c:ext>
            </c:extLst>
          </c:dPt>
          <c:dPt>
            <c:idx val="162"/>
            <c:marker>
              <c:spPr>
                <a:solidFill>
                  <a:srgbClr val="E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A2-C974-49B2-9C17-08E16E5C920D}"/>
              </c:ext>
            </c:extLst>
          </c:dPt>
          <c:dPt>
            <c:idx val="163"/>
            <c:marker>
              <c:spPr>
                <a:solidFill>
                  <a:srgbClr val="E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A3-C974-49B2-9C17-08E16E5C920D}"/>
              </c:ext>
            </c:extLst>
          </c:dPt>
          <c:dPt>
            <c:idx val="164"/>
            <c:marker>
              <c:spPr>
                <a:solidFill>
                  <a:srgbClr val="E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A4-C974-49B2-9C17-08E16E5C920D}"/>
              </c:ext>
            </c:extLst>
          </c:dPt>
          <c:dPt>
            <c:idx val="165"/>
            <c:marker>
              <c:spPr>
                <a:solidFill>
                  <a:srgbClr val="E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A5-C974-49B2-9C17-08E16E5C920D}"/>
              </c:ext>
            </c:extLst>
          </c:dPt>
          <c:dPt>
            <c:idx val="166"/>
            <c:marker>
              <c:spPr>
                <a:solidFill>
                  <a:srgbClr val="E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A6-C974-49B2-9C17-08E16E5C920D}"/>
              </c:ext>
            </c:extLst>
          </c:dPt>
          <c:dPt>
            <c:idx val="167"/>
            <c:marker>
              <c:spPr>
                <a:solidFill>
                  <a:srgbClr val="E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A7-C974-49B2-9C17-08E16E5C920D}"/>
              </c:ext>
            </c:extLst>
          </c:dPt>
          <c:dPt>
            <c:idx val="168"/>
            <c:marker>
              <c:spPr>
                <a:solidFill>
                  <a:srgbClr val="E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A8-C974-49B2-9C17-08E16E5C920D}"/>
              </c:ext>
            </c:extLst>
          </c:dPt>
          <c:dPt>
            <c:idx val="169"/>
            <c:marker>
              <c:spPr>
                <a:solidFill>
                  <a:srgbClr val="E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A9-C974-49B2-9C17-08E16E5C920D}"/>
              </c:ext>
            </c:extLst>
          </c:dPt>
          <c:dPt>
            <c:idx val="170"/>
            <c:marker>
              <c:spPr>
                <a:solidFill>
                  <a:srgbClr val="E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AA-C974-49B2-9C17-08E16E5C920D}"/>
              </c:ext>
            </c:extLst>
          </c:dPt>
          <c:dPt>
            <c:idx val="171"/>
            <c:marker>
              <c:spPr>
                <a:solidFill>
                  <a:srgbClr val="E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AB-C974-49B2-9C17-08E16E5C920D}"/>
              </c:ext>
            </c:extLst>
          </c:dPt>
          <c:dPt>
            <c:idx val="172"/>
            <c:marker>
              <c:spPr>
                <a:solidFill>
                  <a:srgbClr val="E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AC-C974-49B2-9C17-08E16E5C920D}"/>
              </c:ext>
            </c:extLst>
          </c:dPt>
          <c:dPt>
            <c:idx val="173"/>
            <c:marker>
              <c:spPr>
                <a:solidFill>
                  <a:srgbClr val="E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AD-C974-49B2-9C17-08E16E5C920D}"/>
              </c:ext>
            </c:extLst>
          </c:dPt>
          <c:dPt>
            <c:idx val="174"/>
            <c:marker>
              <c:spPr>
                <a:solidFill>
                  <a:srgbClr val="E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AE-C974-49B2-9C17-08E16E5C920D}"/>
              </c:ext>
            </c:extLst>
          </c:dPt>
          <c:dPt>
            <c:idx val="175"/>
            <c:marker>
              <c:spPr>
                <a:solidFill>
                  <a:srgbClr val="E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AF-C974-49B2-9C17-08E16E5C920D}"/>
              </c:ext>
            </c:extLst>
          </c:dPt>
          <c:dPt>
            <c:idx val="176"/>
            <c:marker>
              <c:spPr>
                <a:solidFill>
                  <a:srgbClr val="E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B0-C974-49B2-9C17-08E16E5C920D}"/>
              </c:ext>
            </c:extLst>
          </c:dPt>
          <c:dPt>
            <c:idx val="177"/>
            <c:marker>
              <c:spPr>
                <a:solidFill>
                  <a:srgbClr val="E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B1-C974-49B2-9C17-08E16E5C920D}"/>
              </c:ext>
            </c:extLst>
          </c:dPt>
          <c:dPt>
            <c:idx val="178"/>
            <c:marker>
              <c:spPr>
                <a:solidFill>
                  <a:srgbClr val="E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B2-C974-49B2-9C17-08E16E5C920D}"/>
              </c:ext>
            </c:extLst>
          </c:dPt>
          <c:dPt>
            <c:idx val="179"/>
            <c:marker>
              <c:spPr>
                <a:solidFill>
                  <a:srgbClr val="E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B3-C974-49B2-9C17-08E16E5C920D}"/>
              </c:ext>
            </c:extLst>
          </c:dPt>
          <c:dPt>
            <c:idx val="180"/>
            <c:marker>
              <c:spPr>
                <a:solidFill>
                  <a:srgbClr val="E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B4-C974-49B2-9C17-08E16E5C920D}"/>
              </c:ext>
            </c:extLst>
          </c:dPt>
          <c:dPt>
            <c:idx val="181"/>
            <c:marker>
              <c:spPr>
                <a:solidFill>
                  <a:srgbClr val="E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B5-C974-49B2-9C17-08E16E5C920D}"/>
              </c:ext>
            </c:extLst>
          </c:dPt>
          <c:dPt>
            <c:idx val="182"/>
            <c:marker>
              <c:spPr>
                <a:solidFill>
                  <a:srgbClr val="E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B6-C974-49B2-9C17-08E16E5C920D}"/>
              </c:ext>
            </c:extLst>
          </c:dPt>
          <c:dPt>
            <c:idx val="183"/>
            <c:marker>
              <c:spPr>
                <a:solidFill>
                  <a:srgbClr val="E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B7-C974-49B2-9C17-08E16E5C920D}"/>
              </c:ext>
            </c:extLst>
          </c:dPt>
          <c:dPt>
            <c:idx val="184"/>
            <c:marker>
              <c:spPr>
                <a:solidFill>
                  <a:srgbClr val="E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B8-C974-49B2-9C17-08E16E5C920D}"/>
              </c:ext>
            </c:extLst>
          </c:dPt>
          <c:dPt>
            <c:idx val="185"/>
            <c:marker>
              <c:spPr>
                <a:solidFill>
                  <a:srgbClr val="E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B9-C974-49B2-9C17-08E16E5C920D}"/>
              </c:ext>
            </c:extLst>
          </c:dPt>
          <c:dPt>
            <c:idx val="186"/>
            <c:marker>
              <c:spPr>
                <a:solidFill>
                  <a:srgbClr val="E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BA-C974-49B2-9C17-08E16E5C920D}"/>
              </c:ext>
            </c:extLst>
          </c:dPt>
          <c:dPt>
            <c:idx val="187"/>
            <c:marker>
              <c:spPr>
                <a:solidFill>
                  <a:srgbClr val="E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BB-C974-49B2-9C17-08E16E5C920D}"/>
              </c:ext>
            </c:extLst>
          </c:dPt>
          <c:dPt>
            <c:idx val="188"/>
            <c:marker>
              <c:spPr>
                <a:solidFill>
                  <a:srgbClr val="E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BC-C974-49B2-9C17-08E16E5C920D}"/>
              </c:ext>
            </c:extLst>
          </c:dPt>
          <c:dPt>
            <c:idx val="189"/>
            <c:marker>
              <c:spPr>
                <a:solidFill>
                  <a:srgbClr val="E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BD-C974-49B2-9C17-08E16E5C920D}"/>
              </c:ext>
            </c:extLst>
          </c:dPt>
          <c:dPt>
            <c:idx val="190"/>
            <c:marker>
              <c:spPr>
                <a:solidFill>
                  <a:srgbClr val="E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BE-C974-49B2-9C17-08E16E5C920D}"/>
              </c:ext>
            </c:extLst>
          </c:dPt>
          <c:dPt>
            <c:idx val="191"/>
            <c:marker>
              <c:spPr>
                <a:solidFill>
                  <a:srgbClr val="E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BF-C974-49B2-9C17-08E16E5C920D}"/>
              </c:ext>
            </c:extLst>
          </c:dPt>
          <c:dPt>
            <c:idx val="192"/>
            <c:marker>
              <c:spPr>
                <a:solidFill>
                  <a:srgbClr val="E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C0-C974-49B2-9C17-08E16E5C920D}"/>
              </c:ext>
            </c:extLst>
          </c:dPt>
          <c:dPt>
            <c:idx val="193"/>
            <c:marker>
              <c:spPr>
                <a:solidFill>
                  <a:srgbClr val="E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C1-C974-49B2-9C17-08E16E5C920D}"/>
              </c:ext>
            </c:extLst>
          </c:dPt>
          <c:dPt>
            <c:idx val="194"/>
            <c:marker>
              <c:spPr>
                <a:solidFill>
                  <a:srgbClr val="E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C2-C974-49B2-9C17-08E16E5C920D}"/>
              </c:ext>
            </c:extLst>
          </c:dPt>
          <c:dPt>
            <c:idx val="195"/>
            <c:marker>
              <c:spPr>
                <a:solidFill>
                  <a:srgbClr val="E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C3-C974-49B2-9C17-08E16E5C920D}"/>
              </c:ext>
            </c:extLst>
          </c:dPt>
          <c:dPt>
            <c:idx val="196"/>
            <c:marker>
              <c:spPr>
                <a:solidFill>
                  <a:srgbClr val="E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C4-C974-49B2-9C17-08E16E5C920D}"/>
              </c:ext>
            </c:extLst>
          </c:dPt>
          <c:dPt>
            <c:idx val="197"/>
            <c:marker>
              <c:spPr>
                <a:solidFill>
                  <a:srgbClr val="E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C5-C974-49B2-9C17-08E16E5C920D}"/>
              </c:ext>
            </c:extLst>
          </c:dPt>
          <c:dPt>
            <c:idx val="198"/>
            <c:marker>
              <c:spPr>
                <a:solidFill>
                  <a:srgbClr val="E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C6-C974-49B2-9C17-08E16E5C920D}"/>
              </c:ext>
            </c:extLst>
          </c:dPt>
          <c:dPt>
            <c:idx val="199"/>
            <c:marker>
              <c:spPr>
                <a:solidFill>
                  <a:srgbClr val="E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C7-C974-49B2-9C17-08E16E5C920D}"/>
              </c:ext>
            </c:extLst>
          </c:dPt>
          <c:dPt>
            <c:idx val="200"/>
            <c:marker>
              <c:spPr>
                <a:solidFill>
                  <a:srgbClr val="E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C8-C974-49B2-9C17-08E16E5C920D}"/>
              </c:ext>
            </c:extLst>
          </c:dPt>
          <c:dPt>
            <c:idx val="201"/>
            <c:marker>
              <c:spPr>
                <a:solidFill>
                  <a:srgbClr val="E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C9-C974-49B2-9C17-08E16E5C920D}"/>
              </c:ext>
            </c:extLst>
          </c:dPt>
          <c:dPt>
            <c:idx val="202"/>
            <c:marker>
              <c:spPr>
                <a:solidFill>
                  <a:srgbClr val="E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CA-C974-49B2-9C17-08E16E5C920D}"/>
              </c:ext>
            </c:extLst>
          </c:dPt>
          <c:dPt>
            <c:idx val="203"/>
            <c:marker>
              <c:spPr>
                <a:solidFill>
                  <a:srgbClr val="E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CB-C974-49B2-9C17-08E16E5C920D}"/>
              </c:ext>
            </c:extLst>
          </c:dPt>
          <c:dPt>
            <c:idx val="204"/>
            <c:marker>
              <c:spPr>
                <a:solidFill>
                  <a:srgbClr val="E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CC-C974-49B2-9C17-08E16E5C920D}"/>
              </c:ext>
            </c:extLst>
          </c:dPt>
          <c:dPt>
            <c:idx val="205"/>
            <c:marker>
              <c:spPr>
                <a:solidFill>
                  <a:srgbClr val="E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CD-C974-49B2-9C17-08E16E5C920D}"/>
              </c:ext>
            </c:extLst>
          </c:dPt>
          <c:dPt>
            <c:idx val="206"/>
            <c:marker>
              <c:spPr>
                <a:solidFill>
                  <a:srgbClr val="E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CE-C974-49B2-9C17-08E16E5C920D}"/>
              </c:ext>
            </c:extLst>
          </c:dPt>
          <c:dPt>
            <c:idx val="207"/>
            <c:marker>
              <c:spPr>
                <a:solidFill>
                  <a:srgbClr val="E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CF-C974-49B2-9C17-08E16E5C920D}"/>
              </c:ext>
            </c:extLst>
          </c:dPt>
          <c:dPt>
            <c:idx val="208"/>
            <c:marker>
              <c:spPr>
                <a:solidFill>
                  <a:srgbClr val="E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D0-C974-49B2-9C17-08E16E5C920D}"/>
              </c:ext>
            </c:extLst>
          </c:dPt>
          <c:dPt>
            <c:idx val="209"/>
            <c:marker>
              <c:spPr>
                <a:solidFill>
                  <a:srgbClr val="E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D1-C974-49B2-9C17-08E16E5C920D}"/>
              </c:ext>
            </c:extLst>
          </c:dPt>
          <c:dPt>
            <c:idx val="210"/>
            <c:marker>
              <c:spPr>
                <a:solidFill>
                  <a:srgbClr val="E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D2-C974-49B2-9C17-08E16E5C920D}"/>
              </c:ext>
            </c:extLst>
          </c:dPt>
          <c:dPt>
            <c:idx val="211"/>
            <c:marker>
              <c:spPr>
                <a:solidFill>
                  <a:srgbClr val="E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D3-C974-49B2-9C17-08E16E5C920D}"/>
              </c:ext>
            </c:extLst>
          </c:dPt>
          <c:dPt>
            <c:idx val="212"/>
            <c:marker>
              <c:spPr>
                <a:solidFill>
                  <a:srgbClr val="E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D4-C974-49B2-9C17-08E16E5C920D}"/>
              </c:ext>
            </c:extLst>
          </c:dPt>
          <c:dPt>
            <c:idx val="213"/>
            <c:marker>
              <c:spPr>
                <a:solidFill>
                  <a:srgbClr val="E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D5-C974-49B2-9C17-08E16E5C920D}"/>
              </c:ext>
            </c:extLst>
          </c:dPt>
          <c:dPt>
            <c:idx val="214"/>
            <c:marker>
              <c:spPr>
                <a:solidFill>
                  <a:srgbClr val="E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D6-C974-49B2-9C17-08E16E5C920D}"/>
              </c:ext>
            </c:extLst>
          </c:dPt>
          <c:dPt>
            <c:idx val="215"/>
            <c:marker>
              <c:spPr>
                <a:solidFill>
                  <a:srgbClr val="E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D7-C974-49B2-9C17-08E16E5C920D}"/>
              </c:ext>
            </c:extLst>
          </c:dPt>
          <c:dPt>
            <c:idx val="216"/>
            <c:marker>
              <c:spPr>
                <a:solidFill>
                  <a:srgbClr val="E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D8-C974-49B2-9C17-08E16E5C920D}"/>
              </c:ext>
            </c:extLst>
          </c:dPt>
          <c:dPt>
            <c:idx val="217"/>
            <c:marker>
              <c:spPr>
                <a:solidFill>
                  <a:srgbClr val="E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D9-C974-49B2-9C17-08E16E5C920D}"/>
              </c:ext>
            </c:extLst>
          </c:dPt>
          <c:dPt>
            <c:idx val="218"/>
            <c:marker>
              <c:spPr>
                <a:solidFill>
                  <a:srgbClr val="E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DA-C974-49B2-9C17-08E16E5C920D}"/>
              </c:ext>
            </c:extLst>
          </c:dPt>
          <c:dPt>
            <c:idx val="219"/>
            <c:marker>
              <c:spPr>
                <a:solidFill>
                  <a:srgbClr val="E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DB-C974-49B2-9C17-08E16E5C920D}"/>
              </c:ext>
            </c:extLst>
          </c:dPt>
          <c:dPt>
            <c:idx val="220"/>
            <c:marker>
              <c:spPr>
                <a:solidFill>
                  <a:srgbClr val="E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DC-C974-49B2-9C17-08E16E5C920D}"/>
              </c:ext>
            </c:extLst>
          </c:dPt>
          <c:dPt>
            <c:idx val="221"/>
            <c:marker>
              <c:spPr>
                <a:solidFill>
                  <a:srgbClr val="E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DD-C974-49B2-9C17-08E16E5C920D}"/>
              </c:ext>
            </c:extLst>
          </c:dPt>
          <c:dPt>
            <c:idx val="222"/>
            <c:marker>
              <c:spPr>
                <a:solidFill>
                  <a:srgbClr val="E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DE-C974-49B2-9C17-08E16E5C920D}"/>
              </c:ext>
            </c:extLst>
          </c:dPt>
          <c:dPt>
            <c:idx val="223"/>
            <c:marker>
              <c:spPr>
                <a:solidFill>
                  <a:srgbClr val="E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DF-C974-49B2-9C17-08E16E5C920D}"/>
              </c:ext>
            </c:extLst>
          </c:dPt>
          <c:dPt>
            <c:idx val="224"/>
            <c:marker>
              <c:spPr>
                <a:solidFill>
                  <a:srgbClr val="E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E0-C974-49B2-9C17-08E16E5C920D}"/>
              </c:ext>
            </c:extLst>
          </c:dPt>
          <c:dPt>
            <c:idx val="225"/>
            <c:marker>
              <c:spPr>
                <a:solidFill>
                  <a:srgbClr val="E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E1-C974-49B2-9C17-08E16E5C920D}"/>
              </c:ext>
            </c:extLst>
          </c:dPt>
          <c:dPt>
            <c:idx val="226"/>
            <c:marker>
              <c:spPr>
                <a:solidFill>
                  <a:srgbClr val="E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E2-C974-49B2-9C17-08E16E5C920D}"/>
              </c:ext>
            </c:extLst>
          </c:dPt>
          <c:dPt>
            <c:idx val="227"/>
            <c:marker>
              <c:spPr>
                <a:solidFill>
                  <a:srgbClr val="E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E3-C974-49B2-9C17-08E16E5C920D}"/>
              </c:ext>
            </c:extLst>
          </c:dPt>
          <c:dPt>
            <c:idx val="228"/>
            <c:marker>
              <c:spPr>
                <a:solidFill>
                  <a:srgbClr val="E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E4-C974-49B2-9C17-08E16E5C920D}"/>
              </c:ext>
            </c:extLst>
          </c:dPt>
          <c:dPt>
            <c:idx val="229"/>
            <c:marker>
              <c:spPr>
                <a:solidFill>
                  <a:srgbClr val="E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E5-C974-49B2-9C17-08E16E5C920D}"/>
              </c:ext>
            </c:extLst>
          </c:dPt>
          <c:dPt>
            <c:idx val="230"/>
            <c:marker>
              <c:spPr>
                <a:solidFill>
                  <a:srgbClr val="E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E6-C974-49B2-9C17-08E16E5C920D}"/>
              </c:ext>
            </c:extLst>
          </c:dPt>
          <c:dPt>
            <c:idx val="231"/>
            <c:marker>
              <c:spPr>
                <a:solidFill>
                  <a:srgbClr val="E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E7-C974-49B2-9C17-08E16E5C920D}"/>
              </c:ext>
            </c:extLst>
          </c:dPt>
          <c:dPt>
            <c:idx val="232"/>
            <c:marker>
              <c:spPr>
                <a:solidFill>
                  <a:srgbClr val="E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E8-C974-49B2-9C17-08E16E5C920D}"/>
              </c:ext>
            </c:extLst>
          </c:dPt>
          <c:dPt>
            <c:idx val="233"/>
            <c:marker>
              <c:spPr>
                <a:solidFill>
                  <a:srgbClr val="E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E9-C974-49B2-9C17-08E16E5C920D}"/>
              </c:ext>
            </c:extLst>
          </c:dPt>
          <c:dPt>
            <c:idx val="234"/>
            <c:marker>
              <c:spPr>
                <a:solidFill>
                  <a:srgbClr val="E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EA-C974-49B2-9C17-08E16E5C920D}"/>
              </c:ext>
            </c:extLst>
          </c:dPt>
          <c:dPt>
            <c:idx val="235"/>
            <c:marker>
              <c:spPr>
                <a:solidFill>
                  <a:srgbClr val="E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EB-C974-49B2-9C17-08E16E5C920D}"/>
              </c:ext>
            </c:extLst>
          </c:dPt>
          <c:dPt>
            <c:idx val="236"/>
            <c:marker>
              <c:spPr>
                <a:solidFill>
                  <a:srgbClr val="E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EC-C974-49B2-9C17-08E16E5C920D}"/>
              </c:ext>
            </c:extLst>
          </c:dPt>
          <c:dPt>
            <c:idx val="237"/>
            <c:marker>
              <c:spPr>
                <a:solidFill>
                  <a:srgbClr val="E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ED-C974-49B2-9C17-08E16E5C920D}"/>
              </c:ext>
            </c:extLst>
          </c:dPt>
          <c:dPt>
            <c:idx val="238"/>
            <c:marker>
              <c:spPr>
                <a:solidFill>
                  <a:srgbClr val="E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EE-C974-49B2-9C17-08E16E5C920D}"/>
              </c:ext>
            </c:extLst>
          </c:dPt>
          <c:dPt>
            <c:idx val="239"/>
            <c:marker>
              <c:spPr>
                <a:solidFill>
                  <a:srgbClr val="E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EF-C974-49B2-9C17-08E16E5C920D}"/>
              </c:ext>
            </c:extLst>
          </c:dPt>
          <c:dPt>
            <c:idx val="240"/>
            <c:marker>
              <c:spPr>
                <a:solidFill>
                  <a:srgbClr val="E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F0-C974-49B2-9C17-08E16E5C920D}"/>
              </c:ext>
            </c:extLst>
          </c:dPt>
          <c:dPt>
            <c:idx val="241"/>
            <c:marker>
              <c:spPr>
                <a:solidFill>
                  <a:srgbClr val="E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F1-C974-49B2-9C17-08E16E5C920D}"/>
              </c:ext>
            </c:extLst>
          </c:dPt>
          <c:dPt>
            <c:idx val="242"/>
            <c:marker>
              <c:spPr>
                <a:solidFill>
                  <a:srgbClr val="E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F2-C974-49B2-9C17-08E16E5C920D}"/>
              </c:ext>
            </c:extLst>
          </c:dPt>
          <c:dPt>
            <c:idx val="243"/>
            <c:marker>
              <c:spPr>
                <a:solidFill>
                  <a:srgbClr val="E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F3-C974-49B2-9C17-08E16E5C920D}"/>
              </c:ext>
            </c:extLst>
          </c:dPt>
          <c:dPt>
            <c:idx val="244"/>
            <c:marker>
              <c:spPr>
                <a:solidFill>
                  <a:srgbClr val="E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F4-C974-49B2-9C17-08E16E5C920D}"/>
              </c:ext>
            </c:extLst>
          </c:dPt>
          <c:dPt>
            <c:idx val="245"/>
            <c:marker>
              <c:spPr>
                <a:solidFill>
                  <a:srgbClr val="E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F5-C974-49B2-9C17-08E16E5C920D}"/>
              </c:ext>
            </c:extLst>
          </c:dPt>
          <c:dPt>
            <c:idx val="246"/>
            <c:marker>
              <c:spPr>
                <a:solidFill>
                  <a:srgbClr val="E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F6-C974-49B2-9C17-08E16E5C920D}"/>
              </c:ext>
            </c:extLst>
          </c:dPt>
          <c:dPt>
            <c:idx val="247"/>
            <c:marker>
              <c:spPr>
                <a:solidFill>
                  <a:srgbClr val="E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F7-C974-49B2-9C17-08E16E5C920D}"/>
              </c:ext>
            </c:extLst>
          </c:dPt>
          <c:dPt>
            <c:idx val="248"/>
            <c:marker>
              <c:spPr>
                <a:solidFill>
                  <a:srgbClr val="E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F8-C974-49B2-9C17-08E16E5C920D}"/>
              </c:ext>
            </c:extLst>
          </c:dPt>
          <c:dPt>
            <c:idx val="249"/>
            <c:marker>
              <c:spPr>
                <a:solidFill>
                  <a:srgbClr val="E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F9-C974-49B2-9C17-08E16E5C920D}"/>
              </c:ext>
            </c:extLst>
          </c:dPt>
          <c:dPt>
            <c:idx val="250"/>
            <c:marker>
              <c:spPr>
                <a:solidFill>
                  <a:srgbClr val="E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FA-C974-49B2-9C17-08E16E5C920D}"/>
              </c:ext>
            </c:extLst>
          </c:dPt>
          <c:dPt>
            <c:idx val="251"/>
            <c:marker>
              <c:spPr>
                <a:solidFill>
                  <a:srgbClr val="E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FB-C974-49B2-9C17-08E16E5C920D}"/>
              </c:ext>
            </c:extLst>
          </c:dPt>
          <c:dPt>
            <c:idx val="252"/>
            <c:marker>
              <c:spPr>
                <a:solidFill>
                  <a:srgbClr val="E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FC-C974-49B2-9C17-08E16E5C920D}"/>
              </c:ext>
            </c:extLst>
          </c:dPt>
          <c:dPt>
            <c:idx val="253"/>
            <c:marker>
              <c:spPr>
                <a:solidFill>
                  <a:srgbClr val="E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FD-C974-49B2-9C17-08E16E5C920D}"/>
              </c:ext>
            </c:extLst>
          </c:dPt>
          <c:dPt>
            <c:idx val="254"/>
            <c:marker>
              <c:spPr>
                <a:solidFill>
                  <a:srgbClr val="E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FE-C974-49B2-9C17-08E16E5C920D}"/>
              </c:ext>
            </c:extLst>
          </c:dPt>
          <c:dPt>
            <c:idx val="255"/>
            <c:marker>
              <c:spPr>
                <a:solidFill>
                  <a:srgbClr val="E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FF-C974-49B2-9C17-08E16E5C920D}"/>
              </c:ext>
            </c:extLst>
          </c:dPt>
          <c:dPt>
            <c:idx val="256"/>
            <c:marker>
              <c:spPr>
                <a:solidFill>
                  <a:srgbClr val="E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00-C974-49B2-9C17-08E16E5C920D}"/>
              </c:ext>
            </c:extLst>
          </c:dPt>
          <c:dPt>
            <c:idx val="257"/>
            <c:marker>
              <c:spPr>
                <a:solidFill>
                  <a:srgbClr val="E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01-C974-49B2-9C17-08E16E5C920D}"/>
              </c:ext>
            </c:extLst>
          </c:dPt>
          <c:dPt>
            <c:idx val="258"/>
            <c:marker>
              <c:spPr>
                <a:solidFill>
                  <a:srgbClr val="E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02-C974-49B2-9C17-08E16E5C920D}"/>
              </c:ext>
            </c:extLst>
          </c:dPt>
          <c:dPt>
            <c:idx val="259"/>
            <c:marker>
              <c:spPr>
                <a:solidFill>
                  <a:srgbClr val="E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03-C974-49B2-9C17-08E16E5C920D}"/>
              </c:ext>
            </c:extLst>
          </c:dPt>
          <c:dPt>
            <c:idx val="260"/>
            <c:marker>
              <c:spPr>
                <a:solidFill>
                  <a:srgbClr val="E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04-C974-49B2-9C17-08E16E5C920D}"/>
              </c:ext>
            </c:extLst>
          </c:dPt>
          <c:dPt>
            <c:idx val="261"/>
            <c:marker>
              <c:spPr>
                <a:solidFill>
                  <a:srgbClr val="E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05-C974-49B2-9C17-08E16E5C920D}"/>
              </c:ext>
            </c:extLst>
          </c:dPt>
          <c:dPt>
            <c:idx val="262"/>
            <c:marker>
              <c:spPr>
                <a:solidFill>
                  <a:srgbClr val="E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06-C974-49B2-9C17-08E16E5C920D}"/>
              </c:ext>
            </c:extLst>
          </c:dPt>
          <c:dPt>
            <c:idx val="263"/>
            <c:marker>
              <c:spPr>
                <a:solidFill>
                  <a:srgbClr val="E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07-C974-49B2-9C17-08E16E5C920D}"/>
              </c:ext>
            </c:extLst>
          </c:dPt>
          <c:dPt>
            <c:idx val="264"/>
            <c:marker>
              <c:spPr>
                <a:solidFill>
                  <a:srgbClr val="E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08-C974-49B2-9C17-08E16E5C920D}"/>
              </c:ext>
            </c:extLst>
          </c:dPt>
          <c:dPt>
            <c:idx val="265"/>
            <c:marker>
              <c:spPr>
                <a:solidFill>
                  <a:srgbClr val="E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09-C974-49B2-9C17-08E16E5C920D}"/>
              </c:ext>
            </c:extLst>
          </c:dPt>
          <c:dPt>
            <c:idx val="266"/>
            <c:marker>
              <c:spPr>
                <a:solidFill>
                  <a:srgbClr val="E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0A-C974-49B2-9C17-08E16E5C920D}"/>
              </c:ext>
            </c:extLst>
          </c:dPt>
          <c:dPt>
            <c:idx val="267"/>
            <c:marker>
              <c:spPr>
                <a:solidFill>
                  <a:srgbClr val="E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0B-C974-49B2-9C17-08E16E5C920D}"/>
              </c:ext>
            </c:extLst>
          </c:dPt>
          <c:dPt>
            <c:idx val="268"/>
            <c:marker>
              <c:spPr>
                <a:solidFill>
                  <a:srgbClr val="E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0C-C974-49B2-9C17-08E16E5C920D}"/>
              </c:ext>
            </c:extLst>
          </c:dPt>
          <c:dPt>
            <c:idx val="269"/>
            <c:marker>
              <c:spPr>
                <a:solidFill>
                  <a:srgbClr val="E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0D-C974-49B2-9C17-08E16E5C920D}"/>
              </c:ext>
            </c:extLst>
          </c:dPt>
          <c:dPt>
            <c:idx val="270"/>
            <c:marker>
              <c:spPr>
                <a:solidFill>
                  <a:srgbClr val="E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0E-C974-49B2-9C17-08E16E5C920D}"/>
              </c:ext>
            </c:extLst>
          </c:dPt>
          <c:dPt>
            <c:idx val="271"/>
            <c:marker>
              <c:spPr>
                <a:solidFill>
                  <a:srgbClr val="E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0F-C974-49B2-9C17-08E16E5C920D}"/>
              </c:ext>
            </c:extLst>
          </c:dPt>
          <c:dPt>
            <c:idx val="272"/>
            <c:marker>
              <c:spPr>
                <a:solidFill>
                  <a:srgbClr val="E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10-C974-49B2-9C17-08E16E5C920D}"/>
              </c:ext>
            </c:extLst>
          </c:dPt>
          <c:dPt>
            <c:idx val="273"/>
            <c:marker>
              <c:spPr>
                <a:solidFill>
                  <a:srgbClr val="E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11-C974-49B2-9C17-08E16E5C920D}"/>
              </c:ext>
            </c:extLst>
          </c:dPt>
          <c:dPt>
            <c:idx val="274"/>
            <c:marker>
              <c:spPr>
                <a:solidFill>
                  <a:srgbClr val="E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12-C974-49B2-9C17-08E16E5C920D}"/>
              </c:ext>
            </c:extLst>
          </c:dPt>
          <c:dPt>
            <c:idx val="275"/>
            <c:marker>
              <c:spPr>
                <a:solidFill>
                  <a:srgbClr val="E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13-C974-49B2-9C17-08E16E5C920D}"/>
              </c:ext>
            </c:extLst>
          </c:dPt>
          <c:dPt>
            <c:idx val="276"/>
            <c:marker>
              <c:spPr>
                <a:solidFill>
                  <a:srgbClr val="E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14-C974-49B2-9C17-08E16E5C920D}"/>
              </c:ext>
            </c:extLst>
          </c:dPt>
          <c:dPt>
            <c:idx val="277"/>
            <c:marker>
              <c:spPr>
                <a:solidFill>
                  <a:srgbClr val="E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15-C974-49B2-9C17-08E16E5C920D}"/>
              </c:ext>
            </c:extLst>
          </c:dPt>
          <c:dPt>
            <c:idx val="278"/>
            <c:marker>
              <c:spPr>
                <a:solidFill>
                  <a:srgbClr val="E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16-C974-49B2-9C17-08E16E5C920D}"/>
              </c:ext>
            </c:extLst>
          </c:dPt>
          <c:dPt>
            <c:idx val="279"/>
            <c:marker>
              <c:spPr>
                <a:solidFill>
                  <a:srgbClr val="D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17-C974-49B2-9C17-08E16E5C920D}"/>
              </c:ext>
            </c:extLst>
          </c:dPt>
          <c:dPt>
            <c:idx val="280"/>
            <c:marker>
              <c:spPr>
                <a:solidFill>
                  <a:srgbClr val="D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18-C974-49B2-9C17-08E16E5C920D}"/>
              </c:ext>
            </c:extLst>
          </c:dPt>
          <c:dPt>
            <c:idx val="281"/>
            <c:marker>
              <c:spPr>
                <a:solidFill>
                  <a:srgbClr val="D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19-C974-49B2-9C17-08E16E5C920D}"/>
              </c:ext>
            </c:extLst>
          </c:dPt>
          <c:dPt>
            <c:idx val="282"/>
            <c:marker>
              <c:spPr>
                <a:solidFill>
                  <a:srgbClr val="D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1A-C974-49B2-9C17-08E16E5C920D}"/>
              </c:ext>
            </c:extLst>
          </c:dPt>
          <c:dPt>
            <c:idx val="283"/>
            <c:marker>
              <c:spPr>
                <a:solidFill>
                  <a:srgbClr val="D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1B-C974-49B2-9C17-08E16E5C920D}"/>
              </c:ext>
            </c:extLst>
          </c:dPt>
          <c:dPt>
            <c:idx val="284"/>
            <c:marker>
              <c:spPr>
                <a:solidFill>
                  <a:srgbClr val="D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1C-C974-49B2-9C17-08E16E5C920D}"/>
              </c:ext>
            </c:extLst>
          </c:dPt>
          <c:dPt>
            <c:idx val="285"/>
            <c:marker>
              <c:spPr>
                <a:solidFill>
                  <a:srgbClr val="D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1D-C974-49B2-9C17-08E16E5C920D}"/>
              </c:ext>
            </c:extLst>
          </c:dPt>
          <c:dPt>
            <c:idx val="286"/>
            <c:marker>
              <c:spPr>
                <a:solidFill>
                  <a:srgbClr val="D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1E-C974-49B2-9C17-08E16E5C920D}"/>
              </c:ext>
            </c:extLst>
          </c:dPt>
          <c:dPt>
            <c:idx val="287"/>
            <c:marker>
              <c:spPr>
                <a:solidFill>
                  <a:srgbClr val="D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1F-C974-49B2-9C17-08E16E5C920D}"/>
              </c:ext>
            </c:extLst>
          </c:dPt>
          <c:dPt>
            <c:idx val="288"/>
            <c:marker>
              <c:spPr>
                <a:solidFill>
                  <a:srgbClr val="D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20-C974-49B2-9C17-08E16E5C920D}"/>
              </c:ext>
            </c:extLst>
          </c:dPt>
          <c:dPt>
            <c:idx val="289"/>
            <c:marker>
              <c:spPr>
                <a:solidFill>
                  <a:srgbClr val="D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21-C974-49B2-9C17-08E16E5C920D}"/>
              </c:ext>
            </c:extLst>
          </c:dPt>
          <c:dPt>
            <c:idx val="290"/>
            <c:marker>
              <c:spPr>
                <a:solidFill>
                  <a:srgbClr val="D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22-C974-49B2-9C17-08E16E5C920D}"/>
              </c:ext>
            </c:extLst>
          </c:dPt>
          <c:dPt>
            <c:idx val="291"/>
            <c:marker>
              <c:spPr>
                <a:solidFill>
                  <a:srgbClr val="D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23-C974-49B2-9C17-08E16E5C920D}"/>
              </c:ext>
            </c:extLst>
          </c:dPt>
          <c:dPt>
            <c:idx val="292"/>
            <c:marker>
              <c:spPr>
                <a:solidFill>
                  <a:srgbClr val="D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24-C974-49B2-9C17-08E16E5C920D}"/>
              </c:ext>
            </c:extLst>
          </c:dPt>
          <c:dPt>
            <c:idx val="293"/>
            <c:marker>
              <c:spPr>
                <a:solidFill>
                  <a:srgbClr val="D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25-C974-49B2-9C17-08E16E5C920D}"/>
              </c:ext>
            </c:extLst>
          </c:dPt>
          <c:dPt>
            <c:idx val="294"/>
            <c:marker>
              <c:spPr>
                <a:solidFill>
                  <a:srgbClr val="D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26-C974-49B2-9C17-08E16E5C920D}"/>
              </c:ext>
            </c:extLst>
          </c:dPt>
          <c:dPt>
            <c:idx val="295"/>
            <c:marker>
              <c:spPr>
                <a:solidFill>
                  <a:srgbClr val="D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27-C974-49B2-9C17-08E16E5C920D}"/>
              </c:ext>
            </c:extLst>
          </c:dPt>
          <c:dPt>
            <c:idx val="296"/>
            <c:marker>
              <c:spPr>
                <a:solidFill>
                  <a:srgbClr val="D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28-C974-49B2-9C17-08E16E5C920D}"/>
              </c:ext>
            </c:extLst>
          </c:dPt>
          <c:dPt>
            <c:idx val="297"/>
            <c:marker>
              <c:spPr>
                <a:solidFill>
                  <a:srgbClr val="D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29-C974-49B2-9C17-08E16E5C920D}"/>
              </c:ext>
            </c:extLst>
          </c:dPt>
          <c:dPt>
            <c:idx val="298"/>
            <c:marker>
              <c:spPr>
                <a:solidFill>
                  <a:srgbClr val="D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2A-C974-49B2-9C17-08E16E5C920D}"/>
              </c:ext>
            </c:extLst>
          </c:dPt>
          <c:dPt>
            <c:idx val="299"/>
            <c:marker>
              <c:spPr>
                <a:solidFill>
                  <a:srgbClr val="D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2B-C974-49B2-9C17-08E16E5C920D}"/>
              </c:ext>
            </c:extLst>
          </c:dPt>
          <c:dPt>
            <c:idx val="300"/>
            <c:marker>
              <c:spPr>
                <a:solidFill>
                  <a:srgbClr val="D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2C-C974-49B2-9C17-08E16E5C920D}"/>
              </c:ext>
            </c:extLst>
          </c:dPt>
          <c:dPt>
            <c:idx val="301"/>
            <c:marker>
              <c:spPr>
                <a:solidFill>
                  <a:srgbClr val="D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2D-C974-49B2-9C17-08E16E5C920D}"/>
              </c:ext>
            </c:extLst>
          </c:dPt>
          <c:dPt>
            <c:idx val="302"/>
            <c:marker>
              <c:spPr>
                <a:solidFill>
                  <a:srgbClr val="D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2E-C974-49B2-9C17-08E16E5C920D}"/>
              </c:ext>
            </c:extLst>
          </c:dPt>
          <c:dPt>
            <c:idx val="303"/>
            <c:marker>
              <c:spPr>
                <a:solidFill>
                  <a:srgbClr val="D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2F-C974-49B2-9C17-08E16E5C920D}"/>
              </c:ext>
            </c:extLst>
          </c:dPt>
          <c:dPt>
            <c:idx val="304"/>
            <c:marker>
              <c:spPr>
                <a:solidFill>
                  <a:srgbClr val="D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30-C974-49B2-9C17-08E16E5C920D}"/>
              </c:ext>
            </c:extLst>
          </c:dPt>
          <c:dPt>
            <c:idx val="305"/>
            <c:marker>
              <c:spPr>
                <a:solidFill>
                  <a:srgbClr val="D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31-C974-49B2-9C17-08E16E5C920D}"/>
              </c:ext>
            </c:extLst>
          </c:dPt>
          <c:dPt>
            <c:idx val="306"/>
            <c:marker>
              <c:spPr>
                <a:solidFill>
                  <a:srgbClr val="D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32-C974-49B2-9C17-08E16E5C920D}"/>
              </c:ext>
            </c:extLst>
          </c:dPt>
          <c:dPt>
            <c:idx val="307"/>
            <c:marker>
              <c:spPr>
                <a:solidFill>
                  <a:srgbClr val="D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33-C974-49B2-9C17-08E16E5C920D}"/>
              </c:ext>
            </c:extLst>
          </c:dPt>
          <c:dPt>
            <c:idx val="308"/>
            <c:marker>
              <c:spPr>
                <a:solidFill>
                  <a:srgbClr val="D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34-C974-49B2-9C17-08E16E5C920D}"/>
              </c:ext>
            </c:extLst>
          </c:dPt>
          <c:dPt>
            <c:idx val="309"/>
            <c:marker>
              <c:spPr>
                <a:solidFill>
                  <a:srgbClr val="D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35-C974-49B2-9C17-08E16E5C920D}"/>
              </c:ext>
            </c:extLst>
          </c:dPt>
          <c:dPt>
            <c:idx val="310"/>
            <c:marker>
              <c:spPr>
                <a:solidFill>
                  <a:srgbClr val="D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36-C974-49B2-9C17-08E16E5C920D}"/>
              </c:ext>
            </c:extLst>
          </c:dPt>
          <c:dPt>
            <c:idx val="311"/>
            <c:marker>
              <c:spPr>
                <a:solidFill>
                  <a:srgbClr val="D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37-C974-49B2-9C17-08E16E5C920D}"/>
              </c:ext>
            </c:extLst>
          </c:dPt>
          <c:dPt>
            <c:idx val="312"/>
            <c:marker>
              <c:spPr>
                <a:solidFill>
                  <a:srgbClr val="D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38-C974-49B2-9C17-08E16E5C920D}"/>
              </c:ext>
            </c:extLst>
          </c:dPt>
          <c:dPt>
            <c:idx val="313"/>
            <c:marker>
              <c:spPr>
                <a:solidFill>
                  <a:srgbClr val="D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39-C974-49B2-9C17-08E16E5C920D}"/>
              </c:ext>
            </c:extLst>
          </c:dPt>
          <c:dPt>
            <c:idx val="314"/>
            <c:marker>
              <c:spPr>
                <a:solidFill>
                  <a:srgbClr val="D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3A-C974-49B2-9C17-08E16E5C920D}"/>
              </c:ext>
            </c:extLst>
          </c:dPt>
          <c:dPt>
            <c:idx val="315"/>
            <c:marker>
              <c:spPr>
                <a:solidFill>
                  <a:srgbClr val="D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3B-C974-49B2-9C17-08E16E5C920D}"/>
              </c:ext>
            </c:extLst>
          </c:dPt>
          <c:dPt>
            <c:idx val="316"/>
            <c:marker>
              <c:spPr>
                <a:solidFill>
                  <a:srgbClr val="D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3C-C974-49B2-9C17-08E16E5C920D}"/>
              </c:ext>
            </c:extLst>
          </c:dPt>
          <c:dPt>
            <c:idx val="317"/>
            <c:marker>
              <c:spPr>
                <a:solidFill>
                  <a:srgbClr val="D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3D-C974-49B2-9C17-08E16E5C920D}"/>
              </c:ext>
            </c:extLst>
          </c:dPt>
          <c:dPt>
            <c:idx val="318"/>
            <c:marker>
              <c:spPr>
                <a:solidFill>
                  <a:srgbClr val="D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3E-C974-49B2-9C17-08E16E5C920D}"/>
              </c:ext>
            </c:extLst>
          </c:dPt>
          <c:dPt>
            <c:idx val="319"/>
            <c:marker>
              <c:spPr>
                <a:solidFill>
                  <a:srgbClr val="D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3F-C974-49B2-9C17-08E16E5C920D}"/>
              </c:ext>
            </c:extLst>
          </c:dPt>
          <c:dPt>
            <c:idx val="320"/>
            <c:marker>
              <c:spPr>
                <a:solidFill>
                  <a:srgbClr val="D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40-C974-49B2-9C17-08E16E5C920D}"/>
              </c:ext>
            </c:extLst>
          </c:dPt>
          <c:dPt>
            <c:idx val="321"/>
            <c:marker>
              <c:spPr>
                <a:solidFill>
                  <a:srgbClr val="D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41-C974-49B2-9C17-08E16E5C920D}"/>
              </c:ext>
            </c:extLst>
          </c:dPt>
          <c:dPt>
            <c:idx val="322"/>
            <c:marker>
              <c:spPr>
                <a:solidFill>
                  <a:srgbClr val="D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42-C974-49B2-9C17-08E16E5C920D}"/>
              </c:ext>
            </c:extLst>
          </c:dPt>
          <c:dPt>
            <c:idx val="323"/>
            <c:marker>
              <c:spPr>
                <a:solidFill>
                  <a:srgbClr val="D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43-C974-49B2-9C17-08E16E5C920D}"/>
              </c:ext>
            </c:extLst>
          </c:dPt>
          <c:dPt>
            <c:idx val="324"/>
            <c:marker>
              <c:spPr>
                <a:solidFill>
                  <a:srgbClr val="D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44-C974-49B2-9C17-08E16E5C920D}"/>
              </c:ext>
            </c:extLst>
          </c:dPt>
          <c:dPt>
            <c:idx val="325"/>
            <c:marker>
              <c:spPr>
                <a:solidFill>
                  <a:srgbClr val="D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45-C974-49B2-9C17-08E16E5C920D}"/>
              </c:ext>
            </c:extLst>
          </c:dPt>
          <c:dPt>
            <c:idx val="326"/>
            <c:marker>
              <c:spPr>
                <a:solidFill>
                  <a:srgbClr val="D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46-C974-49B2-9C17-08E16E5C920D}"/>
              </c:ext>
            </c:extLst>
          </c:dPt>
          <c:dPt>
            <c:idx val="327"/>
            <c:marker>
              <c:spPr>
                <a:solidFill>
                  <a:srgbClr val="D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47-C974-49B2-9C17-08E16E5C920D}"/>
              </c:ext>
            </c:extLst>
          </c:dPt>
          <c:dPt>
            <c:idx val="328"/>
            <c:marker>
              <c:spPr>
                <a:solidFill>
                  <a:srgbClr val="D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48-C974-49B2-9C17-08E16E5C920D}"/>
              </c:ext>
            </c:extLst>
          </c:dPt>
          <c:dPt>
            <c:idx val="329"/>
            <c:marker>
              <c:spPr>
                <a:solidFill>
                  <a:srgbClr val="D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49-C974-49B2-9C17-08E16E5C920D}"/>
              </c:ext>
            </c:extLst>
          </c:dPt>
          <c:dPt>
            <c:idx val="330"/>
            <c:marker>
              <c:spPr>
                <a:solidFill>
                  <a:srgbClr val="D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4A-C974-49B2-9C17-08E16E5C920D}"/>
              </c:ext>
            </c:extLst>
          </c:dPt>
          <c:dPt>
            <c:idx val="331"/>
            <c:marker>
              <c:spPr>
                <a:solidFill>
                  <a:srgbClr val="D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4B-C974-49B2-9C17-08E16E5C920D}"/>
              </c:ext>
            </c:extLst>
          </c:dPt>
          <c:dPt>
            <c:idx val="332"/>
            <c:marker>
              <c:spPr>
                <a:solidFill>
                  <a:srgbClr val="D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4C-C974-49B2-9C17-08E16E5C920D}"/>
              </c:ext>
            </c:extLst>
          </c:dPt>
          <c:dPt>
            <c:idx val="333"/>
            <c:marker>
              <c:spPr>
                <a:solidFill>
                  <a:srgbClr val="D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4D-C974-49B2-9C17-08E16E5C920D}"/>
              </c:ext>
            </c:extLst>
          </c:dPt>
          <c:dPt>
            <c:idx val="334"/>
            <c:marker>
              <c:spPr>
                <a:solidFill>
                  <a:srgbClr val="D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4E-C974-49B2-9C17-08E16E5C920D}"/>
              </c:ext>
            </c:extLst>
          </c:dPt>
          <c:dPt>
            <c:idx val="335"/>
            <c:marker>
              <c:spPr>
                <a:solidFill>
                  <a:srgbClr val="D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4F-C974-49B2-9C17-08E16E5C920D}"/>
              </c:ext>
            </c:extLst>
          </c:dPt>
          <c:dPt>
            <c:idx val="336"/>
            <c:marker>
              <c:spPr>
                <a:solidFill>
                  <a:srgbClr val="D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50-C974-49B2-9C17-08E16E5C920D}"/>
              </c:ext>
            </c:extLst>
          </c:dPt>
          <c:dPt>
            <c:idx val="337"/>
            <c:marker>
              <c:spPr>
                <a:solidFill>
                  <a:srgbClr val="D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51-C974-49B2-9C17-08E16E5C920D}"/>
              </c:ext>
            </c:extLst>
          </c:dPt>
          <c:dPt>
            <c:idx val="338"/>
            <c:marker>
              <c:spPr>
                <a:solidFill>
                  <a:srgbClr val="D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52-C974-49B2-9C17-08E16E5C920D}"/>
              </c:ext>
            </c:extLst>
          </c:dPt>
          <c:dPt>
            <c:idx val="339"/>
            <c:marker>
              <c:spPr>
                <a:solidFill>
                  <a:srgbClr val="D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53-C974-49B2-9C17-08E16E5C920D}"/>
              </c:ext>
            </c:extLst>
          </c:dPt>
          <c:dPt>
            <c:idx val="340"/>
            <c:marker>
              <c:spPr>
                <a:solidFill>
                  <a:srgbClr val="D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54-C974-49B2-9C17-08E16E5C920D}"/>
              </c:ext>
            </c:extLst>
          </c:dPt>
          <c:dPt>
            <c:idx val="341"/>
            <c:marker>
              <c:spPr>
                <a:solidFill>
                  <a:srgbClr val="D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55-C974-49B2-9C17-08E16E5C920D}"/>
              </c:ext>
            </c:extLst>
          </c:dPt>
          <c:dPt>
            <c:idx val="342"/>
            <c:marker>
              <c:spPr>
                <a:solidFill>
                  <a:srgbClr val="D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56-C974-49B2-9C17-08E16E5C920D}"/>
              </c:ext>
            </c:extLst>
          </c:dPt>
          <c:dPt>
            <c:idx val="343"/>
            <c:marker>
              <c:spPr>
                <a:solidFill>
                  <a:srgbClr val="D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57-C974-49B2-9C17-08E16E5C920D}"/>
              </c:ext>
            </c:extLst>
          </c:dPt>
          <c:dPt>
            <c:idx val="344"/>
            <c:marker>
              <c:spPr>
                <a:solidFill>
                  <a:srgbClr val="D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58-C974-49B2-9C17-08E16E5C920D}"/>
              </c:ext>
            </c:extLst>
          </c:dPt>
          <c:dPt>
            <c:idx val="345"/>
            <c:marker>
              <c:spPr>
                <a:solidFill>
                  <a:srgbClr val="D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59-C974-49B2-9C17-08E16E5C920D}"/>
              </c:ext>
            </c:extLst>
          </c:dPt>
          <c:dPt>
            <c:idx val="346"/>
            <c:marker>
              <c:spPr>
                <a:solidFill>
                  <a:srgbClr val="D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5A-C974-49B2-9C17-08E16E5C920D}"/>
              </c:ext>
            </c:extLst>
          </c:dPt>
          <c:dPt>
            <c:idx val="347"/>
            <c:marker>
              <c:spPr>
                <a:solidFill>
                  <a:srgbClr val="D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5B-C974-49B2-9C17-08E16E5C920D}"/>
              </c:ext>
            </c:extLst>
          </c:dPt>
          <c:dPt>
            <c:idx val="348"/>
            <c:marker>
              <c:spPr>
                <a:solidFill>
                  <a:srgbClr val="D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5C-C974-49B2-9C17-08E16E5C920D}"/>
              </c:ext>
            </c:extLst>
          </c:dPt>
          <c:dPt>
            <c:idx val="349"/>
            <c:marker>
              <c:spPr>
                <a:solidFill>
                  <a:srgbClr val="D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5D-C974-49B2-9C17-08E16E5C920D}"/>
              </c:ext>
            </c:extLst>
          </c:dPt>
          <c:dPt>
            <c:idx val="350"/>
            <c:marker>
              <c:spPr>
                <a:solidFill>
                  <a:srgbClr val="D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5E-C974-49B2-9C17-08E16E5C920D}"/>
              </c:ext>
            </c:extLst>
          </c:dPt>
          <c:dPt>
            <c:idx val="351"/>
            <c:marker>
              <c:spPr>
                <a:solidFill>
                  <a:srgbClr val="D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5F-C974-49B2-9C17-08E16E5C920D}"/>
              </c:ext>
            </c:extLst>
          </c:dPt>
          <c:dPt>
            <c:idx val="352"/>
            <c:marker>
              <c:spPr>
                <a:solidFill>
                  <a:srgbClr val="D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60-C974-49B2-9C17-08E16E5C920D}"/>
              </c:ext>
            </c:extLst>
          </c:dPt>
          <c:dPt>
            <c:idx val="353"/>
            <c:marker>
              <c:spPr>
                <a:solidFill>
                  <a:srgbClr val="D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61-C974-49B2-9C17-08E16E5C920D}"/>
              </c:ext>
            </c:extLst>
          </c:dPt>
          <c:dPt>
            <c:idx val="354"/>
            <c:marker>
              <c:spPr>
                <a:solidFill>
                  <a:srgbClr val="D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62-C974-49B2-9C17-08E16E5C920D}"/>
              </c:ext>
            </c:extLst>
          </c:dPt>
          <c:dPt>
            <c:idx val="355"/>
            <c:marker>
              <c:spPr>
                <a:solidFill>
                  <a:srgbClr val="D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63-C974-49B2-9C17-08E16E5C920D}"/>
              </c:ext>
            </c:extLst>
          </c:dPt>
          <c:dPt>
            <c:idx val="356"/>
            <c:marker>
              <c:spPr>
                <a:solidFill>
                  <a:srgbClr val="D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64-C974-49B2-9C17-08E16E5C920D}"/>
              </c:ext>
            </c:extLst>
          </c:dPt>
          <c:dPt>
            <c:idx val="357"/>
            <c:marker>
              <c:spPr>
                <a:solidFill>
                  <a:srgbClr val="D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65-C974-49B2-9C17-08E16E5C920D}"/>
              </c:ext>
            </c:extLst>
          </c:dPt>
          <c:dPt>
            <c:idx val="358"/>
            <c:marker>
              <c:spPr>
                <a:solidFill>
                  <a:srgbClr val="D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66-C974-49B2-9C17-08E16E5C920D}"/>
              </c:ext>
            </c:extLst>
          </c:dPt>
          <c:dPt>
            <c:idx val="359"/>
            <c:marker>
              <c:spPr>
                <a:solidFill>
                  <a:srgbClr val="D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67-C974-49B2-9C17-08E16E5C920D}"/>
              </c:ext>
            </c:extLst>
          </c:dPt>
          <c:dPt>
            <c:idx val="360"/>
            <c:marker>
              <c:spPr>
                <a:solidFill>
                  <a:srgbClr val="D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68-C974-49B2-9C17-08E16E5C920D}"/>
              </c:ext>
            </c:extLst>
          </c:dPt>
          <c:dPt>
            <c:idx val="361"/>
            <c:marker>
              <c:spPr>
                <a:solidFill>
                  <a:srgbClr val="D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69-C974-49B2-9C17-08E16E5C920D}"/>
              </c:ext>
            </c:extLst>
          </c:dPt>
          <c:dPt>
            <c:idx val="362"/>
            <c:marker>
              <c:spPr>
                <a:solidFill>
                  <a:srgbClr val="D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6A-C974-49B2-9C17-08E16E5C920D}"/>
              </c:ext>
            </c:extLst>
          </c:dPt>
          <c:dPt>
            <c:idx val="363"/>
            <c:marker>
              <c:spPr>
                <a:solidFill>
                  <a:srgbClr val="D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6B-C974-49B2-9C17-08E16E5C920D}"/>
              </c:ext>
            </c:extLst>
          </c:dPt>
          <c:dPt>
            <c:idx val="364"/>
            <c:marker>
              <c:spPr>
                <a:solidFill>
                  <a:srgbClr val="D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6C-C974-49B2-9C17-08E16E5C920D}"/>
              </c:ext>
            </c:extLst>
          </c:dPt>
          <c:dPt>
            <c:idx val="365"/>
            <c:marker>
              <c:spPr>
                <a:solidFill>
                  <a:srgbClr val="D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6D-C974-49B2-9C17-08E16E5C920D}"/>
              </c:ext>
            </c:extLst>
          </c:dPt>
          <c:dPt>
            <c:idx val="366"/>
            <c:marker>
              <c:spPr>
                <a:solidFill>
                  <a:srgbClr val="D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6E-C974-49B2-9C17-08E16E5C920D}"/>
              </c:ext>
            </c:extLst>
          </c:dPt>
          <c:dPt>
            <c:idx val="367"/>
            <c:marker>
              <c:spPr>
                <a:solidFill>
                  <a:srgbClr val="D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6F-C974-49B2-9C17-08E16E5C920D}"/>
              </c:ext>
            </c:extLst>
          </c:dPt>
          <c:dPt>
            <c:idx val="368"/>
            <c:marker>
              <c:spPr>
                <a:solidFill>
                  <a:srgbClr val="D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70-C974-49B2-9C17-08E16E5C920D}"/>
              </c:ext>
            </c:extLst>
          </c:dPt>
          <c:dPt>
            <c:idx val="369"/>
            <c:marker>
              <c:spPr>
                <a:solidFill>
                  <a:srgbClr val="D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71-C974-49B2-9C17-08E16E5C920D}"/>
              </c:ext>
            </c:extLst>
          </c:dPt>
          <c:dPt>
            <c:idx val="370"/>
            <c:marker>
              <c:spPr>
                <a:solidFill>
                  <a:srgbClr val="D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72-C974-49B2-9C17-08E16E5C920D}"/>
              </c:ext>
            </c:extLst>
          </c:dPt>
          <c:dPt>
            <c:idx val="371"/>
            <c:marker>
              <c:spPr>
                <a:solidFill>
                  <a:srgbClr val="D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73-C974-49B2-9C17-08E16E5C920D}"/>
              </c:ext>
            </c:extLst>
          </c:dPt>
          <c:dPt>
            <c:idx val="372"/>
            <c:marker>
              <c:spPr>
                <a:solidFill>
                  <a:srgbClr val="D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74-C974-49B2-9C17-08E16E5C920D}"/>
              </c:ext>
            </c:extLst>
          </c:dPt>
          <c:dPt>
            <c:idx val="373"/>
            <c:marker>
              <c:spPr>
                <a:solidFill>
                  <a:srgbClr val="D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75-C974-49B2-9C17-08E16E5C920D}"/>
              </c:ext>
            </c:extLst>
          </c:dPt>
          <c:dPt>
            <c:idx val="374"/>
            <c:marker>
              <c:spPr>
                <a:solidFill>
                  <a:srgbClr val="D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76-C974-49B2-9C17-08E16E5C920D}"/>
              </c:ext>
            </c:extLst>
          </c:dPt>
          <c:dPt>
            <c:idx val="375"/>
            <c:marker>
              <c:spPr>
                <a:solidFill>
                  <a:srgbClr val="D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77-C974-49B2-9C17-08E16E5C920D}"/>
              </c:ext>
            </c:extLst>
          </c:dPt>
          <c:dPt>
            <c:idx val="376"/>
            <c:marker>
              <c:spPr>
                <a:solidFill>
                  <a:srgbClr val="D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78-C974-49B2-9C17-08E16E5C920D}"/>
              </c:ext>
            </c:extLst>
          </c:dPt>
          <c:dPt>
            <c:idx val="377"/>
            <c:marker>
              <c:spPr>
                <a:solidFill>
                  <a:srgbClr val="D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79-C974-49B2-9C17-08E16E5C920D}"/>
              </c:ext>
            </c:extLst>
          </c:dPt>
          <c:dPt>
            <c:idx val="378"/>
            <c:marker>
              <c:spPr>
                <a:solidFill>
                  <a:srgbClr val="D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7A-C974-49B2-9C17-08E16E5C920D}"/>
              </c:ext>
            </c:extLst>
          </c:dPt>
          <c:dPt>
            <c:idx val="379"/>
            <c:marker>
              <c:spPr>
                <a:solidFill>
                  <a:srgbClr val="D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7B-C974-49B2-9C17-08E16E5C920D}"/>
              </c:ext>
            </c:extLst>
          </c:dPt>
          <c:dPt>
            <c:idx val="380"/>
            <c:marker>
              <c:spPr>
                <a:solidFill>
                  <a:srgbClr val="D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7C-C974-49B2-9C17-08E16E5C920D}"/>
              </c:ext>
            </c:extLst>
          </c:dPt>
          <c:dPt>
            <c:idx val="381"/>
            <c:marker>
              <c:spPr>
                <a:solidFill>
                  <a:srgbClr val="D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7D-C974-49B2-9C17-08E16E5C920D}"/>
              </c:ext>
            </c:extLst>
          </c:dPt>
          <c:dPt>
            <c:idx val="382"/>
            <c:marker>
              <c:spPr>
                <a:solidFill>
                  <a:srgbClr val="D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7E-C974-49B2-9C17-08E16E5C920D}"/>
              </c:ext>
            </c:extLst>
          </c:dPt>
          <c:dPt>
            <c:idx val="383"/>
            <c:marker>
              <c:spPr>
                <a:solidFill>
                  <a:srgbClr val="D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7F-C974-49B2-9C17-08E16E5C920D}"/>
              </c:ext>
            </c:extLst>
          </c:dPt>
          <c:dPt>
            <c:idx val="384"/>
            <c:marker>
              <c:spPr>
                <a:solidFill>
                  <a:srgbClr val="D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80-C974-49B2-9C17-08E16E5C920D}"/>
              </c:ext>
            </c:extLst>
          </c:dPt>
          <c:dPt>
            <c:idx val="385"/>
            <c:marker>
              <c:spPr>
                <a:solidFill>
                  <a:srgbClr val="D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81-C974-49B2-9C17-08E16E5C920D}"/>
              </c:ext>
            </c:extLst>
          </c:dPt>
          <c:dPt>
            <c:idx val="386"/>
            <c:marker>
              <c:spPr>
                <a:solidFill>
                  <a:srgbClr val="D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82-C974-49B2-9C17-08E16E5C920D}"/>
              </c:ext>
            </c:extLst>
          </c:dPt>
          <c:dPt>
            <c:idx val="387"/>
            <c:marker>
              <c:spPr>
                <a:solidFill>
                  <a:srgbClr val="D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83-C974-49B2-9C17-08E16E5C920D}"/>
              </c:ext>
            </c:extLst>
          </c:dPt>
          <c:dPt>
            <c:idx val="388"/>
            <c:marker>
              <c:spPr>
                <a:solidFill>
                  <a:srgbClr val="D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84-C974-49B2-9C17-08E16E5C920D}"/>
              </c:ext>
            </c:extLst>
          </c:dPt>
          <c:dPt>
            <c:idx val="389"/>
            <c:marker>
              <c:spPr>
                <a:solidFill>
                  <a:srgbClr val="D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85-C974-49B2-9C17-08E16E5C920D}"/>
              </c:ext>
            </c:extLst>
          </c:dPt>
          <c:dPt>
            <c:idx val="390"/>
            <c:marker>
              <c:spPr>
                <a:solidFill>
                  <a:srgbClr val="D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86-C974-49B2-9C17-08E16E5C920D}"/>
              </c:ext>
            </c:extLst>
          </c:dPt>
          <c:dPt>
            <c:idx val="391"/>
            <c:marker>
              <c:spPr>
                <a:solidFill>
                  <a:srgbClr val="D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87-C974-49B2-9C17-08E16E5C920D}"/>
              </c:ext>
            </c:extLst>
          </c:dPt>
          <c:dPt>
            <c:idx val="392"/>
            <c:marker>
              <c:spPr>
                <a:solidFill>
                  <a:srgbClr val="D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88-C974-49B2-9C17-08E16E5C920D}"/>
              </c:ext>
            </c:extLst>
          </c:dPt>
          <c:dPt>
            <c:idx val="393"/>
            <c:marker>
              <c:spPr>
                <a:solidFill>
                  <a:srgbClr val="D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89-C974-49B2-9C17-08E16E5C920D}"/>
              </c:ext>
            </c:extLst>
          </c:dPt>
          <c:dPt>
            <c:idx val="394"/>
            <c:marker>
              <c:spPr>
                <a:solidFill>
                  <a:srgbClr val="D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8A-C974-49B2-9C17-08E16E5C920D}"/>
              </c:ext>
            </c:extLst>
          </c:dPt>
          <c:dPt>
            <c:idx val="395"/>
            <c:marker>
              <c:spPr>
                <a:solidFill>
                  <a:srgbClr val="D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8B-C974-49B2-9C17-08E16E5C920D}"/>
              </c:ext>
            </c:extLst>
          </c:dPt>
          <c:dPt>
            <c:idx val="396"/>
            <c:marker>
              <c:spPr>
                <a:solidFill>
                  <a:srgbClr val="D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8C-C974-49B2-9C17-08E16E5C920D}"/>
              </c:ext>
            </c:extLst>
          </c:dPt>
          <c:dPt>
            <c:idx val="397"/>
            <c:marker>
              <c:spPr>
                <a:solidFill>
                  <a:srgbClr val="D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8D-C974-49B2-9C17-08E16E5C920D}"/>
              </c:ext>
            </c:extLst>
          </c:dPt>
          <c:dPt>
            <c:idx val="398"/>
            <c:marker>
              <c:spPr>
                <a:solidFill>
                  <a:srgbClr val="D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8E-C974-49B2-9C17-08E16E5C920D}"/>
              </c:ext>
            </c:extLst>
          </c:dPt>
          <c:dPt>
            <c:idx val="399"/>
            <c:marker>
              <c:spPr>
                <a:solidFill>
                  <a:srgbClr val="D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8F-C974-49B2-9C17-08E16E5C920D}"/>
              </c:ext>
            </c:extLst>
          </c:dPt>
          <c:dPt>
            <c:idx val="400"/>
            <c:marker>
              <c:spPr>
                <a:solidFill>
                  <a:srgbClr val="D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90-C974-49B2-9C17-08E16E5C920D}"/>
              </c:ext>
            </c:extLst>
          </c:dPt>
          <c:dPt>
            <c:idx val="401"/>
            <c:marker>
              <c:spPr>
                <a:solidFill>
                  <a:srgbClr val="D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91-C974-49B2-9C17-08E16E5C920D}"/>
              </c:ext>
            </c:extLst>
          </c:dPt>
          <c:dPt>
            <c:idx val="402"/>
            <c:marker>
              <c:spPr>
                <a:solidFill>
                  <a:srgbClr val="D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92-C974-49B2-9C17-08E16E5C920D}"/>
              </c:ext>
            </c:extLst>
          </c:dPt>
          <c:dPt>
            <c:idx val="403"/>
            <c:marker>
              <c:spPr>
                <a:solidFill>
                  <a:srgbClr val="D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93-C974-49B2-9C17-08E16E5C920D}"/>
              </c:ext>
            </c:extLst>
          </c:dPt>
          <c:dPt>
            <c:idx val="404"/>
            <c:marker>
              <c:spPr>
                <a:solidFill>
                  <a:srgbClr val="D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94-C974-49B2-9C17-08E16E5C920D}"/>
              </c:ext>
            </c:extLst>
          </c:dPt>
          <c:dPt>
            <c:idx val="405"/>
            <c:marker>
              <c:spPr>
                <a:solidFill>
                  <a:srgbClr val="D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95-C974-49B2-9C17-08E16E5C920D}"/>
              </c:ext>
            </c:extLst>
          </c:dPt>
          <c:dPt>
            <c:idx val="406"/>
            <c:marker>
              <c:spPr>
                <a:solidFill>
                  <a:srgbClr val="D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96-C974-49B2-9C17-08E16E5C920D}"/>
              </c:ext>
            </c:extLst>
          </c:dPt>
          <c:dPt>
            <c:idx val="407"/>
            <c:marker>
              <c:spPr>
                <a:solidFill>
                  <a:srgbClr val="D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97-C974-49B2-9C17-08E16E5C920D}"/>
              </c:ext>
            </c:extLst>
          </c:dPt>
          <c:dPt>
            <c:idx val="408"/>
            <c:marker>
              <c:spPr>
                <a:solidFill>
                  <a:srgbClr val="D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98-C974-49B2-9C17-08E16E5C920D}"/>
              </c:ext>
            </c:extLst>
          </c:dPt>
          <c:dPt>
            <c:idx val="409"/>
            <c:marker>
              <c:spPr>
                <a:solidFill>
                  <a:srgbClr val="D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99-C974-49B2-9C17-08E16E5C920D}"/>
              </c:ext>
            </c:extLst>
          </c:dPt>
          <c:dPt>
            <c:idx val="410"/>
            <c:marker>
              <c:spPr>
                <a:solidFill>
                  <a:srgbClr val="D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9A-C974-49B2-9C17-08E16E5C920D}"/>
              </c:ext>
            </c:extLst>
          </c:dPt>
          <c:dPt>
            <c:idx val="411"/>
            <c:marker>
              <c:spPr>
                <a:solidFill>
                  <a:srgbClr val="D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9B-C974-49B2-9C17-08E16E5C920D}"/>
              </c:ext>
            </c:extLst>
          </c:dPt>
          <c:dPt>
            <c:idx val="412"/>
            <c:marker>
              <c:spPr>
                <a:solidFill>
                  <a:srgbClr val="D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9C-C974-49B2-9C17-08E16E5C920D}"/>
              </c:ext>
            </c:extLst>
          </c:dPt>
          <c:dPt>
            <c:idx val="413"/>
            <c:marker>
              <c:spPr>
                <a:solidFill>
                  <a:srgbClr val="D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9D-C974-49B2-9C17-08E16E5C920D}"/>
              </c:ext>
            </c:extLst>
          </c:dPt>
          <c:dPt>
            <c:idx val="414"/>
            <c:marker>
              <c:spPr>
                <a:solidFill>
                  <a:srgbClr val="D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9E-C974-49B2-9C17-08E16E5C920D}"/>
              </c:ext>
            </c:extLst>
          </c:dPt>
          <c:dPt>
            <c:idx val="415"/>
            <c:marker>
              <c:spPr>
                <a:solidFill>
                  <a:srgbClr val="D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9F-C974-49B2-9C17-08E16E5C920D}"/>
              </c:ext>
            </c:extLst>
          </c:dPt>
          <c:dPt>
            <c:idx val="416"/>
            <c:marker>
              <c:spPr>
                <a:solidFill>
                  <a:srgbClr val="D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A0-C974-49B2-9C17-08E16E5C920D}"/>
              </c:ext>
            </c:extLst>
          </c:dPt>
          <c:dPt>
            <c:idx val="417"/>
            <c:marker>
              <c:spPr>
                <a:solidFill>
                  <a:srgbClr val="D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A1-C974-49B2-9C17-08E16E5C920D}"/>
              </c:ext>
            </c:extLst>
          </c:dPt>
          <c:dPt>
            <c:idx val="418"/>
            <c:marker>
              <c:spPr>
                <a:solidFill>
                  <a:srgbClr val="D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A2-C974-49B2-9C17-08E16E5C920D}"/>
              </c:ext>
            </c:extLst>
          </c:dPt>
          <c:dPt>
            <c:idx val="419"/>
            <c:marker>
              <c:spPr>
                <a:solidFill>
                  <a:srgbClr val="D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A3-C974-49B2-9C17-08E16E5C920D}"/>
              </c:ext>
            </c:extLst>
          </c:dPt>
          <c:dPt>
            <c:idx val="420"/>
            <c:marker>
              <c:spPr>
                <a:solidFill>
                  <a:srgbClr val="D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A4-C974-49B2-9C17-08E16E5C920D}"/>
              </c:ext>
            </c:extLst>
          </c:dPt>
          <c:dPt>
            <c:idx val="421"/>
            <c:marker>
              <c:spPr>
                <a:solidFill>
                  <a:srgbClr val="D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A5-C974-49B2-9C17-08E16E5C920D}"/>
              </c:ext>
            </c:extLst>
          </c:dPt>
          <c:dPt>
            <c:idx val="422"/>
            <c:marker>
              <c:spPr>
                <a:solidFill>
                  <a:srgbClr val="C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A6-C974-49B2-9C17-08E16E5C920D}"/>
              </c:ext>
            </c:extLst>
          </c:dPt>
          <c:dPt>
            <c:idx val="423"/>
            <c:marker>
              <c:spPr>
                <a:solidFill>
                  <a:srgbClr val="C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A7-C974-49B2-9C17-08E16E5C920D}"/>
              </c:ext>
            </c:extLst>
          </c:dPt>
          <c:dPt>
            <c:idx val="424"/>
            <c:marker>
              <c:spPr>
                <a:solidFill>
                  <a:srgbClr val="C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A8-C974-49B2-9C17-08E16E5C920D}"/>
              </c:ext>
            </c:extLst>
          </c:dPt>
          <c:dPt>
            <c:idx val="425"/>
            <c:marker>
              <c:spPr>
                <a:solidFill>
                  <a:srgbClr val="C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A9-C974-49B2-9C17-08E16E5C920D}"/>
              </c:ext>
            </c:extLst>
          </c:dPt>
          <c:dPt>
            <c:idx val="426"/>
            <c:marker>
              <c:spPr>
                <a:solidFill>
                  <a:srgbClr val="C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AA-C974-49B2-9C17-08E16E5C920D}"/>
              </c:ext>
            </c:extLst>
          </c:dPt>
          <c:dPt>
            <c:idx val="427"/>
            <c:marker>
              <c:spPr>
                <a:solidFill>
                  <a:srgbClr val="C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AB-C974-49B2-9C17-08E16E5C920D}"/>
              </c:ext>
            </c:extLst>
          </c:dPt>
          <c:dPt>
            <c:idx val="428"/>
            <c:marker>
              <c:spPr>
                <a:solidFill>
                  <a:srgbClr val="C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AC-C974-49B2-9C17-08E16E5C920D}"/>
              </c:ext>
            </c:extLst>
          </c:dPt>
          <c:dPt>
            <c:idx val="429"/>
            <c:marker>
              <c:spPr>
                <a:solidFill>
                  <a:srgbClr val="C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AD-C974-49B2-9C17-08E16E5C920D}"/>
              </c:ext>
            </c:extLst>
          </c:dPt>
          <c:dPt>
            <c:idx val="430"/>
            <c:marker>
              <c:spPr>
                <a:solidFill>
                  <a:srgbClr val="C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AE-C974-49B2-9C17-08E16E5C920D}"/>
              </c:ext>
            </c:extLst>
          </c:dPt>
          <c:dPt>
            <c:idx val="431"/>
            <c:marker>
              <c:spPr>
                <a:solidFill>
                  <a:srgbClr val="C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AF-C974-49B2-9C17-08E16E5C920D}"/>
              </c:ext>
            </c:extLst>
          </c:dPt>
          <c:dPt>
            <c:idx val="432"/>
            <c:marker>
              <c:spPr>
                <a:solidFill>
                  <a:srgbClr val="C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B0-C974-49B2-9C17-08E16E5C920D}"/>
              </c:ext>
            </c:extLst>
          </c:dPt>
          <c:dPt>
            <c:idx val="433"/>
            <c:marker>
              <c:spPr>
                <a:solidFill>
                  <a:srgbClr val="C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B1-C974-49B2-9C17-08E16E5C920D}"/>
              </c:ext>
            </c:extLst>
          </c:dPt>
          <c:dPt>
            <c:idx val="434"/>
            <c:marker>
              <c:spPr>
                <a:solidFill>
                  <a:srgbClr val="C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B2-C974-49B2-9C17-08E16E5C920D}"/>
              </c:ext>
            </c:extLst>
          </c:dPt>
          <c:dPt>
            <c:idx val="435"/>
            <c:marker>
              <c:spPr>
                <a:solidFill>
                  <a:srgbClr val="C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B3-C974-49B2-9C17-08E16E5C920D}"/>
              </c:ext>
            </c:extLst>
          </c:dPt>
          <c:dPt>
            <c:idx val="436"/>
            <c:marker>
              <c:spPr>
                <a:solidFill>
                  <a:srgbClr val="C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B4-C974-49B2-9C17-08E16E5C920D}"/>
              </c:ext>
            </c:extLst>
          </c:dPt>
          <c:dPt>
            <c:idx val="437"/>
            <c:marker>
              <c:spPr>
                <a:solidFill>
                  <a:srgbClr val="C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B5-C974-49B2-9C17-08E16E5C920D}"/>
              </c:ext>
            </c:extLst>
          </c:dPt>
          <c:dPt>
            <c:idx val="438"/>
            <c:marker>
              <c:spPr>
                <a:solidFill>
                  <a:srgbClr val="C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B6-C974-49B2-9C17-08E16E5C920D}"/>
              </c:ext>
            </c:extLst>
          </c:dPt>
          <c:dPt>
            <c:idx val="439"/>
            <c:marker>
              <c:spPr>
                <a:solidFill>
                  <a:srgbClr val="C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B7-C974-49B2-9C17-08E16E5C920D}"/>
              </c:ext>
            </c:extLst>
          </c:dPt>
          <c:dPt>
            <c:idx val="440"/>
            <c:marker>
              <c:spPr>
                <a:solidFill>
                  <a:srgbClr val="C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B8-C974-49B2-9C17-08E16E5C920D}"/>
              </c:ext>
            </c:extLst>
          </c:dPt>
          <c:dPt>
            <c:idx val="441"/>
            <c:marker>
              <c:spPr>
                <a:solidFill>
                  <a:srgbClr val="C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B9-C974-49B2-9C17-08E16E5C920D}"/>
              </c:ext>
            </c:extLst>
          </c:dPt>
          <c:dPt>
            <c:idx val="442"/>
            <c:marker>
              <c:spPr>
                <a:solidFill>
                  <a:srgbClr val="C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BA-C974-49B2-9C17-08E16E5C920D}"/>
              </c:ext>
            </c:extLst>
          </c:dPt>
          <c:dPt>
            <c:idx val="443"/>
            <c:marker>
              <c:spPr>
                <a:solidFill>
                  <a:srgbClr val="C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BB-C974-49B2-9C17-08E16E5C920D}"/>
              </c:ext>
            </c:extLst>
          </c:dPt>
          <c:dPt>
            <c:idx val="444"/>
            <c:marker>
              <c:spPr>
                <a:solidFill>
                  <a:srgbClr val="C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BC-C974-49B2-9C17-08E16E5C920D}"/>
              </c:ext>
            </c:extLst>
          </c:dPt>
          <c:dPt>
            <c:idx val="445"/>
            <c:marker>
              <c:spPr>
                <a:solidFill>
                  <a:srgbClr val="C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BD-C974-49B2-9C17-08E16E5C920D}"/>
              </c:ext>
            </c:extLst>
          </c:dPt>
          <c:dPt>
            <c:idx val="446"/>
            <c:marker>
              <c:spPr>
                <a:solidFill>
                  <a:srgbClr val="C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BE-C974-49B2-9C17-08E16E5C920D}"/>
              </c:ext>
            </c:extLst>
          </c:dPt>
          <c:dPt>
            <c:idx val="447"/>
            <c:marker>
              <c:spPr>
                <a:solidFill>
                  <a:srgbClr val="C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BF-C974-49B2-9C17-08E16E5C920D}"/>
              </c:ext>
            </c:extLst>
          </c:dPt>
          <c:dPt>
            <c:idx val="448"/>
            <c:marker>
              <c:spPr>
                <a:solidFill>
                  <a:srgbClr val="C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C0-C974-49B2-9C17-08E16E5C920D}"/>
              </c:ext>
            </c:extLst>
          </c:dPt>
          <c:dPt>
            <c:idx val="449"/>
            <c:marker>
              <c:spPr>
                <a:solidFill>
                  <a:srgbClr val="C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C1-C974-49B2-9C17-08E16E5C920D}"/>
              </c:ext>
            </c:extLst>
          </c:dPt>
          <c:dPt>
            <c:idx val="450"/>
            <c:marker>
              <c:spPr>
                <a:solidFill>
                  <a:srgbClr val="C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C2-C974-49B2-9C17-08E16E5C920D}"/>
              </c:ext>
            </c:extLst>
          </c:dPt>
          <c:dPt>
            <c:idx val="451"/>
            <c:marker>
              <c:spPr>
                <a:solidFill>
                  <a:srgbClr val="C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C3-C974-49B2-9C17-08E16E5C920D}"/>
              </c:ext>
            </c:extLst>
          </c:dPt>
          <c:dPt>
            <c:idx val="452"/>
            <c:marker>
              <c:spPr>
                <a:solidFill>
                  <a:srgbClr val="C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C4-C974-49B2-9C17-08E16E5C920D}"/>
              </c:ext>
            </c:extLst>
          </c:dPt>
          <c:dPt>
            <c:idx val="453"/>
            <c:marker>
              <c:spPr>
                <a:solidFill>
                  <a:srgbClr val="C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C5-C974-49B2-9C17-08E16E5C920D}"/>
              </c:ext>
            </c:extLst>
          </c:dPt>
          <c:dPt>
            <c:idx val="454"/>
            <c:marker>
              <c:spPr>
                <a:solidFill>
                  <a:srgbClr val="C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C6-C974-49B2-9C17-08E16E5C920D}"/>
              </c:ext>
            </c:extLst>
          </c:dPt>
          <c:dPt>
            <c:idx val="455"/>
            <c:marker>
              <c:spPr>
                <a:solidFill>
                  <a:srgbClr val="C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C7-C974-49B2-9C17-08E16E5C920D}"/>
              </c:ext>
            </c:extLst>
          </c:dPt>
          <c:dPt>
            <c:idx val="456"/>
            <c:marker>
              <c:spPr>
                <a:solidFill>
                  <a:srgbClr val="C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C8-C974-49B2-9C17-08E16E5C920D}"/>
              </c:ext>
            </c:extLst>
          </c:dPt>
          <c:dPt>
            <c:idx val="457"/>
            <c:marker>
              <c:spPr>
                <a:solidFill>
                  <a:srgbClr val="C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C9-C974-49B2-9C17-08E16E5C920D}"/>
              </c:ext>
            </c:extLst>
          </c:dPt>
          <c:dPt>
            <c:idx val="458"/>
            <c:marker>
              <c:spPr>
                <a:solidFill>
                  <a:srgbClr val="C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CA-C974-49B2-9C17-08E16E5C920D}"/>
              </c:ext>
            </c:extLst>
          </c:dPt>
          <c:dPt>
            <c:idx val="459"/>
            <c:marker>
              <c:spPr>
                <a:solidFill>
                  <a:srgbClr val="C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CB-C974-49B2-9C17-08E16E5C920D}"/>
              </c:ext>
            </c:extLst>
          </c:dPt>
          <c:dPt>
            <c:idx val="460"/>
            <c:marker>
              <c:spPr>
                <a:solidFill>
                  <a:srgbClr val="C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CC-C974-49B2-9C17-08E16E5C920D}"/>
              </c:ext>
            </c:extLst>
          </c:dPt>
          <c:dPt>
            <c:idx val="461"/>
            <c:marker>
              <c:spPr>
                <a:solidFill>
                  <a:srgbClr val="C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CD-C974-49B2-9C17-08E16E5C920D}"/>
              </c:ext>
            </c:extLst>
          </c:dPt>
          <c:dPt>
            <c:idx val="462"/>
            <c:marker>
              <c:spPr>
                <a:solidFill>
                  <a:srgbClr val="C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CE-C974-49B2-9C17-08E16E5C920D}"/>
              </c:ext>
            </c:extLst>
          </c:dPt>
          <c:dPt>
            <c:idx val="463"/>
            <c:marker>
              <c:spPr>
                <a:solidFill>
                  <a:srgbClr val="C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CF-C974-49B2-9C17-08E16E5C920D}"/>
              </c:ext>
            </c:extLst>
          </c:dPt>
          <c:dPt>
            <c:idx val="464"/>
            <c:marker>
              <c:spPr>
                <a:solidFill>
                  <a:srgbClr val="C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D0-C974-49B2-9C17-08E16E5C920D}"/>
              </c:ext>
            </c:extLst>
          </c:dPt>
          <c:dPt>
            <c:idx val="465"/>
            <c:marker>
              <c:spPr>
                <a:solidFill>
                  <a:srgbClr val="C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D1-C974-49B2-9C17-08E16E5C920D}"/>
              </c:ext>
            </c:extLst>
          </c:dPt>
          <c:dPt>
            <c:idx val="466"/>
            <c:marker>
              <c:spPr>
                <a:solidFill>
                  <a:srgbClr val="C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D2-C974-49B2-9C17-08E16E5C920D}"/>
              </c:ext>
            </c:extLst>
          </c:dPt>
          <c:dPt>
            <c:idx val="467"/>
            <c:marker>
              <c:spPr>
                <a:solidFill>
                  <a:srgbClr val="C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D3-C974-49B2-9C17-08E16E5C920D}"/>
              </c:ext>
            </c:extLst>
          </c:dPt>
          <c:dPt>
            <c:idx val="468"/>
            <c:marker>
              <c:spPr>
                <a:solidFill>
                  <a:srgbClr val="C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D4-C974-49B2-9C17-08E16E5C920D}"/>
              </c:ext>
            </c:extLst>
          </c:dPt>
          <c:dPt>
            <c:idx val="469"/>
            <c:marker>
              <c:spPr>
                <a:solidFill>
                  <a:srgbClr val="C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D5-C974-49B2-9C17-08E16E5C920D}"/>
              </c:ext>
            </c:extLst>
          </c:dPt>
          <c:dPt>
            <c:idx val="470"/>
            <c:marker>
              <c:spPr>
                <a:solidFill>
                  <a:srgbClr val="C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D6-C974-49B2-9C17-08E16E5C920D}"/>
              </c:ext>
            </c:extLst>
          </c:dPt>
          <c:dPt>
            <c:idx val="471"/>
            <c:marker>
              <c:spPr>
                <a:solidFill>
                  <a:srgbClr val="C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D7-C974-49B2-9C17-08E16E5C920D}"/>
              </c:ext>
            </c:extLst>
          </c:dPt>
          <c:dPt>
            <c:idx val="472"/>
            <c:marker>
              <c:spPr>
                <a:solidFill>
                  <a:srgbClr val="C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D8-C974-49B2-9C17-08E16E5C920D}"/>
              </c:ext>
            </c:extLst>
          </c:dPt>
          <c:dPt>
            <c:idx val="473"/>
            <c:marker>
              <c:spPr>
                <a:solidFill>
                  <a:srgbClr val="C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D9-C974-49B2-9C17-08E16E5C920D}"/>
              </c:ext>
            </c:extLst>
          </c:dPt>
          <c:dPt>
            <c:idx val="474"/>
            <c:marker>
              <c:spPr>
                <a:solidFill>
                  <a:srgbClr val="C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DA-C974-49B2-9C17-08E16E5C920D}"/>
              </c:ext>
            </c:extLst>
          </c:dPt>
          <c:dPt>
            <c:idx val="475"/>
            <c:marker>
              <c:spPr>
                <a:solidFill>
                  <a:srgbClr val="C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DB-C974-49B2-9C17-08E16E5C920D}"/>
              </c:ext>
            </c:extLst>
          </c:dPt>
          <c:dPt>
            <c:idx val="476"/>
            <c:marker>
              <c:spPr>
                <a:solidFill>
                  <a:srgbClr val="C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DC-C974-49B2-9C17-08E16E5C920D}"/>
              </c:ext>
            </c:extLst>
          </c:dPt>
          <c:dPt>
            <c:idx val="477"/>
            <c:marker>
              <c:spPr>
                <a:solidFill>
                  <a:srgbClr val="C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DD-C974-49B2-9C17-08E16E5C920D}"/>
              </c:ext>
            </c:extLst>
          </c:dPt>
          <c:dPt>
            <c:idx val="478"/>
            <c:marker>
              <c:spPr>
                <a:solidFill>
                  <a:srgbClr val="C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DE-C974-49B2-9C17-08E16E5C920D}"/>
              </c:ext>
            </c:extLst>
          </c:dPt>
          <c:dPt>
            <c:idx val="479"/>
            <c:marker>
              <c:spPr>
                <a:solidFill>
                  <a:srgbClr val="C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DF-C974-49B2-9C17-08E16E5C920D}"/>
              </c:ext>
            </c:extLst>
          </c:dPt>
          <c:dPt>
            <c:idx val="480"/>
            <c:marker>
              <c:spPr>
                <a:solidFill>
                  <a:srgbClr val="C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E0-C974-49B2-9C17-08E16E5C920D}"/>
              </c:ext>
            </c:extLst>
          </c:dPt>
          <c:dPt>
            <c:idx val="481"/>
            <c:marker>
              <c:spPr>
                <a:solidFill>
                  <a:srgbClr val="C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E1-C974-49B2-9C17-08E16E5C920D}"/>
              </c:ext>
            </c:extLst>
          </c:dPt>
          <c:dPt>
            <c:idx val="482"/>
            <c:marker>
              <c:spPr>
                <a:solidFill>
                  <a:srgbClr val="C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E2-C974-49B2-9C17-08E16E5C920D}"/>
              </c:ext>
            </c:extLst>
          </c:dPt>
          <c:dPt>
            <c:idx val="483"/>
            <c:marker>
              <c:spPr>
                <a:solidFill>
                  <a:srgbClr val="C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E3-C974-49B2-9C17-08E16E5C920D}"/>
              </c:ext>
            </c:extLst>
          </c:dPt>
          <c:dPt>
            <c:idx val="484"/>
            <c:marker>
              <c:spPr>
                <a:solidFill>
                  <a:srgbClr val="C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E4-C974-49B2-9C17-08E16E5C920D}"/>
              </c:ext>
            </c:extLst>
          </c:dPt>
          <c:dPt>
            <c:idx val="485"/>
            <c:marker>
              <c:spPr>
                <a:solidFill>
                  <a:srgbClr val="C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E5-C974-49B2-9C17-08E16E5C920D}"/>
              </c:ext>
            </c:extLst>
          </c:dPt>
          <c:dPt>
            <c:idx val="486"/>
            <c:marker>
              <c:spPr>
                <a:solidFill>
                  <a:srgbClr val="C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E6-C974-49B2-9C17-08E16E5C920D}"/>
              </c:ext>
            </c:extLst>
          </c:dPt>
          <c:dPt>
            <c:idx val="487"/>
            <c:marker>
              <c:spPr>
                <a:solidFill>
                  <a:srgbClr val="C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E7-C974-49B2-9C17-08E16E5C920D}"/>
              </c:ext>
            </c:extLst>
          </c:dPt>
          <c:dPt>
            <c:idx val="488"/>
            <c:marker>
              <c:spPr>
                <a:solidFill>
                  <a:srgbClr val="C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E8-C974-49B2-9C17-08E16E5C920D}"/>
              </c:ext>
            </c:extLst>
          </c:dPt>
          <c:dPt>
            <c:idx val="489"/>
            <c:marker>
              <c:spPr>
                <a:solidFill>
                  <a:srgbClr val="C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E9-C974-49B2-9C17-08E16E5C920D}"/>
              </c:ext>
            </c:extLst>
          </c:dPt>
          <c:dPt>
            <c:idx val="490"/>
            <c:marker>
              <c:spPr>
                <a:solidFill>
                  <a:srgbClr val="C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EA-C974-49B2-9C17-08E16E5C920D}"/>
              </c:ext>
            </c:extLst>
          </c:dPt>
          <c:dPt>
            <c:idx val="491"/>
            <c:marker>
              <c:spPr>
                <a:solidFill>
                  <a:srgbClr val="C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EB-C974-49B2-9C17-08E16E5C920D}"/>
              </c:ext>
            </c:extLst>
          </c:dPt>
          <c:dPt>
            <c:idx val="492"/>
            <c:marker>
              <c:spPr>
                <a:solidFill>
                  <a:srgbClr val="C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EC-C974-49B2-9C17-08E16E5C920D}"/>
              </c:ext>
            </c:extLst>
          </c:dPt>
          <c:dPt>
            <c:idx val="493"/>
            <c:marker>
              <c:spPr>
                <a:solidFill>
                  <a:srgbClr val="C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ED-C974-49B2-9C17-08E16E5C920D}"/>
              </c:ext>
            </c:extLst>
          </c:dPt>
          <c:dPt>
            <c:idx val="494"/>
            <c:marker>
              <c:spPr>
                <a:solidFill>
                  <a:srgbClr val="C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EE-C974-49B2-9C17-08E16E5C920D}"/>
              </c:ext>
            </c:extLst>
          </c:dPt>
          <c:dPt>
            <c:idx val="495"/>
            <c:marker>
              <c:spPr>
                <a:solidFill>
                  <a:srgbClr val="C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EF-C974-49B2-9C17-08E16E5C920D}"/>
              </c:ext>
            </c:extLst>
          </c:dPt>
          <c:dPt>
            <c:idx val="496"/>
            <c:marker>
              <c:spPr>
                <a:solidFill>
                  <a:srgbClr val="C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F0-C974-49B2-9C17-08E16E5C920D}"/>
              </c:ext>
            </c:extLst>
          </c:dPt>
          <c:dPt>
            <c:idx val="497"/>
            <c:marker>
              <c:spPr>
                <a:solidFill>
                  <a:srgbClr val="C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F1-C974-49B2-9C17-08E16E5C920D}"/>
              </c:ext>
            </c:extLst>
          </c:dPt>
          <c:dPt>
            <c:idx val="498"/>
            <c:marker>
              <c:spPr>
                <a:solidFill>
                  <a:srgbClr val="C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F2-C974-49B2-9C17-08E16E5C920D}"/>
              </c:ext>
            </c:extLst>
          </c:dPt>
          <c:dPt>
            <c:idx val="499"/>
            <c:marker>
              <c:spPr>
                <a:solidFill>
                  <a:srgbClr val="C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F3-C974-49B2-9C17-08E16E5C920D}"/>
              </c:ext>
            </c:extLst>
          </c:dPt>
          <c:dPt>
            <c:idx val="500"/>
            <c:marker>
              <c:spPr>
                <a:solidFill>
                  <a:srgbClr val="C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F4-C974-49B2-9C17-08E16E5C920D}"/>
              </c:ext>
            </c:extLst>
          </c:dPt>
          <c:dPt>
            <c:idx val="501"/>
            <c:marker>
              <c:spPr>
                <a:solidFill>
                  <a:srgbClr val="C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F5-C974-49B2-9C17-08E16E5C920D}"/>
              </c:ext>
            </c:extLst>
          </c:dPt>
          <c:dPt>
            <c:idx val="502"/>
            <c:marker>
              <c:spPr>
                <a:solidFill>
                  <a:srgbClr val="C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F6-C974-49B2-9C17-08E16E5C920D}"/>
              </c:ext>
            </c:extLst>
          </c:dPt>
          <c:dPt>
            <c:idx val="503"/>
            <c:marker>
              <c:spPr>
                <a:solidFill>
                  <a:srgbClr val="C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F7-C974-49B2-9C17-08E16E5C920D}"/>
              </c:ext>
            </c:extLst>
          </c:dPt>
          <c:dPt>
            <c:idx val="504"/>
            <c:marker>
              <c:spPr>
                <a:solidFill>
                  <a:srgbClr val="C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F8-C974-49B2-9C17-08E16E5C920D}"/>
              </c:ext>
            </c:extLst>
          </c:dPt>
          <c:dPt>
            <c:idx val="505"/>
            <c:marker>
              <c:spPr>
                <a:solidFill>
                  <a:srgbClr val="C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F9-C974-49B2-9C17-08E16E5C920D}"/>
              </c:ext>
            </c:extLst>
          </c:dPt>
          <c:dPt>
            <c:idx val="506"/>
            <c:marker>
              <c:spPr>
                <a:solidFill>
                  <a:srgbClr val="C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FA-C974-49B2-9C17-08E16E5C920D}"/>
              </c:ext>
            </c:extLst>
          </c:dPt>
          <c:dPt>
            <c:idx val="507"/>
            <c:marker>
              <c:spPr>
                <a:solidFill>
                  <a:srgbClr val="C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FB-C974-49B2-9C17-08E16E5C920D}"/>
              </c:ext>
            </c:extLst>
          </c:dPt>
          <c:dPt>
            <c:idx val="508"/>
            <c:marker>
              <c:spPr>
                <a:solidFill>
                  <a:srgbClr val="C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FC-C974-49B2-9C17-08E16E5C920D}"/>
              </c:ext>
            </c:extLst>
          </c:dPt>
          <c:dPt>
            <c:idx val="509"/>
            <c:marker>
              <c:spPr>
                <a:solidFill>
                  <a:srgbClr val="C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FD-C974-49B2-9C17-08E16E5C920D}"/>
              </c:ext>
            </c:extLst>
          </c:dPt>
          <c:dPt>
            <c:idx val="510"/>
            <c:marker>
              <c:spPr>
                <a:solidFill>
                  <a:srgbClr val="C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FE-C974-49B2-9C17-08E16E5C920D}"/>
              </c:ext>
            </c:extLst>
          </c:dPt>
          <c:dPt>
            <c:idx val="511"/>
            <c:marker>
              <c:spPr>
                <a:solidFill>
                  <a:srgbClr val="C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FF-C974-49B2-9C17-08E16E5C920D}"/>
              </c:ext>
            </c:extLst>
          </c:dPt>
          <c:dPt>
            <c:idx val="512"/>
            <c:marker>
              <c:spPr>
                <a:solidFill>
                  <a:srgbClr val="C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00-C974-49B2-9C17-08E16E5C920D}"/>
              </c:ext>
            </c:extLst>
          </c:dPt>
          <c:dPt>
            <c:idx val="513"/>
            <c:marker>
              <c:spPr>
                <a:solidFill>
                  <a:srgbClr val="C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01-C974-49B2-9C17-08E16E5C920D}"/>
              </c:ext>
            </c:extLst>
          </c:dPt>
          <c:dPt>
            <c:idx val="514"/>
            <c:marker>
              <c:spPr>
                <a:solidFill>
                  <a:srgbClr val="C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02-C974-49B2-9C17-08E16E5C920D}"/>
              </c:ext>
            </c:extLst>
          </c:dPt>
          <c:dPt>
            <c:idx val="515"/>
            <c:marker>
              <c:spPr>
                <a:solidFill>
                  <a:srgbClr val="C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03-C974-49B2-9C17-08E16E5C920D}"/>
              </c:ext>
            </c:extLst>
          </c:dPt>
          <c:dPt>
            <c:idx val="516"/>
            <c:marker>
              <c:spPr>
                <a:solidFill>
                  <a:srgbClr val="C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04-C974-49B2-9C17-08E16E5C920D}"/>
              </c:ext>
            </c:extLst>
          </c:dPt>
          <c:dPt>
            <c:idx val="517"/>
            <c:marker>
              <c:spPr>
                <a:solidFill>
                  <a:srgbClr val="C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05-C974-49B2-9C17-08E16E5C920D}"/>
              </c:ext>
            </c:extLst>
          </c:dPt>
          <c:dPt>
            <c:idx val="518"/>
            <c:marker>
              <c:spPr>
                <a:solidFill>
                  <a:srgbClr val="C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06-C974-49B2-9C17-08E16E5C920D}"/>
              </c:ext>
            </c:extLst>
          </c:dPt>
          <c:dPt>
            <c:idx val="519"/>
            <c:marker>
              <c:spPr>
                <a:solidFill>
                  <a:srgbClr val="C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07-C974-49B2-9C17-08E16E5C920D}"/>
              </c:ext>
            </c:extLst>
          </c:dPt>
          <c:dPt>
            <c:idx val="520"/>
            <c:marker>
              <c:spPr>
                <a:solidFill>
                  <a:srgbClr val="C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08-C974-49B2-9C17-08E16E5C920D}"/>
              </c:ext>
            </c:extLst>
          </c:dPt>
          <c:dPt>
            <c:idx val="521"/>
            <c:marker>
              <c:spPr>
                <a:solidFill>
                  <a:srgbClr val="C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09-C974-49B2-9C17-08E16E5C920D}"/>
              </c:ext>
            </c:extLst>
          </c:dPt>
          <c:dPt>
            <c:idx val="522"/>
            <c:marker>
              <c:spPr>
                <a:solidFill>
                  <a:srgbClr val="C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0A-C974-49B2-9C17-08E16E5C920D}"/>
              </c:ext>
            </c:extLst>
          </c:dPt>
          <c:dPt>
            <c:idx val="523"/>
            <c:marker>
              <c:spPr>
                <a:solidFill>
                  <a:srgbClr val="C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0B-C974-49B2-9C17-08E16E5C920D}"/>
              </c:ext>
            </c:extLst>
          </c:dPt>
          <c:dPt>
            <c:idx val="524"/>
            <c:marker>
              <c:spPr>
                <a:solidFill>
                  <a:srgbClr val="C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0C-C974-49B2-9C17-08E16E5C920D}"/>
              </c:ext>
            </c:extLst>
          </c:dPt>
          <c:dPt>
            <c:idx val="525"/>
            <c:marker>
              <c:spPr>
                <a:solidFill>
                  <a:srgbClr val="C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0D-C974-49B2-9C17-08E16E5C920D}"/>
              </c:ext>
            </c:extLst>
          </c:dPt>
          <c:dPt>
            <c:idx val="526"/>
            <c:marker>
              <c:spPr>
                <a:solidFill>
                  <a:srgbClr val="C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0E-C974-49B2-9C17-08E16E5C920D}"/>
              </c:ext>
            </c:extLst>
          </c:dPt>
          <c:dPt>
            <c:idx val="527"/>
            <c:marker>
              <c:spPr>
                <a:solidFill>
                  <a:srgbClr val="C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0F-C974-49B2-9C17-08E16E5C920D}"/>
              </c:ext>
            </c:extLst>
          </c:dPt>
          <c:dPt>
            <c:idx val="528"/>
            <c:marker>
              <c:spPr>
                <a:solidFill>
                  <a:srgbClr val="C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10-C974-49B2-9C17-08E16E5C920D}"/>
              </c:ext>
            </c:extLst>
          </c:dPt>
          <c:dPt>
            <c:idx val="529"/>
            <c:marker>
              <c:spPr>
                <a:solidFill>
                  <a:srgbClr val="C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11-C974-49B2-9C17-08E16E5C920D}"/>
              </c:ext>
            </c:extLst>
          </c:dPt>
          <c:dPt>
            <c:idx val="530"/>
            <c:marker>
              <c:spPr>
                <a:solidFill>
                  <a:srgbClr val="C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12-C974-49B2-9C17-08E16E5C920D}"/>
              </c:ext>
            </c:extLst>
          </c:dPt>
          <c:dPt>
            <c:idx val="531"/>
            <c:marker>
              <c:spPr>
                <a:solidFill>
                  <a:srgbClr val="C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13-C974-49B2-9C17-08E16E5C920D}"/>
              </c:ext>
            </c:extLst>
          </c:dPt>
          <c:dPt>
            <c:idx val="532"/>
            <c:marker>
              <c:spPr>
                <a:solidFill>
                  <a:srgbClr val="C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14-C974-49B2-9C17-08E16E5C920D}"/>
              </c:ext>
            </c:extLst>
          </c:dPt>
          <c:dPt>
            <c:idx val="533"/>
            <c:marker>
              <c:spPr>
                <a:solidFill>
                  <a:srgbClr val="C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15-C974-49B2-9C17-08E16E5C920D}"/>
              </c:ext>
            </c:extLst>
          </c:dPt>
          <c:dPt>
            <c:idx val="534"/>
            <c:marker>
              <c:spPr>
                <a:solidFill>
                  <a:srgbClr val="C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16-C974-49B2-9C17-08E16E5C920D}"/>
              </c:ext>
            </c:extLst>
          </c:dPt>
          <c:dPt>
            <c:idx val="535"/>
            <c:marker>
              <c:spPr>
                <a:solidFill>
                  <a:srgbClr val="C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17-C974-49B2-9C17-08E16E5C920D}"/>
              </c:ext>
            </c:extLst>
          </c:dPt>
          <c:dPt>
            <c:idx val="536"/>
            <c:marker>
              <c:spPr>
                <a:solidFill>
                  <a:srgbClr val="C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18-C974-49B2-9C17-08E16E5C920D}"/>
              </c:ext>
            </c:extLst>
          </c:dPt>
          <c:dPt>
            <c:idx val="537"/>
            <c:marker>
              <c:spPr>
                <a:solidFill>
                  <a:srgbClr val="C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19-C974-49B2-9C17-08E16E5C920D}"/>
              </c:ext>
            </c:extLst>
          </c:dPt>
          <c:dPt>
            <c:idx val="538"/>
            <c:marker>
              <c:spPr>
                <a:solidFill>
                  <a:srgbClr val="C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1A-C974-49B2-9C17-08E16E5C920D}"/>
              </c:ext>
            </c:extLst>
          </c:dPt>
          <c:dPt>
            <c:idx val="539"/>
            <c:marker>
              <c:spPr>
                <a:solidFill>
                  <a:srgbClr val="C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1B-C974-49B2-9C17-08E16E5C920D}"/>
              </c:ext>
            </c:extLst>
          </c:dPt>
          <c:dPt>
            <c:idx val="540"/>
            <c:marker>
              <c:spPr>
                <a:solidFill>
                  <a:srgbClr val="C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1C-C974-49B2-9C17-08E16E5C920D}"/>
              </c:ext>
            </c:extLst>
          </c:dPt>
          <c:dPt>
            <c:idx val="541"/>
            <c:marker>
              <c:spPr>
                <a:solidFill>
                  <a:srgbClr val="C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1D-C974-49B2-9C17-08E16E5C920D}"/>
              </c:ext>
            </c:extLst>
          </c:dPt>
          <c:dPt>
            <c:idx val="542"/>
            <c:marker>
              <c:spPr>
                <a:solidFill>
                  <a:srgbClr val="C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1E-C974-49B2-9C17-08E16E5C920D}"/>
              </c:ext>
            </c:extLst>
          </c:dPt>
          <c:dPt>
            <c:idx val="543"/>
            <c:marker>
              <c:spPr>
                <a:solidFill>
                  <a:srgbClr val="C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1F-C974-49B2-9C17-08E16E5C920D}"/>
              </c:ext>
            </c:extLst>
          </c:dPt>
          <c:dPt>
            <c:idx val="544"/>
            <c:marker>
              <c:spPr>
                <a:solidFill>
                  <a:srgbClr val="C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20-C974-49B2-9C17-08E16E5C920D}"/>
              </c:ext>
            </c:extLst>
          </c:dPt>
          <c:dPt>
            <c:idx val="545"/>
            <c:marker>
              <c:spPr>
                <a:solidFill>
                  <a:srgbClr val="C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21-C974-49B2-9C17-08E16E5C920D}"/>
              </c:ext>
            </c:extLst>
          </c:dPt>
          <c:dPt>
            <c:idx val="546"/>
            <c:marker>
              <c:spPr>
                <a:solidFill>
                  <a:srgbClr val="C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22-C974-49B2-9C17-08E16E5C920D}"/>
              </c:ext>
            </c:extLst>
          </c:dPt>
          <c:dPt>
            <c:idx val="547"/>
            <c:marker>
              <c:spPr>
                <a:solidFill>
                  <a:srgbClr val="C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23-C974-49B2-9C17-08E16E5C920D}"/>
              </c:ext>
            </c:extLst>
          </c:dPt>
          <c:dPt>
            <c:idx val="548"/>
            <c:marker>
              <c:spPr>
                <a:solidFill>
                  <a:srgbClr val="C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24-C974-49B2-9C17-08E16E5C920D}"/>
              </c:ext>
            </c:extLst>
          </c:dPt>
          <c:dPt>
            <c:idx val="549"/>
            <c:marker>
              <c:spPr>
                <a:solidFill>
                  <a:srgbClr val="C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25-C974-49B2-9C17-08E16E5C920D}"/>
              </c:ext>
            </c:extLst>
          </c:dPt>
          <c:dPt>
            <c:idx val="550"/>
            <c:marker>
              <c:spPr>
                <a:solidFill>
                  <a:srgbClr val="C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26-C974-49B2-9C17-08E16E5C920D}"/>
              </c:ext>
            </c:extLst>
          </c:dPt>
          <c:dPt>
            <c:idx val="551"/>
            <c:marker>
              <c:spPr>
                <a:solidFill>
                  <a:srgbClr val="C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27-C974-49B2-9C17-08E16E5C920D}"/>
              </c:ext>
            </c:extLst>
          </c:dPt>
          <c:dPt>
            <c:idx val="552"/>
            <c:marker>
              <c:spPr>
                <a:solidFill>
                  <a:srgbClr val="C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28-C974-49B2-9C17-08E16E5C920D}"/>
              </c:ext>
            </c:extLst>
          </c:dPt>
          <c:dPt>
            <c:idx val="553"/>
            <c:marker>
              <c:spPr>
                <a:solidFill>
                  <a:srgbClr val="C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29-C974-49B2-9C17-08E16E5C920D}"/>
              </c:ext>
            </c:extLst>
          </c:dPt>
          <c:dPt>
            <c:idx val="554"/>
            <c:marker>
              <c:spPr>
                <a:solidFill>
                  <a:srgbClr val="C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2A-C974-49B2-9C17-08E16E5C920D}"/>
              </c:ext>
            </c:extLst>
          </c:dPt>
          <c:dPt>
            <c:idx val="555"/>
            <c:marker>
              <c:spPr>
                <a:solidFill>
                  <a:srgbClr val="C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2B-C974-49B2-9C17-08E16E5C920D}"/>
              </c:ext>
            </c:extLst>
          </c:dPt>
          <c:dPt>
            <c:idx val="556"/>
            <c:marker>
              <c:spPr>
                <a:solidFill>
                  <a:srgbClr val="C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2C-C974-49B2-9C17-08E16E5C920D}"/>
              </c:ext>
            </c:extLst>
          </c:dPt>
          <c:dPt>
            <c:idx val="557"/>
            <c:marker>
              <c:spPr>
                <a:solidFill>
                  <a:srgbClr val="C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2D-C974-49B2-9C17-08E16E5C920D}"/>
              </c:ext>
            </c:extLst>
          </c:dPt>
          <c:dPt>
            <c:idx val="558"/>
            <c:marker>
              <c:spPr>
                <a:solidFill>
                  <a:srgbClr val="C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2E-C974-49B2-9C17-08E16E5C920D}"/>
              </c:ext>
            </c:extLst>
          </c:dPt>
          <c:dPt>
            <c:idx val="559"/>
            <c:marker>
              <c:spPr>
                <a:solidFill>
                  <a:srgbClr val="C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2F-C974-49B2-9C17-08E16E5C920D}"/>
              </c:ext>
            </c:extLst>
          </c:dPt>
          <c:dPt>
            <c:idx val="560"/>
            <c:marker>
              <c:spPr>
                <a:solidFill>
                  <a:srgbClr val="C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30-C974-49B2-9C17-08E16E5C920D}"/>
              </c:ext>
            </c:extLst>
          </c:dPt>
          <c:dPt>
            <c:idx val="561"/>
            <c:marker>
              <c:spPr>
                <a:solidFill>
                  <a:srgbClr val="C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31-C974-49B2-9C17-08E16E5C920D}"/>
              </c:ext>
            </c:extLst>
          </c:dPt>
          <c:dPt>
            <c:idx val="562"/>
            <c:marker>
              <c:spPr>
                <a:solidFill>
                  <a:srgbClr val="C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32-C974-49B2-9C17-08E16E5C920D}"/>
              </c:ext>
            </c:extLst>
          </c:dPt>
          <c:dPt>
            <c:idx val="563"/>
            <c:marker>
              <c:spPr>
                <a:solidFill>
                  <a:srgbClr val="C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33-C974-49B2-9C17-08E16E5C920D}"/>
              </c:ext>
            </c:extLst>
          </c:dPt>
          <c:dPt>
            <c:idx val="564"/>
            <c:marker>
              <c:spPr>
                <a:solidFill>
                  <a:srgbClr val="C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34-C974-49B2-9C17-08E16E5C920D}"/>
              </c:ext>
            </c:extLst>
          </c:dPt>
          <c:dPt>
            <c:idx val="565"/>
            <c:marker>
              <c:spPr>
                <a:solidFill>
                  <a:srgbClr val="C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35-C974-49B2-9C17-08E16E5C920D}"/>
              </c:ext>
            </c:extLst>
          </c:dPt>
          <c:dPt>
            <c:idx val="566"/>
            <c:marker>
              <c:spPr>
                <a:solidFill>
                  <a:srgbClr val="B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36-C974-49B2-9C17-08E16E5C920D}"/>
              </c:ext>
            </c:extLst>
          </c:dPt>
          <c:dPt>
            <c:idx val="567"/>
            <c:marker>
              <c:spPr>
                <a:solidFill>
                  <a:srgbClr val="B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37-C974-49B2-9C17-08E16E5C920D}"/>
              </c:ext>
            </c:extLst>
          </c:dPt>
          <c:dPt>
            <c:idx val="568"/>
            <c:marker>
              <c:spPr>
                <a:solidFill>
                  <a:srgbClr val="B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38-C974-49B2-9C17-08E16E5C920D}"/>
              </c:ext>
            </c:extLst>
          </c:dPt>
          <c:dPt>
            <c:idx val="569"/>
            <c:marker>
              <c:spPr>
                <a:solidFill>
                  <a:srgbClr val="B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39-C974-49B2-9C17-08E16E5C920D}"/>
              </c:ext>
            </c:extLst>
          </c:dPt>
          <c:dPt>
            <c:idx val="570"/>
            <c:marker>
              <c:spPr>
                <a:solidFill>
                  <a:srgbClr val="B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3A-C974-49B2-9C17-08E16E5C920D}"/>
              </c:ext>
            </c:extLst>
          </c:dPt>
          <c:dPt>
            <c:idx val="571"/>
            <c:marker>
              <c:spPr>
                <a:solidFill>
                  <a:srgbClr val="B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3B-C974-49B2-9C17-08E16E5C920D}"/>
              </c:ext>
            </c:extLst>
          </c:dPt>
          <c:dPt>
            <c:idx val="572"/>
            <c:marker>
              <c:spPr>
                <a:solidFill>
                  <a:srgbClr val="B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3C-C974-49B2-9C17-08E16E5C920D}"/>
              </c:ext>
            </c:extLst>
          </c:dPt>
          <c:dPt>
            <c:idx val="573"/>
            <c:marker>
              <c:spPr>
                <a:solidFill>
                  <a:srgbClr val="B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3D-C974-49B2-9C17-08E16E5C920D}"/>
              </c:ext>
            </c:extLst>
          </c:dPt>
          <c:dPt>
            <c:idx val="574"/>
            <c:marker>
              <c:spPr>
                <a:solidFill>
                  <a:srgbClr val="B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3E-C974-49B2-9C17-08E16E5C920D}"/>
              </c:ext>
            </c:extLst>
          </c:dPt>
          <c:dPt>
            <c:idx val="575"/>
            <c:marker>
              <c:spPr>
                <a:solidFill>
                  <a:srgbClr val="B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3F-C974-49B2-9C17-08E16E5C920D}"/>
              </c:ext>
            </c:extLst>
          </c:dPt>
          <c:dPt>
            <c:idx val="576"/>
            <c:marker>
              <c:spPr>
                <a:solidFill>
                  <a:srgbClr val="B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40-C974-49B2-9C17-08E16E5C920D}"/>
              </c:ext>
            </c:extLst>
          </c:dPt>
          <c:dPt>
            <c:idx val="577"/>
            <c:marker>
              <c:spPr>
                <a:solidFill>
                  <a:srgbClr val="B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41-C974-49B2-9C17-08E16E5C920D}"/>
              </c:ext>
            </c:extLst>
          </c:dPt>
          <c:dPt>
            <c:idx val="578"/>
            <c:marker>
              <c:spPr>
                <a:solidFill>
                  <a:srgbClr val="B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42-C974-49B2-9C17-08E16E5C920D}"/>
              </c:ext>
            </c:extLst>
          </c:dPt>
          <c:dPt>
            <c:idx val="579"/>
            <c:marker>
              <c:spPr>
                <a:solidFill>
                  <a:srgbClr val="B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43-C974-49B2-9C17-08E16E5C920D}"/>
              </c:ext>
            </c:extLst>
          </c:dPt>
          <c:dPt>
            <c:idx val="580"/>
            <c:marker>
              <c:spPr>
                <a:solidFill>
                  <a:srgbClr val="B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44-C974-49B2-9C17-08E16E5C920D}"/>
              </c:ext>
            </c:extLst>
          </c:dPt>
          <c:dPt>
            <c:idx val="581"/>
            <c:marker>
              <c:spPr>
                <a:solidFill>
                  <a:srgbClr val="B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45-C974-49B2-9C17-08E16E5C920D}"/>
              </c:ext>
            </c:extLst>
          </c:dPt>
          <c:dPt>
            <c:idx val="582"/>
            <c:marker>
              <c:spPr>
                <a:solidFill>
                  <a:srgbClr val="B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46-C974-49B2-9C17-08E16E5C920D}"/>
              </c:ext>
            </c:extLst>
          </c:dPt>
          <c:dPt>
            <c:idx val="583"/>
            <c:marker>
              <c:spPr>
                <a:solidFill>
                  <a:srgbClr val="B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47-C974-49B2-9C17-08E16E5C920D}"/>
              </c:ext>
            </c:extLst>
          </c:dPt>
          <c:dPt>
            <c:idx val="584"/>
            <c:marker>
              <c:spPr>
                <a:solidFill>
                  <a:srgbClr val="B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48-C974-49B2-9C17-08E16E5C920D}"/>
              </c:ext>
            </c:extLst>
          </c:dPt>
          <c:dPt>
            <c:idx val="585"/>
            <c:marker>
              <c:spPr>
                <a:solidFill>
                  <a:srgbClr val="B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49-C974-49B2-9C17-08E16E5C920D}"/>
              </c:ext>
            </c:extLst>
          </c:dPt>
          <c:dPt>
            <c:idx val="586"/>
            <c:marker>
              <c:spPr>
                <a:solidFill>
                  <a:srgbClr val="B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4A-C974-49B2-9C17-08E16E5C920D}"/>
              </c:ext>
            </c:extLst>
          </c:dPt>
          <c:dPt>
            <c:idx val="587"/>
            <c:marker>
              <c:spPr>
                <a:solidFill>
                  <a:srgbClr val="B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4B-C974-49B2-9C17-08E16E5C920D}"/>
              </c:ext>
            </c:extLst>
          </c:dPt>
          <c:dPt>
            <c:idx val="588"/>
            <c:marker>
              <c:spPr>
                <a:solidFill>
                  <a:srgbClr val="B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4C-C974-49B2-9C17-08E16E5C920D}"/>
              </c:ext>
            </c:extLst>
          </c:dPt>
          <c:dPt>
            <c:idx val="589"/>
            <c:marker>
              <c:spPr>
                <a:solidFill>
                  <a:srgbClr val="B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4D-C974-49B2-9C17-08E16E5C920D}"/>
              </c:ext>
            </c:extLst>
          </c:dPt>
          <c:dPt>
            <c:idx val="590"/>
            <c:marker>
              <c:spPr>
                <a:solidFill>
                  <a:srgbClr val="B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4E-C974-49B2-9C17-08E16E5C920D}"/>
              </c:ext>
            </c:extLst>
          </c:dPt>
          <c:dPt>
            <c:idx val="591"/>
            <c:marker>
              <c:spPr>
                <a:solidFill>
                  <a:srgbClr val="B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4F-C974-49B2-9C17-08E16E5C920D}"/>
              </c:ext>
            </c:extLst>
          </c:dPt>
          <c:dPt>
            <c:idx val="592"/>
            <c:marker>
              <c:spPr>
                <a:solidFill>
                  <a:srgbClr val="B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50-C974-49B2-9C17-08E16E5C920D}"/>
              </c:ext>
            </c:extLst>
          </c:dPt>
          <c:dPt>
            <c:idx val="593"/>
            <c:marker>
              <c:spPr>
                <a:solidFill>
                  <a:srgbClr val="B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51-C974-49B2-9C17-08E16E5C920D}"/>
              </c:ext>
            </c:extLst>
          </c:dPt>
          <c:dPt>
            <c:idx val="594"/>
            <c:marker>
              <c:spPr>
                <a:solidFill>
                  <a:srgbClr val="B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52-C974-49B2-9C17-08E16E5C920D}"/>
              </c:ext>
            </c:extLst>
          </c:dPt>
          <c:dPt>
            <c:idx val="595"/>
            <c:marker>
              <c:spPr>
                <a:solidFill>
                  <a:srgbClr val="B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53-C974-49B2-9C17-08E16E5C920D}"/>
              </c:ext>
            </c:extLst>
          </c:dPt>
          <c:dPt>
            <c:idx val="596"/>
            <c:marker>
              <c:spPr>
                <a:solidFill>
                  <a:srgbClr val="B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54-C974-49B2-9C17-08E16E5C920D}"/>
              </c:ext>
            </c:extLst>
          </c:dPt>
          <c:dPt>
            <c:idx val="597"/>
            <c:marker>
              <c:spPr>
                <a:solidFill>
                  <a:srgbClr val="B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55-C974-49B2-9C17-08E16E5C920D}"/>
              </c:ext>
            </c:extLst>
          </c:dPt>
          <c:dPt>
            <c:idx val="598"/>
            <c:marker>
              <c:spPr>
                <a:solidFill>
                  <a:srgbClr val="B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56-C974-49B2-9C17-08E16E5C920D}"/>
              </c:ext>
            </c:extLst>
          </c:dPt>
          <c:dPt>
            <c:idx val="599"/>
            <c:marker>
              <c:spPr>
                <a:solidFill>
                  <a:srgbClr val="B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57-C974-49B2-9C17-08E16E5C920D}"/>
              </c:ext>
            </c:extLst>
          </c:dPt>
          <c:dPt>
            <c:idx val="600"/>
            <c:marker>
              <c:spPr>
                <a:solidFill>
                  <a:srgbClr val="B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58-C974-49B2-9C17-08E16E5C920D}"/>
              </c:ext>
            </c:extLst>
          </c:dPt>
          <c:dPt>
            <c:idx val="601"/>
            <c:marker>
              <c:spPr>
                <a:solidFill>
                  <a:srgbClr val="B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59-C974-49B2-9C17-08E16E5C920D}"/>
              </c:ext>
            </c:extLst>
          </c:dPt>
          <c:dPt>
            <c:idx val="602"/>
            <c:marker>
              <c:spPr>
                <a:solidFill>
                  <a:srgbClr val="B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5A-C974-49B2-9C17-08E16E5C920D}"/>
              </c:ext>
            </c:extLst>
          </c:dPt>
          <c:dPt>
            <c:idx val="603"/>
            <c:marker>
              <c:spPr>
                <a:solidFill>
                  <a:srgbClr val="B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5B-C974-49B2-9C17-08E16E5C920D}"/>
              </c:ext>
            </c:extLst>
          </c:dPt>
          <c:dPt>
            <c:idx val="604"/>
            <c:marker>
              <c:spPr>
                <a:solidFill>
                  <a:srgbClr val="B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5C-C974-49B2-9C17-08E16E5C920D}"/>
              </c:ext>
            </c:extLst>
          </c:dPt>
          <c:dPt>
            <c:idx val="605"/>
            <c:marker>
              <c:spPr>
                <a:solidFill>
                  <a:srgbClr val="B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5D-C974-49B2-9C17-08E16E5C920D}"/>
              </c:ext>
            </c:extLst>
          </c:dPt>
          <c:dPt>
            <c:idx val="606"/>
            <c:marker>
              <c:spPr>
                <a:solidFill>
                  <a:srgbClr val="B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5E-C974-49B2-9C17-08E16E5C920D}"/>
              </c:ext>
            </c:extLst>
          </c:dPt>
          <c:dPt>
            <c:idx val="607"/>
            <c:marker>
              <c:spPr>
                <a:solidFill>
                  <a:srgbClr val="B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5F-C974-49B2-9C17-08E16E5C920D}"/>
              </c:ext>
            </c:extLst>
          </c:dPt>
          <c:dPt>
            <c:idx val="608"/>
            <c:marker>
              <c:spPr>
                <a:solidFill>
                  <a:srgbClr val="B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60-C974-49B2-9C17-08E16E5C920D}"/>
              </c:ext>
            </c:extLst>
          </c:dPt>
          <c:dPt>
            <c:idx val="609"/>
            <c:marker>
              <c:spPr>
                <a:solidFill>
                  <a:srgbClr val="B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61-C974-49B2-9C17-08E16E5C920D}"/>
              </c:ext>
            </c:extLst>
          </c:dPt>
          <c:dPt>
            <c:idx val="610"/>
            <c:marker>
              <c:spPr>
                <a:solidFill>
                  <a:srgbClr val="B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62-C974-49B2-9C17-08E16E5C920D}"/>
              </c:ext>
            </c:extLst>
          </c:dPt>
          <c:dPt>
            <c:idx val="611"/>
            <c:marker>
              <c:spPr>
                <a:solidFill>
                  <a:srgbClr val="B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63-C974-49B2-9C17-08E16E5C920D}"/>
              </c:ext>
            </c:extLst>
          </c:dPt>
          <c:dPt>
            <c:idx val="612"/>
            <c:marker>
              <c:spPr>
                <a:solidFill>
                  <a:srgbClr val="B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64-C974-49B2-9C17-08E16E5C920D}"/>
              </c:ext>
            </c:extLst>
          </c:dPt>
          <c:dPt>
            <c:idx val="613"/>
            <c:marker>
              <c:spPr>
                <a:solidFill>
                  <a:srgbClr val="B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65-C974-49B2-9C17-08E16E5C920D}"/>
              </c:ext>
            </c:extLst>
          </c:dPt>
          <c:dPt>
            <c:idx val="614"/>
            <c:marker>
              <c:spPr>
                <a:solidFill>
                  <a:srgbClr val="B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66-C974-49B2-9C17-08E16E5C920D}"/>
              </c:ext>
            </c:extLst>
          </c:dPt>
          <c:dPt>
            <c:idx val="615"/>
            <c:marker>
              <c:spPr>
                <a:solidFill>
                  <a:srgbClr val="B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67-C974-49B2-9C17-08E16E5C920D}"/>
              </c:ext>
            </c:extLst>
          </c:dPt>
          <c:dPt>
            <c:idx val="616"/>
            <c:marker>
              <c:spPr>
                <a:solidFill>
                  <a:srgbClr val="B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68-C974-49B2-9C17-08E16E5C920D}"/>
              </c:ext>
            </c:extLst>
          </c:dPt>
          <c:dPt>
            <c:idx val="617"/>
            <c:marker>
              <c:spPr>
                <a:solidFill>
                  <a:srgbClr val="B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69-C974-49B2-9C17-08E16E5C920D}"/>
              </c:ext>
            </c:extLst>
          </c:dPt>
          <c:dPt>
            <c:idx val="618"/>
            <c:marker>
              <c:spPr>
                <a:solidFill>
                  <a:srgbClr val="B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6A-C974-49B2-9C17-08E16E5C920D}"/>
              </c:ext>
            </c:extLst>
          </c:dPt>
          <c:dPt>
            <c:idx val="619"/>
            <c:marker>
              <c:spPr>
                <a:solidFill>
                  <a:srgbClr val="B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6B-C974-49B2-9C17-08E16E5C920D}"/>
              </c:ext>
            </c:extLst>
          </c:dPt>
          <c:dPt>
            <c:idx val="620"/>
            <c:marker>
              <c:spPr>
                <a:solidFill>
                  <a:srgbClr val="B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6C-C974-49B2-9C17-08E16E5C920D}"/>
              </c:ext>
            </c:extLst>
          </c:dPt>
          <c:dPt>
            <c:idx val="621"/>
            <c:marker>
              <c:spPr>
                <a:solidFill>
                  <a:srgbClr val="B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6D-C974-49B2-9C17-08E16E5C920D}"/>
              </c:ext>
            </c:extLst>
          </c:dPt>
          <c:dPt>
            <c:idx val="622"/>
            <c:marker>
              <c:spPr>
                <a:solidFill>
                  <a:srgbClr val="B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6E-C974-49B2-9C17-08E16E5C920D}"/>
              </c:ext>
            </c:extLst>
          </c:dPt>
          <c:dPt>
            <c:idx val="623"/>
            <c:marker>
              <c:spPr>
                <a:solidFill>
                  <a:srgbClr val="B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6F-C974-49B2-9C17-08E16E5C920D}"/>
              </c:ext>
            </c:extLst>
          </c:dPt>
          <c:dPt>
            <c:idx val="624"/>
            <c:marker>
              <c:spPr>
                <a:solidFill>
                  <a:srgbClr val="B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70-C974-49B2-9C17-08E16E5C920D}"/>
              </c:ext>
            </c:extLst>
          </c:dPt>
          <c:dPt>
            <c:idx val="625"/>
            <c:marker>
              <c:spPr>
                <a:solidFill>
                  <a:srgbClr val="B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71-C974-49B2-9C17-08E16E5C920D}"/>
              </c:ext>
            </c:extLst>
          </c:dPt>
          <c:dPt>
            <c:idx val="626"/>
            <c:marker>
              <c:spPr>
                <a:solidFill>
                  <a:srgbClr val="B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72-C974-49B2-9C17-08E16E5C920D}"/>
              </c:ext>
            </c:extLst>
          </c:dPt>
          <c:dPt>
            <c:idx val="627"/>
            <c:marker>
              <c:spPr>
                <a:solidFill>
                  <a:srgbClr val="B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73-C974-49B2-9C17-08E16E5C920D}"/>
              </c:ext>
            </c:extLst>
          </c:dPt>
          <c:dPt>
            <c:idx val="628"/>
            <c:marker>
              <c:spPr>
                <a:solidFill>
                  <a:srgbClr val="B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74-C974-49B2-9C17-08E16E5C920D}"/>
              </c:ext>
            </c:extLst>
          </c:dPt>
          <c:dPt>
            <c:idx val="629"/>
            <c:marker>
              <c:spPr>
                <a:solidFill>
                  <a:srgbClr val="B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75-C974-49B2-9C17-08E16E5C920D}"/>
              </c:ext>
            </c:extLst>
          </c:dPt>
          <c:dPt>
            <c:idx val="630"/>
            <c:marker>
              <c:spPr>
                <a:solidFill>
                  <a:srgbClr val="B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76-C974-49B2-9C17-08E16E5C920D}"/>
              </c:ext>
            </c:extLst>
          </c:dPt>
          <c:dPt>
            <c:idx val="631"/>
            <c:marker>
              <c:spPr>
                <a:solidFill>
                  <a:srgbClr val="B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77-C974-49B2-9C17-08E16E5C920D}"/>
              </c:ext>
            </c:extLst>
          </c:dPt>
          <c:dPt>
            <c:idx val="632"/>
            <c:marker>
              <c:spPr>
                <a:solidFill>
                  <a:srgbClr val="B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78-C974-49B2-9C17-08E16E5C920D}"/>
              </c:ext>
            </c:extLst>
          </c:dPt>
          <c:dPt>
            <c:idx val="633"/>
            <c:marker>
              <c:spPr>
                <a:solidFill>
                  <a:srgbClr val="B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79-C974-49B2-9C17-08E16E5C920D}"/>
              </c:ext>
            </c:extLst>
          </c:dPt>
          <c:dPt>
            <c:idx val="634"/>
            <c:marker>
              <c:spPr>
                <a:solidFill>
                  <a:srgbClr val="B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7A-C974-49B2-9C17-08E16E5C920D}"/>
              </c:ext>
            </c:extLst>
          </c:dPt>
          <c:dPt>
            <c:idx val="635"/>
            <c:marker>
              <c:spPr>
                <a:solidFill>
                  <a:srgbClr val="B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7B-C974-49B2-9C17-08E16E5C920D}"/>
              </c:ext>
            </c:extLst>
          </c:dPt>
          <c:dPt>
            <c:idx val="636"/>
            <c:marker>
              <c:spPr>
                <a:solidFill>
                  <a:srgbClr val="B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7C-C974-49B2-9C17-08E16E5C920D}"/>
              </c:ext>
            </c:extLst>
          </c:dPt>
          <c:dPt>
            <c:idx val="637"/>
            <c:marker>
              <c:spPr>
                <a:solidFill>
                  <a:srgbClr val="B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7D-C974-49B2-9C17-08E16E5C920D}"/>
              </c:ext>
            </c:extLst>
          </c:dPt>
          <c:dPt>
            <c:idx val="638"/>
            <c:marker>
              <c:spPr>
                <a:solidFill>
                  <a:srgbClr val="B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7E-C974-49B2-9C17-08E16E5C920D}"/>
              </c:ext>
            </c:extLst>
          </c:dPt>
          <c:dPt>
            <c:idx val="639"/>
            <c:marker>
              <c:spPr>
                <a:solidFill>
                  <a:srgbClr val="B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7F-C974-49B2-9C17-08E16E5C920D}"/>
              </c:ext>
            </c:extLst>
          </c:dPt>
          <c:dPt>
            <c:idx val="640"/>
            <c:marker>
              <c:spPr>
                <a:solidFill>
                  <a:srgbClr val="B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80-C974-49B2-9C17-08E16E5C920D}"/>
              </c:ext>
            </c:extLst>
          </c:dPt>
          <c:dPt>
            <c:idx val="641"/>
            <c:marker>
              <c:spPr>
                <a:solidFill>
                  <a:srgbClr val="B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81-C974-49B2-9C17-08E16E5C920D}"/>
              </c:ext>
            </c:extLst>
          </c:dPt>
          <c:dPt>
            <c:idx val="642"/>
            <c:marker>
              <c:spPr>
                <a:solidFill>
                  <a:srgbClr val="B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82-C974-49B2-9C17-08E16E5C920D}"/>
              </c:ext>
            </c:extLst>
          </c:dPt>
          <c:dPt>
            <c:idx val="643"/>
            <c:marker>
              <c:spPr>
                <a:solidFill>
                  <a:srgbClr val="B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83-C974-49B2-9C17-08E16E5C920D}"/>
              </c:ext>
            </c:extLst>
          </c:dPt>
          <c:dPt>
            <c:idx val="644"/>
            <c:marker>
              <c:spPr>
                <a:solidFill>
                  <a:srgbClr val="B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84-C974-49B2-9C17-08E16E5C920D}"/>
              </c:ext>
            </c:extLst>
          </c:dPt>
          <c:dPt>
            <c:idx val="645"/>
            <c:marker>
              <c:spPr>
                <a:solidFill>
                  <a:srgbClr val="B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85-C974-49B2-9C17-08E16E5C920D}"/>
              </c:ext>
            </c:extLst>
          </c:dPt>
          <c:dPt>
            <c:idx val="646"/>
            <c:marker>
              <c:spPr>
                <a:solidFill>
                  <a:srgbClr val="B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86-C974-49B2-9C17-08E16E5C920D}"/>
              </c:ext>
            </c:extLst>
          </c:dPt>
          <c:dPt>
            <c:idx val="647"/>
            <c:marker>
              <c:spPr>
                <a:solidFill>
                  <a:srgbClr val="B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87-C974-49B2-9C17-08E16E5C920D}"/>
              </c:ext>
            </c:extLst>
          </c:dPt>
          <c:dPt>
            <c:idx val="648"/>
            <c:marker>
              <c:spPr>
                <a:solidFill>
                  <a:srgbClr val="B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88-C974-49B2-9C17-08E16E5C920D}"/>
              </c:ext>
            </c:extLst>
          </c:dPt>
          <c:dPt>
            <c:idx val="649"/>
            <c:marker>
              <c:spPr>
                <a:solidFill>
                  <a:srgbClr val="B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89-C974-49B2-9C17-08E16E5C920D}"/>
              </c:ext>
            </c:extLst>
          </c:dPt>
          <c:dPt>
            <c:idx val="650"/>
            <c:marker>
              <c:spPr>
                <a:solidFill>
                  <a:srgbClr val="B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8A-C974-49B2-9C17-08E16E5C920D}"/>
              </c:ext>
            </c:extLst>
          </c:dPt>
          <c:dPt>
            <c:idx val="651"/>
            <c:marker>
              <c:spPr>
                <a:solidFill>
                  <a:srgbClr val="B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8B-C974-49B2-9C17-08E16E5C920D}"/>
              </c:ext>
            </c:extLst>
          </c:dPt>
          <c:dPt>
            <c:idx val="652"/>
            <c:marker>
              <c:spPr>
                <a:solidFill>
                  <a:srgbClr val="B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8C-C974-49B2-9C17-08E16E5C920D}"/>
              </c:ext>
            </c:extLst>
          </c:dPt>
          <c:dPt>
            <c:idx val="653"/>
            <c:marker>
              <c:spPr>
                <a:solidFill>
                  <a:srgbClr val="B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8D-C974-49B2-9C17-08E16E5C920D}"/>
              </c:ext>
            </c:extLst>
          </c:dPt>
          <c:dPt>
            <c:idx val="654"/>
            <c:marker>
              <c:spPr>
                <a:solidFill>
                  <a:srgbClr val="B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8E-C974-49B2-9C17-08E16E5C920D}"/>
              </c:ext>
            </c:extLst>
          </c:dPt>
          <c:dPt>
            <c:idx val="655"/>
            <c:marker>
              <c:spPr>
                <a:solidFill>
                  <a:srgbClr val="B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8F-C974-49B2-9C17-08E16E5C920D}"/>
              </c:ext>
            </c:extLst>
          </c:dPt>
          <c:dPt>
            <c:idx val="656"/>
            <c:marker>
              <c:spPr>
                <a:solidFill>
                  <a:srgbClr val="B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90-C974-49B2-9C17-08E16E5C920D}"/>
              </c:ext>
            </c:extLst>
          </c:dPt>
          <c:dPt>
            <c:idx val="657"/>
            <c:marker>
              <c:spPr>
                <a:solidFill>
                  <a:srgbClr val="B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91-C974-49B2-9C17-08E16E5C920D}"/>
              </c:ext>
            </c:extLst>
          </c:dPt>
          <c:dPt>
            <c:idx val="658"/>
            <c:marker>
              <c:spPr>
                <a:solidFill>
                  <a:srgbClr val="B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92-C974-49B2-9C17-08E16E5C920D}"/>
              </c:ext>
            </c:extLst>
          </c:dPt>
          <c:dPt>
            <c:idx val="659"/>
            <c:marker>
              <c:spPr>
                <a:solidFill>
                  <a:srgbClr val="B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93-C974-49B2-9C17-08E16E5C920D}"/>
              </c:ext>
            </c:extLst>
          </c:dPt>
          <c:dPt>
            <c:idx val="660"/>
            <c:marker>
              <c:spPr>
                <a:solidFill>
                  <a:srgbClr val="B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94-C974-49B2-9C17-08E16E5C920D}"/>
              </c:ext>
            </c:extLst>
          </c:dPt>
          <c:dPt>
            <c:idx val="661"/>
            <c:marker>
              <c:spPr>
                <a:solidFill>
                  <a:srgbClr val="B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95-C974-49B2-9C17-08E16E5C920D}"/>
              </c:ext>
            </c:extLst>
          </c:dPt>
          <c:dPt>
            <c:idx val="662"/>
            <c:marker>
              <c:spPr>
                <a:solidFill>
                  <a:srgbClr val="B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96-C974-49B2-9C17-08E16E5C920D}"/>
              </c:ext>
            </c:extLst>
          </c:dPt>
          <c:dPt>
            <c:idx val="663"/>
            <c:marker>
              <c:spPr>
                <a:solidFill>
                  <a:srgbClr val="B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97-C974-49B2-9C17-08E16E5C920D}"/>
              </c:ext>
            </c:extLst>
          </c:dPt>
          <c:dPt>
            <c:idx val="664"/>
            <c:marker>
              <c:spPr>
                <a:solidFill>
                  <a:srgbClr val="B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98-C974-49B2-9C17-08E16E5C920D}"/>
              </c:ext>
            </c:extLst>
          </c:dPt>
          <c:dPt>
            <c:idx val="665"/>
            <c:marker>
              <c:spPr>
                <a:solidFill>
                  <a:srgbClr val="B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99-C974-49B2-9C17-08E16E5C920D}"/>
              </c:ext>
            </c:extLst>
          </c:dPt>
          <c:dPt>
            <c:idx val="666"/>
            <c:marker>
              <c:spPr>
                <a:solidFill>
                  <a:srgbClr val="B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9A-C974-49B2-9C17-08E16E5C920D}"/>
              </c:ext>
            </c:extLst>
          </c:dPt>
          <c:dPt>
            <c:idx val="667"/>
            <c:marker>
              <c:spPr>
                <a:solidFill>
                  <a:srgbClr val="B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9B-C974-49B2-9C17-08E16E5C920D}"/>
              </c:ext>
            </c:extLst>
          </c:dPt>
          <c:dPt>
            <c:idx val="668"/>
            <c:marker>
              <c:spPr>
                <a:solidFill>
                  <a:srgbClr val="B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9C-C974-49B2-9C17-08E16E5C920D}"/>
              </c:ext>
            </c:extLst>
          </c:dPt>
          <c:dPt>
            <c:idx val="669"/>
            <c:marker>
              <c:spPr>
                <a:solidFill>
                  <a:srgbClr val="B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9D-C974-49B2-9C17-08E16E5C920D}"/>
              </c:ext>
            </c:extLst>
          </c:dPt>
          <c:dPt>
            <c:idx val="670"/>
            <c:marker>
              <c:spPr>
                <a:solidFill>
                  <a:srgbClr val="B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9E-C974-49B2-9C17-08E16E5C920D}"/>
              </c:ext>
            </c:extLst>
          </c:dPt>
          <c:dPt>
            <c:idx val="671"/>
            <c:marker>
              <c:spPr>
                <a:solidFill>
                  <a:srgbClr val="B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9F-C974-49B2-9C17-08E16E5C920D}"/>
              </c:ext>
            </c:extLst>
          </c:dPt>
          <c:dPt>
            <c:idx val="672"/>
            <c:marker>
              <c:spPr>
                <a:solidFill>
                  <a:srgbClr val="B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A0-C974-49B2-9C17-08E16E5C920D}"/>
              </c:ext>
            </c:extLst>
          </c:dPt>
          <c:dPt>
            <c:idx val="673"/>
            <c:marker>
              <c:spPr>
                <a:solidFill>
                  <a:srgbClr val="B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A1-C974-49B2-9C17-08E16E5C920D}"/>
              </c:ext>
            </c:extLst>
          </c:dPt>
          <c:dPt>
            <c:idx val="674"/>
            <c:marker>
              <c:spPr>
                <a:solidFill>
                  <a:srgbClr val="B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A2-C974-49B2-9C17-08E16E5C920D}"/>
              </c:ext>
            </c:extLst>
          </c:dPt>
          <c:dPt>
            <c:idx val="675"/>
            <c:marker>
              <c:spPr>
                <a:solidFill>
                  <a:srgbClr val="B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A3-C974-49B2-9C17-08E16E5C920D}"/>
              </c:ext>
            </c:extLst>
          </c:dPt>
          <c:dPt>
            <c:idx val="676"/>
            <c:marker>
              <c:spPr>
                <a:solidFill>
                  <a:srgbClr val="B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A4-C974-49B2-9C17-08E16E5C920D}"/>
              </c:ext>
            </c:extLst>
          </c:dPt>
          <c:dPt>
            <c:idx val="677"/>
            <c:marker>
              <c:spPr>
                <a:solidFill>
                  <a:srgbClr val="B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A5-C974-49B2-9C17-08E16E5C920D}"/>
              </c:ext>
            </c:extLst>
          </c:dPt>
          <c:dPt>
            <c:idx val="678"/>
            <c:marker>
              <c:spPr>
                <a:solidFill>
                  <a:srgbClr val="B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A6-C974-49B2-9C17-08E16E5C920D}"/>
              </c:ext>
            </c:extLst>
          </c:dPt>
          <c:dPt>
            <c:idx val="679"/>
            <c:marker>
              <c:spPr>
                <a:solidFill>
                  <a:srgbClr val="B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A7-C974-49B2-9C17-08E16E5C920D}"/>
              </c:ext>
            </c:extLst>
          </c:dPt>
          <c:dPt>
            <c:idx val="680"/>
            <c:marker>
              <c:spPr>
                <a:solidFill>
                  <a:srgbClr val="B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A8-C974-49B2-9C17-08E16E5C920D}"/>
              </c:ext>
            </c:extLst>
          </c:dPt>
          <c:dPt>
            <c:idx val="681"/>
            <c:marker>
              <c:spPr>
                <a:solidFill>
                  <a:srgbClr val="B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A9-C974-49B2-9C17-08E16E5C920D}"/>
              </c:ext>
            </c:extLst>
          </c:dPt>
          <c:dPt>
            <c:idx val="682"/>
            <c:marker>
              <c:spPr>
                <a:solidFill>
                  <a:srgbClr val="B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AA-C974-49B2-9C17-08E16E5C920D}"/>
              </c:ext>
            </c:extLst>
          </c:dPt>
          <c:dPt>
            <c:idx val="683"/>
            <c:marker>
              <c:spPr>
                <a:solidFill>
                  <a:srgbClr val="B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AB-C974-49B2-9C17-08E16E5C920D}"/>
              </c:ext>
            </c:extLst>
          </c:dPt>
          <c:dPt>
            <c:idx val="684"/>
            <c:marker>
              <c:spPr>
                <a:solidFill>
                  <a:srgbClr val="B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AC-C974-49B2-9C17-08E16E5C920D}"/>
              </c:ext>
            </c:extLst>
          </c:dPt>
          <c:dPt>
            <c:idx val="685"/>
            <c:marker>
              <c:spPr>
                <a:solidFill>
                  <a:srgbClr val="B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AD-C974-49B2-9C17-08E16E5C920D}"/>
              </c:ext>
            </c:extLst>
          </c:dPt>
          <c:dPt>
            <c:idx val="686"/>
            <c:marker>
              <c:spPr>
                <a:solidFill>
                  <a:srgbClr val="B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AE-C974-49B2-9C17-08E16E5C920D}"/>
              </c:ext>
            </c:extLst>
          </c:dPt>
          <c:dPt>
            <c:idx val="687"/>
            <c:marker>
              <c:spPr>
                <a:solidFill>
                  <a:srgbClr val="B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AF-C974-49B2-9C17-08E16E5C920D}"/>
              </c:ext>
            </c:extLst>
          </c:dPt>
          <c:dPt>
            <c:idx val="688"/>
            <c:marker>
              <c:spPr>
                <a:solidFill>
                  <a:srgbClr val="B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B0-C974-49B2-9C17-08E16E5C920D}"/>
              </c:ext>
            </c:extLst>
          </c:dPt>
          <c:dPt>
            <c:idx val="689"/>
            <c:marker>
              <c:spPr>
                <a:solidFill>
                  <a:srgbClr val="B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B1-C974-49B2-9C17-08E16E5C920D}"/>
              </c:ext>
            </c:extLst>
          </c:dPt>
          <c:dPt>
            <c:idx val="690"/>
            <c:marker>
              <c:spPr>
                <a:solidFill>
                  <a:srgbClr val="B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B2-C974-49B2-9C17-08E16E5C920D}"/>
              </c:ext>
            </c:extLst>
          </c:dPt>
          <c:dPt>
            <c:idx val="691"/>
            <c:marker>
              <c:spPr>
                <a:solidFill>
                  <a:srgbClr val="B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B3-C974-49B2-9C17-08E16E5C920D}"/>
              </c:ext>
            </c:extLst>
          </c:dPt>
          <c:dPt>
            <c:idx val="692"/>
            <c:marker>
              <c:spPr>
                <a:solidFill>
                  <a:srgbClr val="B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B4-C974-49B2-9C17-08E16E5C920D}"/>
              </c:ext>
            </c:extLst>
          </c:dPt>
          <c:dPt>
            <c:idx val="693"/>
            <c:marker>
              <c:spPr>
                <a:solidFill>
                  <a:srgbClr val="B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B5-C974-49B2-9C17-08E16E5C920D}"/>
              </c:ext>
            </c:extLst>
          </c:dPt>
          <c:dPt>
            <c:idx val="694"/>
            <c:marker>
              <c:spPr>
                <a:solidFill>
                  <a:srgbClr val="B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B6-C974-49B2-9C17-08E16E5C920D}"/>
              </c:ext>
            </c:extLst>
          </c:dPt>
          <c:dPt>
            <c:idx val="695"/>
            <c:marker>
              <c:spPr>
                <a:solidFill>
                  <a:srgbClr val="B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B7-C974-49B2-9C17-08E16E5C920D}"/>
              </c:ext>
            </c:extLst>
          </c:dPt>
          <c:dPt>
            <c:idx val="696"/>
            <c:marker>
              <c:spPr>
                <a:solidFill>
                  <a:srgbClr val="B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B8-C974-49B2-9C17-08E16E5C920D}"/>
              </c:ext>
            </c:extLst>
          </c:dPt>
          <c:dPt>
            <c:idx val="697"/>
            <c:marker>
              <c:spPr>
                <a:solidFill>
                  <a:srgbClr val="B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B9-C974-49B2-9C17-08E16E5C920D}"/>
              </c:ext>
            </c:extLst>
          </c:dPt>
          <c:dPt>
            <c:idx val="698"/>
            <c:marker>
              <c:spPr>
                <a:solidFill>
                  <a:srgbClr val="B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BA-C974-49B2-9C17-08E16E5C920D}"/>
              </c:ext>
            </c:extLst>
          </c:dPt>
          <c:dPt>
            <c:idx val="699"/>
            <c:marker>
              <c:spPr>
                <a:solidFill>
                  <a:srgbClr val="B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BB-C974-49B2-9C17-08E16E5C920D}"/>
              </c:ext>
            </c:extLst>
          </c:dPt>
          <c:dPt>
            <c:idx val="700"/>
            <c:marker>
              <c:spPr>
                <a:solidFill>
                  <a:srgbClr val="B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BC-C974-49B2-9C17-08E16E5C920D}"/>
              </c:ext>
            </c:extLst>
          </c:dPt>
          <c:dPt>
            <c:idx val="701"/>
            <c:marker>
              <c:spPr>
                <a:solidFill>
                  <a:srgbClr val="B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BD-C974-49B2-9C17-08E16E5C920D}"/>
              </c:ext>
            </c:extLst>
          </c:dPt>
          <c:dPt>
            <c:idx val="702"/>
            <c:marker>
              <c:spPr>
                <a:solidFill>
                  <a:srgbClr val="B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BE-C974-49B2-9C17-08E16E5C920D}"/>
              </c:ext>
            </c:extLst>
          </c:dPt>
          <c:dPt>
            <c:idx val="703"/>
            <c:marker>
              <c:spPr>
                <a:solidFill>
                  <a:srgbClr val="B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BF-C974-49B2-9C17-08E16E5C920D}"/>
              </c:ext>
            </c:extLst>
          </c:dPt>
          <c:dPt>
            <c:idx val="704"/>
            <c:marker>
              <c:spPr>
                <a:solidFill>
                  <a:srgbClr val="B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C0-C974-49B2-9C17-08E16E5C920D}"/>
              </c:ext>
            </c:extLst>
          </c:dPt>
          <c:dPt>
            <c:idx val="705"/>
            <c:marker>
              <c:spPr>
                <a:solidFill>
                  <a:srgbClr val="B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C1-C974-49B2-9C17-08E16E5C920D}"/>
              </c:ext>
            </c:extLst>
          </c:dPt>
          <c:dPt>
            <c:idx val="706"/>
            <c:marker>
              <c:spPr>
                <a:solidFill>
                  <a:srgbClr val="B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C2-C974-49B2-9C17-08E16E5C920D}"/>
              </c:ext>
            </c:extLst>
          </c:dPt>
          <c:dPt>
            <c:idx val="707"/>
            <c:marker>
              <c:spPr>
                <a:solidFill>
                  <a:srgbClr val="B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C3-C974-49B2-9C17-08E16E5C920D}"/>
              </c:ext>
            </c:extLst>
          </c:dPt>
          <c:dPt>
            <c:idx val="708"/>
            <c:marker>
              <c:spPr>
                <a:solidFill>
                  <a:srgbClr val="B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C4-C974-49B2-9C17-08E16E5C920D}"/>
              </c:ext>
            </c:extLst>
          </c:dPt>
          <c:dPt>
            <c:idx val="709"/>
            <c:marker>
              <c:spPr>
                <a:solidFill>
                  <a:srgbClr val="B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C5-C974-49B2-9C17-08E16E5C920D}"/>
              </c:ext>
            </c:extLst>
          </c:dPt>
          <c:dPt>
            <c:idx val="710"/>
            <c:marker>
              <c:spPr>
                <a:solidFill>
                  <a:srgbClr val="A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C6-C974-49B2-9C17-08E16E5C920D}"/>
              </c:ext>
            </c:extLst>
          </c:dPt>
          <c:dPt>
            <c:idx val="711"/>
            <c:marker>
              <c:spPr>
                <a:solidFill>
                  <a:srgbClr val="A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C7-C974-49B2-9C17-08E16E5C920D}"/>
              </c:ext>
            </c:extLst>
          </c:dPt>
          <c:dPt>
            <c:idx val="712"/>
            <c:marker>
              <c:spPr>
                <a:solidFill>
                  <a:srgbClr val="A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C8-C974-49B2-9C17-08E16E5C920D}"/>
              </c:ext>
            </c:extLst>
          </c:dPt>
          <c:dPt>
            <c:idx val="713"/>
            <c:marker>
              <c:spPr>
                <a:solidFill>
                  <a:srgbClr val="A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C9-C974-49B2-9C17-08E16E5C920D}"/>
              </c:ext>
            </c:extLst>
          </c:dPt>
          <c:dPt>
            <c:idx val="714"/>
            <c:marker>
              <c:spPr>
                <a:solidFill>
                  <a:srgbClr val="A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CA-C974-49B2-9C17-08E16E5C920D}"/>
              </c:ext>
            </c:extLst>
          </c:dPt>
          <c:dPt>
            <c:idx val="715"/>
            <c:marker>
              <c:spPr>
                <a:solidFill>
                  <a:srgbClr val="A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CB-C974-49B2-9C17-08E16E5C920D}"/>
              </c:ext>
            </c:extLst>
          </c:dPt>
          <c:dPt>
            <c:idx val="716"/>
            <c:marker>
              <c:spPr>
                <a:solidFill>
                  <a:srgbClr val="A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CC-C974-49B2-9C17-08E16E5C920D}"/>
              </c:ext>
            </c:extLst>
          </c:dPt>
          <c:dPt>
            <c:idx val="717"/>
            <c:marker>
              <c:spPr>
                <a:solidFill>
                  <a:srgbClr val="A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CD-C974-49B2-9C17-08E16E5C920D}"/>
              </c:ext>
            </c:extLst>
          </c:dPt>
          <c:dPt>
            <c:idx val="718"/>
            <c:marker>
              <c:spPr>
                <a:solidFill>
                  <a:srgbClr val="A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CE-C974-49B2-9C17-08E16E5C920D}"/>
              </c:ext>
            </c:extLst>
          </c:dPt>
          <c:dPt>
            <c:idx val="719"/>
            <c:marker>
              <c:spPr>
                <a:solidFill>
                  <a:srgbClr val="A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CF-C974-49B2-9C17-08E16E5C920D}"/>
              </c:ext>
            </c:extLst>
          </c:dPt>
          <c:dPt>
            <c:idx val="720"/>
            <c:marker>
              <c:spPr>
                <a:solidFill>
                  <a:srgbClr val="A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D0-C974-49B2-9C17-08E16E5C920D}"/>
              </c:ext>
            </c:extLst>
          </c:dPt>
          <c:dPt>
            <c:idx val="721"/>
            <c:marker>
              <c:spPr>
                <a:solidFill>
                  <a:srgbClr val="A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D1-C974-49B2-9C17-08E16E5C920D}"/>
              </c:ext>
            </c:extLst>
          </c:dPt>
          <c:dPt>
            <c:idx val="722"/>
            <c:marker>
              <c:spPr>
                <a:solidFill>
                  <a:srgbClr val="A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D2-C974-49B2-9C17-08E16E5C920D}"/>
              </c:ext>
            </c:extLst>
          </c:dPt>
          <c:dPt>
            <c:idx val="723"/>
            <c:marker>
              <c:spPr>
                <a:solidFill>
                  <a:srgbClr val="A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D3-C974-49B2-9C17-08E16E5C920D}"/>
              </c:ext>
            </c:extLst>
          </c:dPt>
          <c:dPt>
            <c:idx val="724"/>
            <c:marker>
              <c:spPr>
                <a:solidFill>
                  <a:srgbClr val="A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D4-C974-49B2-9C17-08E16E5C920D}"/>
              </c:ext>
            </c:extLst>
          </c:dPt>
          <c:dPt>
            <c:idx val="725"/>
            <c:marker>
              <c:spPr>
                <a:solidFill>
                  <a:srgbClr val="A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D5-C974-49B2-9C17-08E16E5C920D}"/>
              </c:ext>
            </c:extLst>
          </c:dPt>
          <c:dPt>
            <c:idx val="726"/>
            <c:marker>
              <c:spPr>
                <a:solidFill>
                  <a:srgbClr val="A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D6-C974-49B2-9C17-08E16E5C920D}"/>
              </c:ext>
            </c:extLst>
          </c:dPt>
          <c:dPt>
            <c:idx val="727"/>
            <c:marker>
              <c:spPr>
                <a:solidFill>
                  <a:srgbClr val="A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D7-C974-49B2-9C17-08E16E5C920D}"/>
              </c:ext>
            </c:extLst>
          </c:dPt>
          <c:dPt>
            <c:idx val="728"/>
            <c:marker>
              <c:spPr>
                <a:solidFill>
                  <a:srgbClr val="A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D8-C974-49B2-9C17-08E16E5C920D}"/>
              </c:ext>
            </c:extLst>
          </c:dPt>
          <c:dPt>
            <c:idx val="729"/>
            <c:marker>
              <c:spPr>
                <a:solidFill>
                  <a:srgbClr val="A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D9-C974-49B2-9C17-08E16E5C920D}"/>
              </c:ext>
            </c:extLst>
          </c:dPt>
          <c:dPt>
            <c:idx val="730"/>
            <c:marker>
              <c:spPr>
                <a:solidFill>
                  <a:srgbClr val="A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DA-C974-49B2-9C17-08E16E5C920D}"/>
              </c:ext>
            </c:extLst>
          </c:dPt>
          <c:dPt>
            <c:idx val="731"/>
            <c:marker>
              <c:spPr>
                <a:solidFill>
                  <a:srgbClr val="A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DB-C974-49B2-9C17-08E16E5C920D}"/>
              </c:ext>
            </c:extLst>
          </c:dPt>
          <c:dPt>
            <c:idx val="732"/>
            <c:marker>
              <c:spPr>
                <a:solidFill>
                  <a:srgbClr val="A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DC-C974-49B2-9C17-08E16E5C920D}"/>
              </c:ext>
            </c:extLst>
          </c:dPt>
          <c:dPt>
            <c:idx val="733"/>
            <c:marker>
              <c:spPr>
                <a:solidFill>
                  <a:srgbClr val="A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DD-C974-49B2-9C17-08E16E5C920D}"/>
              </c:ext>
            </c:extLst>
          </c:dPt>
          <c:dPt>
            <c:idx val="734"/>
            <c:marker>
              <c:spPr>
                <a:solidFill>
                  <a:srgbClr val="A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DE-C974-49B2-9C17-08E16E5C920D}"/>
              </c:ext>
            </c:extLst>
          </c:dPt>
          <c:dPt>
            <c:idx val="735"/>
            <c:marker>
              <c:spPr>
                <a:solidFill>
                  <a:srgbClr val="A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DF-C974-49B2-9C17-08E16E5C920D}"/>
              </c:ext>
            </c:extLst>
          </c:dPt>
          <c:dPt>
            <c:idx val="736"/>
            <c:marker>
              <c:spPr>
                <a:solidFill>
                  <a:srgbClr val="A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E0-C974-49B2-9C17-08E16E5C920D}"/>
              </c:ext>
            </c:extLst>
          </c:dPt>
          <c:dPt>
            <c:idx val="737"/>
            <c:marker>
              <c:spPr>
                <a:solidFill>
                  <a:srgbClr val="A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E1-C974-49B2-9C17-08E16E5C920D}"/>
              </c:ext>
            </c:extLst>
          </c:dPt>
          <c:dPt>
            <c:idx val="738"/>
            <c:marker>
              <c:spPr>
                <a:solidFill>
                  <a:srgbClr val="A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E2-C974-49B2-9C17-08E16E5C920D}"/>
              </c:ext>
            </c:extLst>
          </c:dPt>
          <c:dPt>
            <c:idx val="739"/>
            <c:marker>
              <c:spPr>
                <a:solidFill>
                  <a:srgbClr val="A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E3-C974-49B2-9C17-08E16E5C920D}"/>
              </c:ext>
            </c:extLst>
          </c:dPt>
          <c:dPt>
            <c:idx val="740"/>
            <c:marker>
              <c:spPr>
                <a:solidFill>
                  <a:srgbClr val="A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E4-C974-49B2-9C17-08E16E5C920D}"/>
              </c:ext>
            </c:extLst>
          </c:dPt>
          <c:dPt>
            <c:idx val="741"/>
            <c:marker>
              <c:spPr>
                <a:solidFill>
                  <a:srgbClr val="A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E5-C974-49B2-9C17-08E16E5C920D}"/>
              </c:ext>
            </c:extLst>
          </c:dPt>
          <c:dPt>
            <c:idx val="742"/>
            <c:marker>
              <c:spPr>
                <a:solidFill>
                  <a:srgbClr val="A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E6-C974-49B2-9C17-08E16E5C920D}"/>
              </c:ext>
            </c:extLst>
          </c:dPt>
          <c:dPt>
            <c:idx val="743"/>
            <c:marker>
              <c:spPr>
                <a:solidFill>
                  <a:srgbClr val="A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E7-C974-49B2-9C17-08E16E5C920D}"/>
              </c:ext>
            </c:extLst>
          </c:dPt>
          <c:dPt>
            <c:idx val="744"/>
            <c:marker>
              <c:spPr>
                <a:solidFill>
                  <a:srgbClr val="A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E8-C974-49B2-9C17-08E16E5C920D}"/>
              </c:ext>
            </c:extLst>
          </c:dPt>
          <c:dPt>
            <c:idx val="745"/>
            <c:marker>
              <c:spPr>
                <a:solidFill>
                  <a:srgbClr val="A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E9-C974-49B2-9C17-08E16E5C920D}"/>
              </c:ext>
            </c:extLst>
          </c:dPt>
          <c:dPt>
            <c:idx val="746"/>
            <c:marker>
              <c:spPr>
                <a:solidFill>
                  <a:srgbClr val="A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EA-C974-49B2-9C17-08E16E5C920D}"/>
              </c:ext>
            </c:extLst>
          </c:dPt>
          <c:dPt>
            <c:idx val="747"/>
            <c:marker>
              <c:spPr>
                <a:solidFill>
                  <a:srgbClr val="A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EB-C974-49B2-9C17-08E16E5C920D}"/>
              </c:ext>
            </c:extLst>
          </c:dPt>
          <c:dPt>
            <c:idx val="748"/>
            <c:marker>
              <c:spPr>
                <a:solidFill>
                  <a:srgbClr val="A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EC-C974-49B2-9C17-08E16E5C920D}"/>
              </c:ext>
            </c:extLst>
          </c:dPt>
          <c:dPt>
            <c:idx val="749"/>
            <c:marker>
              <c:spPr>
                <a:solidFill>
                  <a:srgbClr val="A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ED-C974-49B2-9C17-08E16E5C920D}"/>
              </c:ext>
            </c:extLst>
          </c:dPt>
          <c:dPt>
            <c:idx val="750"/>
            <c:marker>
              <c:spPr>
                <a:solidFill>
                  <a:srgbClr val="A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EE-C974-49B2-9C17-08E16E5C920D}"/>
              </c:ext>
            </c:extLst>
          </c:dPt>
          <c:dPt>
            <c:idx val="751"/>
            <c:marker>
              <c:spPr>
                <a:solidFill>
                  <a:srgbClr val="A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EF-C974-49B2-9C17-08E16E5C920D}"/>
              </c:ext>
            </c:extLst>
          </c:dPt>
          <c:dPt>
            <c:idx val="752"/>
            <c:marker>
              <c:spPr>
                <a:solidFill>
                  <a:srgbClr val="A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F0-C974-49B2-9C17-08E16E5C920D}"/>
              </c:ext>
            </c:extLst>
          </c:dPt>
          <c:dPt>
            <c:idx val="753"/>
            <c:marker>
              <c:spPr>
                <a:solidFill>
                  <a:srgbClr val="A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F1-C974-49B2-9C17-08E16E5C920D}"/>
              </c:ext>
            </c:extLst>
          </c:dPt>
          <c:dPt>
            <c:idx val="754"/>
            <c:marker>
              <c:spPr>
                <a:solidFill>
                  <a:srgbClr val="A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F2-C974-49B2-9C17-08E16E5C920D}"/>
              </c:ext>
            </c:extLst>
          </c:dPt>
          <c:dPt>
            <c:idx val="755"/>
            <c:marker>
              <c:spPr>
                <a:solidFill>
                  <a:srgbClr val="A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F3-C974-49B2-9C17-08E16E5C920D}"/>
              </c:ext>
            </c:extLst>
          </c:dPt>
          <c:dPt>
            <c:idx val="756"/>
            <c:marker>
              <c:spPr>
                <a:solidFill>
                  <a:srgbClr val="A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F4-C974-49B2-9C17-08E16E5C920D}"/>
              </c:ext>
            </c:extLst>
          </c:dPt>
          <c:dPt>
            <c:idx val="757"/>
            <c:marker>
              <c:spPr>
                <a:solidFill>
                  <a:srgbClr val="A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F5-C974-49B2-9C17-08E16E5C920D}"/>
              </c:ext>
            </c:extLst>
          </c:dPt>
          <c:dPt>
            <c:idx val="758"/>
            <c:marker>
              <c:spPr>
                <a:solidFill>
                  <a:srgbClr val="A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F6-C974-49B2-9C17-08E16E5C920D}"/>
              </c:ext>
            </c:extLst>
          </c:dPt>
          <c:dPt>
            <c:idx val="759"/>
            <c:marker>
              <c:spPr>
                <a:solidFill>
                  <a:srgbClr val="A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F7-C974-49B2-9C17-08E16E5C920D}"/>
              </c:ext>
            </c:extLst>
          </c:dPt>
          <c:dPt>
            <c:idx val="760"/>
            <c:marker>
              <c:spPr>
                <a:solidFill>
                  <a:srgbClr val="A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F8-C974-49B2-9C17-08E16E5C920D}"/>
              </c:ext>
            </c:extLst>
          </c:dPt>
          <c:dPt>
            <c:idx val="761"/>
            <c:marker>
              <c:spPr>
                <a:solidFill>
                  <a:srgbClr val="A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F9-C974-49B2-9C17-08E16E5C920D}"/>
              </c:ext>
            </c:extLst>
          </c:dPt>
          <c:dPt>
            <c:idx val="762"/>
            <c:marker>
              <c:spPr>
                <a:solidFill>
                  <a:srgbClr val="A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FA-C974-49B2-9C17-08E16E5C920D}"/>
              </c:ext>
            </c:extLst>
          </c:dPt>
          <c:dPt>
            <c:idx val="763"/>
            <c:marker>
              <c:spPr>
                <a:solidFill>
                  <a:srgbClr val="A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FB-C974-49B2-9C17-08E16E5C920D}"/>
              </c:ext>
            </c:extLst>
          </c:dPt>
          <c:dPt>
            <c:idx val="764"/>
            <c:marker>
              <c:spPr>
                <a:solidFill>
                  <a:srgbClr val="A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FC-C974-49B2-9C17-08E16E5C920D}"/>
              </c:ext>
            </c:extLst>
          </c:dPt>
          <c:dPt>
            <c:idx val="765"/>
            <c:marker>
              <c:spPr>
                <a:solidFill>
                  <a:srgbClr val="A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FD-C974-49B2-9C17-08E16E5C920D}"/>
              </c:ext>
            </c:extLst>
          </c:dPt>
          <c:dPt>
            <c:idx val="766"/>
            <c:marker>
              <c:spPr>
                <a:solidFill>
                  <a:srgbClr val="A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FE-C974-49B2-9C17-08E16E5C920D}"/>
              </c:ext>
            </c:extLst>
          </c:dPt>
          <c:dPt>
            <c:idx val="767"/>
            <c:marker>
              <c:spPr>
                <a:solidFill>
                  <a:srgbClr val="A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FF-C974-49B2-9C17-08E16E5C920D}"/>
              </c:ext>
            </c:extLst>
          </c:dPt>
          <c:dPt>
            <c:idx val="768"/>
            <c:marker>
              <c:spPr>
                <a:solidFill>
                  <a:srgbClr val="A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00-C974-49B2-9C17-08E16E5C920D}"/>
              </c:ext>
            </c:extLst>
          </c:dPt>
          <c:dPt>
            <c:idx val="769"/>
            <c:marker>
              <c:spPr>
                <a:solidFill>
                  <a:srgbClr val="A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01-C974-49B2-9C17-08E16E5C920D}"/>
              </c:ext>
            </c:extLst>
          </c:dPt>
          <c:dPt>
            <c:idx val="770"/>
            <c:marker>
              <c:spPr>
                <a:solidFill>
                  <a:srgbClr val="A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02-C974-49B2-9C17-08E16E5C920D}"/>
              </c:ext>
            </c:extLst>
          </c:dPt>
          <c:dPt>
            <c:idx val="771"/>
            <c:marker>
              <c:spPr>
                <a:solidFill>
                  <a:srgbClr val="A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03-C974-49B2-9C17-08E16E5C920D}"/>
              </c:ext>
            </c:extLst>
          </c:dPt>
          <c:dPt>
            <c:idx val="772"/>
            <c:marker>
              <c:spPr>
                <a:solidFill>
                  <a:srgbClr val="A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04-C974-49B2-9C17-08E16E5C920D}"/>
              </c:ext>
            </c:extLst>
          </c:dPt>
          <c:dPt>
            <c:idx val="773"/>
            <c:marker>
              <c:spPr>
                <a:solidFill>
                  <a:srgbClr val="A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05-C974-49B2-9C17-08E16E5C920D}"/>
              </c:ext>
            </c:extLst>
          </c:dPt>
          <c:dPt>
            <c:idx val="774"/>
            <c:marker>
              <c:spPr>
                <a:solidFill>
                  <a:srgbClr val="A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06-C974-49B2-9C17-08E16E5C920D}"/>
              </c:ext>
            </c:extLst>
          </c:dPt>
          <c:dPt>
            <c:idx val="775"/>
            <c:marker>
              <c:spPr>
                <a:solidFill>
                  <a:srgbClr val="A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07-C974-49B2-9C17-08E16E5C920D}"/>
              </c:ext>
            </c:extLst>
          </c:dPt>
          <c:dPt>
            <c:idx val="776"/>
            <c:marker>
              <c:spPr>
                <a:solidFill>
                  <a:srgbClr val="A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08-C974-49B2-9C17-08E16E5C920D}"/>
              </c:ext>
            </c:extLst>
          </c:dPt>
          <c:dPt>
            <c:idx val="777"/>
            <c:marker>
              <c:spPr>
                <a:solidFill>
                  <a:srgbClr val="A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09-C974-49B2-9C17-08E16E5C920D}"/>
              </c:ext>
            </c:extLst>
          </c:dPt>
          <c:dPt>
            <c:idx val="778"/>
            <c:marker>
              <c:spPr>
                <a:solidFill>
                  <a:srgbClr val="A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0A-C974-49B2-9C17-08E16E5C920D}"/>
              </c:ext>
            </c:extLst>
          </c:dPt>
          <c:dPt>
            <c:idx val="779"/>
            <c:marker>
              <c:spPr>
                <a:solidFill>
                  <a:srgbClr val="A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0B-C974-49B2-9C17-08E16E5C920D}"/>
              </c:ext>
            </c:extLst>
          </c:dPt>
          <c:dPt>
            <c:idx val="780"/>
            <c:marker>
              <c:spPr>
                <a:solidFill>
                  <a:srgbClr val="A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0C-C974-49B2-9C17-08E16E5C920D}"/>
              </c:ext>
            </c:extLst>
          </c:dPt>
          <c:dPt>
            <c:idx val="781"/>
            <c:marker>
              <c:spPr>
                <a:solidFill>
                  <a:srgbClr val="A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0D-C974-49B2-9C17-08E16E5C920D}"/>
              </c:ext>
            </c:extLst>
          </c:dPt>
          <c:dPt>
            <c:idx val="782"/>
            <c:marker>
              <c:spPr>
                <a:solidFill>
                  <a:srgbClr val="A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0E-C974-49B2-9C17-08E16E5C920D}"/>
              </c:ext>
            </c:extLst>
          </c:dPt>
          <c:dPt>
            <c:idx val="783"/>
            <c:marker>
              <c:spPr>
                <a:solidFill>
                  <a:srgbClr val="A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0F-C974-49B2-9C17-08E16E5C920D}"/>
              </c:ext>
            </c:extLst>
          </c:dPt>
          <c:dPt>
            <c:idx val="784"/>
            <c:marker>
              <c:spPr>
                <a:solidFill>
                  <a:srgbClr val="A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10-C974-49B2-9C17-08E16E5C920D}"/>
              </c:ext>
            </c:extLst>
          </c:dPt>
          <c:dPt>
            <c:idx val="785"/>
            <c:marker>
              <c:spPr>
                <a:solidFill>
                  <a:srgbClr val="A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11-C974-49B2-9C17-08E16E5C920D}"/>
              </c:ext>
            </c:extLst>
          </c:dPt>
          <c:dPt>
            <c:idx val="786"/>
            <c:marker>
              <c:spPr>
                <a:solidFill>
                  <a:srgbClr val="A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12-C974-49B2-9C17-08E16E5C920D}"/>
              </c:ext>
            </c:extLst>
          </c:dPt>
          <c:dPt>
            <c:idx val="787"/>
            <c:marker>
              <c:spPr>
                <a:solidFill>
                  <a:srgbClr val="A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13-C974-49B2-9C17-08E16E5C920D}"/>
              </c:ext>
            </c:extLst>
          </c:dPt>
          <c:dPt>
            <c:idx val="788"/>
            <c:marker>
              <c:spPr>
                <a:solidFill>
                  <a:srgbClr val="A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14-C974-49B2-9C17-08E16E5C920D}"/>
              </c:ext>
            </c:extLst>
          </c:dPt>
          <c:dPt>
            <c:idx val="789"/>
            <c:marker>
              <c:spPr>
                <a:solidFill>
                  <a:srgbClr val="A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15-C974-49B2-9C17-08E16E5C920D}"/>
              </c:ext>
            </c:extLst>
          </c:dPt>
          <c:dPt>
            <c:idx val="790"/>
            <c:marker>
              <c:spPr>
                <a:solidFill>
                  <a:srgbClr val="A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16-C974-49B2-9C17-08E16E5C920D}"/>
              </c:ext>
            </c:extLst>
          </c:dPt>
          <c:dPt>
            <c:idx val="791"/>
            <c:marker>
              <c:spPr>
                <a:solidFill>
                  <a:srgbClr val="A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17-C974-49B2-9C17-08E16E5C920D}"/>
              </c:ext>
            </c:extLst>
          </c:dPt>
          <c:dPt>
            <c:idx val="792"/>
            <c:marker>
              <c:spPr>
                <a:solidFill>
                  <a:srgbClr val="A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18-C974-49B2-9C17-08E16E5C920D}"/>
              </c:ext>
            </c:extLst>
          </c:dPt>
          <c:dPt>
            <c:idx val="793"/>
            <c:marker>
              <c:spPr>
                <a:solidFill>
                  <a:srgbClr val="A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19-C974-49B2-9C17-08E16E5C920D}"/>
              </c:ext>
            </c:extLst>
          </c:dPt>
          <c:dPt>
            <c:idx val="794"/>
            <c:marker>
              <c:spPr>
                <a:solidFill>
                  <a:srgbClr val="A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1A-C974-49B2-9C17-08E16E5C920D}"/>
              </c:ext>
            </c:extLst>
          </c:dPt>
          <c:dPt>
            <c:idx val="795"/>
            <c:marker>
              <c:spPr>
                <a:solidFill>
                  <a:srgbClr val="A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1B-C974-49B2-9C17-08E16E5C920D}"/>
              </c:ext>
            </c:extLst>
          </c:dPt>
          <c:dPt>
            <c:idx val="796"/>
            <c:marker>
              <c:spPr>
                <a:solidFill>
                  <a:srgbClr val="A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1C-C974-49B2-9C17-08E16E5C920D}"/>
              </c:ext>
            </c:extLst>
          </c:dPt>
          <c:dPt>
            <c:idx val="797"/>
            <c:marker>
              <c:spPr>
                <a:solidFill>
                  <a:srgbClr val="A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1D-C974-49B2-9C17-08E16E5C920D}"/>
              </c:ext>
            </c:extLst>
          </c:dPt>
          <c:dPt>
            <c:idx val="798"/>
            <c:marker>
              <c:spPr>
                <a:solidFill>
                  <a:srgbClr val="A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1E-C974-49B2-9C17-08E16E5C920D}"/>
              </c:ext>
            </c:extLst>
          </c:dPt>
          <c:dPt>
            <c:idx val="799"/>
            <c:marker>
              <c:spPr>
                <a:solidFill>
                  <a:srgbClr val="A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1F-C974-49B2-9C17-08E16E5C920D}"/>
              </c:ext>
            </c:extLst>
          </c:dPt>
          <c:dPt>
            <c:idx val="800"/>
            <c:marker>
              <c:spPr>
                <a:solidFill>
                  <a:srgbClr val="A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20-C974-49B2-9C17-08E16E5C920D}"/>
              </c:ext>
            </c:extLst>
          </c:dPt>
          <c:dPt>
            <c:idx val="801"/>
            <c:marker>
              <c:spPr>
                <a:solidFill>
                  <a:srgbClr val="A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21-C974-49B2-9C17-08E16E5C920D}"/>
              </c:ext>
            </c:extLst>
          </c:dPt>
          <c:dPt>
            <c:idx val="802"/>
            <c:marker>
              <c:spPr>
                <a:solidFill>
                  <a:srgbClr val="A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22-C974-49B2-9C17-08E16E5C920D}"/>
              </c:ext>
            </c:extLst>
          </c:dPt>
          <c:dPt>
            <c:idx val="803"/>
            <c:marker>
              <c:spPr>
                <a:solidFill>
                  <a:srgbClr val="A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23-C974-49B2-9C17-08E16E5C920D}"/>
              </c:ext>
            </c:extLst>
          </c:dPt>
          <c:dPt>
            <c:idx val="804"/>
            <c:marker>
              <c:spPr>
                <a:solidFill>
                  <a:srgbClr val="A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24-C974-49B2-9C17-08E16E5C920D}"/>
              </c:ext>
            </c:extLst>
          </c:dPt>
          <c:dPt>
            <c:idx val="805"/>
            <c:marker>
              <c:spPr>
                <a:solidFill>
                  <a:srgbClr val="A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25-C974-49B2-9C17-08E16E5C920D}"/>
              </c:ext>
            </c:extLst>
          </c:dPt>
          <c:dPt>
            <c:idx val="806"/>
            <c:marker>
              <c:spPr>
                <a:solidFill>
                  <a:srgbClr val="A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26-C974-49B2-9C17-08E16E5C920D}"/>
              </c:ext>
            </c:extLst>
          </c:dPt>
          <c:dPt>
            <c:idx val="807"/>
            <c:marker>
              <c:spPr>
                <a:solidFill>
                  <a:srgbClr val="A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27-C974-49B2-9C17-08E16E5C920D}"/>
              </c:ext>
            </c:extLst>
          </c:dPt>
          <c:dPt>
            <c:idx val="808"/>
            <c:marker>
              <c:spPr>
                <a:solidFill>
                  <a:srgbClr val="A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28-C974-49B2-9C17-08E16E5C920D}"/>
              </c:ext>
            </c:extLst>
          </c:dPt>
          <c:dPt>
            <c:idx val="809"/>
            <c:marker>
              <c:spPr>
                <a:solidFill>
                  <a:srgbClr val="A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29-C974-49B2-9C17-08E16E5C920D}"/>
              </c:ext>
            </c:extLst>
          </c:dPt>
          <c:dPt>
            <c:idx val="810"/>
            <c:marker>
              <c:spPr>
                <a:solidFill>
                  <a:srgbClr val="A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2A-C974-49B2-9C17-08E16E5C920D}"/>
              </c:ext>
            </c:extLst>
          </c:dPt>
          <c:dPt>
            <c:idx val="811"/>
            <c:marker>
              <c:spPr>
                <a:solidFill>
                  <a:srgbClr val="A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2B-C974-49B2-9C17-08E16E5C920D}"/>
              </c:ext>
            </c:extLst>
          </c:dPt>
          <c:dPt>
            <c:idx val="812"/>
            <c:marker>
              <c:spPr>
                <a:solidFill>
                  <a:srgbClr val="A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2C-C974-49B2-9C17-08E16E5C920D}"/>
              </c:ext>
            </c:extLst>
          </c:dPt>
          <c:dPt>
            <c:idx val="813"/>
            <c:marker>
              <c:spPr>
                <a:solidFill>
                  <a:srgbClr val="A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2D-C974-49B2-9C17-08E16E5C920D}"/>
              </c:ext>
            </c:extLst>
          </c:dPt>
          <c:dPt>
            <c:idx val="814"/>
            <c:marker>
              <c:spPr>
                <a:solidFill>
                  <a:srgbClr val="A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2E-C974-49B2-9C17-08E16E5C920D}"/>
              </c:ext>
            </c:extLst>
          </c:dPt>
          <c:dPt>
            <c:idx val="815"/>
            <c:marker>
              <c:spPr>
                <a:solidFill>
                  <a:srgbClr val="A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2F-C974-49B2-9C17-08E16E5C920D}"/>
              </c:ext>
            </c:extLst>
          </c:dPt>
          <c:dPt>
            <c:idx val="816"/>
            <c:marker>
              <c:spPr>
                <a:solidFill>
                  <a:srgbClr val="A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30-C974-49B2-9C17-08E16E5C920D}"/>
              </c:ext>
            </c:extLst>
          </c:dPt>
          <c:dPt>
            <c:idx val="817"/>
            <c:marker>
              <c:spPr>
                <a:solidFill>
                  <a:srgbClr val="A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31-C974-49B2-9C17-08E16E5C920D}"/>
              </c:ext>
            </c:extLst>
          </c:dPt>
          <c:dPt>
            <c:idx val="818"/>
            <c:marker>
              <c:spPr>
                <a:solidFill>
                  <a:srgbClr val="A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32-C974-49B2-9C17-08E16E5C920D}"/>
              </c:ext>
            </c:extLst>
          </c:dPt>
          <c:dPt>
            <c:idx val="819"/>
            <c:marker>
              <c:spPr>
                <a:solidFill>
                  <a:srgbClr val="A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33-C974-49B2-9C17-08E16E5C920D}"/>
              </c:ext>
            </c:extLst>
          </c:dPt>
          <c:dPt>
            <c:idx val="820"/>
            <c:marker>
              <c:spPr>
                <a:solidFill>
                  <a:srgbClr val="A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34-C974-49B2-9C17-08E16E5C920D}"/>
              </c:ext>
            </c:extLst>
          </c:dPt>
          <c:dPt>
            <c:idx val="821"/>
            <c:marker>
              <c:spPr>
                <a:solidFill>
                  <a:srgbClr val="A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35-C974-49B2-9C17-08E16E5C920D}"/>
              </c:ext>
            </c:extLst>
          </c:dPt>
          <c:dPt>
            <c:idx val="822"/>
            <c:marker>
              <c:spPr>
                <a:solidFill>
                  <a:srgbClr val="A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36-C974-49B2-9C17-08E16E5C920D}"/>
              </c:ext>
            </c:extLst>
          </c:dPt>
          <c:dPt>
            <c:idx val="823"/>
            <c:marker>
              <c:spPr>
                <a:solidFill>
                  <a:srgbClr val="A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37-C974-49B2-9C17-08E16E5C920D}"/>
              </c:ext>
            </c:extLst>
          </c:dPt>
          <c:dPt>
            <c:idx val="824"/>
            <c:marker>
              <c:spPr>
                <a:solidFill>
                  <a:srgbClr val="A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38-C974-49B2-9C17-08E16E5C920D}"/>
              </c:ext>
            </c:extLst>
          </c:dPt>
          <c:dPt>
            <c:idx val="825"/>
            <c:marker>
              <c:spPr>
                <a:solidFill>
                  <a:srgbClr val="A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39-C974-49B2-9C17-08E16E5C920D}"/>
              </c:ext>
            </c:extLst>
          </c:dPt>
          <c:dPt>
            <c:idx val="826"/>
            <c:marker>
              <c:spPr>
                <a:solidFill>
                  <a:srgbClr val="A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3A-C974-49B2-9C17-08E16E5C920D}"/>
              </c:ext>
            </c:extLst>
          </c:dPt>
          <c:dPt>
            <c:idx val="827"/>
            <c:marker>
              <c:spPr>
                <a:solidFill>
                  <a:srgbClr val="A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3B-C974-49B2-9C17-08E16E5C920D}"/>
              </c:ext>
            </c:extLst>
          </c:dPt>
          <c:dPt>
            <c:idx val="828"/>
            <c:marker>
              <c:spPr>
                <a:solidFill>
                  <a:srgbClr val="A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3C-C974-49B2-9C17-08E16E5C920D}"/>
              </c:ext>
            </c:extLst>
          </c:dPt>
          <c:dPt>
            <c:idx val="829"/>
            <c:marker>
              <c:spPr>
                <a:solidFill>
                  <a:srgbClr val="A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3D-C974-49B2-9C17-08E16E5C920D}"/>
              </c:ext>
            </c:extLst>
          </c:dPt>
          <c:dPt>
            <c:idx val="830"/>
            <c:marker>
              <c:spPr>
                <a:solidFill>
                  <a:srgbClr val="A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3E-C974-49B2-9C17-08E16E5C920D}"/>
              </c:ext>
            </c:extLst>
          </c:dPt>
          <c:dPt>
            <c:idx val="831"/>
            <c:marker>
              <c:spPr>
                <a:solidFill>
                  <a:srgbClr val="A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3F-C974-49B2-9C17-08E16E5C920D}"/>
              </c:ext>
            </c:extLst>
          </c:dPt>
          <c:dPt>
            <c:idx val="832"/>
            <c:marker>
              <c:spPr>
                <a:solidFill>
                  <a:srgbClr val="A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40-C974-49B2-9C17-08E16E5C920D}"/>
              </c:ext>
            </c:extLst>
          </c:dPt>
          <c:dPt>
            <c:idx val="833"/>
            <c:marker>
              <c:spPr>
                <a:solidFill>
                  <a:srgbClr val="A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41-C974-49B2-9C17-08E16E5C920D}"/>
              </c:ext>
            </c:extLst>
          </c:dPt>
          <c:dPt>
            <c:idx val="834"/>
            <c:marker>
              <c:spPr>
                <a:solidFill>
                  <a:srgbClr val="A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42-C974-49B2-9C17-08E16E5C920D}"/>
              </c:ext>
            </c:extLst>
          </c:dPt>
          <c:dPt>
            <c:idx val="835"/>
            <c:marker>
              <c:spPr>
                <a:solidFill>
                  <a:srgbClr val="A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43-C974-49B2-9C17-08E16E5C920D}"/>
              </c:ext>
            </c:extLst>
          </c:dPt>
          <c:dPt>
            <c:idx val="836"/>
            <c:marker>
              <c:spPr>
                <a:solidFill>
                  <a:srgbClr val="A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44-C974-49B2-9C17-08E16E5C920D}"/>
              </c:ext>
            </c:extLst>
          </c:dPt>
          <c:dPt>
            <c:idx val="837"/>
            <c:marker>
              <c:spPr>
                <a:solidFill>
                  <a:srgbClr val="A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45-C974-49B2-9C17-08E16E5C920D}"/>
              </c:ext>
            </c:extLst>
          </c:dPt>
          <c:dPt>
            <c:idx val="838"/>
            <c:marker>
              <c:spPr>
                <a:solidFill>
                  <a:srgbClr val="A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46-C974-49B2-9C17-08E16E5C920D}"/>
              </c:ext>
            </c:extLst>
          </c:dPt>
          <c:dPt>
            <c:idx val="839"/>
            <c:marker>
              <c:spPr>
                <a:solidFill>
                  <a:srgbClr val="A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47-C974-49B2-9C17-08E16E5C920D}"/>
              </c:ext>
            </c:extLst>
          </c:dPt>
          <c:dPt>
            <c:idx val="840"/>
            <c:marker>
              <c:spPr>
                <a:solidFill>
                  <a:srgbClr val="A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48-C974-49B2-9C17-08E16E5C920D}"/>
              </c:ext>
            </c:extLst>
          </c:dPt>
          <c:dPt>
            <c:idx val="841"/>
            <c:marker>
              <c:spPr>
                <a:solidFill>
                  <a:srgbClr val="A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49-C974-49B2-9C17-08E16E5C920D}"/>
              </c:ext>
            </c:extLst>
          </c:dPt>
          <c:dPt>
            <c:idx val="842"/>
            <c:marker>
              <c:spPr>
                <a:solidFill>
                  <a:srgbClr val="A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4A-C974-49B2-9C17-08E16E5C920D}"/>
              </c:ext>
            </c:extLst>
          </c:dPt>
          <c:dPt>
            <c:idx val="843"/>
            <c:marker>
              <c:spPr>
                <a:solidFill>
                  <a:srgbClr val="A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4B-C974-49B2-9C17-08E16E5C920D}"/>
              </c:ext>
            </c:extLst>
          </c:dPt>
          <c:dPt>
            <c:idx val="844"/>
            <c:marker>
              <c:spPr>
                <a:solidFill>
                  <a:srgbClr val="A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4C-C974-49B2-9C17-08E16E5C920D}"/>
              </c:ext>
            </c:extLst>
          </c:dPt>
          <c:dPt>
            <c:idx val="845"/>
            <c:marker>
              <c:spPr>
                <a:solidFill>
                  <a:srgbClr val="A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4D-C974-49B2-9C17-08E16E5C920D}"/>
              </c:ext>
            </c:extLst>
          </c:dPt>
          <c:dPt>
            <c:idx val="846"/>
            <c:marker>
              <c:spPr>
                <a:solidFill>
                  <a:srgbClr val="A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4E-C974-49B2-9C17-08E16E5C920D}"/>
              </c:ext>
            </c:extLst>
          </c:dPt>
          <c:dPt>
            <c:idx val="847"/>
            <c:marker>
              <c:spPr>
                <a:solidFill>
                  <a:srgbClr val="A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4F-C974-49B2-9C17-08E16E5C920D}"/>
              </c:ext>
            </c:extLst>
          </c:dPt>
          <c:dPt>
            <c:idx val="848"/>
            <c:marker>
              <c:spPr>
                <a:solidFill>
                  <a:srgbClr val="A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50-C974-49B2-9C17-08E16E5C920D}"/>
              </c:ext>
            </c:extLst>
          </c:dPt>
          <c:dPt>
            <c:idx val="849"/>
            <c:marker>
              <c:spPr>
                <a:solidFill>
                  <a:srgbClr val="A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51-C974-49B2-9C17-08E16E5C920D}"/>
              </c:ext>
            </c:extLst>
          </c:dPt>
          <c:dPt>
            <c:idx val="850"/>
            <c:marker>
              <c:spPr>
                <a:solidFill>
                  <a:srgbClr val="A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52-C974-49B2-9C17-08E16E5C920D}"/>
              </c:ext>
            </c:extLst>
          </c:dPt>
          <c:dPt>
            <c:idx val="851"/>
            <c:marker>
              <c:spPr>
                <a:solidFill>
                  <a:srgbClr val="A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53-C974-49B2-9C17-08E16E5C920D}"/>
              </c:ext>
            </c:extLst>
          </c:dPt>
          <c:dPt>
            <c:idx val="852"/>
            <c:marker>
              <c:spPr>
                <a:solidFill>
                  <a:srgbClr val="A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54-C974-49B2-9C17-08E16E5C920D}"/>
              </c:ext>
            </c:extLst>
          </c:dPt>
          <c:dPt>
            <c:idx val="853"/>
            <c:marker>
              <c:spPr>
                <a:solidFill>
                  <a:srgbClr val="9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55-C974-49B2-9C17-08E16E5C920D}"/>
              </c:ext>
            </c:extLst>
          </c:dPt>
          <c:dPt>
            <c:idx val="854"/>
            <c:marker>
              <c:spPr>
                <a:solidFill>
                  <a:srgbClr val="9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56-C974-49B2-9C17-08E16E5C920D}"/>
              </c:ext>
            </c:extLst>
          </c:dPt>
          <c:dPt>
            <c:idx val="855"/>
            <c:marker>
              <c:spPr>
                <a:solidFill>
                  <a:srgbClr val="9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57-C974-49B2-9C17-08E16E5C920D}"/>
              </c:ext>
            </c:extLst>
          </c:dPt>
          <c:dPt>
            <c:idx val="856"/>
            <c:marker>
              <c:spPr>
                <a:solidFill>
                  <a:srgbClr val="9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58-C974-49B2-9C17-08E16E5C920D}"/>
              </c:ext>
            </c:extLst>
          </c:dPt>
          <c:dPt>
            <c:idx val="857"/>
            <c:marker>
              <c:spPr>
                <a:solidFill>
                  <a:srgbClr val="9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59-C974-49B2-9C17-08E16E5C920D}"/>
              </c:ext>
            </c:extLst>
          </c:dPt>
          <c:dPt>
            <c:idx val="858"/>
            <c:marker>
              <c:spPr>
                <a:solidFill>
                  <a:srgbClr val="9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5A-C974-49B2-9C17-08E16E5C920D}"/>
              </c:ext>
            </c:extLst>
          </c:dPt>
          <c:dPt>
            <c:idx val="859"/>
            <c:marker>
              <c:spPr>
                <a:solidFill>
                  <a:srgbClr val="9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5B-C974-49B2-9C17-08E16E5C920D}"/>
              </c:ext>
            </c:extLst>
          </c:dPt>
          <c:dPt>
            <c:idx val="860"/>
            <c:marker>
              <c:spPr>
                <a:solidFill>
                  <a:srgbClr val="9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5C-C974-49B2-9C17-08E16E5C920D}"/>
              </c:ext>
            </c:extLst>
          </c:dPt>
          <c:dPt>
            <c:idx val="861"/>
            <c:marker>
              <c:spPr>
                <a:solidFill>
                  <a:srgbClr val="9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5D-C974-49B2-9C17-08E16E5C920D}"/>
              </c:ext>
            </c:extLst>
          </c:dPt>
          <c:dPt>
            <c:idx val="862"/>
            <c:marker>
              <c:spPr>
                <a:solidFill>
                  <a:srgbClr val="9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5E-C974-49B2-9C17-08E16E5C920D}"/>
              </c:ext>
            </c:extLst>
          </c:dPt>
          <c:dPt>
            <c:idx val="863"/>
            <c:marker>
              <c:spPr>
                <a:solidFill>
                  <a:srgbClr val="9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5F-C974-49B2-9C17-08E16E5C920D}"/>
              </c:ext>
            </c:extLst>
          </c:dPt>
          <c:dPt>
            <c:idx val="864"/>
            <c:marker>
              <c:spPr>
                <a:solidFill>
                  <a:srgbClr val="9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60-C974-49B2-9C17-08E16E5C920D}"/>
              </c:ext>
            </c:extLst>
          </c:dPt>
          <c:dPt>
            <c:idx val="865"/>
            <c:marker>
              <c:spPr>
                <a:solidFill>
                  <a:srgbClr val="9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61-C974-49B2-9C17-08E16E5C920D}"/>
              </c:ext>
            </c:extLst>
          </c:dPt>
          <c:dPt>
            <c:idx val="866"/>
            <c:marker>
              <c:spPr>
                <a:solidFill>
                  <a:srgbClr val="9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62-C974-49B2-9C17-08E16E5C920D}"/>
              </c:ext>
            </c:extLst>
          </c:dPt>
          <c:dPt>
            <c:idx val="867"/>
            <c:marker>
              <c:spPr>
                <a:solidFill>
                  <a:srgbClr val="9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63-C974-49B2-9C17-08E16E5C920D}"/>
              </c:ext>
            </c:extLst>
          </c:dPt>
          <c:dPt>
            <c:idx val="868"/>
            <c:marker>
              <c:spPr>
                <a:solidFill>
                  <a:srgbClr val="9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64-C974-49B2-9C17-08E16E5C920D}"/>
              </c:ext>
            </c:extLst>
          </c:dPt>
          <c:dPt>
            <c:idx val="869"/>
            <c:marker>
              <c:spPr>
                <a:solidFill>
                  <a:srgbClr val="9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65-C974-49B2-9C17-08E16E5C920D}"/>
              </c:ext>
            </c:extLst>
          </c:dPt>
          <c:dPt>
            <c:idx val="870"/>
            <c:marker>
              <c:spPr>
                <a:solidFill>
                  <a:srgbClr val="9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66-C974-49B2-9C17-08E16E5C920D}"/>
              </c:ext>
            </c:extLst>
          </c:dPt>
          <c:dPt>
            <c:idx val="871"/>
            <c:marker>
              <c:spPr>
                <a:solidFill>
                  <a:srgbClr val="9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67-C974-49B2-9C17-08E16E5C920D}"/>
              </c:ext>
            </c:extLst>
          </c:dPt>
          <c:dPt>
            <c:idx val="872"/>
            <c:marker>
              <c:spPr>
                <a:solidFill>
                  <a:srgbClr val="9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68-C974-49B2-9C17-08E16E5C920D}"/>
              </c:ext>
            </c:extLst>
          </c:dPt>
          <c:dPt>
            <c:idx val="873"/>
            <c:marker>
              <c:spPr>
                <a:solidFill>
                  <a:srgbClr val="9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69-C974-49B2-9C17-08E16E5C920D}"/>
              </c:ext>
            </c:extLst>
          </c:dPt>
          <c:dPt>
            <c:idx val="874"/>
            <c:marker>
              <c:spPr>
                <a:solidFill>
                  <a:srgbClr val="9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6A-C974-49B2-9C17-08E16E5C920D}"/>
              </c:ext>
            </c:extLst>
          </c:dPt>
          <c:dPt>
            <c:idx val="875"/>
            <c:marker>
              <c:spPr>
                <a:solidFill>
                  <a:srgbClr val="9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6B-C974-49B2-9C17-08E16E5C920D}"/>
              </c:ext>
            </c:extLst>
          </c:dPt>
          <c:dPt>
            <c:idx val="876"/>
            <c:marker>
              <c:spPr>
                <a:solidFill>
                  <a:srgbClr val="9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6C-C974-49B2-9C17-08E16E5C920D}"/>
              </c:ext>
            </c:extLst>
          </c:dPt>
          <c:dPt>
            <c:idx val="877"/>
            <c:marker>
              <c:spPr>
                <a:solidFill>
                  <a:srgbClr val="9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6D-C974-49B2-9C17-08E16E5C920D}"/>
              </c:ext>
            </c:extLst>
          </c:dPt>
          <c:dPt>
            <c:idx val="878"/>
            <c:marker>
              <c:spPr>
                <a:solidFill>
                  <a:srgbClr val="9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6E-C974-49B2-9C17-08E16E5C920D}"/>
              </c:ext>
            </c:extLst>
          </c:dPt>
          <c:dPt>
            <c:idx val="879"/>
            <c:marker>
              <c:spPr>
                <a:solidFill>
                  <a:srgbClr val="9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6F-C974-49B2-9C17-08E16E5C920D}"/>
              </c:ext>
            </c:extLst>
          </c:dPt>
          <c:dPt>
            <c:idx val="880"/>
            <c:marker>
              <c:spPr>
                <a:solidFill>
                  <a:srgbClr val="9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70-C974-49B2-9C17-08E16E5C920D}"/>
              </c:ext>
            </c:extLst>
          </c:dPt>
          <c:dPt>
            <c:idx val="881"/>
            <c:marker>
              <c:spPr>
                <a:solidFill>
                  <a:srgbClr val="9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71-C974-49B2-9C17-08E16E5C920D}"/>
              </c:ext>
            </c:extLst>
          </c:dPt>
          <c:dPt>
            <c:idx val="882"/>
            <c:marker>
              <c:spPr>
                <a:solidFill>
                  <a:srgbClr val="9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72-C974-49B2-9C17-08E16E5C920D}"/>
              </c:ext>
            </c:extLst>
          </c:dPt>
          <c:dPt>
            <c:idx val="883"/>
            <c:marker>
              <c:spPr>
                <a:solidFill>
                  <a:srgbClr val="9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73-C974-49B2-9C17-08E16E5C920D}"/>
              </c:ext>
            </c:extLst>
          </c:dPt>
          <c:dPt>
            <c:idx val="884"/>
            <c:marker>
              <c:spPr>
                <a:solidFill>
                  <a:srgbClr val="9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74-C974-49B2-9C17-08E16E5C920D}"/>
              </c:ext>
            </c:extLst>
          </c:dPt>
          <c:dPt>
            <c:idx val="885"/>
            <c:marker>
              <c:spPr>
                <a:solidFill>
                  <a:srgbClr val="9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75-C974-49B2-9C17-08E16E5C920D}"/>
              </c:ext>
            </c:extLst>
          </c:dPt>
          <c:dPt>
            <c:idx val="886"/>
            <c:marker>
              <c:spPr>
                <a:solidFill>
                  <a:srgbClr val="9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76-C974-49B2-9C17-08E16E5C920D}"/>
              </c:ext>
            </c:extLst>
          </c:dPt>
          <c:dPt>
            <c:idx val="887"/>
            <c:marker>
              <c:spPr>
                <a:solidFill>
                  <a:srgbClr val="9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77-C974-49B2-9C17-08E16E5C920D}"/>
              </c:ext>
            </c:extLst>
          </c:dPt>
          <c:dPt>
            <c:idx val="888"/>
            <c:marker>
              <c:spPr>
                <a:solidFill>
                  <a:srgbClr val="9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78-C974-49B2-9C17-08E16E5C920D}"/>
              </c:ext>
            </c:extLst>
          </c:dPt>
          <c:dPt>
            <c:idx val="889"/>
            <c:marker>
              <c:spPr>
                <a:solidFill>
                  <a:srgbClr val="9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79-C974-49B2-9C17-08E16E5C920D}"/>
              </c:ext>
            </c:extLst>
          </c:dPt>
          <c:dPt>
            <c:idx val="890"/>
            <c:marker>
              <c:spPr>
                <a:solidFill>
                  <a:srgbClr val="9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7A-C974-49B2-9C17-08E16E5C920D}"/>
              </c:ext>
            </c:extLst>
          </c:dPt>
          <c:dPt>
            <c:idx val="891"/>
            <c:marker>
              <c:spPr>
                <a:solidFill>
                  <a:srgbClr val="9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7B-C974-49B2-9C17-08E16E5C920D}"/>
              </c:ext>
            </c:extLst>
          </c:dPt>
          <c:dPt>
            <c:idx val="892"/>
            <c:marker>
              <c:spPr>
                <a:solidFill>
                  <a:srgbClr val="9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7C-C974-49B2-9C17-08E16E5C920D}"/>
              </c:ext>
            </c:extLst>
          </c:dPt>
          <c:dPt>
            <c:idx val="893"/>
            <c:marker>
              <c:spPr>
                <a:solidFill>
                  <a:srgbClr val="9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7D-C974-49B2-9C17-08E16E5C920D}"/>
              </c:ext>
            </c:extLst>
          </c:dPt>
          <c:dPt>
            <c:idx val="894"/>
            <c:marker>
              <c:spPr>
                <a:solidFill>
                  <a:srgbClr val="9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7E-C974-49B2-9C17-08E16E5C920D}"/>
              </c:ext>
            </c:extLst>
          </c:dPt>
          <c:dPt>
            <c:idx val="895"/>
            <c:marker>
              <c:spPr>
                <a:solidFill>
                  <a:srgbClr val="9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7F-C974-49B2-9C17-08E16E5C920D}"/>
              </c:ext>
            </c:extLst>
          </c:dPt>
          <c:dPt>
            <c:idx val="896"/>
            <c:marker>
              <c:spPr>
                <a:solidFill>
                  <a:srgbClr val="9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80-C974-49B2-9C17-08E16E5C920D}"/>
              </c:ext>
            </c:extLst>
          </c:dPt>
          <c:dPt>
            <c:idx val="897"/>
            <c:marker>
              <c:spPr>
                <a:solidFill>
                  <a:srgbClr val="9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81-C974-49B2-9C17-08E16E5C920D}"/>
              </c:ext>
            </c:extLst>
          </c:dPt>
          <c:dPt>
            <c:idx val="898"/>
            <c:marker>
              <c:spPr>
                <a:solidFill>
                  <a:srgbClr val="9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82-C974-49B2-9C17-08E16E5C920D}"/>
              </c:ext>
            </c:extLst>
          </c:dPt>
          <c:dPt>
            <c:idx val="899"/>
            <c:marker>
              <c:spPr>
                <a:solidFill>
                  <a:srgbClr val="9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83-C974-49B2-9C17-08E16E5C920D}"/>
              </c:ext>
            </c:extLst>
          </c:dPt>
          <c:dPt>
            <c:idx val="900"/>
            <c:marker>
              <c:spPr>
                <a:solidFill>
                  <a:srgbClr val="9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84-C974-49B2-9C17-08E16E5C920D}"/>
              </c:ext>
            </c:extLst>
          </c:dPt>
          <c:dPt>
            <c:idx val="901"/>
            <c:marker>
              <c:spPr>
                <a:solidFill>
                  <a:srgbClr val="9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85-C974-49B2-9C17-08E16E5C920D}"/>
              </c:ext>
            </c:extLst>
          </c:dPt>
          <c:dPt>
            <c:idx val="902"/>
            <c:marker>
              <c:spPr>
                <a:solidFill>
                  <a:srgbClr val="9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86-C974-49B2-9C17-08E16E5C920D}"/>
              </c:ext>
            </c:extLst>
          </c:dPt>
          <c:dPt>
            <c:idx val="903"/>
            <c:marker>
              <c:spPr>
                <a:solidFill>
                  <a:srgbClr val="9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87-C974-49B2-9C17-08E16E5C920D}"/>
              </c:ext>
            </c:extLst>
          </c:dPt>
          <c:dPt>
            <c:idx val="904"/>
            <c:marker>
              <c:spPr>
                <a:solidFill>
                  <a:srgbClr val="9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88-C974-49B2-9C17-08E16E5C920D}"/>
              </c:ext>
            </c:extLst>
          </c:dPt>
          <c:dPt>
            <c:idx val="905"/>
            <c:marker>
              <c:spPr>
                <a:solidFill>
                  <a:srgbClr val="9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89-C974-49B2-9C17-08E16E5C920D}"/>
              </c:ext>
            </c:extLst>
          </c:dPt>
          <c:dPt>
            <c:idx val="906"/>
            <c:marker>
              <c:spPr>
                <a:solidFill>
                  <a:srgbClr val="9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8A-C974-49B2-9C17-08E16E5C920D}"/>
              </c:ext>
            </c:extLst>
          </c:dPt>
          <c:dPt>
            <c:idx val="907"/>
            <c:marker>
              <c:spPr>
                <a:solidFill>
                  <a:srgbClr val="9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8B-C974-49B2-9C17-08E16E5C920D}"/>
              </c:ext>
            </c:extLst>
          </c:dPt>
          <c:dPt>
            <c:idx val="908"/>
            <c:marker>
              <c:spPr>
                <a:solidFill>
                  <a:srgbClr val="9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8C-C974-49B2-9C17-08E16E5C920D}"/>
              </c:ext>
            </c:extLst>
          </c:dPt>
          <c:dPt>
            <c:idx val="909"/>
            <c:marker>
              <c:spPr>
                <a:solidFill>
                  <a:srgbClr val="9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8D-C974-49B2-9C17-08E16E5C920D}"/>
              </c:ext>
            </c:extLst>
          </c:dPt>
          <c:dPt>
            <c:idx val="910"/>
            <c:marker>
              <c:spPr>
                <a:solidFill>
                  <a:srgbClr val="9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8E-C974-49B2-9C17-08E16E5C920D}"/>
              </c:ext>
            </c:extLst>
          </c:dPt>
          <c:dPt>
            <c:idx val="911"/>
            <c:marker>
              <c:spPr>
                <a:solidFill>
                  <a:srgbClr val="9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8F-C974-49B2-9C17-08E16E5C920D}"/>
              </c:ext>
            </c:extLst>
          </c:dPt>
          <c:dPt>
            <c:idx val="912"/>
            <c:marker>
              <c:spPr>
                <a:solidFill>
                  <a:srgbClr val="9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90-C974-49B2-9C17-08E16E5C920D}"/>
              </c:ext>
            </c:extLst>
          </c:dPt>
          <c:dPt>
            <c:idx val="913"/>
            <c:marker>
              <c:spPr>
                <a:solidFill>
                  <a:srgbClr val="9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91-C974-49B2-9C17-08E16E5C920D}"/>
              </c:ext>
            </c:extLst>
          </c:dPt>
          <c:dPt>
            <c:idx val="914"/>
            <c:marker>
              <c:spPr>
                <a:solidFill>
                  <a:srgbClr val="9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92-C974-49B2-9C17-08E16E5C920D}"/>
              </c:ext>
            </c:extLst>
          </c:dPt>
          <c:dPt>
            <c:idx val="915"/>
            <c:marker>
              <c:spPr>
                <a:solidFill>
                  <a:srgbClr val="9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93-C974-49B2-9C17-08E16E5C920D}"/>
              </c:ext>
            </c:extLst>
          </c:dPt>
          <c:dPt>
            <c:idx val="916"/>
            <c:marker>
              <c:spPr>
                <a:solidFill>
                  <a:srgbClr val="9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94-C974-49B2-9C17-08E16E5C920D}"/>
              </c:ext>
            </c:extLst>
          </c:dPt>
          <c:dPt>
            <c:idx val="917"/>
            <c:marker>
              <c:spPr>
                <a:solidFill>
                  <a:srgbClr val="9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95-C974-49B2-9C17-08E16E5C920D}"/>
              </c:ext>
            </c:extLst>
          </c:dPt>
          <c:dPt>
            <c:idx val="918"/>
            <c:marker>
              <c:spPr>
                <a:solidFill>
                  <a:srgbClr val="9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96-C974-49B2-9C17-08E16E5C920D}"/>
              </c:ext>
            </c:extLst>
          </c:dPt>
          <c:dPt>
            <c:idx val="919"/>
            <c:marker>
              <c:spPr>
                <a:solidFill>
                  <a:srgbClr val="9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97-C974-49B2-9C17-08E16E5C920D}"/>
              </c:ext>
            </c:extLst>
          </c:dPt>
          <c:dPt>
            <c:idx val="920"/>
            <c:marker>
              <c:spPr>
                <a:solidFill>
                  <a:srgbClr val="9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98-C974-49B2-9C17-08E16E5C920D}"/>
              </c:ext>
            </c:extLst>
          </c:dPt>
          <c:dPt>
            <c:idx val="921"/>
            <c:marker>
              <c:spPr>
                <a:solidFill>
                  <a:srgbClr val="9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99-C974-49B2-9C17-08E16E5C920D}"/>
              </c:ext>
            </c:extLst>
          </c:dPt>
          <c:dPt>
            <c:idx val="922"/>
            <c:marker>
              <c:spPr>
                <a:solidFill>
                  <a:srgbClr val="9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9A-C974-49B2-9C17-08E16E5C920D}"/>
              </c:ext>
            </c:extLst>
          </c:dPt>
          <c:dPt>
            <c:idx val="923"/>
            <c:marker>
              <c:spPr>
                <a:solidFill>
                  <a:srgbClr val="9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9B-C974-49B2-9C17-08E16E5C920D}"/>
              </c:ext>
            </c:extLst>
          </c:dPt>
          <c:dPt>
            <c:idx val="924"/>
            <c:marker>
              <c:spPr>
                <a:solidFill>
                  <a:srgbClr val="9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9C-C974-49B2-9C17-08E16E5C920D}"/>
              </c:ext>
            </c:extLst>
          </c:dPt>
          <c:dPt>
            <c:idx val="925"/>
            <c:marker>
              <c:spPr>
                <a:solidFill>
                  <a:srgbClr val="9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9D-C974-49B2-9C17-08E16E5C920D}"/>
              </c:ext>
            </c:extLst>
          </c:dPt>
          <c:dPt>
            <c:idx val="926"/>
            <c:marker>
              <c:spPr>
                <a:solidFill>
                  <a:srgbClr val="9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9E-C974-49B2-9C17-08E16E5C920D}"/>
              </c:ext>
            </c:extLst>
          </c:dPt>
          <c:dPt>
            <c:idx val="927"/>
            <c:marker>
              <c:spPr>
                <a:solidFill>
                  <a:srgbClr val="9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9F-C974-49B2-9C17-08E16E5C920D}"/>
              </c:ext>
            </c:extLst>
          </c:dPt>
          <c:dPt>
            <c:idx val="928"/>
            <c:marker>
              <c:spPr>
                <a:solidFill>
                  <a:srgbClr val="9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A0-C974-49B2-9C17-08E16E5C920D}"/>
              </c:ext>
            </c:extLst>
          </c:dPt>
          <c:dPt>
            <c:idx val="929"/>
            <c:marker>
              <c:spPr>
                <a:solidFill>
                  <a:srgbClr val="9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A1-C974-49B2-9C17-08E16E5C920D}"/>
              </c:ext>
            </c:extLst>
          </c:dPt>
          <c:dPt>
            <c:idx val="930"/>
            <c:marker>
              <c:spPr>
                <a:solidFill>
                  <a:srgbClr val="9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A2-C974-49B2-9C17-08E16E5C920D}"/>
              </c:ext>
            </c:extLst>
          </c:dPt>
          <c:dPt>
            <c:idx val="931"/>
            <c:marker>
              <c:spPr>
                <a:solidFill>
                  <a:srgbClr val="9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A3-C974-49B2-9C17-08E16E5C920D}"/>
              </c:ext>
            </c:extLst>
          </c:dPt>
          <c:dPt>
            <c:idx val="932"/>
            <c:marker>
              <c:spPr>
                <a:solidFill>
                  <a:srgbClr val="9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A4-C974-49B2-9C17-08E16E5C920D}"/>
              </c:ext>
            </c:extLst>
          </c:dPt>
          <c:dPt>
            <c:idx val="933"/>
            <c:marker>
              <c:spPr>
                <a:solidFill>
                  <a:srgbClr val="9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A5-C974-49B2-9C17-08E16E5C920D}"/>
              </c:ext>
            </c:extLst>
          </c:dPt>
          <c:dPt>
            <c:idx val="934"/>
            <c:marker>
              <c:spPr>
                <a:solidFill>
                  <a:srgbClr val="9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A6-C974-49B2-9C17-08E16E5C920D}"/>
              </c:ext>
            </c:extLst>
          </c:dPt>
          <c:dPt>
            <c:idx val="935"/>
            <c:marker>
              <c:spPr>
                <a:solidFill>
                  <a:srgbClr val="9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A7-C974-49B2-9C17-08E16E5C920D}"/>
              </c:ext>
            </c:extLst>
          </c:dPt>
          <c:dPt>
            <c:idx val="936"/>
            <c:marker>
              <c:spPr>
                <a:solidFill>
                  <a:srgbClr val="9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A8-C974-49B2-9C17-08E16E5C920D}"/>
              </c:ext>
            </c:extLst>
          </c:dPt>
          <c:dPt>
            <c:idx val="937"/>
            <c:marker>
              <c:spPr>
                <a:solidFill>
                  <a:srgbClr val="9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A9-C974-49B2-9C17-08E16E5C920D}"/>
              </c:ext>
            </c:extLst>
          </c:dPt>
          <c:dPt>
            <c:idx val="938"/>
            <c:marker>
              <c:spPr>
                <a:solidFill>
                  <a:srgbClr val="9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AA-C974-49B2-9C17-08E16E5C920D}"/>
              </c:ext>
            </c:extLst>
          </c:dPt>
          <c:dPt>
            <c:idx val="939"/>
            <c:marker>
              <c:spPr>
                <a:solidFill>
                  <a:srgbClr val="9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AB-C974-49B2-9C17-08E16E5C920D}"/>
              </c:ext>
            </c:extLst>
          </c:dPt>
          <c:dPt>
            <c:idx val="940"/>
            <c:marker>
              <c:spPr>
                <a:solidFill>
                  <a:srgbClr val="9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AC-C974-49B2-9C17-08E16E5C920D}"/>
              </c:ext>
            </c:extLst>
          </c:dPt>
          <c:dPt>
            <c:idx val="941"/>
            <c:marker>
              <c:spPr>
                <a:solidFill>
                  <a:srgbClr val="9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AD-C974-49B2-9C17-08E16E5C920D}"/>
              </c:ext>
            </c:extLst>
          </c:dPt>
          <c:dPt>
            <c:idx val="942"/>
            <c:marker>
              <c:spPr>
                <a:solidFill>
                  <a:srgbClr val="9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AE-C974-49B2-9C17-08E16E5C920D}"/>
              </c:ext>
            </c:extLst>
          </c:dPt>
          <c:dPt>
            <c:idx val="943"/>
            <c:marker>
              <c:spPr>
                <a:solidFill>
                  <a:srgbClr val="9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AF-C974-49B2-9C17-08E16E5C920D}"/>
              </c:ext>
            </c:extLst>
          </c:dPt>
          <c:dPt>
            <c:idx val="944"/>
            <c:marker>
              <c:spPr>
                <a:solidFill>
                  <a:srgbClr val="9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B0-C974-49B2-9C17-08E16E5C920D}"/>
              </c:ext>
            </c:extLst>
          </c:dPt>
          <c:dPt>
            <c:idx val="945"/>
            <c:marker>
              <c:spPr>
                <a:solidFill>
                  <a:srgbClr val="9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B1-C974-49B2-9C17-08E16E5C920D}"/>
              </c:ext>
            </c:extLst>
          </c:dPt>
          <c:dPt>
            <c:idx val="946"/>
            <c:marker>
              <c:spPr>
                <a:solidFill>
                  <a:srgbClr val="9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B2-C974-49B2-9C17-08E16E5C920D}"/>
              </c:ext>
            </c:extLst>
          </c:dPt>
          <c:dPt>
            <c:idx val="947"/>
            <c:marker>
              <c:spPr>
                <a:solidFill>
                  <a:srgbClr val="9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B3-C974-49B2-9C17-08E16E5C920D}"/>
              </c:ext>
            </c:extLst>
          </c:dPt>
          <c:dPt>
            <c:idx val="948"/>
            <c:marker>
              <c:spPr>
                <a:solidFill>
                  <a:srgbClr val="9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B4-C974-49B2-9C17-08E16E5C920D}"/>
              </c:ext>
            </c:extLst>
          </c:dPt>
          <c:dPt>
            <c:idx val="949"/>
            <c:marker>
              <c:spPr>
                <a:solidFill>
                  <a:srgbClr val="9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B5-C974-49B2-9C17-08E16E5C920D}"/>
              </c:ext>
            </c:extLst>
          </c:dPt>
          <c:dPt>
            <c:idx val="950"/>
            <c:marker>
              <c:spPr>
                <a:solidFill>
                  <a:srgbClr val="9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B6-C974-49B2-9C17-08E16E5C920D}"/>
              </c:ext>
            </c:extLst>
          </c:dPt>
          <c:dPt>
            <c:idx val="951"/>
            <c:marker>
              <c:spPr>
                <a:solidFill>
                  <a:srgbClr val="9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B7-C974-49B2-9C17-08E16E5C920D}"/>
              </c:ext>
            </c:extLst>
          </c:dPt>
          <c:dPt>
            <c:idx val="952"/>
            <c:marker>
              <c:spPr>
                <a:solidFill>
                  <a:srgbClr val="9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B8-C974-49B2-9C17-08E16E5C920D}"/>
              </c:ext>
            </c:extLst>
          </c:dPt>
          <c:dPt>
            <c:idx val="953"/>
            <c:marker>
              <c:spPr>
                <a:solidFill>
                  <a:srgbClr val="9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B9-C974-49B2-9C17-08E16E5C920D}"/>
              </c:ext>
            </c:extLst>
          </c:dPt>
          <c:dPt>
            <c:idx val="954"/>
            <c:marker>
              <c:spPr>
                <a:solidFill>
                  <a:srgbClr val="9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BA-C974-49B2-9C17-08E16E5C920D}"/>
              </c:ext>
            </c:extLst>
          </c:dPt>
          <c:dPt>
            <c:idx val="955"/>
            <c:marker>
              <c:spPr>
                <a:solidFill>
                  <a:srgbClr val="9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BB-C974-49B2-9C17-08E16E5C920D}"/>
              </c:ext>
            </c:extLst>
          </c:dPt>
          <c:dPt>
            <c:idx val="956"/>
            <c:marker>
              <c:spPr>
                <a:solidFill>
                  <a:srgbClr val="9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BC-C974-49B2-9C17-08E16E5C920D}"/>
              </c:ext>
            </c:extLst>
          </c:dPt>
          <c:dPt>
            <c:idx val="957"/>
            <c:marker>
              <c:spPr>
                <a:solidFill>
                  <a:srgbClr val="9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BD-C974-49B2-9C17-08E16E5C920D}"/>
              </c:ext>
            </c:extLst>
          </c:dPt>
          <c:dPt>
            <c:idx val="958"/>
            <c:marker>
              <c:spPr>
                <a:solidFill>
                  <a:srgbClr val="9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BE-C974-49B2-9C17-08E16E5C920D}"/>
              </c:ext>
            </c:extLst>
          </c:dPt>
          <c:dPt>
            <c:idx val="959"/>
            <c:marker>
              <c:spPr>
                <a:solidFill>
                  <a:srgbClr val="9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BF-C974-49B2-9C17-08E16E5C920D}"/>
              </c:ext>
            </c:extLst>
          </c:dPt>
          <c:dPt>
            <c:idx val="960"/>
            <c:marker>
              <c:spPr>
                <a:solidFill>
                  <a:srgbClr val="9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C0-C974-49B2-9C17-08E16E5C920D}"/>
              </c:ext>
            </c:extLst>
          </c:dPt>
          <c:dPt>
            <c:idx val="961"/>
            <c:marker>
              <c:spPr>
                <a:solidFill>
                  <a:srgbClr val="9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C1-C974-49B2-9C17-08E16E5C920D}"/>
              </c:ext>
            </c:extLst>
          </c:dPt>
          <c:dPt>
            <c:idx val="962"/>
            <c:marker>
              <c:spPr>
                <a:solidFill>
                  <a:srgbClr val="9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C2-C974-49B2-9C17-08E16E5C920D}"/>
              </c:ext>
            </c:extLst>
          </c:dPt>
          <c:dPt>
            <c:idx val="963"/>
            <c:marker>
              <c:spPr>
                <a:solidFill>
                  <a:srgbClr val="9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C3-C974-49B2-9C17-08E16E5C920D}"/>
              </c:ext>
            </c:extLst>
          </c:dPt>
          <c:dPt>
            <c:idx val="964"/>
            <c:marker>
              <c:spPr>
                <a:solidFill>
                  <a:srgbClr val="9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C4-C974-49B2-9C17-08E16E5C920D}"/>
              </c:ext>
            </c:extLst>
          </c:dPt>
          <c:dPt>
            <c:idx val="965"/>
            <c:marker>
              <c:spPr>
                <a:solidFill>
                  <a:srgbClr val="9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C5-C974-49B2-9C17-08E16E5C920D}"/>
              </c:ext>
            </c:extLst>
          </c:dPt>
          <c:dPt>
            <c:idx val="966"/>
            <c:marker>
              <c:spPr>
                <a:solidFill>
                  <a:srgbClr val="9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C6-C974-49B2-9C17-08E16E5C920D}"/>
              </c:ext>
            </c:extLst>
          </c:dPt>
          <c:dPt>
            <c:idx val="967"/>
            <c:marker>
              <c:spPr>
                <a:solidFill>
                  <a:srgbClr val="9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C7-C974-49B2-9C17-08E16E5C920D}"/>
              </c:ext>
            </c:extLst>
          </c:dPt>
          <c:dPt>
            <c:idx val="968"/>
            <c:marker>
              <c:spPr>
                <a:solidFill>
                  <a:srgbClr val="9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C8-C974-49B2-9C17-08E16E5C920D}"/>
              </c:ext>
            </c:extLst>
          </c:dPt>
          <c:dPt>
            <c:idx val="969"/>
            <c:marker>
              <c:spPr>
                <a:solidFill>
                  <a:srgbClr val="9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C9-C974-49B2-9C17-08E16E5C920D}"/>
              </c:ext>
            </c:extLst>
          </c:dPt>
          <c:dPt>
            <c:idx val="970"/>
            <c:marker>
              <c:spPr>
                <a:solidFill>
                  <a:srgbClr val="9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CA-C974-49B2-9C17-08E16E5C920D}"/>
              </c:ext>
            </c:extLst>
          </c:dPt>
          <c:dPt>
            <c:idx val="971"/>
            <c:marker>
              <c:spPr>
                <a:solidFill>
                  <a:srgbClr val="9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CB-C974-49B2-9C17-08E16E5C920D}"/>
              </c:ext>
            </c:extLst>
          </c:dPt>
          <c:dPt>
            <c:idx val="972"/>
            <c:marker>
              <c:spPr>
                <a:solidFill>
                  <a:srgbClr val="9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CC-C974-49B2-9C17-08E16E5C920D}"/>
              </c:ext>
            </c:extLst>
          </c:dPt>
          <c:dPt>
            <c:idx val="973"/>
            <c:marker>
              <c:spPr>
                <a:solidFill>
                  <a:srgbClr val="9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CD-C974-49B2-9C17-08E16E5C920D}"/>
              </c:ext>
            </c:extLst>
          </c:dPt>
          <c:dPt>
            <c:idx val="974"/>
            <c:marker>
              <c:spPr>
                <a:solidFill>
                  <a:srgbClr val="9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CE-C974-49B2-9C17-08E16E5C920D}"/>
              </c:ext>
            </c:extLst>
          </c:dPt>
          <c:dPt>
            <c:idx val="975"/>
            <c:marker>
              <c:spPr>
                <a:solidFill>
                  <a:srgbClr val="9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CF-C974-49B2-9C17-08E16E5C920D}"/>
              </c:ext>
            </c:extLst>
          </c:dPt>
          <c:dPt>
            <c:idx val="976"/>
            <c:marker>
              <c:spPr>
                <a:solidFill>
                  <a:srgbClr val="9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D0-C974-49B2-9C17-08E16E5C920D}"/>
              </c:ext>
            </c:extLst>
          </c:dPt>
          <c:dPt>
            <c:idx val="977"/>
            <c:marker>
              <c:spPr>
                <a:solidFill>
                  <a:srgbClr val="9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D1-C974-49B2-9C17-08E16E5C920D}"/>
              </c:ext>
            </c:extLst>
          </c:dPt>
          <c:dPt>
            <c:idx val="978"/>
            <c:marker>
              <c:spPr>
                <a:solidFill>
                  <a:srgbClr val="9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D2-C974-49B2-9C17-08E16E5C920D}"/>
              </c:ext>
            </c:extLst>
          </c:dPt>
          <c:dPt>
            <c:idx val="979"/>
            <c:marker>
              <c:spPr>
                <a:solidFill>
                  <a:srgbClr val="9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D3-C974-49B2-9C17-08E16E5C920D}"/>
              </c:ext>
            </c:extLst>
          </c:dPt>
          <c:dPt>
            <c:idx val="980"/>
            <c:marker>
              <c:spPr>
                <a:solidFill>
                  <a:srgbClr val="9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D4-C974-49B2-9C17-08E16E5C920D}"/>
              </c:ext>
            </c:extLst>
          </c:dPt>
          <c:dPt>
            <c:idx val="981"/>
            <c:marker>
              <c:spPr>
                <a:solidFill>
                  <a:srgbClr val="9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D5-C974-49B2-9C17-08E16E5C920D}"/>
              </c:ext>
            </c:extLst>
          </c:dPt>
          <c:dPt>
            <c:idx val="982"/>
            <c:marker>
              <c:spPr>
                <a:solidFill>
                  <a:srgbClr val="9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D6-C974-49B2-9C17-08E16E5C920D}"/>
              </c:ext>
            </c:extLst>
          </c:dPt>
          <c:dPt>
            <c:idx val="983"/>
            <c:marker>
              <c:spPr>
                <a:solidFill>
                  <a:srgbClr val="9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D7-C974-49B2-9C17-08E16E5C920D}"/>
              </c:ext>
            </c:extLst>
          </c:dPt>
          <c:dPt>
            <c:idx val="984"/>
            <c:marker>
              <c:spPr>
                <a:solidFill>
                  <a:srgbClr val="9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D8-C974-49B2-9C17-08E16E5C920D}"/>
              </c:ext>
            </c:extLst>
          </c:dPt>
          <c:dPt>
            <c:idx val="985"/>
            <c:marker>
              <c:spPr>
                <a:solidFill>
                  <a:srgbClr val="9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D9-C974-49B2-9C17-08E16E5C920D}"/>
              </c:ext>
            </c:extLst>
          </c:dPt>
          <c:dPt>
            <c:idx val="986"/>
            <c:marker>
              <c:spPr>
                <a:solidFill>
                  <a:srgbClr val="9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DA-C974-49B2-9C17-08E16E5C920D}"/>
              </c:ext>
            </c:extLst>
          </c:dPt>
          <c:dPt>
            <c:idx val="987"/>
            <c:marker>
              <c:spPr>
                <a:solidFill>
                  <a:srgbClr val="9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DB-C974-49B2-9C17-08E16E5C920D}"/>
              </c:ext>
            </c:extLst>
          </c:dPt>
          <c:dPt>
            <c:idx val="988"/>
            <c:marker>
              <c:spPr>
                <a:solidFill>
                  <a:srgbClr val="9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DC-C974-49B2-9C17-08E16E5C920D}"/>
              </c:ext>
            </c:extLst>
          </c:dPt>
          <c:dPt>
            <c:idx val="989"/>
            <c:marker>
              <c:spPr>
                <a:solidFill>
                  <a:srgbClr val="9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DD-C974-49B2-9C17-08E16E5C920D}"/>
              </c:ext>
            </c:extLst>
          </c:dPt>
          <c:dPt>
            <c:idx val="990"/>
            <c:marker>
              <c:spPr>
                <a:solidFill>
                  <a:srgbClr val="9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DE-C974-49B2-9C17-08E16E5C920D}"/>
              </c:ext>
            </c:extLst>
          </c:dPt>
          <c:dPt>
            <c:idx val="991"/>
            <c:marker>
              <c:spPr>
                <a:solidFill>
                  <a:srgbClr val="9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DF-C974-49B2-9C17-08E16E5C920D}"/>
              </c:ext>
            </c:extLst>
          </c:dPt>
          <c:dPt>
            <c:idx val="992"/>
            <c:marker>
              <c:spPr>
                <a:solidFill>
                  <a:srgbClr val="9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E0-C974-49B2-9C17-08E16E5C920D}"/>
              </c:ext>
            </c:extLst>
          </c:dPt>
          <c:dPt>
            <c:idx val="993"/>
            <c:marker>
              <c:spPr>
                <a:solidFill>
                  <a:srgbClr val="9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E1-C974-49B2-9C17-08E16E5C920D}"/>
              </c:ext>
            </c:extLst>
          </c:dPt>
          <c:dPt>
            <c:idx val="994"/>
            <c:marker>
              <c:spPr>
                <a:solidFill>
                  <a:srgbClr val="9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E2-C974-49B2-9C17-08E16E5C920D}"/>
              </c:ext>
            </c:extLst>
          </c:dPt>
          <c:dPt>
            <c:idx val="995"/>
            <c:marker>
              <c:spPr>
                <a:solidFill>
                  <a:srgbClr val="9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E3-C974-49B2-9C17-08E16E5C920D}"/>
              </c:ext>
            </c:extLst>
          </c:dPt>
          <c:dPt>
            <c:idx val="996"/>
            <c:marker>
              <c:spPr>
                <a:solidFill>
                  <a:srgbClr val="9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E4-C974-49B2-9C17-08E16E5C920D}"/>
              </c:ext>
            </c:extLst>
          </c:dPt>
          <c:dPt>
            <c:idx val="997"/>
            <c:marker>
              <c:spPr>
                <a:solidFill>
                  <a:srgbClr val="8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E5-C974-49B2-9C17-08E16E5C920D}"/>
              </c:ext>
            </c:extLst>
          </c:dPt>
          <c:dPt>
            <c:idx val="998"/>
            <c:marker>
              <c:spPr>
                <a:solidFill>
                  <a:srgbClr val="8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E6-C974-49B2-9C17-08E16E5C920D}"/>
              </c:ext>
            </c:extLst>
          </c:dPt>
          <c:dPt>
            <c:idx val="999"/>
            <c:marker>
              <c:spPr>
                <a:solidFill>
                  <a:srgbClr val="8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E7-C974-49B2-9C17-08E16E5C920D}"/>
              </c:ext>
            </c:extLst>
          </c:dPt>
          <c:dPt>
            <c:idx val="1000"/>
            <c:marker>
              <c:spPr>
                <a:solidFill>
                  <a:srgbClr val="8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E8-C974-49B2-9C17-08E16E5C920D}"/>
              </c:ext>
            </c:extLst>
          </c:dPt>
          <c:dPt>
            <c:idx val="1001"/>
            <c:marker>
              <c:spPr>
                <a:solidFill>
                  <a:srgbClr val="8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E9-C974-49B2-9C17-08E16E5C920D}"/>
              </c:ext>
            </c:extLst>
          </c:dPt>
          <c:dPt>
            <c:idx val="1002"/>
            <c:marker>
              <c:spPr>
                <a:solidFill>
                  <a:srgbClr val="8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EA-C974-49B2-9C17-08E16E5C920D}"/>
              </c:ext>
            </c:extLst>
          </c:dPt>
          <c:dPt>
            <c:idx val="1003"/>
            <c:marker>
              <c:spPr>
                <a:solidFill>
                  <a:srgbClr val="8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EB-C974-49B2-9C17-08E16E5C920D}"/>
              </c:ext>
            </c:extLst>
          </c:dPt>
          <c:dPt>
            <c:idx val="1004"/>
            <c:marker>
              <c:spPr>
                <a:solidFill>
                  <a:srgbClr val="8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EC-C974-49B2-9C17-08E16E5C920D}"/>
              </c:ext>
            </c:extLst>
          </c:dPt>
          <c:dPt>
            <c:idx val="1005"/>
            <c:marker>
              <c:spPr>
                <a:solidFill>
                  <a:srgbClr val="8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ED-C974-49B2-9C17-08E16E5C920D}"/>
              </c:ext>
            </c:extLst>
          </c:dPt>
          <c:dPt>
            <c:idx val="1006"/>
            <c:marker>
              <c:spPr>
                <a:solidFill>
                  <a:srgbClr val="8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EE-C974-49B2-9C17-08E16E5C920D}"/>
              </c:ext>
            </c:extLst>
          </c:dPt>
          <c:dPt>
            <c:idx val="1007"/>
            <c:marker>
              <c:spPr>
                <a:solidFill>
                  <a:srgbClr val="8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EF-C974-49B2-9C17-08E16E5C920D}"/>
              </c:ext>
            </c:extLst>
          </c:dPt>
          <c:dPt>
            <c:idx val="1008"/>
            <c:marker>
              <c:spPr>
                <a:solidFill>
                  <a:srgbClr val="8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F0-C974-49B2-9C17-08E16E5C920D}"/>
              </c:ext>
            </c:extLst>
          </c:dPt>
          <c:dPt>
            <c:idx val="1009"/>
            <c:marker>
              <c:spPr>
                <a:solidFill>
                  <a:srgbClr val="8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F1-C974-49B2-9C17-08E16E5C920D}"/>
              </c:ext>
            </c:extLst>
          </c:dPt>
          <c:dPt>
            <c:idx val="1010"/>
            <c:marker>
              <c:spPr>
                <a:solidFill>
                  <a:srgbClr val="8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F2-C974-49B2-9C17-08E16E5C920D}"/>
              </c:ext>
            </c:extLst>
          </c:dPt>
          <c:dPt>
            <c:idx val="1011"/>
            <c:marker>
              <c:spPr>
                <a:solidFill>
                  <a:srgbClr val="8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F3-C974-49B2-9C17-08E16E5C920D}"/>
              </c:ext>
            </c:extLst>
          </c:dPt>
          <c:dPt>
            <c:idx val="1012"/>
            <c:marker>
              <c:spPr>
                <a:solidFill>
                  <a:srgbClr val="8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F4-C974-49B2-9C17-08E16E5C920D}"/>
              </c:ext>
            </c:extLst>
          </c:dPt>
          <c:dPt>
            <c:idx val="1013"/>
            <c:marker>
              <c:spPr>
                <a:solidFill>
                  <a:srgbClr val="8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F5-C974-49B2-9C17-08E16E5C920D}"/>
              </c:ext>
            </c:extLst>
          </c:dPt>
          <c:dPt>
            <c:idx val="1014"/>
            <c:marker>
              <c:spPr>
                <a:solidFill>
                  <a:srgbClr val="8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F6-C974-49B2-9C17-08E16E5C920D}"/>
              </c:ext>
            </c:extLst>
          </c:dPt>
          <c:dPt>
            <c:idx val="1015"/>
            <c:marker>
              <c:spPr>
                <a:solidFill>
                  <a:srgbClr val="8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F7-C974-49B2-9C17-08E16E5C920D}"/>
              </c:ext>
            </c:extLst>
          </c:dPt>
          <c:dPt>
            <c:idx val="1016"/>
            <c:marker>
              <c:spPr>
                <a:solidFill>
                  <a:srgbClr val="8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F8-C974-49B2-9C17-08E16E5C920D}"/>
              </c:ext>
            </c:extLst>
          </c:dPt>
          <c:dPt>
            <c:idx val="1017"/>
            <c:marker>
              <c:spPr>
                <a:solidFill>
                  <a:srgbClr val="8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F9-C974-49B2-9C17-08E16E5C920D}"/>
              </c:ext>
            </c:extLst>
          </c:dPt>
          <c:dPt>
            <c:idx val="1018"/>
            <c:marker>
              <c:spPr>
                <a:solidFill>
                  <a:srgbClr val="8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FA-C974-49B2-9C17-08E16E5C920D}"/>
              </c:ext>
            </c:extLst>
          </c:dPt>
          <c:dPt>
            <c:idx val="1019"/>
            <c:marker>
              <c:spPr>
                <a:solidFill>
                  <a:srgbClr val="8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FB-C974-49B2-9C17-08E16E5C920D}"/>
              </c:ext>
            </c:extLst>
          </c:dPt>
          <c:dPt>
            <c:idx val="1020"/>
            <c:marker>
              <c:spPr>
                <a:solidFill>
                  <a:srgbClr val="8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FC-C974-49B2-9C17-08E16E5C920D}"/>
              </c:ext>
            </c:extLst>
          </c:dPt>
          <c:dPt>
            <c:idx val="1021"/>
            <c:marker>
              <c:spPr>
                <a:solidFill>
                  <a:srgbClr val="8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FD-C974-49B2-9C17-08E16E5C920D}"/>
              </c:ext>
            </c:extLst>
          </c:dPt>
          <c:dPt>
            <c:idx val="1022"/>
            <c:marker>
              <c:spPr>
                <a:solidFill>
                  <a:srgbClr val="8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FE-C974-49B2-9C17-08E16E5C920D}"/>
              </c:ext>
            </c:extLst>
          </c:dPt>
          <c:dPt>
            <c:idx val="1023"/>
            <c:marker>
              <c:spPr>
                <a:solidFill>
                  <a:srgbClr val="8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FF-C974-49B2-9C17-08E16E5C920D}"/>
              </c:ext>
            </c:extLst>
          </c:dPt>
          <c:dPt>
            <c:idx val="1024"/>
            <c:marker>
              <c:spPr>
                <a:solidFill>
                  <a:srgbClr val="8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00-C974-49B2-9C17-08E16E5C920D}"/>
              </c:ext>
            </c:extLst>
          </c:dPt>
          <c:dPt>
            <c:idx val="1025"/>
            <c:marker>
              <c:spPr>
                <a:solidFill>
                  <a:srgbClr val="8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01-C974-49B2-9C17-08E16E5C920D}"/>
              </c:ext>
            </c:extLst>
          </c:dPt>
          <c:dPt>
            <c:idx val="1026"/>
            <c:marker>
              <c:spPr>
                <a:solidFill>
                  <a:srgbClr val="8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02-C974-49B2-9C17-08E16E5C920D}"/>
              </c:ext>
            </c:extLst>
          </c:dPt>
          <c:dPt>
            <c:idx val="1027"/>
            <c:marker>
              <c:spPr>
                <a:solidFill>
                  <a:srgbClr val="8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03-C974-49B2-9C17-08E16E5C920D}"/>
              </c:ext>
            </c:extLst>
          </c:dPt>
          <c:dPt>
            <c:idx val="1028"/>
            <c:marker>
              <c:spPr>
                <a:solidFill>
                  <a:srgbClr val="8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04-C974-49B2-9C17-08E16E5C920D}"/>
              </c:ext>
            </c:extLst>
          </c:dPt>
          <c:dPt>
            <c:idx val="1029"/>
            <c:marker>
              <c:spPr>
                <a:solidFill>
                  <a:srgbClr val="8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05-C974-49B2-9C17-08E16E5C920D}"/>
              </c:ext>
            </c:extLst>
          </c:dPt>
          <c:dPt>
            <c:idx val="1030"/>
            <c:marker>
              <c:spPr>
                <a:solidFill>
                  <a:srgbClr val="8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06-C974-49B2-9C17-08E16E5C920D}"/>
              </c:ext>
            </c:extLst>
          </c:dPt>
          <c:dPt>
            <c:idx val="1031"/>
            <c:marker>
              <c:spPr>
                <a:solidFill>
                  <a:srgbClr val="8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07-C974-49B2-9C17-08E16E5C920D}"/>
              </c:ext>
            </c:extLst>
          </c:dPt>
          <c:dPt>
            <c:idx val="1032"/>
            <c:marker>
              <c:spPr>
                <a:solidFill>
                  <a:srgbClr val="8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08-C974-49B2-9C17-08E16E5C920D}"/>
              </c:ext>
            </c:extLst>
          </c:dPt>
          <c:dPt>
            <c:idx val="1033"/>
            <c:marker>
              <c:spPr>
                <a:solidFill>
                  <a:srgbClr val="8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09-C974-49B2-9C17-08E16E5C920D}"/>
              </c:ext>
            </c:extLst>
          </c:dPt>
          <c:dPt>
            <c:idx val="1034"/>
            <c:marker>
              <c:spPr>
                <a:solidFill>
                  <a:srgbClr val="8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0A-C974-49B2-9C17-08E16E5C920D}"/>
              </c:ext>
            </c:extLst>
          </c:dPt>
          <c:dPt>
            <c:idx val="1035"/>
            <c:marker>
              <c:spPr>
                <a:solidFill>
                  <a:srgbClr val="8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0B-C974-49B2-9C17-08E16E5C920D}"/>
              </c:ext>
            </c:extLst>
          </c:dPt>
          <c:dPt>
            <c:idx val="1036"/>
            <c:marker>
              <c:spPr>
                <a:solidFill>
                  <a:srgbClr val="8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0C-C974-49B2-9C17-08E16E5C920D}"/>
              </c:ext>
            </c:extLst>
          </c:dPt>
          <c:dPt>
            <c:idx val="1037"/>
            <c:marker>
              <c:spPr>
                <a:solidFill>
                  <a:srgbClr val="8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0D-C974-49B2-9C17-08E16E5C920D}"/>
              </c:ext>
            </c:extLst>
          </c:dPt>
          <c:dPt>
            <c:idx val="1038"/>
            <c:marker>
              <c:spPr>
                <a:solidFill>
                  <a:srgbClr val="8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0E-C974-49B2-9C17-08E16E5C920D}"/>
              </c:ext>
            </c:extLst>
          </c:dPt>
          <c:dPt>
            <c:idx val="1039"/>
            <c:marker>
              <c:spPr>
                <a:solidFill>
                  <a:srgbClr val="8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0F-C974-49B2-9C17-08E16E5C920D}"/>
              </c:ext>
            </c:extLst>
          </c:dPt>
          <c:dPt>
            <c:idx val="1040"/>
            <c:marker>
              <c:spPr>
                <a:solidFill>
                  <a:srgbClr val="8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10-C974-49B2-9C17-08E16E5C920D}"/>
              </c:ext>
            </c:extLst>
          </c:dPt>
          <c:dPt>
            <c:idx val="1041"/>
            <c:marker>
              <c:spPr>
                <a:solidFill>
                  <a:srgbClr val="8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11-C974-49B2-9C17-08E16E5C920D}"/>
              </c:ext>
            </c:extLst>
          </c:dPt>
          <c:dPt>
            <c:idx val="1042"/>
            <c:marker>
              <c:spPr>
                <a:solidFill>
                  <a:srgbClr val="8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12-C974-49B2-9C17-08E16E5C920D}"/>
              </c:ext>
            </c:extLst>
          </c:dPt>
          <c:dPt>
            <c:idx val="1043"/>
            <c:marker>
              <c:spPr>
                <a:solidFill>
                  <a:srgbClr val="8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13-C974-49B2-9C17-08E16E5C920D}"/>
              </c:ext>
            </c:extLst>
          </c:dPt>
          <c:dPt>
            <c:idx val="1044"/>
            <c:marker>
              <c:spPr>
                <a:solidFill>
                  <a:srgbClr val="8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14-C974-49B2-9C17-08E16E5C920D}"/>
              </c:ext>
            </c:extLst>
          </c:dPt>
          <c:dPt>
            <c:idx val="1045"/>
            <c:marker>
              <c:spPr>
                <a:solidFill>
                  <a:srgbClr val="8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15-C974-49B2-9C17-08E16E5C920D}"/>
              </c:ext>
            </c:extLst>
          </c:dPt>
          <c:dPt>
            <c:idx val="1046"/>
            <c:marker>
              <c:spPr>
                <a:solidFill>
                  <a:srgbClr val="8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16-C974-49B2-9C17-08E16E5C920D}"/>
              </c:ext>
            </c:extLst>
          </c:dPt>
          <c:dPt>
            <c:idx val="1047"/>
            <c:marker>
              <c:spPr>
                <a:solidFill>
                  <a:srgbClr val="8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17-C974-49B2-9C17-08E16E5C920D}"/>
              </c:ext>
            </c:extLst>
          </c:dPt>
          <c:dPt>
            <c:idx val="1048"/>
            <c:marker>
              <c:spPr>
                <a:solidFill>
                  <a:srgbClr val="8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18-C974-49B2-9C17-08E16E5C920D}"/>
              </c:ext>
            </c:extLst>
          </c:dPt>
          <c:dPt>
            <c:idx val="1049"/>
            <c:marker>
              <c:spPr>
                <a:solidFill>
                  <a:srgbClr val="8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19-C974-49B2-9C17-08E16E5C920D}"/>
              </c:ext>
            </c:extLst>
          </c:dPt>
          <c:dPt>
            <c:idx val="1050"/>
            <c:marker>
              <c:spPr>
                <a:solidFill>
                  <a:srgbClr val="8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1A-C974-49B2-9C17-08E16E5C920D}"/>
              </c:ext>
            </c:extLst>
          </c:dPt>
          <c:dPt>
            <c:idx val="1051"/>
            <c:marker>
              <c:spPr>
                <a:solidFill>
                  <a:srgbClr val="8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1B-C974-49B2-9C17-08E16E5C920D}"/>
              </c:ext>
            </c:extLst>
          </c:dPt>
          <c:dPt>
            <c:idx val="1052"/>
            <c:marker>
              <c:spPr>
                <a:solidFill>
                  <a:srgbClr val="8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1C-C974-49B2-9C17-08E16E5C920D}"/>
              </c:ext>
            </c:extLst>
          </c:dPt>
          <c:dPt>
            <c:idx val="1053"/>
            <c:marker>
              <c:spPr>
                <a:solidFill>
                  <a:srgbClr val="8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1D-C974-49B2-9C17-08E16E5C920D}"/>
              </c:ext>
            </c:extLst>
          </c:dPt>
          <c:dPt>
            <c:idx val="1054"/>
            <c:marker>
              <c:spPr>
                <a:solidFill>
                  <a:srgbClr val="8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1E-C974-49B2-9C17-08E16E5C920D}"/>
              </c:ext>
            </c:extLst>
          </c:dPt>
          <c:dPt>
            <c:idx val="1055"/>
            <c:marker>
              <c:spPr>
                <a:solidFill>
                  <a:srgbClr val="8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1F-C974-49B2-9C17-08E16E5C920D}"/>
              </c:ext>
            </c:extLst>
          </c:dPt>
          <c:dPt>
            <c:idx val="1056"/>
            <c:marker>
              <c:spPr>
                <a:solidFill>
                  <a:srgbClr val="8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20-C974-49B2-9C17-08E16E5C920D}"/>
              </c:ext>
            </c:extLst>
          </c:dPt>
          <c:dPt>
            <c:idx val="1057"/>
            <c:marker>
              <c:spPr>
                <a:solidFill>
                  <a:srgbClr val="8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21-C974-49B2-9C17-08E16E5C920D}"/>
              </c:ext>
            </c:extLst>
          </c:dPt>
          <c:dPt>
            <c:idx val="1058"/>
            <c:marker>
              <c:spPr>
                <a:solidFill>
                  <a:srgbClr val="8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22-C974-49B2-9C17-08E16E5C920D}"/>
              </c:ext>
            </c:extLst>
          </c:dPt>
          <c:dPt>
            <c:idx val="1059"/>
            <c:marker>
              <c:spPr>
                <a:solidFill>
                  <a:srgbClr val="8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23-C974-49B2-9C17-08E16E5C920D}"/>
              </c:ext>
            </c:extLst>
          </c:dPt>
          <c:dPt>
            <c:idx val="1060"/>
            <c:marker>
              <c:spPr>
                <a:solidFill>
                  <a:srgbClr val="8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24-C974-49B2-9C17-08E16E5C920D}"/>
              </c:ext>
            </c:extLst>
          </c:dPt>
          <c:dPt>
            <c:idx val="1061"/>
            <c:marker>
              <c:spPr>
                <a:solidFill>
                  <a:srgbClr val="8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25-C974-49B2-9C17-08E16E5C920D}"/>
              </c:ext>
            </c:extLst>
          </c:dPt>
          <c:dPt>
            <c:idx val="1062"/>
            <c:marker>
              <c:spPr>
                <a:solidFill>
                  <a:srgbClr val="8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26-C974-49B2-9C17-08E16E5C920D}"/>
              </c:ext>
            </c:extLst>
          </c:dPt>
          <c:dPt>
            <c:idx val="1063"/>
            <c:marker>
              <c:spPr>
                <a:solidFill>
                  <a:srgbClr val="8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27-C974-49B2-9C17-08E16E5C920D}"/>
              </c:ext>
            </c:extLst>
          </c:dPt>
          <c:dPt>
            <c:idx val="1064"/>
            <c:marker>
              <c:spPr>
                <a:solidFill>
                  <a:srgbClr val="8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28-C974-49B2-9C17-08E16E5C920D}"/>
              </c:ext>
            </c:extLst>
          </c:dPt>
          <c:dPt>
            <c:idx val="1065"/>
            <c:marker>
              <c:spPr>
                <a:solidFill>
                  <a:srgbClr val="8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29-C974-49B2-9C17-08E16E5C920D}"/>
              </c:ext>
            </c:extLst>
          </c:dPt>
          <c:dPt>
            <c:idx val="1066"/>
            <c:marker>
              <c:spPr>
                <a:solidFill>
                  <a:srgbClr val="8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2A-C974-49B2-9C17-08E16E5C920D}"/>
              </c:ext>
            </c:extLst>
          </c:dPt>
          <c:dPt>
            <c:idx val="1067"/>
            <c:marker>
              <c:spPr>
                <a:solidFill>
                  <a:srgbClr val="8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2B-C974-49B2-9C17-08E16E5C920D}"/>
              </c:ext>
            </c:extLst>
          </c:dPt>
          <c:dPt>
            <c:idx val="1068"/>
            <c:marker>
              <c:spPr>
                <a:solidFill>
                  <a:srgbClr val="8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2C-C974-49B2-9C17-08E16E5C920D}"/>
              </c:ext>
            </c:extLst>
          </c:dPt>
          <c:dPt>
            <c:idx val="1069"/>
            <c:marker>
              <c:spPr>
                <a:solidFill>
                  <a:srgbClr val="8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2D-C974-49B2-9C17-08E16E5C920D}"/>
              </c:ext>
            </c:extLst>
          </c:dPt>
          <c:dPt>
            <c:idx val="1070"/>
            <c:marker>
              <c:spPr>
                <a:solidFill>
                  <a:srgbClr val="8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2E-C974-49B2-9C17-08E16E5C920D}"/>
              </c:ext>
            </c:extLst>
          </c:dPt>
          <c:dPt>
            <c:idx val="1071"/>
            <c:marker>
              <c:spPr>
                <a:solidFill>
                  <a:srgbClr val="8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2F-C974-49B2-9C17-08E16E5C920D}"/>
              </c:ext>
            </c:extLst>
          </c:dPt>
          <c:dPt>
            <c:idx val="1072"/>
            <c:marker>
              <c:spPr>
                <a:solidFill>
                  <a:srgbClr val="8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30-C974-49B2-9C17-08E16E5C920D}"/>
              </c:ext>
            </c:extLst>
          </c:dPt>
          <c:dPt>
            <c:idx val="1073"/>
            <c:marker>
              <c:spPr>
                <a:solidFill>
                  <a:srgbClr val="8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31-C974-49B2-9C17-08E16E5C920D}"/>
              </c:ext>
            </c:extLst>
          </c:dPt>
          <c:dPt>
            <c:idx val="1074"/>
            <c:marker>
              <c:spPr>
                <a:solidFill>
                  <a:srgbClr val="8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32-C974-49B2-9C17-08E16E5C920D}"/>
              </c:ext>
            </c:extLst>
          </c:dPt>
          <c:dPt>
            <c:idx val="1075"/>
            <c:marker>
              <c:spPr>
                <a:solidFill>
                  <a:srgbClr val="8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33-C974-49B2-9C17-08E16E5C920D}"/>
              </c:ext>
            </c:extLst>
          </c:dPt>
          <c:dPt>
            <c:idx val="1076"/>
            <c:marker>
              <c:spPr>
                <a:solidFill>
                  <a:srgbClr val="8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34-C974-49B2-9C17-08E16E5C920D}"/>
              </c:ext>
            </c:extLst>
          </c:dPt>
          <c:dPt>
            <c:idx val="1077"/>
            <c:marker>
              <c:spPr>
                <a:solidFill>
                  <a:srgbClr val="8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35-C974-49B2-9C17-08E16E5C920D}"/>
              </c:ext>
            </c:extLst>
          </c:dPt>
          <c:dPt>
            <c:idx val="1078"/>
            <c:marker>
              <c:spPr>
                <a:solidFill>
                  <a:srgbClr val="8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36-C974-49B2-9C17-08E16E5C920D}"/>
              </c:ext>
            </c:extLst>
          </c:dPt>
          <c:dPt>
            <c:idx val="1079"/>
            <c:marker>
              <c:spPr>
                <a:solidFill>
                  <a:srgbClr val="8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37-C974-49B2-9C17-08E16E5C920D}"/>
              </c:ext>
            </c:extLst>
          </c:dPt>
          <c:dPt>
            <c:idx val="1080"/>
            <c:marker>
              <c:spPr>
                <a:solidFill>
                  <a:srgbClr val="8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38-C974-49B2-9C17-08E16E5C920D}"/>
              </c:ext>
            </c:extLst>
          </c:dPt>
          <c:dPt>
            <c:idx val="1081"/>
            <c:marker>
              <c:spPr>
                <a:solidFill>
                  <a:srgbClr val="8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39-C974-49B2-9C17-08E16E5C920D}"/>
              </c:ext>
            </c:extLst>
          </c:dPt>
          <c:dPt>
            <c:idx val="1082"/>
            <c:marker>
              <c:spPr>
                <a:solidFill>
                  <a:srgbClr val="8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3A-C974-49B2-9C17-08E16E5C920D}"/>
              </c:ext>
            </c:extLst>
          </c:dPt>
          <c:dPt>
            <c:idx val="1083"/>
            <c:marker>
              <c:spPr>
                <a:solidFill>
                  <a:srgbClr val="8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3B-C974-49B2-9C17-08E16E5C920D}"/>
              </c:ext>
            </c:extLst>
          </c:dPt>
          <c:dPt>
            <c:idx val="1084"/>
            <c:marker>
              <c:spPr>
                <a:solidFill>
                  <a:srgbClr val="8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3C-C974-49B2-9C17-08E16E5C920D}"/>
              </c:ext>
            </c:extLst>
          </c:dPt>
          <c:dPt>
            <c:idx val="1085"/>
            <c:marker>
              <c:spPr>
                <a:solidFill>
                  <a:srgbClr val="8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3D-C974-49B2-9C17-08E16E5C920D}"/>
              </c:ext>
            </c:extLst>
          </c:dPt>
          <c:dPt>
            <c:idx val="1086"/>
            <c:marker>
              <c:spPr>
                <a:solidFill>
                  <a:srgbClr val="8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3E-C974-49B2-9C17-08E16E5C920D}"/>
              </c:ext>
            </c:extLst>
          </c:dPt>
          <c:dPt>
            <c:idx val="1087"/>
            <c:marker>
              <c:spPr>
                <a:solidFill>
                  <a:srgbClr val="8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3F-C974-49B2-9C17-08E16E5C920D}"/>
              </c:ext>
            </c:extLst>
          </c:dPt>
          <c:dPt>
            <c:idx val="1088"/>
            <c:marker>
              <c:spPr>
                <a:solidFill>
                  <a:srgbClr val="8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40-C974-49B2-9C17-08E16E5C920D}"/>
              </c:ext>
            </c:extLst>
          </c:dPt>
          <c:dPt>
            <c:idx val="1089"/>
            <c:marker>
              <c:spPr>
                <a:solidFill>
                  <a:srgbClr val="8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41-C974-49B2-9C17-08E16E5C920D}"/>
              </c:ext>
            </c:extLst>
          </c:dPt>
          <c:dPt>
            <c:idx val="1090"/>
            <c:marker>
              <c:spPr>
                <a:solidFill>
                  <a:srgbClr val="8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42-C974-49B2-9C17-08E16E5C920D}"/>
              </c:ext>
            </c:extLst>
          </c:dPt>
          <c:dPt>
            <c:idx val="1091"/>
            <c:marker>
              <c:spPr>
                <a:solidFill>
                  <a:srgbClr val="8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43-C974-49B2-9C17-08E16E5C920D}"/>
              </c:ext>
            </c:extLst>
          </c:dPt>
          <c:dPt>
            <c:idx val="1092"/>
            <c:marker>
              <c:spPr>
                <a:solidFill>
                  <a:srgbClr val="8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44-C974-49B2-9C17-08E16E5C920D}"/>
              </c:ext>
            </c:extLst>
          </c:dPt>
          <c:dPt>
            <c:idx val="1093"/>
            <c:marker>
              <c:spPr>
                <a:solidFill>
                  <a:srgbClr val="8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45-C974-49B2-9C17-08E16E5C920D}"/>
              </c:ext>
            </c:extLst>
          </c:dPt>
          <c:dPt>
            <c:idx val="1094"/>
            <c:marker>
              <c:spPr>
                <a:solidFill>
                  <a:srgbClr val="8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46-C974-49B2-9C17-08E16E5C920D}"/>
              </c:ext>
            </c:extLst>
          </c:dPt>
          <c:dPt>
            <c:idx val="1095"/>
            <c:marker>
              <c:spPr>
                <a:solidFill>
                  <a:srgbClr val="8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47-C974-49B2-9C17-08E16E5C920D}"/>
              </c:ext>
            </c:extLst>
          </c:dPt>
          <c:dPt>
            <c:idx val="1096"/>
            <c:marker>
              <c:spPr>
                <a:solidFill>
                  <a:srgbClr val="8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48-C974-49B2-9C17-08E16E5C920D}"/>
              </c:ext>
            </c:extLst>
          </c:dPt>
          <c:dPt>
            <c:idx val="1097"/>
            <c:marker>
              <c:spPr>
                <a:solidFill>
                  <a:srgbClr val="8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49-C974-49B2-9C17-08E16E5C920D}"/>
              </c:ext>
            </c:extLst>
          </c:dPt>
          <c:dPt>
            <c:idx val="1098"/>
            <c:marker>
              <c:spPr>
                <a:solidFill>
                  <a:srgbClr val="8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4A-C974-49B2-9C17-08E16E5C920D}"/>
              </c:ext>
            </c:extLst>
          </c:dPt>
          <c:dPt>
            <c:idx val="1099"/>
            <c:marker>
              <c:spPr>
                <a:solidFill>
                  <a:srgbClr val="8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4B-C974-49B2-9C17-08E16E5C920D}"/>
              </c:ext>
            </c:extLst>
          </c:dPt>
          <c:dPt>
            <c:idx val="1100"/>
            <c:marker>
              <c:spPr>
                <a:solidFill>
                  <a:srgbClr val="8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4C-C974-49B2-9C17-08E16E5C920D}"/>
              </c:ext>
            </c:extLst>
          </c:dPt>
          <c:dPt>
            <c:idx val="1101"/>
            <c:marker>
              <c:spPr>
                <a:solidFill>
                  <a:srgbClr val="8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4D-C974-49B2-9C17-08E16E5C920D}"/>
              </c:ext>
            </c:extLst>
          </c:dPt>
          <c:dPt>
            <c:idx val="1102"/>
            <c:marker>
              <c:spPr>
                <a:solidFill>
                  <a:srgbClr val="8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4E-C974-49B2-9C17-08E16E5C920D}"/>
              </c:ext>
            </c:extLst>
          </c:dPt>
          <c:dPt>
            <c:idx val="1103"/>
            <c:marker>
              <c:spPr>
                <a:solidFill>
                  <a:srgbClr val="8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4F-C974-49B2-9C17-08E16E5C920D}"/>
              </c:ext>
            </c:extLst>
          </c:dPt>
          <c:dPt>
            <c:idx val="1104"/>
            <c:marker>
              <c:spPr>
                <a:solidFill>
                  <a:srgbClr val="8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50-C974-49B2-9C17-08E16E5C920D}"/>
              </c:ext>
            </c:extLst>
          </c:dPt>
          <c:dPt>
            <c:idx val="1105"/>
            <c:marker>
              <c:spPr>
                <a:solidFill>
                  <a:srgbClr val="8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51-C974-49B2-9C17-08E16E5C920D}"/>
              </c:ext>
            </c:extLst>
          </c:dPt>
          <c:dPt>
            <c:idx val="1106"/>
            <c:marker>
              <c:spPr>
                <a:solidFill>
                  <a:srgbClr val="8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52-C974-49B2-9C17-08E16E5C920D}"/>
              </c:ext>
            </c:extLst>
          </c:dPt>
          <c:dPt>
            <c:idx val="1107"/>
            <c:marker>
              <c:spPr>
                <a:solidFill>
                  <a:srgbClr val="8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53-C974-49B2-9C17-08E16E5C920D}"/>
              </c:ext>
            </c:extLst>
          </c:dPt>
          <c:dPt>
            <c:idx val="1108"/>
            <c:marker>
              <c:spPr>
                <a:solidFill>
                  <a:srgbClr val="8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54-C974-49B2-9C17-08E16E5C920D}"/>
              </c:ext>
            </c:extLst>
          </c:dPt>
          <c:dPt>
            <c:idx val="1109"/>
            <c:marker>
              <c:spPr>
                <a:solidFill>
                  <a:srgbClr val="8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55-C974-49B2-9C17-08E16E5C920D}"/>
              </c:ext>
            </c:extLst>
          </c:dPt>
          <c:dPt>
            <c:idx val="1110"/>
            <c:marker>
              <c:spPr>
                <a:solidFill>
                  <a:srgbClr val="8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56-C974-49B2-9C17-08E16E5C920D}"/>
              </c:ext>
            </c:extLst>
          </c:dPt>
          <c:dPt>
            <c:idx val="1111"/>
            <c:marker>
              <c:spPr>
                <a:solidFill>
                  <a:srgbClr val="8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57-C974-49B2-9C17-08E16E5C920D}"/>
              </c:ext>
            </c:extLst>
          </c:dPt>
          <c:dPt>
            <c:idx val="1112"/>
            <c:marker>
              <c:spPr>
                <a:solidFill>
                  <a:srgbClr val="8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58-C974-49B2-9C17-08E16E5C920D}"/>
              </c:ext>
            </c:extLst>
          </c:dPt>
          <c:dPt>
            <c:idx val="1113"/>
            <c:marker>
              <c:spPr>
                <a:solidFill>
                  <a:srgbClr val="8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59-C974-49B2-9C17-08E16E5C920D}"/>
              </c:ext>
            </c:extLst>
          </c:dPt>
          <c:dPt>
            <c:idx val="1114"/>
            <c:marker>
              <c:spPr>
                <a:solidFill>
                  <a:srgbClr val="8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5A-C974-49B2-9C17-08E16E5C920D}"/>
              </c:ext>
            </c:extLst>
          </c:dPt>
          <c:dPt>
            <c:idx val="1115"/>
            <c:marker>
              <c:spPr>
                <a:solidFill>
                  <a:srgbClr val="8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5B-C974-49B2-9C17-08E16E5C920D}"/>
              </c:ext>
            </c:extLst>
          </c:dPt>
          <c:dPt>
            <c:idx val="1116"/>
            <c:marker>
              <c:spPr>
                <a:solidFill>
                  <a:srgbClr val="8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5C-C974-49B2-9C17-08E16E5C920D}"/>
              </c:ext>
            </c:extLst>
          </c:dPt>
          <c:dPt>
            <c:idx val="1117"/>
            <c:marker>
              <c:spPr>
                <a:solidFill>
                  <a:srgbClr val="8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5D-C974-49B2-9C17-08E16E5C920D}"/>
              </c:ext>
            </c:extLst>
          </c:dPt>
          <c:dPt>
            <c:idx val="1118"/>
            <c:marker>
              <c:spPr>
                <a:solidFill>
                  <a:srgbClr val="8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5E-C974-49B2-9C17-08E16E5C920D}"/>
              </c:ext>
            </c:extLst>
          </c:dPt>
          <c:dPt>
            <c:idx val="1119"/>
            <c:marker>
              <c:spPr>
                <a:solidFill>
                  <a:srgbClr val="8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5F-C974-49B2-9C17-08E16E5C920D}"/>
              </c:ext>
            </c:extLst>
          </c:dPt>
          <c:dPt>
            <c:idx val="1120"/>
            <c:marker>
              <c:spPr>
                <a:solidFill>
                  <a:srgbClr val="8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60-C974-49B2-9C17-08E16E5C920D}"/>
              </c:ext>
            </c:extLst>
          </c:dPt>
          <c:dPt>
            <c:idx val="1121"/>
            <c:marker>
              <c:spPr>
                <a:solidFill>
                  <a:srgbClr val="8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61-C974-49B2-9C17-08E16E5C920D}"/>
              </c:ext>
            </c:extLst>
          </c:dPt>
          <c:dPt>
            <c:idx val="1122"/>
            <c:marker>
              <c:spPr>
                <a:solidFill>
                  <a:srgbClr val="8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62-C974-49B2-9C17-08E16E5C920D}"/>
              </c:ext>
            </c:extLst>
          </c:dPt>
          <c:dPt>
            <c:idx val="1123"/>
            <c:marker>
              <c:spPr>
                <a:solidFill>
                  <a:srgbClr val="8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63-C974-49B2-9C17-08E16E5C920D}"/>
              </c:ext>
            </c:extLst>
          </c:dPt>
          <c:dPt>
            <c:idx val="1124"/>
            <c:marker>
              <c:spPr>
                <a:solidFill>
                  <a:srgbClr val="8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64-C974-49B2-9C17-08E16E5C920D}"/>
              </c:ext>
            </c:extLst>
          </c:dPt>
          <c:dPt>
            <c:idx val="1125"/>
            <c:marker>
              <c:spPr>
                <a:solidFill>
                  <a:srgbClr val="8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65-C974-49B2-9C17-08E16E5C920D}"/>
              </c:ext>
            </c:extLst>
          </c:dPt>
          <c:dPt>
            <c:idx val="1126"/>
            <c:marker>
              <c:spPr>
                <a:solidFill>
                  <a:srgbClr val="8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66-C974-49B2-9C17-08E16E5C920D}"/>
              </c:ext>
            </c:extLst>
          </c:dPt>
          <c:dPt>
            <c:idx val="1127"/>
            <c:marker>
              <c:spPr>
                <a:solidFill>
                  <a:srgbClr val="8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67-C974-49B2-9C17-08E16E5C920D}"/>
              </c:ext>
            </c:extLst>
          </c:dPt>
          <c:dPt>
            <c:idx val="1128"/>
            <c:marker>
              <c:spPr>
                <a:solidFill>
                  <a:srgbClr val="8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68-C974-49B2-9C17-08E16E5C920D}"/>
              </c:ext>
            </c:extLst>
          </c:dPt>
          <c:dPt>
            <c:idx val="1129"/>
            <c:marker>
              <c:spPr>
                <a:solidFill>
                  <a:srgbClr val="8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69-C974-49B2-9C17-08E16E5C920D}"/>
              </c:ext>
            </c:extLst>
          </c:dPt>
          <c:dPt>
            <c:idx val="1130"/>
            <c:marker>
              <c:spPr>
                <a:solidFill>
                  <a:srgbClr val="8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6A-C974-49B2-9C17-08E16E5C920D}"/>
              </c:ext>
            </c:extLst>
          </c:dPt>
          <c:dPt>
            <c:idx val="1131"/>
            <c:marker>
              <c:spPr>
                <a:solidFill>
                  <a:srgbClr val="8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6B-C974-49B2-9C17-08E16E5C920D}"/>
              </c:ext>
            </c:extLst>
          </c:dPt>
          <c:dPt>
            <c:idx val="1132"/>
            <c:marker>
              <c:spPr>
                <a:solidFill>
                  <a:srgbClr val="8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6C-C974-49B2-9C17-08E16E5C920D}"/>
              </c:ext>
            </c:extLst>
          </c:dPt>
          <c:dPt>
            <c:idx val="1133"/>
            <c:marker>
              <c:spPr>
                <a:solidFill>
                  <a:srgbClr val="8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6D-C974-49B2-9C17-08E16E5C920D}"/>
              </c:ext>
            </c:extLst>
          </c:dPt>
          <c:dPt>
            <c:idx val="1134"/>
            <c:marker>
              <c:spPr>
                <a:solidFill>
                  <a:srgbClr val="8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6E-C974-49B2-9C17-08E16E5C920D}"/>
              </c:ext>
            </c:extLst>
          </c:dPt>
          <c:dPt>
            <c:idx val="1135"/>
            <c:marker>
              <c:spPr>
                <a:solidFill>
                  <a:srgbClr val="8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6F-C974-49B2-9C17-08E16E5C920D}"/>
              </c:ext>
            </c:extLst>
          </c:dPt>
          <c:dPt>
            <c:idx val="1136"/>
            <c:marker>
              <c:spPr>
                <a:solidFill>
                  <a:srgbClr val="8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70-C974-49B2-9C17-08E16E5C920D}"/>
              </c:ext>
            </c:extLst>
          </c:dPt>
          <c:dPt>
            <c:idx val="1137"/>
            <c:marker>
              <c:spPr>
                <a:solidFill>
                  <a:srgbClr val="8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71-C974-49B2-9C17-08E16E5C920D}"/>
              </c:ext>
            </c:extLst>
          </c:dPt>
          <c:dPt>
            <c:idx val="1138"/>
            <c:marker>
              <c:spPr>
                <a:solidFill>
                  <a:srgbClr val="8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72-C974-49B2-9C17-08E16E5C920D}"/>
              </c:ext>
            </c:extLst>
          </c:dPt>
          <c:dPt>
            <c:idx val="1139"/>
            <c:marker>
              <c:spPr>
                <a:solidFill>
                  <a:srgbClr val="8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73-C974-49B2-9C17-08E16E5C920D}"/>
              </c:ext>
            </c:extLst>
          </c:dPt>
          <c:dPt>
            <c:idx val="1140"/>
            <c:marker>
              <c:spPr>
                <a:solidFill>
                  <a:srgbClr val="8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74-C974-49B2-9C17-08E16E5C920D}"/>
              </c:ext>
            </c:extLst>
          </c:dPt>
          <c:dPt>
            <c:idx val="1141"/>
            <c:marker>
              <c:spPr>
                <a:solidFill>
                  <a:srgbClr val="7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75-C974-49B2-9C17-08E16E5C920D}"/>
              </c:ext>
            </c:extLst>
          </c:dPt>
          <c:dPt>
            <c:idx val="1142"/>
            <c:marker>
              <c:spPr>
                <a:solidFill>
                  <a:srgbClr val="7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76-C974-49B2-9C17-08E16E5C920D}"/>
              </c:ext>
            </c:extLst>
          </c:dPt>
          <c:dPt>
            <c:idx val="1143"/>
            <c:marker>
              <c:spPr>
                <a:solidFill>
                  <a:srgbClr val="7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77-C974-49B2-9C17-08E16E5C920D}"/>
              </c:ext>
            </c:extLst>
          </c:dPt>
          <c:dPt>
            <c:idx val="1144"/>
            <c:marker>
              <c:spPr>
                <a:solidFill>
                  <a:srgbClr val="7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78-C974-49B2-9C17-08E16E5C920D}"/>
              </c:ext>
            </c:extLst>
          </c:dPt>
          <c:dPt>
            <c:idx val="1145"/>
            <c:marker>
              <c:spPr>
                <a:solidFill>
                  <a:srgbClr val="7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79-C974-49B2-9C17-08E16E5C920D}"/>
              </c:ext>
            </c:extLst>
          </c:dPt>
          <c:dPt>
            <c:idx val="1146"/>
            <c:marker>
              <c:spPr>
                <a:solidFill>
                  <a:srgbClr val="7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7A-C974-49B2-9C17-08E16E5C920D}"/>
              </c:ext>
            </c:extLst>
          </c:dPt>
          <c:dPt>
            <c:idx val="1147"/>
            <c:marker>
              <c:spPr>
                <a:solidFill>
                  <a:srgbClr val="7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7B-C974-49B2-9C17-08E16E5C920D}"/>
              </c:ext>
            </c:extLst>
          </c:dPt>
          <c:dPt>
            <c:idx val="1148"/>
            <c:marker>
              <c:spPr>
                <a:solidFill>
                  <a:srgbClr val="7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7C-C974-49B2-9C17-08E16E5C920D}"/>
              </c:ext>
            </c:extLst>
          </c:dPt>
          <c:dPt>
            <c:idx val="1149"/>
            <c:marker>
              <c:spPr>
                <a:solidFill>
                  <a:srgbClr val="7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7D-C974-49B2-9C17-08E16E5C920D}"/>
              </c:ext>
            </c:extLst>
          </c:dPt>
          <c:dPt>
            <c:idx val="1150"/>
            <c:marker>
              <c:spPr>
                <a:solidFill>
                  <a:srgbClr val="7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7E-C974-49B2-9C17-08E16E5C920D}"/>
              </c:ext>
            </c:extLst>
          </c:dPt>
          <c:dPt>
            <c:idx val="1151"/>
            <c:marker>
              <c:spPr>
                <a:solidFill>
                  <a:srgbClr val="7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7F-C974-49B2-9C17-08E16E5C920D}"/>
              </c:ext>
            </c:extLst>
          </c:dPt>
          <c:dPt>
            <c:idx val="1152"/>
            <c:marker>
              <c:spPr>
                <a:solidFill>
                  <a:srgbClr val="7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80-C974-49B2-9C17-08E16E5C920D}"/>
              </c:ext>
            </c:extLst>
          </c:dPt>
          <c:dPt>
            <c:idx val="1153"/>
            <c:marker>
              <c:spPr>
                <a:solidFill>
                  <a:srgbClr val="7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81-C974-49B2-9C17-08E16E5C920D}"/>
              </c:ext>
            </c:extLst>
          </c:dPt>
          <c:dPt>
            <c:idx val="1154"/>
            <c:marker>
              <c:spPr>
                <a:solidFill>
                  <a:srgbClr val="7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82-C974-49B2-9C17-08E16E5C920D}"/>
              </c:ext>
            </c:extLst>
          </c:dPt>
          <c:dPt>
            <c:idx val="1155"/>
            <c:marker>
              <c:spPr>
                <a:solidFill>
                  <a:srgbClr val="7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83-C974-49B2-9C17-08E16E5C920D}"/>
              </c:ext>
            </c:extLst>
          </c:dPt>
          <c:dPt>
            <c:idx val="1156"/>
            <c:marker>
              <c:spPr>
                <a:solidFill>
                  <a:srgbClr val="7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84-C974-49B2-9C17-08E16E5C920D}"/>
              </c:ext>
            </c:extLst>
          </c:dPt>
          <c:dPt>
            <c:idx val="1157"/>
            <c:marker>
              <c:spPr>
                <a:solidFill>
                  <a:srgbClr val="7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85-C974-49B2-9C17-08E16E5C920D}"/>
              </c:ext>
            </c:extLst>
          </c:dPt>
          <c:dPt>
            <c:idx val="1158"/>
            <c:marker>
              <c:spPr>
                <a:solidFill>
                  <a:srgbClr val="7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86-C974-49B2-9C17-08E16E5C920D}"/>
              </c:ext>
            </c:extLst>
          </c:dPt>
          <c:dPt>
            <c:idx val="1159"/>
            <c:marker>
              <c:spPr>
                <a:solidFill>
                  <a:srgbClr val="7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87-C974-49B2-9C17-08E16E5C920D}"/>
              </c:ext>
            </c:extLst>
          </c:dPt>
          <c:dPt>
            <c:idx val="1160"/>
            <c:marker>
              <c:spPr>
                <a:solidFill>
                  <a:srgbClr val="7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88-C974-49B2-9C17-08E16E5C920D}"/>
              </c:ext>
            </c:extLst>
          </c:dPt>
          <c:dPt>
            <c:idx val="1161"/>
            <c:marker>
              <c:spPr>
                <a:solidFill>
                  <a:srgbClr val="7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89-C974-49B2-9C17-08E16E5C920D}"/>
              </c:ext>
            </c:extLst>
          </c:dPt>
          <c:dPt>
            <c:idx val="1162"/>
            <c:marker>
              <c:spPr>
                <a:solidFill>
                  <a:srgbClr val="7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8A-C974-49B2-9C17-08E16E5C920D}"/>
              </c:ext>
            </c:extLst>
          </c:dPt>
          <c:dPt>
            <c:idx val="1163"/>
            <c:marker>
              <c:spPr>
                <a:solidFill>
                  <a:srgbClr val="7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8B-C974-49B2-9C17-08E16E5C920D}"/>
              </c:ext>
            </c:extLst>
          </c:dPt>
          <c:dPt>
            <c:idx val="1164"/>
            <c:marker>
              <c:spPr>
                <a:solidFill>
                  <a:srgbClr val="7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8C-C974-49B2-9C17-08E16E5C920D}"/>
              </c:ext>
            </c:extLst>
          </c:dPt>
          <c:dPt>
            <c:idx val="1165"/>
            <c:marker>
              <c:spPr>
                <a:solidFill>
                  <a:srgbClr val="7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8D-C974-49B2-9C17-08E16E5C920D}"/>
              </c:ext>
            </c:extLst>
          </c:dPt>
          <c:dPt>
            <c:idx val="1166"/>
            <c:marker>
              <c:spPr>
                <a:solidFill>
                  <a:srgbClr val="7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8E-C974-49B2-9C17-08E16E5C920D}"/>
              </c:ext>
            </c:extLst>
          </c:dPt>
          <c:dPt>
            <c:idx val="1167"/>
            <c:marker>
              <c:spPr>
                <a:solidFill>
                  <a:srgbClr val="7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8F-C974-49B2-9C17-08E16E5C920D}"/>
              </c:ext>
            </c:extLst>
          </c:dPt>
          <c:dPt>
            <c:idx val="1168"/>
            <c:marker>
              <c:spPr>
                <a:solidFill>
                  <a:srgbClr val="7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90-C974-49B2-9C17-08E16E5C920D}"/>
              </c:ext>
            </c:extLst>
          </c:dPt>
          <c:dPt>
            <c:idx val="1169"/>
            <c:marker>
              <c:spPr>
                <a:solidFill>
                  <a:srgbClr val="7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91-C974-49B2-9C17-08E16E5C920D}"/>
              </c:ext>
            </c:extLst>
          </c:dPt>
          <c:dPt>
            <c:idx val="1170"/>
            <c:marker>
              <c:spPr>
                <a:solidFill>
                  <a:srgbClr val="7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92-C974-49B2-9C17-08E16E5C920D}"/>
              </c:ext>
            </c:extLst>
          </c:dPt>
          <c:dPt>
            <c:idx val="1171"/>
            <c:marker>
              <c:spPr>
                <a:solidFill>
                  <a:srgbClr val="7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93-C974-49B2-9C17-08E16E5C920D}"/>
              </c:ext>
            </c:extLst>
          </c:dPt>
          <c:dPt>
            <c:idx val="1172"/>
            <c:marker>
              <c:spPr>
                <a:solidFill>
                  <a:srgbClr val="7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94-C974-49B2-9C17-08E16E5C920D}"/>
              </c:ext>
            </c:extLst>
          </c:dPt>
          <c:dPt>
            <c:idx val="1173"/>
            <c:marker>
              <c:spPr>
                <a:solidFill>
                  <a:srgbClr val="7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95-C974-49B2-9C17-08E16E5C920D}"/>
              </c:ext>
            </c:extLst>
          </c:dPt>
          <c:dPt>
            <c:idx val="1174"/>
            <c:marker>
              <c:spPr>
                <a:solidFill>
                  <a:srgbClr val="7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96-C974-49B2-9C17-08E16E5C920D}"/>
              </c:ext>
            </c:extLst>
          </c:dPt>
          <c:dPt>
            <c:idx val="1175"/>
            <c:marker>
              <c:spPr>
                <a:solidFill>
                  <a:srgbClr val="7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97-C974-49B2-9C17-08E16E5C920D}"/>
              </c:ext>
            </c:extLst>
          </c:dPt>
          <c:dPt>
            <c:idx val="1176"/>
            <c:marker>
              <c:spPr>
                <a:solidFill>
                  <a:srgbClr val="7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98-C974-49B2-9C17-08E16E5C920D}"/>
              </c:ext>
            </c:extLst>
          </c:dPt>
          <c:dPt>
            <c:idx val="1177"/>
            <c:marker>
              <c:spPr>
                <a:solidFill>
                  <a:srgbClr val="7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99-C974-49B2-9C17-08E16E5C920D}"/>
              </c:ext>
            </c:extLst>
          </c:dPt>
          <c:dPt>
            <c:idx val="1178"/>
            <c:marker>
              <c:spPr>
                <a:solidFill>
                  <a:srgbClr val="7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9A-C974-49B2-9C17-08E16E5C920D}"/>
              </c:ext>
            </c:extLst>
          </c:dPt>
          <c:dPt>
            <c:idx val="1179"/>
            <c:marker>
              <c:spPr>
                <a:solidFill>
                  <a:srgbClr val="7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9B-C974-49B2-9C17-08E16E5C920D}"/>
              </c:ext>
            </c:extLst>
          </c:dPt>
          <c:dPt>
            <c:idx val="1180"/>
            <c:marker>
              <c:spPr>
                <a:solidFill>
                  <a:srgbClr val="7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9C-C974-49B2-9C17-08E16E5C920D}"/>
              </c:ext>
            </c:extLst>
          </c:dPt>
          <c:dPt>
            <c:idx val="1181"/>
            <c:marker>
              <c:spPr>
                <a:solidFill>
                  <a:srgbClr val="7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9D-C974-49B2-9C17-08E16E5C920D}"/>
              </c:ext>
            </c:extLst>
          </c:dPt>
          <c:dPt>
            <c:idx val="1182"/>
            <c:marker>
              <c:spPr>
                <a:solidFill>
                  <a:srgbClr val="7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9E-C974-49B2-9C17-08E16E5C920D}"/>
              </c:ext>
            </c:extLst>
          </c:dPt>
          <c:dPt>
            <c:idx val="1183"/>
            <c:marker>
              <c:spPr>
                <a:solidFill>
                  <a:srgbClr val="7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9F-C974-49B2-9C17-08E16E5C920D}"/>
              </c:ext>
            </c:extLst>
          </c:dPt>
          <c:dPt>
            <c:idx val="1184"/>
            <c:marker>
              <c:spPr>
                <a:solidFill>
                  <a:srgbClr val="7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A0-C974-49B2-9C17-08E16E5C920D}"/>
              </c:ext>
            </c:extLst>
          </c:dPt>
          <c:dPt>
            <c:idx val="1185"/>
            <c:marker>
              <c:spPr>
                <a:solidFill>
                  <a:srgbClr val="7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A1-C974-49B2-9C17-08E16E5C920D}"/>
              </c:ext>
            </c:extLst>
          </c:dPt>
          <c:dPt>
            <c:idx val="1186"/>
            <c:marker>
              <c:spPr>
                <a:solidFill>
                  <a:srgbClr val="7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A2-C974-49B2-9C17-08E16E5C920D}"/>
              </c:ext>
            </c:extLst>
          </c:dPt>
          <c:dPt>
            <c:idx val="1187"/>
            <c:marker>
              <c:spPr>
                <a:solidFill>
                  <a:srgbClr val="7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A3-C974-49B2-9C17-08E16E5C920D}"/>
              </c:ext>
            </c:extLst>
          </c:dPt>
          <c:dPt>
            <c:idx val="1188"/>
            <c:marker>
              <c:spPr>
                <a:solidFill>
                  <a:srgbClr val="7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A4-C974-49B2-9C17-08E16E5C920D}"/>
              </c:ext>
            </c:extLst>
          </c:dPt>
          <c:dPt>
            <c:idx val="1189"/>
            <c:marker>
              <c:spPr>
                <a:solidFill>
                  <a:srgbClr val="7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A5-C974-49B2-9C17-08E16E5C920D}"/>
              </c:ext>
            </c:extLst>
          </c:dPt>
          <c:dPt>
            <c:idx val="1190"/>
            <c:marker>
              <c:spPr>
                <a:solidFill>
                  <a:srgbClr val="7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A6-C974-49B2-9C17-08E16E5C920D}"/>
              </c:ext>
            </c:extLst>
          </c:dPt>
          <c:dPt>
            <c:idx val="1191"/>
            <c:marker>
              <c:spPr>
                <a:solidFill>
                  <a:srgbClr val="7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A7-C974-49B2-9C17-08E16E5C920D}"/>
              </c:ext>
            </c:extLst>
          </c:dPt>
          <c:dPt>
            <c:idx val="1192"/>
            <c:marker>
              <c:spPr>
                <a:solidFill>
                  <a:srgbClr val="7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A8-C974-49B2-9C17-08E16E5C920D}"/>
              </c:ext>
            </c:extLst>
          </c:dPt>
          <c:dPt>
            <c:idx val="1193"/>
            <c:marker>
              <c:spPr>
                <a:solidFill>
                  <a:srgbClr val="7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A9-C974-49B2-9C17-08E16E5C920D}"/>
              </c:ext>
            </c:extLst>
          </c:dPt>
          <c:dPt>
            <c:idx val="1194"/>
            <c:marker>
              <c:spPr>
                <a:solidFill>
                  <a:srgbClr val="7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AA-C974-49B2-9C17-08E16E5C920D}"/>
              </c:ext>
            </c:extLst>
          </c:dPt>
          <c:dPt>
            <c:idx val="1195"/>
            <c:marker>
              <c:spPr>
                <a:solidFill>
                  <a:srgbClr val="7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AB-C974-49B2-9C17-08E16E5C920D}"/>
              </c:ext>
            </c:extLst>
          </c:dPt>
          <c:dPt>
            <c:idx val="1196"/>
            <c:marker>
              <c:spPr>
                <a:solidFill>
                  <a:srgbClr val="7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AC-C974-49B2-9C17-08E16E5C920D}"/>
              </c:ext>
            </c:extLst>
          </c:dPt>
          <c:dPt>
            <c:idx val="1197"/>
            <c:marker>
              <c:spPr>
                <a:solidFill>
                  <a:srgbClr val="7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AD-C974-49B2-9C17-08E16E5C920D}"/>
              </c:ext>
            </c:extLst>
          </c:dPt>
          <c:dPt>
            <c:idx val="1198"/>
            <c:marker>
              <c:spPr>
                <a:solidFill>
                  <a:srgbClr val="7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AE-C974-49B2-9C17-08E16E5C920D}"/>
              </c:ext>
            </c:extLst>
          </c:dPt>
          <c:dPt>
            <c:idx val="1199"/>
            <c:marker>
              <c:spPr>
                <a:solidFill>
                  <a:srgbClr val="7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AF-C974-49B2-9C17-08E16E5C920D}"/>
              </c:ext>
            </c:extLst>
          </c:dPt>
          <c:dPt>
            <c:idx val="1200"/>
            <c:marker>
              <c:spPr>
                <a:solidFill>
                  <a:srgbClr val="7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B0-C974-49B2-9C17-08E16E5C920D}"/>
              </c:ext>
            </c:extLst>
          </c:dPt>
          <c:dPt>
            <c:idx val="1201"/>
            <c:marker>
              <c:spPr>
                <a:solidFill>
                  <a:srgbClr val="7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B1-C974-49B2-9C17-08E16E5C920D}"/>
              </c:ext>
            </c:extLst>
          </c:dPt>
          <c:dPt>
            <c:idx val="1202"/>
            <c:marker>
              <c:spPr>
                <a:solidFill>
                  <a:srgbClr val="7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B2-C974-49B2-9C17-08E16E5C920D}"/>
              </c:ext>
            </c:extLst>
          </c:dPt>
          <c:dPt>
            <c:idx val="1203"/>
            <c:marker>
              <c:spPr>
                <a:solidFill>
                  <a:srgbClr val="7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B3-C974-49B2-9C17-08E16E5C920D}"/>
              </c:ext>
            </c:extLst>
          </c:dPt>
          <c:dPt>
            <c:idx val="1204"/>
            <c:marker>
              <c:spPr>
                <a:solidFill>
                  <a:srgbClr val="7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B4-C974-49B2-9C17-08E16E5C920D}"/>
              </c:ext>
            </c:extLst>
          </c:dPt>
          <c:dPt>
            <c:idx val="1205"/>
            <c:marker>
              <c:spPr>
                <a:solidFill>
                  <a:srgbClr val="7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B5-C974-49B2-9C17-08E16E5C920D}"/>
              </c:ext>
            </c:extLst>
          </c:dPt>
          <c:dPt>
            <c:idx val="1206"/>
            <c:marker>
              <c:spPr>
                <a:solidFill>
                  <a:srgbClr val="7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B6-C974-49B2-9C17-08E16E5C920D}"/>
              </c:ext>
            </c:extLst>
          </c:dPt>
          <c:dPt>
            <c:idx val="1207"/>
            <c:marker>
              <c:spPr>
                <a:solidFill>
                  <a:srgbClr val="7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B7-C974-49B2-9C17-08E16E5C920D}"/>
              </c:ext>
            </c:extLst>
          </c:dPt>
          <c:dPt>
            <c:idx val="1208"/>
            <c:marker>
              <c:spPr>
                <a:solidFill>
                  <a:srgbClr val="7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B8-C974-49B2-9C17-08E16E5C920D}"/>
              </c:ext>
            </c:extLst>
          </c:dPt>
          <c:dPt>
            <c:idx val="1209"/>
            <c:marker>
              <c:spPr>
                <a:solidFill>
                  <a:srgbClr val="7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B9-C974-49B2-9C17-08E16E5C920D}"/>
              </c:ext>
            </c:extLst>
          </c:dPt>
          <c:dPt>
            <c:idx val="1210"/>
            <c:marker>
              <c:spPr>
                <a:solidFill>
                  <a:srgbClr val="7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BA-C974-49B2-9C17-08E16E5C920D}"/>
              </c:ext>
            </c:extLst>
          </c:dPt>
          <c:dPt>
            <c:idx val="1211"/>
            <c:marker>
              <c:spPr>
                <a:solidFill>
                  <a:srgbClr val="7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BB-C974-49B2-9C17-08E16E5C920D}"/>
              </c:ext>
            </c:extLst>
          </c:dPt>
          <c:dPt>
            <c:idx val="1212"/>
            <c:marker>
              <c:spPr>
                <a:solidFill>
                  <a:srgbClr val="7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BC-C974-49B2-9C17-08E16E5C920D}"/>
              </c:ext>
            </c:extLst>
          </c:dPt>
          <c:dPt>
            <c:idx val="1213"/>
            <c:marker>
              <c:spPr>
                <a:solidFill>
                  <a:srgbClr val="7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BD-C974-49B2-9C17-08E16E5C920D}"/>
              </c:ext>
            </c:extLst>
          </c:dPt>
          <c:dPt>
            <c:idx val="1214"/>
            <c:marker>
              <c:spPr>
                <a:solidFill>
                  <a:srgbClr val="7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BE-C974-49B2-9C17-08E16E5C920D}"/>
              </c:ext>
            </c:extLst>
          </c:dPt>
          <c:dPt>
            <c:idx val="1215"/>
            <c:marker>
              <c:spPr>
                <a:solidFill>
                  <a:srgbClr val="7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BF-C974-49B2-9C17-08E16E5C920D}"/>
              </c:ext>
            </c:extLst>
          </c:dPt>
          <c:dPt>
            <c:idx val="1216"/>
            <c:marker>
              <c:spPr>
                <a:solidFill>
                  <a:srgbClr val="7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C0-C974-49B2-9C17-08E16E5C920D}"/>
              </c:ext>
            </c:extLst>
          </c:dPt>
          <c:dPt>
            <c:idx val="1217"/>
            <c:marker>
              <c:spPr>
                <a:solidFill>
                  <a:srgbClr val="7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C1-C974-49B2-9C17-08E16E5C920D}"/>
              </c:ext>
            </c:extLst>
          </c:dPt>
          <c:dPt>
            <c:idx val="1218"/>
            <c:marker>
              <c:spPr>
                <a:solidFill>
                  <a:srgbClr val="7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C2-C974-49B2-9C17-08E16E5C920D}"/>
              </c:ext>
            </c:extLst>
          </c:dPt>
          <c:dPt>
            <c:idx val="1219"/>
            <c:marker>
              <c:spPr>
                <a:solidFill>
                  <a:srgbClr val="7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C3-C974-49B2-9C17-08E16E5C920D}"/>
              </c:ext>
            </c:extLst>
          </c:dPt>
          <c:dPt>
            <c:idx val="1220"/>
            <c:marker>
              <c:spPr>
                <a:solidFill>
                  <a:srgbClr val="7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C4-C974-49B2-9C17-08E16E5C920D}"/>
              </c:ext>
            </c:extLst>
          </c:dPt>
          <c:dPt>
            <c:idx val="1221"/>
            <c:marker>
              <c:spPr>
                <a:solidFill>
                  <a:srgbClr val="7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C5-C974-49B2-9C17-08E16E5C920D}"/>
              </c:ext>
            </c:extLst>
          </c:dPt>
          <c:dPt>
            <c:idx val="1222"/>
            <c:marker>
              <c:spPr>
                <a:solidFill>
                  <a:srgbClr val="7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C6-C974-49B2-9C17-08E16E5C920D}"/>
              </c:ext>
            </c:extLst>
          </c:dPt>
          <c:dPt>
            <c:idx val="1223"/>
            <c:marker>
              <c:spPr>
                <a:solidFill>
                  <a:srgbClr val="7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C7-C974-49B2-9C17-08E16E5C920D}"/>
              </c:ext>
            </c:extLst>
          </c:dPt>
          <c:dPt>
            <c:idx val="1224"/>
            <c:marker>
              <c:spPr>
                <a:solidFill>
                  <a:srgbClr val="7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C8-C974-49B2-9C17-08E16E5C920D}"/>
              </c:ext>
            </c:extLst>
          </c:dPt>
          <c:dPt>
            <c:idx val="1225"/>
            <c:marker>
              <c:spPr>
                <a:solidFill>
                  <a:srgbClr val="7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C9-C974-49B2-9C17-08E16E5C920D}"/>
              </c:ext>
            </c:extLst>
          </c:dPt>
          <c:dPt>
            <c:idx val="1226"/>
            <c:marker>
              <c:spPr>
                <a:solidFill>
                  <a:srgbClr val="7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CA-C974-49B2-9C17-08E16E5C920D}"/>
              </c:ext>
            </c:extLst>
          </c:dPt>
          <c:dPt>
            <c:idx val="1227"/>
            <c:marker>
              <c:spPr>
                <a:solidFill>
                  <a:srgbClr val="7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CB-C974-49B2-9C17-08E16E5C920D}"/>
              </c:ext>
            </c:extLst>
          </c:dPt>
          <c:dPt>
            <c:idx val="1228"/>
            <c:marker>
              <c:spPr>
                <a:solidFill>
                  <a:srgbClr val="7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CC-C974-49B2-9C17-08E16E5C920D}"/>
              </c:ext>
            </c:extLst>
          </c:dPt>
          <c:dPt>
            <c:idx val="1229"/>
            <c:marker>
              <c:spPr>
                <a:solidFill>
                  <a:srgbClr val="7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CD-C974-49B2-9C17-08E16E5C920D}"/>
              </c:ext>
            </c:extLst>
          </c:dPt>
          <c:dPt>
            <c:idx val="1230"/>
            <c:marker>
              <c:spPr>
                <a:solidFill>
                  <a:srgbClr val="7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CE-C974-49B2-9C17-08E16E5C920D}"/>
              </c:ext>
            </c:extLst>
          </c:dPt>
          <c:dPt>
            <c:idx val="1231"/>
            <c:marker>
              <c:spPr>
                <a:solidFill>
                  <a:srgbClr val="7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CF-C974-49B2-9C17-08E16E5C920D}"/>
              </c:ext>
            </c:extLst>
          </c:dPt>
          <c:dPt>
            <c:idx val="1232"/>
            <c:marker>
              <c:spPr>
                <a:solidFill>
                  <a:srgbClr val="7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D0-C974-49B2-9C17-08E16E5C920D}"/>
              </c:ext>
            </c:extLst>
          </c:dPt>
          <c:dPt>
            <c:idx val="1233"/>
            <c:marker>
              <c:spPr>
                <a:solidFill>
                  <a:srgbClr val="7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D1-C974-49B2-9C17-08E16E5C920D}"/>
              </c:ext>
            </c:extLst>
          </c:dPt>
          <c:dPt>
            <c:idx val="1234"/>
            <c:marker>
              <c:spPr>
                <a:solidFill>
                  <a:srgbClr val="7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D2-C974-49B2-9C17-08E16E5C920D}"/>
              </c:ext>
            </c:extLst>
          </c:dPt>
          <c:dPt>
            <c:idx val="1235"/>
            <c:marker>
              <c:spPr>
                <a:solidFill>
                  <a:srgbClr val="7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D3-C974-49B2-9C17-08E16E5C920D}"/>
              </c:ext>
            </c:extLst>
          </c:dPt>
          <c:dPt>
            <c:idx val="1236"/>
            <c:marker>
              <c:spPr>
                <a:solidFill>
                  <a:srgbClr val="7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D4-C974-49B2-9C17-08E16E5C920D}"/>
              </c:ext>
            </c:extLst>
          </c:dPt>
          <c:dPt>
            <c:idx val="1237"/>
            <c:marker>
              <c:spPr>
                <a:solidFill>
                  <a:srgbClr val="7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D5-C974-49B2-9C17-08E16E5C920D}"/>
              </c:ext>
            </c:extLst>
          </c:dPt>
          <c:dPt>
            <c:idx val="1238"/>
            <c:marker>
              <c:spPr>
                <a:solidFill>
                  <a:srgbClr val="7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D6-C974-49B2-9C17-08E16E5C920D}"/>
              </c:ext>
            </c:extLst>
          </c:dPt>
          <c:dPt>
            <c:idx val="1239"/>
            <c:marker>
              <c:spPr>
                <a:solidFill>
                  <a:srgbClr val="7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D7-C974-49B2-9C17-08E16E5C920D}"/>
              </c:ext>
            </c:extLst>
          </c:dPt>
          <c:dPt>
            <c:idx val="1240"/>
            <c:marker>
              <c:spPr>
                <a:solidFill>
                  <a:srgbClr val="7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D8-C974-49B2-9C17-08E16E5C920D}"/>
              </c:ext>
            </c:extLst>
          </c:dPt>
          <c:dPt>
            <c:idx val="1241"/>
            <c:marker>
              <c:spPr>
                <a:solidFill>
                  <a:srgbClr val="7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D9-C974-49B2-9C17-08E16E5C920D}"/>
              </c:ext>
            </c:extLst>
          </c:dPt>
          <c:dPt>
            <c:idx val="1242"/>
            <c:marker>
              <c:spPr>
                <a:solidFill>
                  <a:srgbClr val="7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DA-C974-49B2-9C17-08E16E5C920D}"/>
              </c:ext>
            </c:extLst>
          </c:dPt>
          <c:dPt>
            <c:idx val="1243"/>
            <c:marker>
              <c:spPr>
                <a:solidFill>
                  <a:srgbClr val="7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DB-C974-49B2-9C17-08E16E5C920D}"/>
              </c:ext>
            </c:extLst>
          </c:dPt>
          <c:dPt>
            <c:idx val="1244"/>
            <c:marker>
              <c:spPr>
                <a:solidFill>
                  <a:srgbClr val="7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DC-C974-49B2-9C17-08E16E5C920D}"/>
              </c:ext>
            </c:extLst>
          </c:dPt>
          <c:dPt>
            <c:idx val="1245"/>
            <c:marker>
              <c:spPr>
                <a:solidFill>
                  <a:srgbClr val="7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DD-C974-49B2-9C17-08E16E5C920D}"/>
              </c:ext>
            </c:extLst>
          </c:dPt>
          <c:dPt>
            <c:idx val="1246"/>
            <c:marker>
              <c:spPr>
                <a:solidFill>
                  <a:srgbClr val="7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DE-C974-49B2-9C17-08E16E5C920D}"/>
              </c:ext>
            </c:extLst>
          </c:dPt>
          <c:dPt>
            <c:idx val="1247"/>
            <c:marker>
              <c:spPr>
                <a:solidFill>
                  <a:srgbClr val="7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DF-C974-49B2-9C17-08E16E5C920D}"/>
              </c:ext>
            </c:extLst>
          </c:dPt>
          <c:dPt>
            <c:idx val="1248"/>
            <c:marker>
              <c:spPr>
                <a:solidFill>
                  <a:srgbClr val="7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E0-C974-49B2-9C17-08E16E5C920D}"/>
              </c:ext>
            </c:extLst>
          </c:dPt>
          <c:dPt>
            <c:idx val="1249"/>
            <c:marker>
              <c:spPr>
                <a:solidFill>
                  <a:srgbClr val="7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E1-C974-49B2-9C17-08E16E5C920D}"/>
              </c:ext>
            </c:extLst>
          </c:dPt>
          <c:dPt>
            <c:idx val="1250"/>
            <c:marker>
              <c:spPr>
                <a:solidFill>
                  <a:srgbClr val="7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E2-C974-49B2-9C17-08E16E5C920D}"/>
              </c:ext>
            </c:extLst>
          </c:dPt>
          <c:dPt>
            <c:idx val="1251"/>
            <c:marker>
              <c:spPr>
                <a:solidFill>
                  <a:srgbClr val="7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E3-C974-49B2-9C17-08E16E5C920D}"/>
              </c:ext>
            </c:extLst>
          </c:dPt>
          <c:dPt>
            <c:idx val="1252"/>
            <c:marker>
              <c:spPr>
                <a:solidFill>
                  <a:srgbClr val="7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E4-C974-49B2-9C17-08E16E5C920D}"/>
              </c:ext>
            </c:extLst>
          </c:dPt>
          <c:dPt>
            <c:idx val="1253"/>
            <c:marker>
              <c:spPr>
                <a:solidFill>
                  <a:srgbClr val="7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E5-C974-49B2-9C17-08E16E5C920D}"/>
              </c:ext>
            </c:extLst>
          </c:dPt>
          <c:dPt>
            <c:idx val="1254"/>
            <c:marker>
              <c:spPr>
                <a:solidFill>
                  <a:srgbClr val="7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E6-C974-49B2-9C17-08E16E5C920D}"/>
              </c:ext>
            </c:extLst>
          </c:dPt>
          <c:dPt>
            <c:idx val="1255"/>
            <c:marker>
              <c:spPr>
                <a:solidFill>
                  <a:srgbClr val="7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E7-C974-49B2-9C17-08E16E5C920D}"/>
              </c:ext>
            </c:extLst>
          </c:dPt>
          <c:dPt>
            <c:idx val="1256"/>
            <c:marker>
              <c:spPr>
                <a:solidFill>
                  <a:srgbClr val="7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E8-C974-49B2-9C17-08E16E5C920D}"/>
              </c:ext>
            </c:extLst>
          </c:dPt>
          <c:dPt>
            <c:idx val="1257"/>
            <c:marker>
              <c:spPr>
                <a:solidFill>
                  <a:srgbClr val="7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E9-C974-49B2-9C17-08E16E5C920D}"/>
              </c:ext>
            </c:extLst>
          </c:dPt>
          <c:dPt>
            <c:idx val="1258"/>
            <c:marker>
              <c:spPr>
                <a:solidFill>
                  <a:srgbClr val="7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EA-C974-49B2-9C17-08E16E5C920D}"/>
              </c:ext>
            </c:extLst>
          </c:dPt>
          <c:dPt>
            <c:idx val="1259"/>
            <c:marker>
              <c:spPr>
                <a:solidFill>
                  <a:srgbClr val="7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EB-C974-49B2-9C17-08E16E5C920D}"/>
              </c:ext>
            </c:extLst>
          </c:dPt>
          <c:dPt>
            <c:idx val="1260"/>
            <c:marker>
              <c:spPr>
                <a:solidFill>
                  <a:srgbClr val="7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EC-C974-49B2-9C17-08E16E5C920D}"/>
              </c:ext>
            </c:extLst>
          </c:dPt>
          <c:dPt>
            <c:idx val="1261"/>
            <c:marker>
              <c:spPr>
                <a:solidFill>
                  <a:srgbClr val="7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ED-C974-49B2-9C17-08E16E5C920D}"/>
              </c:ext>
            </c:extLst>
          </c:dPt>
          <c:dPt>
            <c:idx val="1262"/>
            <c:marker>
              <c:spPr>
                <a:solidFill>
                  <a:srgbClr val="7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EE-C974-49B2-9C17-08E16E5C920D}"/>
              </c:ext>
            </c:extLst>
          </c:dPt>
          <c:dPt>
            <c:idx val="1263"/>
            <c:marker>
              <c:spPr>
                <a:solidFill>
                  <a:srgbClr val="7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EF-C974-49B2-9C17-08E16E5C920D}"/>
              </c:ext>
            </c:extLst>
          </c:dPt>
          <c:dPt>
            <c:idx val="1264"/>
            <c:marker>
              <c:spPr>
                <a:solidFill>
                  <a:srgbClr val="7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F0-C974-49B2-9C17-08E16E5C920D}"/>
              </c:ext>
            </c:extLst>
          </c:dPt>
          <c:dPt>
            <c:idx val="1265"/>
            <c:marker>
              <c:spPr>
                <a:solidFill>
                  <a:srgbClr val="7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F1-C974-49B2-9C17-08E16E5C920D}"/>
              </c:ext>
            </c:extLst>
          </c:dPt>
          <c:dPt>
            <c:idx val="1266"/>
            <c:marker>
              <c:spPr>
                <a:solidFill>
                  <a:srgbClr val="7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F2-C974-49B2-9C17-08E16E5C920D}"/>
              </c:ext>
            </c:extLst>
          </c:dPt>
          <c:dPt>
            <c:idx val="1267"/>
            <c:marker>
              <c:spPr>
                <a:solidFill>
                  <a:srgbClr val="7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F3-C974-49B2-9C17-08E16E5C920D}"/>
              </c:ext>
            </c:extLst>
          </c:dPt>
          <c:dPt>
            <c:idx val="1268"/>
            <c:marker>
              <c:spPr>
                <a:solidFill>
                  <a:srgbClr val="7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F4-C974-49B2-9C17-08E16E5C920D}"/>
              </c:ext>
            </c:extLst>
          </c:dPt>
          <c:dPt>
            <c:idx val="1269"/>
            <c:marker>
              <c:spPr>
                <a:solidFill>
                  <a:srgbClr val="7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F5-C974-49B2-9C17-08E16E5C920D}"/>
              </c:ext>
            </c:extLst>
          </c:dPt>
          <c:dPt>
            <c:idx val="1270"/>
            <c:marker>
              <c:spPr>
                <a:solidFill>
                  <a:srgbClr val="7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F6-C974-49B2-9C17-08E16E5C920D}"/>
              </c:ext>
            </c:extLst>
          </c:dPt>
          <c:dPt>
            <c:idx val="1271"/>
            <c:marker>
              <c:spPr>
                <a:solidFill>
                  <a:srgbClr val="7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F7-C974-49B2-9C17-08E16E5C920D}"/>
              </c:ext>
            </c:extLst>
          </c:dPt>
          <c:dPt>
            <c:idx val="1272"/>
            <c:marker>
              <c:spPr>
                <a:solidFill>
                  <a:srgbClr val="7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F8-C974-49B2-9C17-08E16E5C920D}"/>
              </c:ext>
            </c:extLst>
          </c:dPt>
          <c:dPt>
            <c:idx val="1273"/>
            <c:marker>
              <c:spPr>
                <a:solidFill>
                  <a:srgbClr val="7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F9-C974-49B2-9C17-08E16E5C920D}"/>
              </c:ext>
            </c:extLst>
          </c:dPt>
          <c:dPt>
            <c:idx val="1274"/>
            <c:marker>
              <c:spPr>
                <a:solidFill>
                  <a:srgbClr val="7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FA-C974-49B2-9C17-08E16E5C920D}"/>
              </c:ext>
            </c:extLst>
          </c:dPt>
          <c:dPt>
            <c:idx val="1275"/>
            <c:marker>
              <c:spPr>
                <a:solidFill>
                  <a:srgbClr val="7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FB-C974-49B2-9C17-08E16E5C920D}"/>
              </c:ext>
            </c:extLst>
          </c:dPt>
          <c:dPt>
            <c:idx val="1276"/>
            <c:marker>
              <c:spPr>
                <a:solidFill>
                  <a:srgbClr val="7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FC-C974-49B2-9C17-08E16E5C920D}"/>
              </c:ext>
            </c:extLst>
          </c:dPt>
          <c:dPt>
            <c:idx val="1277"/>
            <c:marker>
              <c:spPr>
                <a:solidFill>
                  <a:srgbClr val="7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FD-C974-49B2-9C17-08E16E5C920D}"/>
              </c:ext>
            </c:extLst>
          </c:dPt>
          <c:dPt>
            <c:idx val="1278"/>
            <c:marker>
              <c:spPr>
                <a:solidFill>
                  <a:srgbClr val="7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FE-C974-49B2-9C17-08E16E5C920D}"/>
              </c:ext>
            </c:extLst>
          </c:dPt>
          <c:dPt>
            <c:idx val="1279"/>
            <c:marker>
              <c:spPr>
                <a:solidFill>
                  <a:srgbClr val="7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FF-C974-49B2-9C17-08E16E5C920D}"/>
              </c:ext>
            </c:extLst>
          </c:dPt>
          <c:dPt>
            <c:idx val="1280"/>
            <c:marker>
              <c:spPr>
                <a:solidFill>
                  <a:srgbClr val="7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00-C974-49B2-9C17-08E16E5C920D}"/>
              </c:ext>
            </c:extLst>
          </c:dPt>
          <c:dPt>
            <c:idx val="1281"/>
            <c:marker>
              <c:spPr>
                <a:solidFill>
                  <a:srgbClr val="7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01-C974-49B2-9C17-08E16E5C920D}"/>
              </c:ext>
            </c:extLst>
          </c:dPt>
          <c:dPt>
            <c:idx val="1282"/>
            <c:marker>
              <c:spPr>
                <a:solidFill>
                  <a:srgbClr val="7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02-C974-49B2-9C17-08E16E5C920D}"/>
              </c:ext>
            </c:extLst>
          </c:dPt>
          <c:dPt>
            <c:idx val="1283"/>
            <c:marker>
              <c:spPr>
                <a:solidFill>
                  <a:srgbClr val="7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03-C974-49B2-9C17-08E16E5C920D}"/>
              </c:ext>
            </c:extLst>
          </c:dPt>
          <c:dPt>
            <c:idx val="1284"/>
            <c:marker>
              <c:spPr>
                <a:solidFill>
                  <a:srgbClr val="6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04-C974-49B2-9C17-08E16E5C920D}"/>
              </c:ext>
            </c:extLst>
          </c:dPt>
          <c:dPt>
            <c:idx val="1285"/>
            <c:marker>
              <c:spPr>
                <a:solidFill>
                  <a:srgbClr val="6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05-C974-49B2-9C17-08E16E5C920D}"/>
              </c:ext>
            </c:extLst>
          </c:dPt>
          <c:dPt>
            <c:idx val="1286"/>
            <c:marker>
              <c:spPr>
                <a:solidFill>
                  <a:srgbClr val="6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06-C974-49B2-9C17-08E16E5C920D}"/>
              </c:ext>
            </c:extLst>
          </c:dPt>
          <c:dPt>
            <c:idx val="1287"/>
            <c:marker>
              <c:spPr>
                <a:solidFill>
                  <a:srgbClr val="6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07-C974-49B2-9C17-08E16E5C920D}"/>
              </c:ext>
            </c:extLst>
          </c:dPt>
          <c:dPt>
            <c:idx val="1288"/>
            <c:marker>
              <c:spPr>
                <a:solidFill>
                  <a:srgbClr val="6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08-C974-49B2-9C17-08E16E5C920D}"/>
              </c:ext>
            </c:extLst>
          </c:dPt>
          <c:dPt>
            <c:idx val="1289"/>
            <c:marker>
              <c:spPr>
                <a:solidFill>
                  <a:srgbClr val="6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09-C974-49B2-9C17-08E16E5C920D}"/>
              </c:ext>
            </c:extLst>
          </c:dPt>
          <c:dPt>
            <c:idx val="1290"/>
            <c:marker>
              <c:spPr>
                <a:solidFill>
                  <a:srgbClr val="6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0A-C974-49B2-9C17-08E16E5C920D}"/>
              </c:ext>
            </c:extLst>
          </c:dPt>
          <c:dPt>
            <c:idx val="1291"/>
            <c:marker>
              <c:spPr>
                <a:solidFill>
                  <a:srgbClr val="6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0B-C974-49B2-9C17-08E16E5C920D}"/>
              </c:ext>
            </c:extLst>
          </c:dPt>
          <c:dPt>
            <c:idx val="1292"/>
            <c:marker>
              <c:spPr>
                <a:solidFill>
                  <a:srgbClr val="6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0C-C974-49B2-9C17-08E16E5C920D}"/>
              </c:ext>
            </c:extLst>
          </c:dPt>
          <c:dPt>
            <c:idx val="1293"/>
            <c:marker>
              <c:spPr>
                <a:solidFill>
                  <a:srgbClr val="6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0D-C974-49B2-9C17-08E16E5C920D}"/>
              </c:ext>
            </c:extLst>
          </c:dPt>
          <c:dPt>
            <c:idx val="1294"/>
            <c:marker>
              <c:spPr>
                <a:solidFill>
                  <a:srgbClr val="6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0E-C974-49B2-9C17-08E16E5C920D}"/>
              </c:ext>
            </c:extLst>
          </c:dPt>
          <c:dPt>
            <c:idx val="1295"/>
            <c:marker>
              <c:spPr>
                <a:solidFill>
                  <a:srgbClr val="6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0F-C974-49B2-9C17-08E16E5C920D}"/>
              </c:ext>
            </c:extLst>
          </c:dPt>
          <c:dPt>
            <c:idx val="1296"/>
            <c:marker>
              <c:spPr>
                <a:solidFill>
                  <a:srgbClr val="6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10-C974-49B2-9C17-08E16E5C920D}"/>
              </c:ext>
            </c:extLst>
          </c:dPt>
          <c:dPt>
            <c:idx val="1297"/>
            <c:marker>
              <c:spPr>
                <a:solidFill>
                  <a:srgbClr val="6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11-C974-49B2-9C17-08E16E5C920D}"/>
              </c:ext>
            </c:extLst>
          </c:dPt>
          <c:dPt>
            <c:idx val="1298"/>
            <c:marker>
              <c:spPr>
                <a:solidFill>
                  <a:srgbClr val="6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12-C974-49B2-9C17-08E16E5C920D}"/>
              </c:ext>
            </c:extLst>
          </c:dPt>
          <c:dPt>
            <c:idx val="1299"/>
            <c:marker>
              <c:spPr>
                <a:solidFill>
                  <a:srgbClr val="6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13-C974-49B2-9C17-08E16E5C920D}"/>
              </c:ext>
            </c:extLst>
          </c:dPt>
          <c:dPt>
            <c:idx val="1300"/>
            <c:marker>
              <c:spPr>
                <a:solidFill>
                  <a:srgbClr val="6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14-C974-49B2-9C17-08E16E5C920D}"/>
              </c:ext>
            </c:extLst>
          </c:dPt>
          <c:dPt>
            <c:idx val="1301"/>
            <c:marker>
              <c:spPr>
                <a:solidFill>
                  <a:srgbClr val="6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15-C974-49B2-9C17-08E16E5C920D}"/>
              </c:ext>
            </c:extLst>
          </c:dPt>
          <c:dPt>
            <c:idx val="1302"/>
            <c:marker>
              <c:spPr>
                <a:solidFill>
                  <a:srgbClr val="6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16-C974-49B2-9C17-08E16E5C920D}"/>
              </c:ext>
            </c:extLst>
          </c:dPt>
          <c:dPt>
            <c:idx val="1303"/>
            <c:marker>
              <c:spPr>
                <a:solidFill>
                  <a:srgbClr val="6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17-C974-49B2-9C17-08E16E5C920D}"/>
              </c:ext>
            </c:extLst>
          </c:dPt>
          <c:dPt>
            <c:idx val="1304"/>
            <c:marker>
              <c:spPr>
                <a:solidFill>
                  <a:srgbClr val="6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18-C974-49B2-9C17-08E16E5C920D}"/>
              </c:ext>
            </c:extLst>
          </c:dPt>
          <c:dPt>
            <c:idx val="1305"/>
            <c:marker>
              <c:spPr>
                <a:solidFill>
                  <a:srgbClr val="6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19-C974-49B2-9C17-08E16E5C920D}"/>
              </c:ext>
            </c:extLst>
          </c:dPt>
          <c:dPt>
            <c:idx val="1306"/>
            <c:marker>
              <c:spPr>
                <a:solidFill>
                  <a:srgbClr val="6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1A-C974-49B2-9C17-08E16E5C920D}"/>
              </c:ext>
            </c:extLst>
          </c:dPt>
          <c:dPt>
            <c:idx val="1307"/>
            <c:marker>
              <c:spPr>
                <a:solidFill>
                  <a:srgbClr val="6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1B-C974-49B2-9C17-08E16E5C920D}"/>
              </c:ext>
            </c:extLst>
          </c:dPt>
          <c:dPt>
            <c:idx val="1308"/>
            <c:marker>
              <c:spPr>
                <a:solidFill>
                  <a:srgbClr val="6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1C-C974-49B2-9C17-08E16E5C920D}"/>
              </c:ext>
            </c:extLst>
          </c:dPt>
          <c:dPt>
            <c:idx val="1309"/>
            <c:marker>
              <c:spPr>
                <a:solidFill>
                  <a:srgbClr val="6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1D-C974-49B2-9C17-08E16E5C920D}"/>
              </c:ext>
            </c:extLst>
          </c:dPt>
          <c:dPt>
            <c:idx val="1310"/>
            <c:marker>
              <c:spPr>
                <a:solidFill>
                  <a:srgbClr val="6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1E-C974-49B2-9C17-08E16E5C920D}"/>
              </c:ext>
            </c:extLst>
          </c:dPt>
          <c:dPt>
            <c:idx val="1311"/>
            <c:marker>
              <c:spPr>
                <a:solidFill>
                  <a:srgbClr val="6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1F-C974-49B2-9C17-08E16E5C920D}"/>
              </c:ext>
            </c:extLst>
          </c:dPt>
          <c:dPt>
            <c:idx val="1312"/>
            <c:marker>
              <c:spPr>
                <a:solidFill>
                  <a:srgbClr val="6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20-C974-49B2-9C17-08E16E5C920D}"/>
              </c:ext>
            </c:extLst>
          </c:dPt>
          <c:dPt>
            <c:idx val="1313"/>
            <c:marker>
              <c:spPr>
                <a:solidFill>
                  <a:srgbClr val="6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21-C974-49B2-9C17-08E16E5C920D}"/>
              </c:ext>
            </c:extLst>
          </c:dPt>
          <c:dPt>
            <c:idx val="1314"/>
            <c:marker>
              <c:spPr>
                <a:solidFill>
                  <a:srgbClr val="6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22-C974-49B2-9C17-08E16E5C920D}"/>
              </c:ext>
            </c:extLst>
          </c:dPt>
          <c:dPt>
            <c:idx val="1315"/>
            <c:marker>
              <c:spPr>
                <a:solidFill>
                  <a:srgbClr val="6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23-C974-49B2-9C17-08E16E5C920D}"/>
              </c:ext>
            </c:extLst>
          </c:dPt>
          <c:dPt>
            <c:idx val="1316"/>
            <c:marker>
              <c:spPr>
                <a:solidFill>
                  <a:srgbClr val="6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24-C974-49B2-9C17-08E16E5C920D}"/>
              </c:ext>
            </c:extLst>
          </c:dPt>
          <c:dPt>
            <c:idx val="1317"/>
            <c:marker>
              <c:spPr>
                <a:solidFill>
                  <a:srgbClr val="6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25-C974-49B2-9C17-08E16E5C920D}"/>
              </c:ext>
            </c:extLst>
          </c:dPt>
          <c:dPt>
            <c:idx val="1318"/>
            <c:marker>
              <c:spPr>
                <a:solidFill>
                  <a:srgbClr val="6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26-C974-49B2-9C17-08E16E5C920D}"/>
              </c:ext>
            </c:extLst>
          </c:dPt>
          <c:dPt>
            <c:idx val="1319"/>
            <c:marker>
              <c:spPr>
                <a:solidFill>
                  <a:srgbClr val="6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27-C974-49B2-9C17-08E16E5C920D}"/>
              </c:ext>
            </c:extLst>
          </c:dPt>
          <c:dPt>
            <c:idx val="1320"/>
            <c:marker>
              <c:spPr>
                <a:solidFill>
                  <a:srgbClr val="6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28-C974-49B2-9C17-08E16E5C920D}"/>
              </c:ext>
            </c:extLst>
          </c:dPt>
          <c:dPt>
            <c:idx val="1321"/>
            <c:marker>
              <c:spPr>
                <a:solidFill>
                  <a:srgbClr val="6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29-C974-49B2-9C17-08E16E5C920D}"/>
              </c:ext>
            </c:extLst>
          </c:dPt>
          <c:dPt>
            <c:idx val="1322"/>
            <c:marker>
              <c:spPr>
                <a:solidFill>
                  <a:srgbClr val="6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2A-C974-49B2-9C17-08E16E5C920D}"/>
              </c:ext>
            </c:extLst>
          </c:dPt>
          <c:dPt>
            <c:idx val="1323"/>
            <c:marker>
              <c:spPr>
                <a:solidFill>
                  <a:srgbClr val="6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2B-C974-49B2-9C17-08E16E5C920D}"/>
              </c:ext>
            </c:extLst>
          </c:dPt>
          <c:dPt>
            <c:idx val="1324"/>
            <c:marker>
              <c:spPr>
                <a:solidFill>
                  <a:srgbClr val="6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2C-C974-49B2-9C17-08E16E5C920D}"/>
              </c:ext>
            </c:extLst>
          </c:dPt>
          <c:dPt>
            <c:idx val="1325"/>
            <c:marker>
              <c:spPr>
                <a:solidFill>
                  <a:srgbClr val="6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2D-C974-49B2-9C17-08E16E5C920D}"/>
              </c:ext>
            </c:extLst>
          </c:dPt>
          <c:dPt>
            <c:idx val="1326"/>
            <c:marker>
              <c:spPr>
                <a:solidFill>
                  <a:srgbClr val="6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2E-C974-49B2-9C17-08E16E5C920D}"/>
              </c:ext>
            </c:extLst>
          </c:dPt>
          <c:dPt>
            <c:idx val="1327"/>
            <c:marker>
              <c:spPr>
                <a:solidFill>
                  <a:srgbClr val="6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2F-C974-49B2-9C17-08E16E5C920D}"/>
              </c:ext>
            </c:extLst>
          </c:dPt>
          <c:dPt>
            <c:idx val="1328"/>
            <c:marker>
              <c:spPr>
                <a:solidFill>
                  <a:srgbClr val="6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30-C974-49B2-9C17-08E16E5C920D}"/>
              </c:ext>
            </c:extLst>
          </c:dPt>
          <c:dPt>
            <c:idx val="1329"/>
            <c:marker>
              <c:spPr>
                <a:solidFill>
                  <a:srgbClr val="6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31-C974-49B2-9C17-08E16E5C920D}"/>
              </c:ext>
            </c:extLst>
          </c:dPt>
          <c:dPt>
            <c:idx val="1330"/>
            <c:marker>
              <c:spPr>
                <a:solidFill>
                  <a:srgbClr val="6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32-C974-49B2-9C17-08E16E5C920D}"/>
              </c:ext>
            </c:extLst>
          </c:dPt>
          <c:dPt>
            <c:idx val="1331"/>
            <c:marker>
              <c:spPr>
                <a:solidFill>
                  <a:srgbClr val="6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33-C974-49B2-9C17-08E16E5C920D}"/>
              </c:ext>
            </c:extLst>
          </c:dPt>
          <c:dPt>
            <c:idx val="1332"/>
            <c:marker>
              <c:spPr>
                <a:solidFill>
                  <a:srgbClr val="6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34-C974-49B2-9C17-08E16E5C920D}"/>
              </c:ext>
            </c:extLst>
          </c:dPt>
          <c:dPt>
            <c:idx val="1333"/>
            <c:marker>
              <c:spPr>
                <a:solidFill>
                  <a:srgbClr val="6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35-C974-49B2-9C17-08E16E5C920D}"/>
              </c:ext>
            </c:extLst>
          </c:dPt>
          <c:dPt>
            <c:idx val="1334"/>
            <c:marker>
              <c:spPr>
                <a:solidFill>
                  <a:srgbClr val="6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36-C974-49B2-9C17-08E16E5C920D}"/>
              </c:ext>
            </c:extLst>
          </c:dPt>
          <c:dPt>
            <c:idx val="1335"/>
            <c:marker>
              <c:spPr>
                <a:solidFill>
                  <a:srgbClr val="6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37-C974-49B2-9C17-08E16E5C920D}"/>
              </c:ext>
            </c:extLst>
          </c:dPt>
          <c:dPt>
            <c:idx val="1336"/>
            <c:marker>
              <c:spPr>
                <a:solidFill>
                  <a:srgbClr val="6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38-C974-49B2-9C17-08E16E5C920D}"/>
              </c:ext>
            </c:extLst>
          </c:dPt>
          <c:dPt>
            <c:idx val="1337"/>
            <c:marker>
              <c:spPr>
                <a:solidFill>
                  <a:srgbClr val="6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39-C974-49B2-9C17-08E16E5C920D}"/>
              </c:ext>
            </c:extLst>
          </c:dPt>
          <c:dPt>
            <c:idx val="1338"/>
            <c:marker>
              <c:spPr>
                <a:solidFill>
                  <a:srgbClr val="6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3A-C974-49B2-9C17-08E16E5C920D}"/>
              </c:ext>
            </c:extLst>
          </c:dPt>
          <c:dPt>
            <c:idx val="1339"/>
            <c:marker>
              <c:spPr>
                <a:solidFill>
                  <a:srgbClr val="6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3B-C974-49B2-9C17-08E16E5C920D}"/>
              </c:ext>
            </c:extLst>
          </c:dPt>
          <c:dPt>
            <c:idx val="1340"/>
            <c:marker>
              <c:spPr>
                <a:solidFill>
                  <a:srgbClr val="6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3C-C974-49B2-9C17-08E16E5C920D}"/>
              </c:ext>
            </c:extLst>
          </c:dPt>
          <c:dPt>
            <c:idx val="1341"/>
            <c:marker>
              <c:spPr>
                <a:solidFill>
                  <a:srgbClr val="6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3D-C974-49B2-9C17-08E16E5C920D}"/>
              </c:ext>
            </c:extLst>
          </c:dPt>
          <c:dPt>
            <c:idx val="1342"/>
            <c:marker>
              <c:spPr>
                <a:solidFill>
                  <a:srgbClr val="6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3E-C974-49B2-9C17-08E16E5C920D}"/>
              </c:ext>
            </c:extLst>
          </c:dPt>
          <c:dPt>
            <c:idx val="1343"/>
            <c:marker>
              <c:spPr>
                <a:solidFill>
                  <a:srgbClr val="6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3F-C974-49B2-9C17-08E16E5C920D}"/>
              </c:ext>
            </c:extLst>
          </c:dPt>
          <c:dPt>
            <c:idx val="1344"/>
            <c:marker>
              <c:spPr>
                <a:solidFill>
                  <a:srgbClr val="6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40-C974-49B2-9C17-08E16E5C920D}"/>
              </c:ext>
            </c:extLst>
          </c:dPt>
          <c:dPt>
            <c:idx val="1345"/>
            <c:marker>
              <c:spPr>
                <a:solidFill>
                  <a:srgbClr val="6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41-C974-49B2-9C17-08E16E5C920D}"/>
              </c:ext>
            </c:extLst>
          </c:dPt>
          <c:dPt>
            <c:idx val="1346"/>
            <c:marker>
              <c:spPr>
                <a:solidFill>
                  <a:srgbClr val="6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42-C974-49B2-9C17-08E16E5C920D}"/>
              </c:ext>
            </c:extLst>
          </c:dPt>
          <c:dPt>
            <c:idx val="1347"/>
            <c:marker>
              <c:spPr>
                <a:solidFill>
                  <a:srgbClr val="6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43-C974-49B2-9C17-08E16E5C920D}"/>
              </c:ext>
            </c:extLst>
          </c:dPt>
          <c:dPt>
            <c:idx val="1348"/>
            <c:marker>
              <c:spPr>
                <a:solidFill>
                  <a:srgbClr val="6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44-C974-49B2-9C17-08E16E5C920D}"/>
              </c:ext>
            </c:extLst>
          </c:dPt>
          <c:dPt>
            <c:idx val="1349"/>
            <c:marker>
              <c:spPr>
                <a:solidFill>
                  <a:srgbClr val="6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45-C974-49B2-9C17-08E16E5C920D}"/>
              </c:ext>
            </c:extLst>
          </c:dPt>
          <c:dPt>
            <c:idx val="1350"/>
            <c:marker>
              <c:spPr>
                <a:solidFill>
                  <a:srgbClr val="6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46-C974-49B2-9C17-08E16E5C920D}"/>
              </c:ext>
            </c:extLst>
          </c:dPt>
          <c:dPt>
            <c:idx val="1351"/>
            <c:marker>
              <c:spPr>
                <a:solidFill>
                  <a:srgbClr val="6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47-C974-49B2-9C17-08E16E5C920D}"/>
              </c:ext>
            </c:extLst>
          </c:dPt>
          <c:dPt>
            <c:idx val="1352"/>
            <c:marker>
              <c:spPr>
                <a:solidFill>
                  <a:srgbClr val="6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48-C974-49B2-9C17-08E16E5C920D}"/>
              </c:ext>
            </c:extLst>
          </c:dPt>
          <c:dPt>
            <c:idx val="1353"/>
            <c:marker>
              <c:spPr>
                <a:solidFill>
                  <a:srgbClr val="6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49-C974-49B2-9C17-08E16E5C920D}"/>
              </c:ext>
            </c:extLst>
          </c:dPt>
          <c:dPt>
            <c:idx val="1354"/>
            <c:marker>
              <c:spPr>
                <a:solidFill>
                  <a:srgbClr val="6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4A-C974-49B2-9C17-08E16E5C920D}"/>
              </c:ext>
            </c:extLst>
          </c:dPt>
          <c:dPt>
            <c:idx val="1355"/>
            <c:marker>
              <c:spPr>
                <a:solidFill>
                  <a:srgbClr val="6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4B-C974-49B2-9C17-08E16E5C920D}"/>
              </c:ext>
            </c:extLst>
          </c:dPt>
          <c:dPt>
            <c:idx val="1356"/>
            <c:marker>
              <c:spPr>
                <a:solidFill>
                  <a:srgbClr val="6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4C-C974-49B2-9C17-08E16E5C920D}"/>
              </c:ext>
            </c:extLst>
          </c:dPt>
          <c:dPt>
            <c:idx val="1357"/>
            <c:marker>
              <c:spPr>
                <a:solidFill>
                  <a:srgbClr val="6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4D-C974-49B2-9C17-08E16E5C920D}"/>
              </c:ext>
            </c:extLst>
          </c:dPt>
          <c:dPt>
            <c:idx val="1358"/>
            <c:marker>
              <c:spPr>
                <a:solidFill>
                  <a:srgbClr val="6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4E-C974-49B2-9C17-08E16E5C920D}"/>
              </c:ext>
            </c:extLst>
          </c:dPt>
          <c:dPt>
            <c:idx val="1359"/>
            <c:marker>
              <c:spPr>
                <a:solidFill>
                  <a:srgbClr val="6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4F-C974-49B2-9C17-08E16E5C920D}"/>
              </c:ext>
            </c:extLst>
          </c:dPt>
          <c:dPt>
            <c:idx val="1360"/>
            <c:marker>
              <c:spPr>
                <a:solidFill>
                  <a:srgbClr val="6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50-C974-49B2-9C17-08E16E5C920D}"/>
              </c:ext>
            </c:extLst>
          </c:dPt>
          <c:dPt>
            <c:idx val="1361"/>
            <c:marker>
              <c:spPr>
                <a:solidFill>
                  <a:srgbClr val="6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51-C974-49B2-9C17-08E16E5C920D}"/>
              </c:ext>
            </c:extLst>
          </c:dPt>
          <c:dPt>
            <c:idx val="1362"/>
            <c:marker>
              <c:spPr>
                <a:solidFill>
                  <a:srgbClr val="6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52-C974-49B2-9C17-08E16E5C920D}"/>
              </c:ext>
            </c:extLst>
          </c:dPt>
          <c:dPt>
            <c:idx val="1363"/>
            <c:marker>
              <c:spPr>
                <a:solidFill>
                  <a:srgbClr val="6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53-C974-49B2-9C17-08E16E5C920D}"/>
              </c:ext>
            </c:extLst>
          </c:dPt>
          <c:dPt>
            <c:idx val="1364"/>
            <c:marker>
              <c:spPr>
                <a:solidFill>
                  <a:srgbClr val="6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54-C974-49B2-9C17-08E16E5C920D}"/>
              </c:ext>
            </c:extLst>
          </c:dPt>
          <c:dPt>
            <c:idx val="1365"/>
            <c:marker>
              <c:spPr>
                <a:solidFill>
                  <a:srgbClr val="6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55-C974-49B2-9C17-08E16E5C920D}"/>
              </c:ext>
            </c:extLst>
          </c:dPt>
          <c:dPt>
            <c:idx val="1366"/>
            <c:marker>
              <c:spPr>
                <a:solidFill>
                  <a:srgbClr val="6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56-C974-49B2-9C17-08E16E5C920D}"/>
              </c:ext>
            </c:extLst>
          </c:dPt>
          <c:dPt>
            <c:idx val="1367"/>
            <c:marker>
              <c:spPr>
                <a:solidFill>
                  <a:srgbClr val="6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57-C974-49B2-9C17-08E16E5C920D}"/>
              </c:ext>
            </c:extLst>
          </c:dPt>
          <c:dPt>
            <c:idx val="1368"/>
            <c:marker>
              <c:spPr>
                <a:solidFill>
                  <a:srgbClr val="6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58-C974-49B2-9C17-08E16E5C920D}"/>
              </c:ext>
            </c:extLst>
          </c:dPt>
          <c:dPt>
            <c:idx val="1369"/>
            <c:marker>
              <c:spPr>
                <a:solidFill>
                  <a:srgbClr val="6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59-C974-49B2-9C17-08E16E5C920D}"/>
              </c:ext>
            </c:extLst>
          </c:dPt>
          <c:dPt>
            <c:idx val="1370"/>
            <c:marker>
              <c:spPr>
                <a:solidFill>
                  <a:srgbClr val="6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5A-C974-49B2-9C17-08E16E5C920D}"/>
              </c:ext>
            </c:extLst>
          </c:dPt>
          <c:dPt>
            <c:idx val="1371"/>
            <c:marker>
              <c:spPr>
                <a:solidFill>
                  <a:srgbClr val="6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5B-C974-49B2-9C17-08E16E5C920D}"/>
              </c:ext>
            </c:extLst>
          </c:dPt>
          <c:dPt>
            <c:idx val="1372"/>
            <c:marker>
              <c:spPr>
                <a:solidFill>
                  <a:srgbClr val="6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5C-C974-49B2-9C17-08E16E5C920D}"/>
              </c:ext>
            </c:extLst>
          </c:dPt>
          <c:dPt>
            <c:idx val="1373"/>
            <c:marker>
              <c:spPr>
                <a:solidFill>
                  <a:srgbClr val="6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5D-C974-49B2-9C17-08E16E5C920D}"/>
              </c:ext>
            </c:extLst>
          </c:dPt>
          <c:dPt>
            <c:idx val="1374"/>
            <c:marker>
              <c:spPr>
                <a:solidFill>
                  <a:srgbClr val="6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5E-C974-49B2-9C17-08E16E5C920D}"/>
              </c:ext>
            </c:extLst>
          </c:dPt>
          <c:dPt>
            <c:idx val="1375"/>
            <c:marker>
              <c:spPr>
                <a:solidFill>
                  <a:srgbClr val="6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5F-C974-49B2-9C17-08E16E5C920D}"/>
              </c:ext>
            </c:extLst>
          </c:dPt>
          <c:dPt>
            <c:idx val="1376"/>
            <c:marker>
              <c:spPr>
                <a:solidFill>
                  <a:srgbClr val="6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60-C974-49B2-9C17-08E16E5C920D}"/>
              </c:ext>
            </c:extLst>
          </c:dPt>
          <c:dPt>
            <c:idx val="1377"/>
            <c:marker>
              <c:spPr>
                <a:solidFill>
                  <a:srgbClr val="6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61-C974-49B2-9C17-08E16E5C920D}"/>
              </c:ext>
            </c:extLst>
          </c:dPt>
          <c:dPt>
            <c:idx val="1378"/>
            <c:marker>
              <c:spPr>
                <a:solidFill>
                  <a:srgbClr val="6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62-C974-49B2-9C17-08E16E5C920D}"/>
              </c:ext>
            </c:extLst>
          </c:dPt>
          <c:dPt>
            <c:idx val="1379"/>
            <c:marker>
              <c:spPr>
                <a:solidFill>
                  <a:srgbClr val="6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63-C974-49B2-9C17-08E16E5C920D}"/>
              </c:ext>
            </c:extLst>
          </c:dPt>
          <c:dPt>
            <c:idx val="1380"/>
            <c:marker>
              <c:spPr>
                <a:solidFill>
                  <a:srgbClr val="6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64-C974-49B2-9C17-08E16E5C920D}"/>
              </c:ext>
            </c:extLst>
          </c:dPt>
          <c:dPt>
            <c:idx val="1381"/>
            <c:marker>
              <c:spPr>
                <a:solidFill>
                  <a:srgbClr val="6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65-C974-49B2-9C17-08E16E5C920D}"/>
              </c:ext>
            </c:extLst>
          </c:dPt>
          <c:dPt>
            <c:idx val="1382"/>
            <c:marker>
              <c:spPr>
                <a:solidFill>
                  <a:srgbClr val="6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66-C974-49B2-9C17-08E16E5C920D}"/>
              </c:ext>
            </c:extLst>
          </c:dPt>
          <c:dPt>
            <c:idx val="1383"/>
            <c:marker>
              <c:spPr>
                <a:solidFill>
                  <a:srgbClr val="6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67-C974-49B2-9C17-08E16E5C920D}"/>
              </c:ext>
            </c:extLst>
          </c:dPt>
          <c:dPt>
            <c:idx val="1384"/>
            <c:marker>
              <c:spPr>
                <a:solidFill>
                  <a:srgbClr val="6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68-C974-49B2-9C17-08E16E5C920D}"/>
              </c:ext>
            </c:extLst>
          </c:dPt>
          <c:dPt>
            <c:idx val="1385"/>
            <c:marker>
              <c:spPr>
                <a:solidFill>
                  <a:srgbClr val="6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69-C974-49B2-9C17-08E16E5C920D}"/>
              </c:ext>
            </c:extLst>
          </c:dPt>
          <c:dPt>
            <c:idx val="1386"/>
            <c:marker>
              <c:spPr>
                <a:solidFill>
                  <a:srgbClr val="6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6A-C974-49B2-9C17-08E16E5C920D}"/>
              </c:ext>
            </c:extLst>
          </c:dPt>
          <c:dPt>
            <c:idx val="1387"/>
            <c:marker>
              <c:spPr>
                <a:solidFill>
                  <a:srgbClr val="6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6B-C974-49B2-9C17-08E16E5C920D}"/>
              </c:ext>
            </c:extLst>
          </c:dPt>
          <c:dPt>
            <c:idx val="1388"/>
            <c:marker>
              <c:spPr>
                <a:solidFill>
                  <a:srgbClr val="6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6C-C974-49B2-9C17-08E16E5C920D}"/>
              </c:ext>
            </c:extLst>
          </c:dPt>
          <c:dPt>
            <c:idx val="1389"/>
            <c:marker>
              <c:spPr>
                <a:solidFill>
                  <a:srgbClr val="6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6D-C974-49B2-9C17-08E16E5C920D}"/>
              </c:ext>
            </c:extLst>
          </c:dPt>
          <c:dPt>
            <c:idx val="1390"/>
            <c:marker>
              <c:spPr>
                <a:solidFill>
                  <a:srgbClr val="6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6E-C974-49B2-9C17-08E16E5C920D}"/>
              </c:ext>
            </c:extLst>
          </c:dPt>
          <c:dPt>
            <c:idx val="1391"/>
            <c:marker>
              <c:spPr>
                <a:solidFill>
                  <a:srgbClr val="6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6F-C974-49B2-9C17-08E16E5C920D}"/>
              </c:ext>
            </c:extLst>
          </c:dPt>
          <c:dPt>
            <c:idx val="1392"/>
            <c:marker>
              <c:spPr>
                <a:solidFill>
                  <a:srgbClr val="6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70-C974-49B2-9C17-08E16E5C920D}"/>
              </c:ext>
            </c:extLst>
          </c:dPt>
          <c:dPt>
            <c:idx val="1393"/>
            <c:marker>
              <c:spPr>
                <a:solidFill>
                  <a:srgbClr val="6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71-C974-49B2-9C17-08E16E5C920D}"/>
              </c:ext>
            </c:extLst>
          </c:dPt>
          <c:dPt>
            <c:idx val="1394"/>
            <c:marker>
              <c:spPr>
                <a:solidFill>
                  <a:srgbClr val="6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72-C974-49B2-9C17-08E16E5C920D}"/>
              </c:ext>
            </c:extLst>
          </c:dPt>
          <c:dPt>
            <c:idx val="1395"/>
            <c:marker>
              <c:spPr>
                <a:solidFill>
                  <a:srgbClr val="6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73-C974-49B2-9C17-08E16E5C920D}"/>
              </c:ext>
            </c:extLst>
          </c:dPt>
          <c:dPt>
            <c:idx val="1396"/>
            <c:marker>
              <c:spPr>
                <a:solidFill>
                  <a:srgbClr val="6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74-C974-49B2-9C17-08E16E5C920D}"/>
              </c:ext>
            </c:extLst>
          </c:dPt>
          <c:dPt>
            <c:idx val="1397"/>
            <c:marker>
              <c:spPr>
                <a:solidFill>
                  <a:srgbClr val="6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75-C974-49B2-9C17-08E16E5C920D}"/>
              </c:ext>
            </c:extLst>
          </c:dPt>
          <c:dPt>
            <c:idx val="1398"/>
            <c:marker>
              <c:spPr>
                <a:solidFill>
                  <a:srgbClr val="6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76-C974-49B2-9C17-08E16E5C920D}"/>
              </c:ext>
            </c:extLst>
          </c:dPt>
          <c:dPt>
            <c:idx val="1399"/>
            <c:marker>
              <c:spPr>
                <a:solidFill>
                  <a:srgbClr val="6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77-C974-49B2-9C17-08E16E5C920D}"/>
              </c:ext>
            </c:extLst>
          </c:dPt>
          <c:dPt>
            <c:idx val="1400"/>
            <c:marker>
              <c:spPr>
                <a:solidFill>
                  <a:srgbClr val="6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78-C974-49B2-9C17-08E16E5C920D}"/>
              </c:ext>
            </c:extLst>
          </c:dPt>
          <c:dPt>
            <c:idx val="1401"/>
            <c:marker>
              <c:spPr>
                <a:solidFill>
                  <a:srgbClr val="6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79-C974-49B2-9C17-08E16E5C920D}"/>
              </c:ext>
            </c:extLst>
          </c:dPt>
          <c:dPt>
            <c:idx val="1402"/>
            <c:marker>
              <c:spPr>
                <a:solidFill>
                  <a:srgbClr val="6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7A-C974-49B2-9C17-08E16E5C920D}"/>
              </c:ext>
            </c:extLst>
          </c:dPt>
          <c:dPt>
            <c:idx val="1403"/>
            <c:marker>
              <c:spPr>
                <a:solidFill>
                  <a:srgbClr val="6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7B-C974-49B2-9C17-08E16E5C920D}"/>
              </c:ext>
            </c:extLst>
          </c:dPt>
          <c:dPt>
            <c:idx val="1404"/>
            <c:marker>
              <c:spPr>
                <a:solidFill>
                  <a:srgbClr val="6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7C-C974-49B2-9C17-08E16E5C920D}"/>
              </c:ext>
            </c:extLst>
          </c:dPt>
          <c:dPt>
            <c:idx val="1405"/>
            <c:marker>
              <c:spPr>
                <a:solidFill>
                  <a:srgbClr val="6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7D-C974-49B2-9C17-08E16E5C920D}"/>
              </c:ext>
            </c:extLst>
          </c:dPt>
          <c:dPt>
            <c:idx val="1406"/>
            <c:marker>
              <c:spPr>
                <a:solidFill>
                  <a:srgbClr val="6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7E-C974-49B2-9C17-08E16E5C920D}"/>
              </c:ext>
            </c:extLst>
          </c:dPt>
          <c:dPt>
            <c:idx val="1407"/>
            <c:marker>
              <c:spPr>
                <a:solidFill>
                  <a:srgbClr val="6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7F-C974-49B2-9C17-08E16E5C920D}"/>
              </c:ext>
            </c:extLst>
          </c:dPt>
          <c:dPt>
            <c:idx val="1408"/>
            <c:marker>
              <c:spPr>
                <a:solidFill>
                  <a:srgbClr val="6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80-C974-49B2-9C17-08E16E5C920D}"/>
              </c:ext>
            </c:extLst>
          </c:dPt>
          <c:dPt>
            <c:idx val="1409"/>
            <c:marker>
              <c:spPr>
                <a:solidFill>
                  <a:srgbClr val="6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81-C974-49B2-9C17-08E16E5C920D}"/>
              </c:ext>
            </c:extLst>
          </c:dPt>
          <c:dPt>
            <c:idx val="1410"/>
            <c:marker>
              <c:spPr>
                <a:solidFill>
                  <a:srgbClr val="6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82-C974-49B2-9C17-08E16E5C920D}"/>
              </c:ext>
            </c:extLst>
          </c:dPt>
          <c:dPt>
            <c:idx val="1411"/>
            <c:marker>
              <c:spPr>
                <a:solidFill>
                  <a:srgbClr val="6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83-C974-49B2-9C17-08E16E5C920D}"/>
              </c:ext>
            </c:extLst>
          </c:dPt>
          <c:dPt>
            <c:idx val="1412"/>
            <c:marker>
              <c:spPr>
                <a:solidFill>
                  <a:srgbClr val="6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84-C974-49B2-9C17-08E16E5C920D}"/>
              </c:ext>
            </c:extLst>
          </c:dPt>
          <c:dPt>
            <c:idx val="1413"/>
            <c:marker>
              <c:spPr>
                <a:solidFill>
                  <a:srgbClr val="6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85-C974-49B2-9C17-08E16E5C920D}"/>
              </c:ext>
            </c:extLst>
          </c:dPt>
          <c:dPt>
            <c:idx val="1414"/>
            <c:marker>
              <c:spPr>
                <a:solidFill>
                  <a:srgbClr val="6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86-C974-49B2-9C17-08E16E5C920D}"/>
              </c:ext>
            </c:extLst>
          </c:dPt>
          <c:dPt>
            <c:idx val="1415"/>
            <c:marker>
              <c:spPr>
                <a:solidFill>
                  <a:srgbClr val="6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87-C974-49B2-9C17-08E16E5C920D}"/>
              </c:ext>
            </c:extLst>
          </c:dPt>
          <c:dPt>
            <c:idx val="1416"/>
            <c:marker>
              <c:spPr>
                <a:solidFill>
                  <a:srgbClr val="6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88-C974-49B2-9C17-08E16E5C920D}"/>
              </c:ext>
            </c:extLst>
          </c:dPt>
          <c:dPt>
            <c:idx val="1417"/>
            <c:marker>
              <c:spPr>
                <a:solidFill>
                  <a:srgbClr val="6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89-C974-49B2-9C17-08E16E5C920D}"/>
              </c:ext>
            </c:extLst>
          </c:dPt>
          <c:dPt>
            <c:idx val="1418"/>
            <c:marker>
              <c:spPr>
                <a:solidFill>
                  <a:srgbClr val="6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8A-C974-49B2-9C17-08E16E5C920D}"/>
              </c:ext>
            </c:extLst>
          </c:dPt>
          <c:dPt>
            <c:idx val="1419"/>
            <c:marker>
              <c:spPr>
                <a:solidFill>
                  <a:srgbClr val="6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8B-C974-49B2-9C17-08E16E5C920D}"/>
              </c:ext>
            </c:extLst>
          </c:dPt>
          <c:dPt>
            <c:idx val="1420"/>
            <c:marker>
              <c:spPr>
                <a:solidFill>
                  <a:srgbClr val="6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8C-C974-49B2-9C17-08E16E5C920D}"/>
              </c:ext>
            </c:extLst>
          </c:dPt>
          <c:dPt>
            <c:idx val="1421"/>
            <c:marker>
              <c:spPr>
                <a:solidFill>
                  <a:srgbClr val="6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8D-C974-49B2-9C17-08E16E5C920D}"/>
              </c:ext>
            </c:extLst>
          </c:dPt>
          <c:dPt>
            <c:idx val="1422"/>
            <c:marker>
              <c:spPr>
                <a:solidFill>
                  <a:srgbClr val="6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8E-C974-49B2-9C17-08E16E5C920D}"/>
              </c:ext>
            </c:extLst>
          </c:dPt>
          <c:dPt>
            <c:idx val="1423"/>
            <c:marker>
              <c:spPr>
                <a:solidFill>
                  <a:srgbClr val="6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8F-C974-49B2-9C17-08E16E5C920D}"/>
              </c:ext>
            </c:extLst>
          </c:dPt>
          <c:dPt>
            <c:idx val="1424"/>
            <c:marker>
              <c:spPr>
                <a:solidFill>
                  <a:srgbClr val="6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90-C974-49B2-9C17-08E16E5C920D}"/>
              </c:ext>
            </c:extLst>
          </c:dPt>
          <c:dPt>
            <c:idx val="1425"/>
            <c:marker>
              <c:spPr>
                <a:solidFill>
                  <a:srgbClr val="6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91-C974-49B2-9C17-08E16E5C920D}"/>
              </c:ext>
            </c:extLst>
          </c:dPt>
          <c:dPt>
            <c:idx val="1426"/>
            <c:marker>
              <c:spPr>
                <a:solidFill>
                  <a:srgbClr val="6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92-C974-49B2-9C17-08E16E5C920D}"/>
              </c:ext>
            </c:extLst>
          </c:dPt>
          <c:dPt>
            <c:idx val="1427"/>
            <c:marker>
              <c:spPr>
                <a:solidFill>
                  <a:srgbClr val="6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93-C974-49B2-9C17-08E16E5C920D}"/>
              </c:ext>
            </c:extLst>
          </c:dPt>
          <c:dPt>
            <c:idx val="1428"/>
            <c:marker>
              <c:spPr>
                <a:solidFill>
                  <a:srgbClr val="5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94-C974-49B2-9C17-08E16E5C920D}"/>
              </c:ext>
            </c:extLst>
          </c:dPt>
          <c:dPt>
            <c:idx val="1429"/>
            <c:marker>
              <c:spPr>
                <a:solidFill>
                  <a:srgbClr val="5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95-C974-49B2-9C17-08E16E5C920D}"/>
              </c:ext>
            </c:extLst>
          </c:dPt>
          <c:dPt>
            <c:idx val="1430"/>
            <c:marker>
              <c:spPr>
                <a:solidFill>
                  <a:srgbClr val="5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96-C974-49B2-9C17-08E16E5C920D}"/>
              </c:ext>
            </c:extLst>
          </c:dPt>
          <c:dPt>
            <c:idx val="1431"/>
            <c:marker>
              <c:spPr>
                <a:solidFill>
                  <a:srgbClr val="5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97-C974-49B2-9C17-08E16E5C920D}"/>
              </c:ext>
            </c:extLst>
          </c:dPt>
          <c:dPt>
            <c:idx val="1432"/>
            <c:marker>
              <c:spPr>
                <a:solidFill>
                  <a:srgbClr val="5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98-C974-49B2-9C17-08E16E5C920D}"/>
              </c:ext>
            </c:extLst>
          </c:dPt>
          <c:dPt>
            <c:idx val="1433"/>
            <c:marker>
              <c:spPr>
                <a:solidFill>
                  <a:srgbClr val="5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99-C974-49B2-9C17-08E16E5C920D}"/>
              </c:ext>
            </c:extLst>
          </c:dPt>
          <c:dPt>
            <c:idx val="1434"/>
            <c:marker>
              <c:spPr>
                <a:solidFill>
                  <a:srgbClr val="5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9A-C974-49B2-9C17-08E16E5C920D}"/>
              </c:ext>
            </c:extLst>
          </c:dPt>
          <c:dPt>
            <c:idx val="1435"/>
            <c:marker>
              <c:spPr>
                <a:solidFill>
                  <a:srgbClr val="5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9B-C974-49B2-9C17-08E16E5C920D}"/>
              </c:ext>
            </c:extLst>
          </c:dPt>
          <c:dPt>
            <c:idx val="1436"/>
            <c:marker>
              <c:spPr>
                <a:solidFill>
                  <a:srgbClr val="5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9C-C974-49B2-9C17-08E16E5C920D}"/>
              </c:ext>
            </c:extLst>
          </c:dPt>
          <c:dPt>
            <c:idx val="1437"/>
            <c:marker>
              <c:spPr>
                <a:solidFill>
                  <a:srgbClr val="5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9D-C974-49B2-9C17-08E16E5C920D}"/>
              </c:ext>
            </c:extLst>
          </c:dPt>
          <c:dPt>
            <c:idx val="1438"/>
            <c:marker>
              <c:spPr>
                <a:solidFill>
                  <a:srgbClr val="5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9E-C974-49B2-9C17-08E16E5C920D}"/>
              </c:ext>
            </c:extLst>
          </c:dPt>
          <c:dPt>
            <c:idx val="1439"/>
            <c:marker>
              <c:spPr>
                <a:solidFill>
                  <a:srgbClr val="5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9F-C974-49B2-9C17-08E16E5C920D}"/>
              </c:ext>
            </c:extLst>
          </c:dPt>
          <c:dPt>
            <c:idx val="1440"/>
            <c:marker>
              <c:spPr>
                <a:solidFill>
                  <a:srgbClr val="5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A0-C974-49B2-9C17-08E16E5C920D}"/>
              </c:ext>
            </c:extLst>
          </c:dPt>
          <c:dPt>
            <c:idx val="1441"/>
            <c:marker>
              <c:spPr>
                <a:solidFill>
                  <a:srgbClr val="5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A1-C974-49B2-9C17-08E16E5C920D}"/>
              </c:ext>
            </c:extLst>
          </c:dPt>
          <c:dPt>
            <c:idx val="1442"/>
            <c:marker>
              <c:spPr>
                <a:solidFill>
                  <a:srgbClr val="5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A2-C974-49B2-9C17-08E16E5C920D}"/>
              </c:ext>
            </c:extLst>
          </c:dPt>
          <c:dPt>
            <c:idx val="1443"/>
            <c:marker>
              <c:spPr>
                <a:solidFill>
                  <a:srgbClr val="5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A3-C974-49B2-9C17-08E16E5C920D}"/>
              </c:ext>
            </c:extLst>
          </c:dPt>
          <c:dPt>
            <c:idx val="1444"/>
            <c:marker>
              <c:spPr>
                <a:solidFill>
                  <a:srgbClr val="5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A4-C974-49B2-9C17-08E16E5C920D}"/>
              </c:ext>
            </c:extLst>
          </c:dPt>
          <c:dPt>
            <c:idx val="1445"/>
            <c:marker>
              <c:spPr>
                <a:solidFill>
                  <a:srgbClr val="5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A5-C974-49B2-9C17-08E16E5C920D}"/>
              </c:ext>
            </c:extLst>
          </c:dPt>
          <c:dPt>
            <c:idx val="1446"/>
            <c:marker>
              <c:spPr>
                <a:solidFill>
                  <a:srgbClr val="5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A6-C974-49B2-9C17-08E16E5C920D}"/>
              </c:ext>
            </c:extLst>
          </c:dPt>
          <c:dPt>
            <c:idx val="1447"/>
            <c:marker>
              <c:spPr>
                <a:solidFill>
                  <a:srgbClr val="5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A7-C974-49B2-9C17-08E16E5C920D}"/>
              </c:ext>
            </c:extLst>
          </c:dPt>
          <c:dPt>
            <c:idx val="1448"/>
            <c:marker>
              <c:spPr>
                <a:solidFill>
                  <a:srgbClr val="5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A8-C974-49B2-9C17-08E16E5C920D}"/>
              </c:ext>
            </c:extLst>
          </c:dPt>
          <c:dPt>
            <c:idx val="1449"/>
            <c:marker>
              <c:spPr>
                <a:solidFill>
                  <a:srgbClr val="5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A9-C974-49B2-9C17-08E16E5C920D}"/>
              </c:ext>
            </c:extLst>
          </c:dPt>
          <c:dPt>
            <c:idx val="1450"/>
            <c:marker>
              <c:spPr>
                <a:solidFill>
                  <a:srgbClr val="5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AA-C974-49B2-9C17-08E16E5C920D}"/>
              </c:ext>
            </c:extLst>
          </c:dPt>
          <c:dPt>
            <c:idx val="1451"/>
            <c:marker>
              <c:spPr>
                <a:solidFill>
                  <a:srgbClr val="5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AB-C974-49B2-9C17-08E16E5C920D}"/>
              </c:ext>
            </c:extLst>
          </c:dPt>
          <c:dPt>
            <c:idx val="1452"/>
            <c:marker>
              <c:spPr>
                <a:solidFill>
                  <a:srgbClr val="5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AC-C974-49B2-9C17-08E16E5C920D}"/>
              </c:ext>
            </c:extLst>
          </c:dPt>
          <c:dPt>
            <c:idx val="1453"/>
            <c:marker>
              <c:spPr>
                <a:solidFill>
                  <a:srgbClr val="5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AD-C974-49B2-9C17-08E16E5C920D}"/>
              </c:ext>
            </c:extLst>
          </c:dPt>
          <c:dPt>
            <c:idx val="1454"/>
            <c:marker>
              <c:spPr>
                <a:solidFill>
                  <a:srgbClr val="5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AE-C974-49B2-9C17-08E16E5C920D}"/>
              </c:ext>
            </c:extLst>
          </c:dPt>
          <c:dPt>
            <c:idx val="1455"/>
            <c:marker>
              <c:spPr>
                <a:solidFill>
                  <a:srgbClr val="5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AF-C974-49B2-9C17-08E16E5C920D}"/>
              </c:ext>
            </c:extLst>
          </c:dPt>
          <c:dPt>
            <c:idx val="1456"/>
            <c:marker>
              <c:spPr>
                <a:solidFill>
                  <a:srgbClr val="5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B0-C974-49B2-9C17-08E16E5C920D}"/>
              </c:ext>
            </c:extLst>
          </c:dPt>
          <c:dPt>
            <c:idx val="1457"/>
            <c:marker>
              <c:spPr>
                <a:solidFill>
                  <a:srgbClr val="5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B1-C974-49B2-9C17-08E16E5C920D}"/>
              </c:ext>
            </c:extLst>
          </c:dPt>
          <c:dPt>
            <c:idx val="1458"/>
            <c:marker>
              <c:spPr>
                <a:solidFill>
                  <a:srgbClr val="5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B2-C974-49B2-9C17-08E16E5C920D}"/>
              </c:ext>
            </c:extLst>
          </c:dPt>
          <c:dPt>
            <c:idx val="1459"/>
            <c:marker>
              <c:spPr>
                <a:solidFill>
                  <a:srgbClr val="5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B3-C974-49B2-9C17-08E16E5C920D}"/>
              </c:ext>
            </c:extLst>
          </c:dPt>
          <c:dPt>
            <c:idx val="1460"/>
            <c:marker>
              <c:spPr>
                <a:solidFill>
                  <a:srgbClr val="5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B4-C974-49B2-9C17-08E16E5C920D}"/>
              </c:ext>
            </c:extLst>
          </c:dPt>
          <c:dPt>
            <c:idx val="1461"/>
            <c:marker>
              <c:spPr>
                <a:solidFill>
                  <a:srgbClr val="5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B5-C974-49B2-9C17-08E16E5C920D}"/>
              </c:ext>
            </c:extLst>
          </c:dPt>
          <c:dPt>
            <c:idx val="1462"/>
            <c:marker>
              <c:spPr>
                <a:solidFill>
                  <a:srgbClr val="5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B6-C974-49B2-9C17-08E16E5C920D}"/>
              </c:ext>
            </c:extLst>
          </c:dPt>
          <c:dPt>
            <c:idx val="1463"/>
            <c:marker>
              <c:spPr>
                <a:solidFill>
                  <a:srgbClr val="5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B7-C974-49B2-9C17-08E16E5C920D}"/>
              </c:ext>
            </c:extLst>
          </c:dPt>
          <c:dPt>
            <c:idx val="1464"/>
            <c:marker>
              <c:spPr>
                <a:solidFill>
                  <a:srgbClr val="5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B8-C974-49B2-9C17-08E16E5C920D}"/>
              </c:ext>
            </c:extLst>
          </c:dPt>
          <c:dPt>
            <c:idx val="1465"/>
            <c:marker>
              <c:spPr>
                <a:solidFill>
                  <a:srgbClr val="5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B9-C974-49B2-9C17-08E16E5C920D}"/>
              </c:ext>
            </c:extLst>
          </c:dPt>
          <c:dPt>
            <c:idx val="1466"/>
            <c:marker>
              <c:spPr>
                <a:solidFill>
                  <a:srgbClr val="5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BA-C974-49B2-9C17-08E16E5C920D}"/>
              </c:ext>
            </c:extLst>
          </c:dPt>
          <c:dPt>
            <c:idx val="1467"/>
            <c:marker>
              <c:spPr>
                <a:solidFill>
                  <a:srgbClr val="5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BB-C974-49B2-9C17-08E16E5C920D}"/>
              </c:ext>
            </c:extLst>
          </c:dPt>
          <c:dPt>
            <c:idx val="1468"/>
            <c:marker>
              <c:spPr>
                <a:solidFill>
                  <a:srgbClr val="5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BC-C974-49B2-9C17-08E16E5C920D}"/>
              </c:ext>
            </c:extLst>
          </c:dPt>
          <c:dPt>
            <c:idx val="1469"/>
            <c:marker>
              <c:spPr>
                <a:solidFill>
                  <a:srgbClr val="5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BD-C974-49B2-9C17-08E16E5C920D}"/>
              </c:ext>
            </c:extLst>
          </c:dPt>
          <c:dPt>
            <c:idx val="1470"/>
            <c:marker>
              <c:spPr>
                <a:solidFill>
                  <a:srgbClr val="5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BE-C974-49B2-9C17-08E16E5C920D}"/>
              </c:ext>
            </c:extLst>
          </c:dPt>
          <c:dPt>
            <c:idx val="1471"/>
            <c:marker>
              <c:spPr>
                <a:solidFill>
                  <a:srgbClr val="5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BF-C974-49B2-9C17-08E16E5C920D}"/>
              </c:ext>
            </c:extLst>
          </c:dPt>
          <c:dPt>
            <c:idx val="1472"/>
            <c:marker>
              <c:spPr>
                <a:solidFill>
                  <a:srgbClr val="5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C0-C974-49B2-9C17-08E16E5C920D}"/>
              </c:ext>
            </c:extLst>
          </c:dPt>
          <c:dPt>
            <c:idx val="1473"/>
            <c:marker>
              <c:spPr>
                <a:solidFill>
                  <a:srgbClr val="5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C1-C974-49B2-9C17-08E16E5C920D}"/>
              </c:ext>
            </c:extLst>
          </c:dPt>
          <c:dPt>
            <c:idx val="1474"/>
            <c:marker>
              <c:spPr>
                <a:solidFill>
                  <a:srgbClr val="5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C2-C974-49B2-9C17-08E16E5C920D}"/>
              </c:ext>
            </c:extLst>
          </c:dPt>
          <c:dPt>
            <c:idx val="1475"/>
            <c:marker>
              <c:spPr>
                <a:solidFill>
                  <a:srgbClr val="5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C3-C974-49B2-9C17-08E16E5C920D}"/>
              </c:ext>
            </c:extLst>
          </c:dPt>
          <c:dPt>
            <c:idx val="1476"/>
            <c:marker>
              <c:spPr>
                <a:solidFill>
                  <a:srgbClr val="5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C4-C974-49B2-9C17-08E16E5C920D}"/>
              </c:ext>
            </c:extLst>
          </c:dPt>
          <c:dPt>
            <c:idx val="1477"/>
            <c:marker>
              <c:spPr>
                <a:solidFill>
                  <a:srgbClr val="5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C5-C974-49B2-9C17-08E16E5C920D}"/>
              </c:ext>
            </c:extLst>
          </c:dPt>
          <c:dPt>
            <c:idx val="1478"/>
            <c:marker>
              <c:spPr>
                <a:solidFill>
                  <a:srgbClr val="5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C6-C974-49B2-9C17-08E16E5C920D}"/>
              </c:ext>
            </c:extLst>
          </c:dPt>
          <c:dPt>
            <c:idx val="1479"/>
            <c:marker>
              <c:spPr>
                <a:solidFill>
                  <a:srgbClr val="5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C7-C974-49B2-9C17-08E16E5C920D}"/>
              </c:ext>
            </c:extLst>
          </c:dPt>
          <c:dPt>
            <c:idx val="1480"/>
            <c:marker>
              <c:spPr>
                <a:solidFill>
                  <a:srgbClr val="5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C8-C974-49B2-9C17-08E16E5C920D}"/>
              </c:ext>
            </c:extLst>
          </c:dPt>
          <c:dPt>
            <c:idx val="1481"/>
            <c:marker>
              <c:spPr>
                <a:solidFill>
                  <a:srgbClr val="5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C9-C974-49B2-9C17-08E16E5C920D}"/>
              </c:ext>
            </c:extLst>
          </c:dPt>
          <c:dPt>
            <c:idx val="1482"/>
            <c:marker>
              <c:spPr>
                <a:solidFill>
                  <a:srgbClr val="5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CA-C974-49B2-9C17-08E16E5C920D}"/>
              </c:ext>
            </c:extLst>
          </c:dPt>
          <c:dPt>
            <c:idx val="1483"/>
            <c:marker>
              <c:spPr>
                <a:solidFill>
                  <a:srgbClr val="5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CB-C974-49B2-9C17-08E16E5C920D}"/>
              </c:ext>
            </c:extLst>
          </c:dPt>
          <c:dPt>
            <c:idx val="1484"/>
            <c:marker>
              <c:spPr>
                <a:solidFill>
                  <a:srgbClr val="5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CC-C974-49B2-9C17-08E16E5C920D}"/>
              </c:ext>
            </c:extLst>
          </c:dPt>
          <c:dPt>
            <c:idx val="1485"/>
            <c:marker>
              <c:spPr>
                <a:solidFill>
                  <a:srgbClr val="5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CD-C974-49B2-9C17-08E16E5C920D}"/>
              </c:ext>
            </c:extLst>
          </c:dPt>
          <c:dPt>
            <c:idx val="1486"/>
            <c:marker>
              <c:spPr>
                <a:solidFill>
                  <a:srgbClr val="5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CE-C974-49B2-9C17-08E16E5C920D}"/>
              </c:ext>
            </c:extLst>
          </c:dPt>
          <c:dPt>
            <c:idx val="1487"/>
            <c:marker>
              <c:spPr>
                <a:solidFill>
                  <a:srgbClr val="5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CF-C974-49B2-9C17-08E16E5C920D}"/>
              </c:ext>
            </c:extLst>
          </c:dPt>
          <c:dPt>
            <c:idx val="1488"/>
            <c:marker>
              <c:spPr>
                <a:solidFill>
                  <a:srgbClr val="5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D0-C974-49B2-9C17-08E16E5C920D}"/>
              </c:ext>
            </c:extLst>
          </c:dPt>
          <c:dPt>
            <c:idx val="1489"/>
            <c:marker>
              <c:spPr>
                <a:solidFill>
                  <a:srgbClr val="5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D1-C974-49B2-9C17-08E16E5C920D}"/>
              </c:ext>
            </c:extLst>
          </c:dPt>
          <c:dPt>
            <c:idx val="1490"/>
            <c:marker>
              <c:spPr>
                <a:solidFill>
                  <a:srgbClr val="5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D2-C974-49B2-9C17-08E16E5C920D}"/>
              </c:ext>
            </c:extLst>
          </c:dPt>
          <c:dPt>
            <c:idx val="1491"/>
            <c:marker>
              <c:spPr>
                <a:solidFill>
                  <a:srgbClr val="5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D3-C974-49B2-9C17-08E16E5C920D}"/>
              </c:ext>
            </c:extLst>
          </c:dPt>
          <c:dPt>
            <c:idx val="1492"/>
            <c:marker>
              <c:spPr>
                <a:solidFill>
                  <a:srgbClr val="5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D4-C974-49B2-9C17-08E16E5C920D}"/>
              </c:ext>
            </c:extLst>
          </c:dPt>
          <c:dPt>
            <c:idx val="1493"/>
            <c:marker>
              <c:spPr>
                <a:solidFill>
                  <a:srgbClr val="5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D5-C974-49B2-9C17-08E16E5C920D}"/>
              </c:ext>
            </c:extLst>
          </c:dPt>
          <c:dPt>
            <c:idx val="1494"/>
            <c:marker>
              <c:spPr>
                <a:solidFill>
                  <a:srgbClr val="5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D6-C974-49B2-9C17-08E16E5C920D}"/>
              </c:ext>
            </c:extLst>
          </c:dPt>
          <c:dPt>
            <c:idx val="1495"/>
            <c:marker>
              <c:spPr>
                <a:solidFill>
                  <a:srgbClr val="5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D7-C974-49B2-9C17-08E16E5C920D}"/>
              </c:ext>
            </c:extLst>
          </c:dPt>
          <c:dPt>
            <c:idx val="1496"/>
            <c:marker>
              <c:spPr>
                <a:solidFill>
                  <a:srgbClr val="5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D8-C974-49B2-9C17-08E16E5C920D}"/>
              </c:ext>
            </c:extLst>
          </c:dPt>
          <c:dPt>
            <c:idx val="1497"/>
            <c:marker>
              <c:spPr>
                <a:solidFill>
                  <a:srgbClr val="5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D9-C974-49B2-9C17-08E16E5C920D}"/>
              </c:ext>
            </c:extLst>
          </c:dPt>
          <c:dPt>
            <c:idx val="1498"/>
            <c:marker>
              <c:spPr>
                <a:solidFill>
                  <a:srgbClr val="5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DA-C974-49B2-9C17-08E16E5C920D}"/>
              </c:ext>
            </c:extLst>
          </c:dPt>
          <c:dPt>
            <c:idx val="1499"/>
            <c:marker>
              <c:spPr>
                <a:solidFill>
                  <a:srgbClr val="5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DB-C974-49B2-9C17-08E16E5C920D}"/>
              </c:ext>
            </c:extLst>
          </c:dPt>
          <c:dPt>
            <c:idx val="1500"/>
            <c:marker>
              <c:spPr>
                <a:solidFill>
                  <a:srgbClr val="5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DC-C974-49B2-9C17-08E16E5C920D}"/>
              </c:ext>
            </c:extLst>
          </c:dPt>
          <c:dPt>
            <c:idx val="1501"/>
            <c:marker>
              <c:spPr>
                <a:solidFill>
                  <a:srgbClr val="5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DD-C974-49B2-9C17-08E16E5C920D}"/>
              </c:ext>
            </c:extLst>
          </c:dPt>
          <c:dPt>
            <c:idx val="1502"/>
            <c:marker>
              <c:spPr>
                <a:solidFill>
                  <a:srgbClr val="5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DE-C974-49B2-9C17-08E16E5C920D}"/>
              </c:ext>
            </c:extLst>
          </c:dPt>
          <c:dPt>
            <c:idx val="1503"/>
            <c:marker>
              <c:spPr>
                <a:solidFill>
                  <a:srgbClr val="5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DF-C974-49B2-9C17-08E16E5C920D}"/>
              </c:ext>
            </c:extLst>
          </c:dPt>
          <c:dPt>
            <c:idx val="1504"/>
            <c:marker>
              <c:spPr>
                <a:solidFill>
                  <a:srgbClr val="5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E0-C974-49B2-9C17-08E16E5C920D}"/>
              </c:ext>
            </c:extLst>
          </c:dPt>
          <c:dPt>
            <c:idx val="1505"/>
            <c:marker>
              <c:spPr>
                <a:solidFill>
                  <a:srgbClr val="5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E1-C974-49B2-9C17-08E16E5C920D}"/>
              </c:ext>
            </c:extLst>
          </c:dPt>
          <c:dPt>
            <c:idx val="1506"/>
            <c:marker>
              <c:spPr>
                <a:solidFill>
                  <a:srgbClr val="5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E2-C974-49B2-9C17-08E16E5C920D}"/>
              </c:ext>
            </c:extLst>
          </c:dPt>
          <c:dPt>
            <c:idx val="1507"/>
            <c:marker>
              <c:spPr>
                <a:solidFill>
                  <a:srgbClr val="5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E3-C974-49B2-9C17-08E16E5C920D}"/>
              </c:ext>
            </c:extLst>
          </c:dPt>
          <c:dPt>
            <c:idx val="1508"/>
            <c:marker>
              <c:spPr>
                <a:solidFill>
                  <a:srgbClr val="5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E4-C974-49B2-9C17-08E16E5C920D}"/>
              </c:ext>
            </c:extLst>
          </c:dPt>
          <c:dPt>
            <c:idx val="1509"/>
            <c:marker>
              <c:spPr>
                <a:solidFill>
                  <a:srgbClr val="5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E5-C974-49B2-9C17-08E16E5C920D}"/>
              </c:ext>
            </c:extLst>
          </c:dPt>
          <c:dPt>
            <c:idx val="1510"/>
            <c:marker>
              <c:spPr>
                <a:solidFill>
                  <a:srgbClr val="5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E6-C974-49B2-9C17-08E16E5C920D}"/>
              </c:ext>
            </c:extLst>
          </c:dPt>
          <c:dPt>
            <c:idx val="1511"/>
            <c:marker>
              <c:spPr>
                <a:solidFill>
                  <a:srgbClr val="5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E7-C974-49B2-9C17-08E16E5C920D}"/>
              </c:ext>
            </c:extLst>
          </c:dPt>
          <c:dPt>
            <c:idx val="1512"/>
            <c:marker>
              <c:spPr>
                <a:solidFill>
                  <a:srgbClr val="5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E8-C974-49B2-9C17-08E16E5C920D}"/>
              </c:ext>
            </c:extLst>
          </c:dPt>
          <c:dPt>
            <c:idx val="1513"/>
            <c:marker>
              <c:spPr>
                <a:solidFill>
                  <a:srgbClr val="5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E9-C974-49B2-9C17-08E16E5C920D}"/>
              </c:ext>
            </c:extLst>
          </c:dPt>
          <c:dPt>
            <c:idx val="1514"/>
            <c:marker>
              <c:spPr>
                <a:solidFill>
                  <a:srgbClr val="5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EA-C974-49B2-9C17-08E16E5C920D}"/>
              </c:ext>
            </c:extLst>
          </c:dPt>
          <c:dPt>
            <c:idx val="1515"/>
            <c:marker>
              <c:spPr>
                <a:solidFill>
                  <a:srgbClr val="5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EB-C974-49B2-9C17-08E16E5C920D}"/>
              </c:ext>
            </c:extLst>
          </c:dPt>
          <c:dPt>
            <c:idx val="1516"/>
            <c:marker>
              <c:spPr>
                <a:solidFill>
                  <a:srgbClr val="5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EC-C974-49B2-9C17-08E16E5C920D}"/>
              </c:ext>
            </c:extLst>
          </c:dPt>
          <c:dPt>
            <c:idx val="1517"/>
            <c:marker>
              <c:spPr>
                <a:solidFill>
                  <a:srgbClr val="5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ED-C974-49B2-9C17-08E16E5C920D}"/>
              </c:ext>
            </c:extLst>
          </c:dPt>
          <c:dPt>
            <c:idx val="1518"/>
            <c:marker>
              <c:spPr>
                <a:solidFill>
                  <a:srgbClr val="5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EE-C974-49B2-9C17-08E16E5C920D}"/>
              </c:ext>
            </c:extLst>
          </c:dPt>
          <c:dPt>
            <c:idx val="1519"/>
            <c:marker>
              <c:spPr>
                <a:solidFill>
                  <a:srgbClr val="5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EF-C974-49B2-9C17-08E16E5C920D}"/>
              </c:ext>
            </c:extLst>
          </c:dPt>
          <c:dPt>
            <c:idx val="1520"/>
            <c:marker>
              <c:spPr>
                <a:solidFill>
                  <a:srgbClr val="5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F0-C974-49B2-9C17-08E16E5C920D}"/>
              </c:ext>
            </c:extLst>
          </c:dPt>
          <c:dPt>
            <c:idx val="1521"/>
            <c:marker>
              <c:spPr>
                <a:solidFill>
                  <a:srgbClr val="5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F1-C974-49B2-9C17-08E16E5C920D}"/>
              </c:ext>
            </c:extLst>
          </c:dPt>
          <c:dPt>
            <c:idx val="1522"/>
            <c:marker>
              <c:spPr>
                <a:solidFill>
                  <a:srgbClr val="5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F2-C974-49B2-9C17-08E16E5C920D}"/>
              </c:ext>
            </c:extLst>
          </c:dPt>
          <c:dPt>
            <c:idx val="1523"/>
            <c:marker>
              <c:spPr>
                <a:solidFill>
                  <a:srgbClr val="5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F3-C974-49B2-9C17-08E16E5C920D}"/>
              </c:ext>
            </c:extLst>
          </c:dPt>
          <c:dPt>
            <c:idx val="1524"/>
            <c:marker>
              <c:spPr>
                <a:solidFill>
                  <a:srgbClr val="5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F4-C974-49B2-9C17-08E16E5C920D}"/>
              </c:ext>
            </c:extLst>
          </c:dPt>
          <c:dPt>
            <c:idx val="1525"/>
            <c:marker>
              <c:spPr>
                <a:solidFill>
                  <a:srgbClr val="5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F5-C974-49B2-9C17-08E16E5C920D}"/>
              </c:ext>
            </c:extLst>
          </c:dPt>
          <c:dPt>
            <c:idx val="1526"/>
            <c:marker>
              <c:spPr>
                <a:solidFill>
                  <a:srgbClr val="5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F6-C974-49B2-9C17-08E16E5C920D}"/>
              </c:ext>
            </c:extLst>
          </c:dPt>
          <c:dPt>
            <c:idx val="1527"/>
            <c:marker>
              <c:spPr>
                <a:solidFill>
                  <a:srgbClr val="5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F7-C974-49B2-9C17-08E16E5C920D}"/>
              </c:ext>
            </c:extLst>
          </c:dPt>
          <c:dPt>
            <c:idx val="1528"/>
            <c:marker>
              <c:spPr>
                <a:solidFill>
                  <a:srgbClr val="5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F8-C974-49B2-9C17-08E16E5C920D}"/>
              </c:ext>
            </c:extLst>
          </c:dPt>
          <c:dPt>
            <c:idx val="1529"/>
            <c:marker>
              <c:spPr>
                <a:solidFill>
                  <a:srgbClr val="5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F9-C974-49B2-9C17-08E16E5C920D}"/>
              </c:ext>
            </c:extLst>
          </c:dPt>
          <c:dPt>
            <c:idx val="1530"/>
            <c:marker>
              <c:spPr>
                <a:solidFill>
                  <a:srgbClr val="5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FA-C974-49B2-9C17-08E16E5C920D}"/>
              </c:ext>
            </c:extLst>
          </c:dPt>
          <c:dPt>
            <c:idx val="1531"/>
            <c:marker>
              <c:spPr>
                <a:solidFill>
                  <a:srgbClr val="5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FB-C974-49B2-9C17-08E16E5C920D}"/>
              </c:ext>
            </c:extLst>
          </c:dPt>
          <c:dPt>
            <c:idx val="1532"/>
            <c:marker>
              <c:spPr>
                <a:solidFill>
                  <a:srgbClr val="5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FC-C974-49B2-9C17-08E16E5C920D}"/>
              </c:ext>
            </c:extLst>
          </c:dPt>
          <c:dPt>
            <c:idx val="1533"/>
            <c:marker>
              <c:spPr>
                <a:solidFill>
                  <a:srgbClr val="5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FD-C974-49B2-9C17-08E16E5C920D}"/>
              </c:ext>
            </c:extLst>
          </c:dPt>
          <c:dPt>
            <c:idx val="1534"/>
            <c:marker>
              <c:spPr>
                <a:solidFill>
                  <a:srgbClr val="5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FE-C974-49B2-9C17-08E16E5C920D}"/>
              </c:ext>
            </c:extLst>
          </c:dPt>
          <c:dPt>
            <c:idx val="1535"/>
            <c:marker>
              <c:spPr>
                <a:solidFill>
                  <a:srgbClr val="5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FF-C974-49B2-9C17-08E16E5C920D}"/>
              </c:ext>
            </c:extLst>
          </c:dPt>
          <c:dPt>
            <c:idx val="1536"/>
            <c:marker>
              <c:spPr>
                <a:solidFill>
                  <a:srgbClr val="5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00-C974-49B2-9C17-08E16E5C920D}"/>
              </c:ext>
            </c:extLst>
          </c:dPt>
          <c:dPt>
            <c:idx val="1537"/>
            <c:marker>
              <c:spPr>
                <a:solidFill>
                  <a:srgbClr val="5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01-C974-49B2-9C17-08E16E5C920D}"/>
              </c:ext>
            </c:extLst>
          </c:dPt>
          <c:dPt>
            <c:idx val="1538"/>
            <c:marker>
              <c:spPr>
                <a:solidFill>
                  <a:srgbClr val="5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02-C974-49B2-9C17-08E16E5C920D}"/>
              </c:ext>
            </c:extLst>
          </c:dPt>
          <c:dPt>
            <c:idx val="1539"/>
            <c:marker>
              <c:spPr>
                <a:solidFill>
                  <a:srgbClr val="5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03-C974-49B2-9C17-08E16E5C920D}"/>
              </c:ext>
            </c:extLst>
          </c:dPt>
          <c:dPt>
            <c:idx val="1540"/>
            <c:marker>
              <c:spPr>
                <a:solidFill>
                  <a:srgbClr val="5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04-C974-49B2-9C17-08E16E5C920D}"/>
              </c:ext>
            </c:extLst>
          </c:dPt>
          <c:dPt>
            <c:idx val="1541"/>
            <c:marker>
              <c:spPr>
                <a:solidFill>
                  <a:srgbClr val="5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05-C974-49B2-9C17-08E16E5C920D}"/>
              </c:ext>
            </c:extLst>
          </c:dPt>
          <c:dPt>
            <c:idx val="1542"/>
            <c:marker>
              <c:spPr>
                <a:solidFill>
                  <a:srgbClr val="5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06-C974-49B2-9C17-08E16E5C920D}"/>
              </c:ext>
            </c:extLst>
          </c:dPt>
          <c:dPt>
            <c:idx val="1543"/>
            <c:marker>
              <c:spPr>
                <a:solidFill>
                  <a:srgbClr val="5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07-C974-49B2-9C17-08E16E5C920D}"/>
              </c:ext>
            </c:extLst>
          </c:dPt>
          <c:dPt>
            <c:idx val="1544"/>
            <c:marker>
              <c:spPr>
                <a:solidFill>
                  <a:srgbClr val="5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08-C974-49B2-9C17-08E16E5C920D}"/>
              </c:ext>
            </c:extLst>
          </c:dPt>
          <c:dPt>
            <c:idx val="1545"/>
            <c:marker>
              <c:spPr>
                <a:solidFill>
                  <a:srgbClr val="5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09-C974-49B2-9C17-08E16E5C920D}"/>
              </c:ext>
            </c:extLst>
          </c:dPt>
          <c:dPt>
            <c:idx val="1546"/>
            <c:marker>
              <c:spPr>
                <a:solidFill>
                  <a:srgbClr val="5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0A-C974-49B2-9C17-08E16E5C920D}"/>
              </c:ext>
            </c:extLst>
          </c:dPt>
          <c:dPt>
            <c:idx val="1547"/>
            <c:marker>
              <c:spPr>
                <a:solidFill>
                  <a:srgbClr val="5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0B-C974-49B2-9C17-08E16E5C920D}"/>
              </c:ext>
            </c:extLst>
          </c:dPt>
          <c:dPt>
            <c:idx val="1548"/>
            <c:marker>
              <c:spPr>
                <a:solidFill>
                  <a:srgbClr val="5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0C-C974-49B2-9C17-08E16E5C920D}"/>
              </c:ext>
            </c:extLst>
          </c:dPt>
          <c:dPt>
            <c:idx val="1549"/>
            <c:marker>
              <c:spPr>
                <a:solidFill>
                  <a:srgbClr val="5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0D-C974-49B2-9C17-08E16E5C920D}"/>
              </c:ext>
            </c:extLst>
          </c:dPt>
          <c:dPt>
            <c:idx val="1550"/>
            <c:marker>
              <c:spPr>
                <a:solidFill>
                  <a:srgbClr val="5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0E-C974-49B2-9C17-08E16E5C920D}"/>
              </c:ext>
            </c:extLst>
          </c:dPt>
          <c:dPt>
            <c:idx val="1551"/>
            <c:marker>
              <c:spPr>
                <a:solidFill>
                  <a:srgbClr val="5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0F-C974-49B2-9C17-08E16E5C920D}"/>
              </c:ext>
            </c:extLst>
          </c:dPt>
          <c:dPt>
            <c:idx val="1552"/>
            <c:marker>
              <c:spPr>
                <a:solidFill>
                  <a:srgbClr val="5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10-C974-49B2-9C17-08E16E5C920D}"/>
              </c:ext>
            </c:extLst>
          </c:dPt>
          <c:dPt>
            <c:idx val="1553"/>
            <c:marker>
              <c:spPr>
                <a:solidFill>
                  <a:srgbClr val="5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11-C974-49B2-9C17-08E16E5C920D}"/>
              </c:ext>
            </c:extLst>
          </c:dPt>
          <c:dPt>
            <c:idx val="1554"/>
            <c:marker>
              <c:spPr>
                <a:solidFill>
                  <a:srgbClr val="5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12-C974-49B2-9C17-08E16E5C920D}"/>
              </c:ext>
            </c:extLst>
          </c:dPt>
          <c:dPt>
            <c:idx val="1555"/>
            <c:marker>
              <c:spPr>
                <a:solidFill>
                  <a:srgbClr val="5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13-C974-49B2-9C17-08E16E5C920D}"/>
              </c:ext>
            </c:extLst>
          </c:dPt>
          <c:dPt>
            <c:idx val="1556"/>
            <c:marker>
              <c:spPr>
                <a:solidFill>
                  <a:srgbClr val="5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14-C974-49B2-9C17-08E16E5C920D}"/>
              </c:ext>
            </c:extLst>
          </c:dPt>
          <c:dPt>
            <c:idx val="1557"/>
            <c:marker>
              <c:spPr>
                <a:solidFill>
                  <a:srgbClr val="5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15-C974-49B2-9C17-08E16E5C920D}"/>
              </c:ext>
            </c:extLst>
          </c:dPt>
          <c:dPt>
            <c:idx val="1558"/>
            <c:marker>
              <c:spPr>
                <a:solidFill>
                  <a:srgbClr val="5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16-C974-49B2-9C17-08E16E5C920D}"/>
              </c:ext>
            </c:extLst>
          </c:dPt>
          <c:dPt>
            <c:idx val="1559"/>
            <c:marker>
              <c:spPr>
                <a:solidFill>
                  <a:srgbClr val="5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17-C974-49B2-9C17-08E16E5C920D}"/>
              </c:ext>
            </c:extLst>
          </c:dPt>
          <c:dPt>
            <c:idx val="1560"/>
            <c:marker>
              <c:spPr>
                <a:solidFill>
                  <a:srgbClr val="5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18-C974-49B2-9C17-08E16E5C920D}"/>
              </c:ext>
            </c:extLst>
          </c:dPt>
          <c:dPt>
            <c:idx val="1561"/>
            <c:marker>
              <c:spPr>
                <a:solidFill>
                  <a:srgbClr val="5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19-C974-49B2-9C17-08E16E5C920D}"/>
              </c:ext>
            </c:extLst>
          </c:dPt>
          <c:dPt>
            <c:idx val="1562"/>
            <c:marker>
              <c:spPr>
                <a:solidFill>
                  <a:srgbClr val="5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1A-C974-49B2-9C17-08E16E5C920D}"/>
              </c:ext>
            </c:extLst>
          </c:dPt>
          <c:dPt>
            <c:idx val="1563"/>
            <c:marker>
              <c:spPr>
                <a:solidFill>
                  <a:srgbClr val="5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1B-C974-49B2-9C17-08E16E5C920D}"/>
              </c:ext>
            </c:extLst>
          </c:dPt>
          <c:dPt>
            <c:idx val="1564"/>
            <c:marker>
              <c:spPr>
                <a:solidFill>
                  <a:srgbClr val="5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1C-C974-49B2-9C17-08E16E5C920D}"/>
              </c:ext>
            </c:extLst>
          </c:dPt>
          <c:dPt>
            <c:idx val="1565"/>
            <c:marker>
              <c:spPr>
                <a:solidFill>
                  <a:srgbClr val="5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1D-C974-49B2-9C17-08E16E5C920D}"/>
              </c:ext>
            </c:extLst>
          </c:dPt>
          <c:dPt>
            <c:idx val="1566"/>
            <c:marker>
              <c:spPr>
                <a:solidFill>
                  <a:srgbClr val="5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1E-C974-49B2-9C17-08E16E5C920D}"/>
              </c:ext>
            </c:extLst>
          </c:dPt>
          <c:dPt>
            <c:idx val="1567"/>
            <c:marker>
              <c:spPr>
                <a:solidFill>
                  <a:srgbClr val="5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1F-C974-49B2-9C17-08E16E5C920D}"/>
              </c:ext>
            </c:extLst>
          </c:dPt>
          <c:dPt>
            <c:idx val="1568"/>
            <c:marker>
              <c:spPr>
                <a:solidFill>
                  <a:srgbClr val="5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20-C974-49B2-9C17-08E16E5C920D}"/>
              </c:ext>
            </c:extLst>
          </c:dPt>
          <c:dPt>
            <c:idx val="1569"/>
            <c:marker>
              <c:spPr>
                <a:solidFill>
                  <a:srgbClr val="5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21-C974-49B2-9C17-08E16E5C920D}"/>
              </c:ext>
            </c:extLst>
          </c:dPt>
          <c:dPt>
            <c:idx val="1570"/>
            <c:marker>
              <c:spPr>
                <a:solidFill>
                  <a:srgbClr val="5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22-C974-49B2-9C17-08E16E5C920D}"/>
              </c:ext>
            </c:extLst>
          </c:dPt>
          <c:dPt>
            <c:idx val="1571"/>
            <c:marker>
              <c:spPr>
                <a:solidFill>
                  <a:srgbClr val="4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23-C974-49B2-9C17-08E16E5C920D}"/>
              </c:ext>
            </c:extLst>
          </c:dPt>
          <c:dPt>
            <c:idx val="1572"/>
            <c:marker>
              <c:spPr>
                <a:solidFill>
                  <a:srgbClr val="4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24-C974-49B2-9C17-08E16E5C920D}"/>
              </c:ext>
            </c:extLst>
          </c:dPt>
          <c:dPt>
            <c:idx val="1573"/>
            <c:marker>
              <c:spPr>
                <a:solidFill>
                  <a:srgbClr val="4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25-C974-49B2-9C17-08E16E5C920D}"/>
              </c:ext>
            </c:extLst>
          </c:dPt>
          <c:dPt>
            <c:idx val="1574"/>
            <c:marker>
              <c:spPr>
                <a:solidFill>
                  <a:srgbClr val="4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26-C974-49B2-9C17-08E16E5C920D}"/>
              </c:ext>
            </c:extLst>
          </c:dPt>
          <c:dPt>
            <c:idx val="1575"/>
            <c:marker>
              <c:spPr>
                <a:solidFill>
                  <a:srgbClr val="4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27-C974-49B2-9C17-08E16E5C920D}"/>
              </c:ext>
            </c:extLst>
          </c:dPt>
          <c:dPt>
            <c:idx val="1576"/>
            <c:marker>
              <c:spPr>
                <a:solidFill>
                  <a:srgbClr val="4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28-C974-49B2-9C17-08E16E5C920D}"/>
              </c:ext>
            </c:extLst>
          </c:dPt>
          <c:dPt>
            <c:idx val="1577"/>
            <c:marker>
              <c:spPr>
                <a:solidFill>
                  <a:srgbClr val="4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29-C974-49B2-9C17-08E16E5C920D}"/>
              </c:ext>
            </c:extLst>
          </c:dPt>
          <c:dPt>
            <c:idx val="1578"/>
            <c:marker>
              <c:spPr>
                <a:solidFill>
                  <a:srgbClr val="4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2A-C974-49B2-9C17-08E16E5C920D}"/>
              </c:ext>
            </c:extLst>
          </c:dPt>
          <c:dPt>
            <c:idx val="1579"/>
            <c:marker>
              <c:spPr>
                <a:solidFill>
                  <a:srgbClr val="4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2B-C974-49B2-9C17-08E16E5C920D}"/>
              </c:ext>
            </c:extLst>
          </c:dPt>
          <c:dPt>
            <c:idx val="1580"/>
            <c:marker>
              <c:spPr>
                <a:solidFill>
                  <a:srgbClr val="4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2C-C974-49B2-9C17-08E16E5C920D}"/>
              </c:ext>
            </c:extLst>
          </c:dPt>
          <c:dPt>
            <c:idx val="1581"/>
            <c:marker>
              <c:spPr>
                <a:solidFill>
                  <a:srgbClr val="4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2D-C974-49B2-9C17-08E16E5C920D}"/>
              </c:ext>
            </c:extLst>
          </c:dPt>
          <c:dPt>
            <c:idx val="1582"/>
            <c:marker>
              <c:spPr>
                <a:solidFill>
                  <a:srgbClr val="4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2E-C974-49B2-9C17-08E16E5C920D}"/>
              </c:ext>
            </c:extLst>
          </c:dPt>
          <c:dPt>
            <c:idx val="1583"/>
            <c:marker>
              <c:spPr>
                <a:solidFill>
                  <a:srgbClr val="4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2F-C974-49B2-9C17-08E16E5C920D}"/>
              </c:ext>
            </c:extLst>
          </c:dPt>
          <c:dPt>
            <c:idx val="1584"/>
            <c:marker>
              <c:spPr>
                <a:solidFill>
                  <a:srgbClr val="4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30-C974-49B2-9C17-08E16E5C920D}"/>
              </c:ext>
            </c:extLst>
          </c:dPt>
          <c:dPt>
            <c:idx val="1585"/>
            <c:marker>
              <c:spPr>
                <a:solidFill>
                  <a:srgbClr val="4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31-C974-49B2-9C17-08E16E5C920D}"/>
              </c:ext>
            </c:extLst>
          </c:dPt>
          <c:dPt>
            <c:idx val="1586"/>
            <c:marker>
              <c:spPr>
                <a:solidFill>
                  <a:srgbClr val="4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32-C974-49B2-9C17-08E16E5C920D}"/>
              </c:ext>
            </c:extLst>
          </c:dPt>
          <c:dPt>
            <c:idx val="1587"/>
            <c:marker>
              <c:spPr>
                <a:solidFill>
                  <a:srgbClr val="4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33-C974-49B2-9C17-08E16E5C920D}"/>
              </c:ext>
            </c:extLst>
          </c:dPt>
          <c:dPt>
            <c:idx val="1588"/>
            <c:marker>
              <c:spPr>
                <a:solidFill>
                  <a:srgbClr val="4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34-C974-49B2-9C17-08E16E5C920D}"/>
              </c:ext>
            </c:extLst>
          </c:dPt>
          <c:dPt>
            <c:idx val="1589"/>
            <c:marker>
              <c:spPr>
                <a:solidFill>
                  <a:srgbClr val="4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35-C974-49B2-9C17-08E16E5C920D}"/>
              </c:ext>
            </c:extLst>
          </c:dPt>
          <c:dPt>
            <c:idx val="1590"/>
            <c:marker>
              <c:spPr>
                <a:solidFill>
                  <a:srgbClr val="4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36-C974-49B2-9C17-08E16E5C920D}"/>
              </c:ext>
            </c:extLst>
          </c:dPt>
          <c:dPt>
            <c:idx val="1591"/>
            <c:marker>
              <c:spPr>
                <a:solidFill>
                  <a:srgbClr val="4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37-C974-49B2-9C17-08E16E5C920D}"/>
              </c:ext>
            </c:extLst>
          </c:dPt>
          <c:dPt>
            <c:idx val="1592"/>
            <c:marker>
              <c:spPr>
                <a:solidFill>
                  <a:srgbClr val="4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38-C974-49B2-9C17-08E16E5C920D}"/>
              </c:ext>
            </c:extLst>
          </c:dPt>
          <c:dPt>
            <c:idx val="1593"/>
            <c:marker>
              <c:spPr>
                <a:solidFill>
                  <a:srgbClr val="4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39-C974-49B2-9C17-08E16E5C920D}"/>
              </c:ext>
            </c:extLst>
          </c:dPt>
          <c:dPt>
            <c:idx val="1594"/>
            <c:marker>
              <c:spPr>
                <a:solidFill>
                  <a:srgbClr val="4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3A-C974-49B2-9C17-08E16E5C920D}"/>
              </c:ext>
            </c:extLst>
          </c:dPt>
          <c:dPt>
            <c:idx val="1595"/>
            <c:marker>
              <c:spPr>
                <a:solidFill>
                  <a:srgbClr val="4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3B-C974-49B2-9C17-08E16E5C920D}"/>
              </c:ext>
            </c:extLst>
          </c:dPt>
          <c:dPt>
            <c:idx val="1596"/>
            <c:marker>
              <c:spPr>
                <a:solidFill>
                  <a:srgbClr val="4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3C-C974-49B2-9C17-08E16E5C920D}"/>
              </c:ext>
            </c:extLst>
          </c:dPt>
          <c:dPt>
            <c:idx val="1597"/>
            <c:marker>
              <c:spPr>
                <a:solidFill>
                  <a:srgbClr val="4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3D-C974-49B2-9C17-08E16E5C920D}"/>
              </c:ext>
            </c:extLst>
          </c:dPt>
          <c:dPt>
            <c:idx val="1598"/>
            <c:marker>
              <c:spPr>
                <a:solidFill>
                  <a:srgbClr val="4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3E-C974-49B2-9C17-08E16E5C920D}"/>
              </c:ext>
            </c:extLst>
          </c:dPt>
          <c:dPt>
            <c:idx val="1599"/>
            <c:marker>
              <c:spPr>
                <a:solidFill>
                  <a:srgbClr val="4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3F-C974-49B2-9C17-08E16E5C920D}"/>
              </c:ext>
            </c:extLst>
          </c:dPt>
          <c:dPt>
            <c:idx val="1600"/>
            <c:marker>
              <c:spPr>
                <a:solidFill>
                  <a:srgbClr val="4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40-C974-49B2-9C17-08E16E5C920D}"/>
              </c:ext>
            </c:extLst>
          </c:dPt>
          <c:dPt>
            <c:idx val="1601"/>
            <c:marker>
              <c:spPr>
                <a:solidFill>
                  <a:srgbClr val="4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41-C974-49B2-9C17-08E16E5C920D}"/>
              </c:ext>
            </c:extLst>
          </c:dPt>
          <c:dPt>
            <c:idx val="1602"/>
            <c:marker>
              <c:spPr>
                <a:solidFill>
                  <a:srgbClr val="4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42-C974-49B2-9C17-08E16E5C920D}"/>
              </c:ext>
            </c:extLst>
          </c:dPt>
          <c:dPt>
            <c:idx val="1603"/>
            <c:marker>
              <c:spPr>
                <a:solidFill>
                  <a:srgbClr val="4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43-C974-49B2-9C17-08E16E5C920D}"/>
              </c:ext>
            </c:extLst>
          </c:dPt>
          <c:dPt>
            <c:idx val="1604"/>
            <c:marker>
              <c:spPr>
                <a:solidFill>
                  <a:srgbClr val="4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44-C974-49B2-9C17-08E16E5C920D}"/>
              </c:ext>
            </c:extLst>
          </c:dPt>
          <c:dPt>
            <c:idx val="1605"/>
            <c:marker>
              <c:spPr>
                <a:solidFill>
                  <a:srgbClr val="4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45-C974-49B2-9C17-08E16E5C920D}"/>
              </c:ext>
            </c:extLst>
          </c:dPt>
          <c:dPt>
            <c:idx val="1606"/>
            <c:marker>
              <c:spPr>
                <a:solidFill>
                  <a:srgbClr val="4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46-C974-49B2-9C17-08E16E5C920D}"/>
              </c:ext>
            </c:extLst>
          </c:dPt>
          <c:dPt>
            <c:idx val="1607"/>
            <c:marker>
              <c:spPr>
                <a:solidFill>
                  <a:srgbClr val="4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47-C974-49B2-9C17-08E16E5C920D}"/>
              </c:ext>
            </c:extLst>
          </c:dPt>
          <c:dPt>
            <c:idx val="1608"/>
            <c:marker>
              <c:spPr>
                <a:solidFill>
                  <a:srgbClr val="4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48-C974-49B2-9C17-08E16E5C920D}"/>
              </c:ext>
            </c:extLst>
          </c:dPt>
          <c:dPt>
            <c:idx val="1609"/>
            <c:marker>
              <c:spPr>
                <a:solidFill>
                  <a:srgbClr val="4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49-C974-49B2-9C17-08E16E5C920D}"/>
              </c:ext>
            </c:extLst>
          </c:dPt>
          <c:dPt>
            <c:idx val="1610"/>
            <c:marker>
              <c:spPr>
                <a:solidFill>
                  <a:srgbClr val="4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4A-C974-49B2-9C17-08E16E5C920D}"/>
              </c:ext>
            </c:extLst>
          </c:dPt>
          <c:dPt>
            <c:idx val="1611"/>
            <c:marker>
              <c:spPr>
                <a:solidFill>
                  <a:srgbClr val="4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4B-C974-49B2-9C17-08E16E5C920D}"/>
              </c:ext>
            </c:extLst>
          </c:dPt>
          <c:dPt>
            <c:idx val="1612"/>
            <c:marker>
              <c:spPr>
                <a:solidFill>
                  <a:srgbClr val="4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4C-C974-49B2-9C17-08E16E5C920D}"/>
              </c:ext>
            </c:extLst>
          </c:dPt>
          <c:dPt>
            <c:idx val="1613"/>
            <c:marker>
              <c:spPr>
                <a:solidFill>
                  <a:srgbClr val="4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4D-C974-49B2-9C17-08E16E5C920D}"/>
              </c:ext>
            </c:extLst>
          </c:dPt>
          <c:dPt>
            <c:idx val="1614"/>
            <c:marker>
              <c:spPr>
                <a:solidFill>
                  <a:srgbClr val="4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4E-C974-49B2-9C17-08E16E5C920D}"/>
              </c:ext>
            </c:extLst>
          </c:dPt>
          <c:dPt>
            <c:idx val="1615"/>
            <c:marker>
              <c:spPr>
                <a:solidFill>
                  <a:srgbClr val="4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4F-C974-49B2-9C17-08E16E5C920D}"/>
              </c:ext>
            </c:extLst>
          </c:dPt>
          <c:dPt>
            <c:idx val="1616"/>
            <c:marker>
              <c:spPr>
                <a:solidFill>
                  <a:srgbClr val="4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50-C974-49B2-9C17-08E16E5C920D}"/>
              </c:ext>
            </c:extLst>
          </c:dPt>
          <c:dPt>
            <c:idx val="1617"/>
            <c:marker>
              <c:spPr>
                <a:solidFill>
                  <a:srgbClr val="4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51-C974-49B2-9C17-08E16E5C920D}"/>
              </c:ext>
            </c:extLst>
          </c:dPt>
          <c:dPt>
            <c:idx val="1618"/>
            <c:marker>
              <c:spPr>
                <a:solidFill>
                  <a:srgbClr val="4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52-C974-49B2-9C17-08E16E5C920D}"/>
              </c:ext>
            </c:extLst>
          </c:dPt>
          <c:dPt>
            <c:idx val="1619"/>
            <c:marker>
              <c:spPr>
                <a:solidFill>
                  <a:srgbClr val="4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53-C974-49B2-9C17-08E16E5C920D}"/>
              </c:ext>
            </c:extLst>
          </c:dPt>
          <c:dPt>
            <c:idx val="1620"/>
            <c:marker>
              <c:spPr>
                <a:solidFill>
                  <a:srgbClr val="4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54-C974-49B2-9C17-08E16E5C920D}"/>
              </c:ext>
            </c:extLst>
          </c:dPt>
          <c:dPt>
            <c:idx val="1621"/>
            <c:marker>
              <c:spPr>
                <a:solidFill>
                  <a:srgbClr val="4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55-C974-49B2-9C17-08E16E5C920D}"/>
              </c:ext>
            </c:extLst>
          </c:dPt>
          <c:dPt>
            <c:idx val="1622"/>
            <c:marker>
              <c:spPr>
                <a:solidFill>
                  <a:srgbClr val="4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56-C974-49B2-9C17-08E16E5C920D}"/>
              </c:ext>
            </c:extLst>
          </c:dPt>
          <c:dPt>
            <c:idx val="1623"/>
            <c:marker>
              <c:spPr>
                <a:solidFill>
                  <a:srgbClr val="4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57-C974-49B2-9C17-08E16E5C920D}"/>
              </c:ext>
            </c:extLst>
          </c:dPt>
          <c:dPt>
            <c:idx val="1624"/>
            <c:marker>
              <c:spPr>
                <a:solidFill>
                  <a:srgbClr val="4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58-C974-49B2-9C17-08E16E5C920D}"/>
              </c:ext>
            </c:extLst>
          </c:dPt>
          <c:dPt>
            <c:idx val="1625"/>
            <c:marker>
              <c:spPr>
                <a:solidFill>
                  <a:srgbClr val="4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59-C974-49B2-9C17-08E16E5C920D}"/>
              </c:ext>
            </c:extLst>
          </c:dPt>
          <c:dPt>
            <c:idx val="1626"/>
            <c:marker>
              <c:spPr>
                <a:solidFill>
                  <a:srgbClr val="4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5A-C974-49B2-9C17-08E16E5C920D}"/>
              </c:ext>
            </c:extLst>
          </c:dPt>
          <c:dPt>
            <c:idx val="1627"/>
            <c:marker>
              <c:spPr>
                <a:solidFill>
                  <a:srgbClr val="4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5B-C974-49B2-9C17-08E16E5C920D}"/>
              </c:ext>
            </c:extLst>
          </c:dPt>
          <c:dPt>
            <c:idx val="1628"/>
            <c:marker>
              <c:spPr>
                <a:solidFill>
                  <a:srgbClr val="4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5C-C974-49B2-9C17-08E16E5C920D}"/>
              </c:ext>
            </c:extLst>
          </c:dPt>
          <c:dPt>
            <c:idx val="1629"/>
            <c:marker>
              <c:spPr>
                <a:solidFill>
                  <a:srgbClr val="4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5D-C974-49B2-9C17-08E16E5C920D}"/>
              </c:ext>
            </c:extLst>
          </c:dPt>
          <c:dPt>
            <c:idx val="1630"/>
            <c:marker>
              <c:spPr>
                <a:solidFill>
                  <a:srgbClr val="4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5E-C974-49B2-9C17-08E16E5C920D}"/>
              </c:ext>
            </c:extLst>
          </c:dPt>
          <c:dPt>
            <c:idx val="1631"/>
            <c:marker>
              <c:spPr>
                <a:solidFill>
                  <a:srgbClr val="4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5F-C974-49B2-9C17-08E16E5C920D}"/>
              </c:ext>
            </c:extLst>
          </c:dPt>
          <c:dPt>
            <c:idx val="1632"/>
            <c:marker>
              <c:spPr>
                <a:solidFill>
                  <a:srgbClr val="4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60-C974-49B2-9C17-08E16E5C920D}"/>
              </c:ext>
            </c:extLst>
          </c:dPt>
          <c:dPt>
            <c:idx val="1633"/>
            <c:marker>
              <c:spPr>
                <a:solidFill>
                  <a:srgbClr val="4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61-C974-49B2-9C17-08E16E5C920D}"/>
              </c:ext>
            </c:extLst>
          </c:dPt>
          <c:dPt>
            <c:idx val="1634"/>
            <c:marker>
              <c:spPr>
                <a:solidFill>
                  <a:srgbClr val="4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62-C974-49B2-9C17-08E16E5C920D}"/>
              </c:ext>
            </c:extLst>
          </c:dPt>
          <c:dPt>
            <c:idx val="1635"/>
            <c:marker>
              <c:spPr>
                <a:solidFill>
                  <a:srgbClr val="4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63-C974-49B2-9C17-08E16E5C920D}"/>
              </c:ext>
            </c:extLst>
          </c:dPt>
          <c:dPt>
            <c:idx val="1636"/>
            <c:marker>
              <c:spPr>
                <a:solidFill>
                  <a:srgbClr val="4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64-C974-49B2-9C17-08E16E5C920D}"/>
              </c:ext>
            </c:extLst>
          </c:dPt>
          <c:dPt>
            <c:idx val="1637"/>
            <c:marker>
              <c:spPr>
                <a:solidFill>
                  <a:srgbClr val="4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65-C974-49B2-9C17-08E16E5C920D}"/>
              </c:ext>
            </c:extLst>
          </c:dPt>
          <c:dPt>
            <c:idx val="1638"/>
            <c:marker>
              <c:spPr>
                <a:solidFill>
                  <a:srgbClr val="4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66-C974-49B2-9C17-08E16E5C920D}"/>
              </c:ext>
            </c:extLst>
          </c:dPt>
          <c:dPt>
            <c:idx val="1639"/>
            <c:marker>
              <c:spPr>
                <a:solidFill>
                  <a:srgbClr val="4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67-C974-49B2-9C17-08E16E5C920D}"/>
              </c:ext>
            </c:extLst>
          </c:dPt>
          <c:dPt>
            <c:idx val="1640"/>
            <c:marker>
              <c:spPr>
                <a:solidFill>
                  <a:srgbClr val="4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68-C974-49B2-9C17-08E16E5C920D}"/>
              </c:ext>
            </c:extLst>
          </c:dPt>
          <c:dPt>
            <c:idx val="1641"/>
            <c:marker>
              <c:spPr>
                <a:solidFill>
                  <a:srgbClr val="4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69-C974-49B2-9C17-08E16E5C920D}"/>
              </c:ext>
            </c:extLst>
          </c:dPt>
          <c:dPt>
            <c:idx val="1642"/>
            <c:marker>
              <c:spPr>
                <a:solidFill>
                  <a:srgbClr val="4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6A-C974-49B2-9C17-08E16E5C920D}"/>
              </c:ext>
            </c:extLst>
          </c:dPt>
          <c:dPt>
            <c:idx val="1643"/>
            <c:marker>
              <c:spPr>
                <a:solidFill>
                  <a:srgbClr val="4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6B-C974-49B2-9C17-08E16E5C920D}"/>
              </c:ext>
            </c:extLst>
          </c:dPt>
          <c:dPt>
            <c:idx val="1644"/>
            <c:marker>
              <c:spPr>
                <a:solidFill>
                  <a:srgbClr val="4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6C-C974-49B2-9C17-08E16E5C920D}"/>
              </c:ext>
            </c:extLst>
          </c:dPt>
          <c:dPt>
            <c:idx val="1645"/>
            <c:marker>
              <c:spPr>
                <a:solidFill>
                  <a:srgbClr val="4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6D-C974-49B2-9C17-08E16E5C920D}"/>
              </c:ext>
            </c:extLst>
          </c:dPt>
          <c:dPt>
            <c:idx val="1646"/>
            <c:marker>
              <c:spPr>
                <a:solidFill>
                  <a:srgbClr val="4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6E-C974-49B2-9C17-08E16E5C920D}"/>
              </c:ext>
            </c:extLst>
          </c:dPt>
          <c:dPt>
            <c:idx val="1647"/>
            <c:marker>
              <c:spPr>
                <a:solidFill>
                  <a:srgbClr val="4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6F-C974-49B2-9C17-08E16E5C920D}"/>
              </c:ext>
            </c:extLst>
          </c:dPt>
          <c:dPt>
            <c:idx val="1648"/>
            <c:marker>
              <c:spPr>
                <a:solidFill>
                  <a:srgbClr val="4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70-C974-49B2-9C17-08E16E5C920D}"/>
              </c:ext>
            </c:extLst>
          </c:dPt>
          <c:dPt>
            <c:idx val="1649"/>
            <c:marker>
              <c:spPr>
                <a:solidFill>
                  <a:srgbClr val="4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71-C974-49B2-9C17-08E16E5C920D}"/>
              </c:ext>
            </c:extLst>
          </c:dPt>
          <c:dPt>
            <c:idx val="1650"/>
            <c:marker>
              <c:spPr>
                <a:solidFill>
                  <a:srgbClr val="4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72-C974-49B2-9C17-08E16E5C920D}"/>
              </c:ext>
            </c:extLst>
          </c:dPt>
          <c:dPt>
            <c:idx val="1651"/>
            <c:marker>
              <c:spPr>
                <a:solidFill>
                  <a:srgbClr val="4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73-C974-49B2-9C17-08E16E5C920D}"/>
              </c:ext>
            </c:extLst>
          </c:dPt>
          <c:dPt>
            <c:idx val="1652"/>
            <c:marker>
              <c:spPr>
                <a:solidFill>
                  <a:srgbClr val="4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74-C974-49B2-9C17-08E16E5C920D}"/>
              </c:ext>
            </c:extLst>
          </c:dPt>
          <c:dPt>
            <c:idx val="1653"/>
            <c:marker>
              <c:spPr>
                <a:solidFill>
                  <a:srgbClr val="4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75-C974-49B2-9C17-08E16E5C920D}"/>
              </c:ext>
            </c:extLst>
          </c:dPt>
          <c:dPt>
            <c:idx val="1654"/>
            <c:marker>
              <c:spPr>
                <a:solidFill>
                  <a:srgbClr val="4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76-C974-49B2-9C17-08E16E5C920D}"/>
              </c:ext>
            </c:extLst>
          </c:dPt>
          <c:dPt>
            <c:idx val="1655"/>
            <c:marker>
              <c:spPr>
                <a:solidFill>
                  <a:srgbClr val="4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77-C974-49B2-9C17-08E16E5C920D}"/>
              </c:ext>
            </c:extLst>
          </c:dPt>
          <c:dPt>
            <c:idx val="1656"/>
            <c:marker>
              <c:spPr>
                <a:solidFill>
                  <a:srgbClr val="4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78-C974-49B2-9C17-08E16E5C920D}"/>
              </c:ext>
            </c:extLst>
          </c:dPt>
          <c:dPt>
            <c:idx val="1657"/>
            <c:marker>
              <c:spPr>
                <a:solidFill>
                  <a:srgbClr val="4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79-C974-49B2-9C17-08E16E5C920D}"/>
              </c:ext>
            </c:extLst>
          </c:dPt>
          <c:dPt>
            <c:idx val="1658"/>
            <c:marker>
              <c:spPr>
                <a:solidFill>
                  <a:srgbClr val="4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7A-C974-49B2-9C17-08E16E5C920D}"/>
              </c:ext>
            </c:extLst>
          </c:dPt>
          <c:dPt>
            <c:idx val="1659"/>
            <c:marker>
              <c:spPr>
                <a:solidFill>
                  <a:srgbClr val="4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7B-C974-49B2-9C17-08E16E5C920D}"/>
              </c:ext>
            </c:extLst>
          </c:dPt>
          <c:dPt>
            <c:idx val="1660"/>
            <c:marker>
              <c:spPr>
                <a:solidFill>
                  <a:srgbClr val="4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7C-C974-49B2-9C17-08E16E5C920D}"/>
              </c:ext>
            </c:extLst>
          </c:dPt>
          <c:dPt>
            <c:idx val="1661"/>
            <c:marker>
              <c:spPr>
                <a:solidFill>
                  <a:srgbClr val="4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7D-C974-49B2-9C17-08E16E5C920D}"/>
              </c:ext>
            </c:extLst>
          </c:dPt>
          <c:dPt>
            <c:idx val="1662"/>
            <c:marker>
              <c:spPr>
                <a:solidFill>
                  <a:srgbClr val="4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7E-C974-49B2-9C17-08E16E5C920D}"/>
              </c:ext>
            </c:extLst>
          </c:dPt>
          <c:dPt>
            <c:idx val="1663"/>
            <c:marker>
              <c:spPr>
                <a:solidFill>
                  <a:srgbClr val="4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7F-C974-49B2-9C17-08E16E5C920D}"/>
              </c:ext>
            </c:extLst>
          </c:dPt>
          <c:dPt>
            <c:idx val="1664"/>
            <c:marker>
              <c:spPr>
                <a:solidFill>
                  <a:srgbClr val="4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80-C974-49B2-9C17-08E16E5C920D}"/>
              </c:ext>
            </c:extLst>
          </c:dPt>
          <c:dPt>
            <c:idx val="1665"/>
            <c:marker>
              <c:spPr>
                <a:solidFill>
                  <a:srgbClr val="4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81-C974-49B2-9C17-08E16E5C920D}"/>
              </c:ext>
            </c:extLst>
          </c:dPt>
          <c:dPt>
            <c:idx val="1666"/>
            <c:marker>
              <c:spPr>
                <a:solidFill>
                  <a:srgbClr val="4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82-C974-49B2-9C17-08E16E5C920D}"/>
              </c:ext>
            </c:extLst>
          </c:dPt>
          <c:dPt>
            <c:idx val="1667"/>
            <c:marker>
              <c:spPr>
                <a:solidFill>
                  <a:srgbClr val="4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83-C974-49B2-9C17-08E16E5C920D}"/>
              </c:ext>
            </c:extLst>
          </c:dPt>
          <c:dPt>
            <c:idx val="1668"/>
            <c:marker>
              <c:spPr>
                <a:solidFill>
                  <a:srgbClr val="4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84-C974-49B2-9C17-08E16E5C920D}"/>
              </c:ext>
            </c:extLst>
          </c:dPt>
          <c:dPt>
            <c:idx val="1669"/>
            <c:marker>
              <c:spPr>
                <a:solidFill>
                  <a:srgbClr val="4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85-C974-49B2-9C17-08E16E5C920D}"/>
              </c:ext>
            </c:extLst>
          </c:dPt>
          <c:dPt>
            <c:idx val="1670"/>
            <c:marker>
              <c:spPr>
                <a:solidFill>
                  <a:srgbClr val="4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86-C974-49B2-9C17-08E16E5C920D}"/>
              </c:ext>
            </c:extLst>
          </c:dPt>
          <c:dPt>
            <c:idx val="1671"/>
            <c:marker>
              <c:spPr>
                <a:solidFill>
                  <a:srgbClr val="4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87-C974-49B2-9C17-08E16E5C920D}"/>
              </c:ext>
            </c:extLst>
          </c:dPt>
          <c:dPt>
            <c:idx val="1672"/>
            <c:marker>
              <c:spPr>
                <a:solidFill>
                  <a:srgbClr val="4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88-C974-49B2-9C17-08E16E5C920D}"/>
              </c:ext>
            </c:extLst>
          </c:dPt>
          <c:dPt>
            <c:idx val="1673"/>
            <c:marker>
              <c:spPr>
                <a:solidFill>
                  <a:srgbClr val="4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89-C974-49B2-9C17-08E16E5C920D}"/>
              </c:ext>
            </c:extLst>
          </c:dPt>
          <c:dPt>
            <c:idx val="1674"/>
            <c:marker>
              <c:spPr>
                <a:solidFill>
                  <a:srgbClr val="4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8A-C974-49B2-9C17-08E16E5C920D}"/>
              </c:ext>
            </c:extLst>
          </c:dPt>
          <c:dPt>
            <c:idx val="1675"/>
            <c:marker>
              <c:spPr>
                <a:solidFill>
                  <a:srgbClr val="4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8B-C974-49B2-9C17-08E16E5C920D}"/>
              </c:ext>
            </c:extLst>
          </c:dPt>
          <c:dPt>
            <c:idx val="1676"/>
            <c:marker>
              <c:spPr>
                <a:solidFill>
                  <a:srgbClr val="4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8C-C974-49B2-9C17-08E16E5C920D}"/>
              </c:ext>
            </c:extLst>
          </c:dPt>
          <c:dPt>
            <c:idx val="1677"/>
            <c:marker>
              <c:spPr>
                <a:solidFill>
                  <a:srgbClr val="4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8D-C974-49B2-9C17-08E16E5C920D}"/>
              </c:ext>
            </c:extLst>
          </c:dPt>
          <c:dPt>
            <c:idx val="1678"/>
            <c:marker>
              <c:spPr>
                <a:solidFill>
                  <a:srgbClr val="4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8E-C974-49B2-9C17-08E16E5C920D}"/>
              </c:ext>
            </c:extLst>
          </c:dPt>
          <c:dPt>
            <c:idx val="1679"/>
            <c:marker>
              <c:spPr>
                <a:solidFill>
                  <a:srgbClr val="4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8F-C974-49B2-9C17-08E16E5C920D}"/>
              </c:ext>
            </c:extLst>
          </c:dPt>
          <c:dPt>
            <c:idx val="1680"/>
            <c:marker>
              <c:spPr>
                <a:solidFill>
                  <a:srgbClr val="4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90-C974-49B2-9C17-08E16E5C920D}"/>
              </c:ext>
            </c:extLst>
          </c:dPt>
          <c:dPt>
            <c:idx val="1681"/>
            <c:marker>
              <c:spPr>
                <a:solidFill>
                  <a:srgbClr val="4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91-C974-49B2-9C17-08E16E5C920D}"/>
              </c:ext>
            </c:extLst>
          </c:dPt>
          <c:dPt>
            <c:idx val="1682"/>
            <c:marker>
              <c:spPr>
                <a:solidFill>
                  <a:srgbClr val="4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92-C974-49B2-9C17-08E16E5C920D}"/>
              </c:ext>
            </c:extLst>
          </c:dPt>
          <c:dPt>
            <c:idx val="1683"/>
            <c:marker>
              <c:spPr>
                <a:solidFill>
                  <a:srgbClr val="4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93-C974-49B2-9C17-08E16E5C920D}"/>
              </c:ext>
            </c:extLst>
          </c:dPt>
          <c:dPt>
            <c:idx val="1684"/>
            <c:marker>
              <c:spPr>
                <a:solidFill>
                  <a:srgbClr val="4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94-C974-49B2-9C17-08E16E5C920D}"/>
              </c:ext>
            </c:extLst>
          </c:dPt>
          <c:dPt>
            <c:idx val="1685"/>
            <c:marker>
              <c:spPr>
                <a:solidFill>
                  <a:srgbClr val="4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95-C974-49B2-9C17-08E16E5C920D}"/>
              </c:ext>
            </c:extLst>
          </c:dPt>
          <c:dPt>
            <c:idx val="1686"/>
            <c:marker>
              <c:spPr>
                <a:solidFill>
                  <a:srgbClr val="4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96-C974-49B2-9C17-08E16E5C920D}"/>
              </c:ext>
            </c:extLst>
          </c:dPt>
          <c:dPt>
            <c:idx val="1687"/>
            <c:marker>
              <c:spPr>
                <a:solidFill>
                  <a:srgbClr val="4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97-C974-49B2-9C17-08E16E5C920D}"/>
              </c:ext>
            </c:extLst>
          </c:dPt>
          <c:dPt>
            <c:idx val="1688"/>
            <c:marker>
              <c:spPr>
                <a:solidFill>
                  <a:srgbClr val="4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98-C974-49B2-9C17-08E16E5C920D}"/>
              </c:ext>
            </c:extLst>
          </c:dPt>
          <c:dPt>
            <c:idx val="1689"/>
            <c:marker>
              <c:spPr>
                <a:solidFill>
                  <a:srgbClr val="4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99-C974-49B2-9C17-08E16E5C920D}"/>
              </c:ext>
            </c:extLst>
          </c:dPt>
          <c:dPt>
            <c:idx val="1690"/>
            <c:marker>
              <c:spPr>
                <a:solidFill>
                  <a:srgbClr val="4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9A-C974-49B2-9C17-08E16E5C920D}"/>
              </c:ext>
            </c:extLst>
          </c:dPt>
          <c:dPt>
            <c:idx val="1691"/>
            <c:marker>
              <c:spPr>
                <a:solidFill>
                  <a:srgbClr val="4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9B-C974-49B2-9C17-08E16E5C920D}"/>
              </c:ext>
            </c:extLst>
          </c:dPt>
          <c:dPt>
            <c:idx val="1692"/>
            <c:marker>
              <c:spPr>
                <a:solidFill>
                  <a:srgbClr val="4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9C-C974-49B2-9C17-08E16E5C920D}"/>
              </c:ext>
            </c:extLst>
          </c:dPt>
          <c:dPt>
            <c:idx val="1693"/>
            <c:marker>
              <c:spPr>
                <a:solidFill>
                  <a:srgbClr val="4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9D-C974-49B2-9C17-08E16E5C920D}"/>
              </c:ext>
            </c:extLst>
          </c:dPt>
          <c:dPt>
            <c:idx val="1694"/>
            <c:marker>
              <c:spPr>
                <a:solidFill>
                  <a:srgbClr val="4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9E-C974-49B2-9C17-08E16E5C920D}"/>
              </c:ext>
            </c:extLst>
          </c:dPt>
          <c:dPt>
            <c:idx val="1695"/>
            <c:marker>
              <c:spPr>
                <a:solidFill>
                  <a:srgbClr val="4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9F-C974-49B2-9C17-08E16E5C920D}"/>
              </c:ext>
            </c:extLst>
          </c:dPt>
          <c:dPt>
            <c:idx val="1696"/>
            <c:marker>
              <c:spPr>
                <a:solidFill>
                  <a:srgbClr val="4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A0-C974-49B2-9C17-08E16E5C920D}"/>
              </c:ext>
            </c:extLst>
          </c:dPt>
          <c:dPt>
            <c:idx val="1697"/>
            <c:marker>
              <c:spPr>
                <a:solidFill>
                  <a:srgbClr val="4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A1-C974-49B2-9C17-08E16E5C920D}"/>
              </c:ext>
            </c:extLst>
          </c:dPt>
          <c:dPt>
            <c:idx val="1698"/>
            <c:marker>
              <c:spPr>
                <a:solidFill>
                  <a:srgbClr val="4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A2-C974-49B2-9C17-08E16E5C920D}"/>
              </c:ext>
            </c:extLst>
          </c:dPt>
          <c:dPt>
            <c:idx val="1699"/>
            <c:marker>
              <c:spPr>
                <a:solidFill>
                  <a:srgbClr val="4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A3-C974-49B2-9C17-08E16E5C920D}"/>
              </c:ext>
            </c:extLst>
          </c:dPt>
          <c:dPt>
            <c:idx val="1700"/>
            <c:marker>
              <c:spPr>
                <a:solidFill>
                  <a:srgbClr val="4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A4-C974-49B2-9C17-08E16E5C920D}"/>
              </c:ext>
            </c:extLst>
          </c:dPt>
          <c:dPt>
            <c:idx val="1701"/>
            <c:marker>
              <c:spPr>
                <a:solidFill>
                  <a:srgbClr val="4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A5-C974-49B2-9C17-08E16E5C920D}"/>
              </c:ext>
            </c:extLst>
          </c:dPt>
          <c:dPt>
            <c:idx val="1702"/>
            <c:marker>
              <c:spPr>
                <a:solidFill>
                  <a:srgbClr val="4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A6-C974-49B2-9C17-08E16E5C920D}"/>
              </c:ext>
            </c:extLst>
          </c:dPt>
          <c:dPt>
            <c:idx val="1703"/>
            <c:marker>
              <c:spPr>
                <a:solidFill>
                  <a:srgbClr val="4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A7-C974-49B2-9C17-08E16E5C920D}"/>
              </c:ext>
            </c:extLst>
          </c:dPt>
          <c:dPt>
            <c:idx val="1704"/>
            <c:marker>
              <c:spPr>
                <a:solidFill>
                  <a:srgbClr val="4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A8-C974-49B2-9C17-08E16E5C920D}"/>
              </c:ext>
            </c:extLst>
          </c:dPt>
          <c:dPt>
            <c:idx val="1705"/>
            <c:marker>
              <c:spPr>
                <a:solidFill>
                  <a:srgbClr val="4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A9-C974-49B2-9C17-08E16E5C920D}"/>
              </c:ext>
            </c:extLst>
          </c:dPt>
          <c:dPt>
            <c:idx val="1706"/>
            <c:marker>
              <c:spPr>
                <a:solidFill>
                  <a:srgbClr val="4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AA-C974-49B2-9C17-08E16E5C920D}"/>
              </c:ext>
            </c:extLst>
          </c:dPt>
          <c:dPt>
            <c:idx val="1707"/>
            <c:marker>
              <c:spPr>
                <a:solidFill>
                  <a:srgbClr val="4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AB-C974-49B2-9C17-08E16E5C920D}"/>
              </c:ext>
            </c:extLst>
          </c:dPt>
          <c:dPt>
            <c:idx val="1708"/>
            <c:marker>
              <c:spPr>
                <a:solidFill>
                  <a:srgbClr val="4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AC-C974-49B2-9C17-08E16E5C920D}"/>
              </c:ext>
            </c:extLst>
          </c:dPt>
          <c:dPt>
            <c:idx val="1709"/>
            <c:marker>
              <c:spPr>
                <a:solidFill>
                  <a:srgbClr val="4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AD-C974-49B2-9C17-08E16E5C920D}"/>
              </c:ext>
            </c:extLst>
          </c:dPt>
          <c:dPt>
            <c:idx val="1710"/>
            <c:marker>
              <c:spPr>
                <a:solidFill>
                  <a:srgbClr val="4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AE-C974-49B2-9C17-08E16E5C920D}"/>
              </c:ext>
            </c:extLst>
          </c:dPt>
          <c:dPt>
            <c:idx val="1711"/>
            <c:marker>
              <c:spPr>
                <a:solidFill>
                  <a:srgbClr val="4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AF-C974-49B2-9C17-08E16E5C920D}"/>
              </c:ext>
            </c:extLst>
          </c:dPt>
          <c:dPt>
            <c:idx val="1712"/>
            <c:marker>
              <c:spPr>
                <a:solidFill>
                  <a:srgbClr val="4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B0-C974-49B2-9C17-08E16E5C920D}"/>
              </c:ext>
            </c:extLst>
          </c:dPt>
          <c:dPt>
            <c:idx val="1713"/>
            <c:marker>
              <c:spPr>
                <a:solidFill>
                  <a:srgbClr val="4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B1-C974-49B2-9C17-08E16E5C920D}"/>
              </c:ext>
            </c:extLst>
          </c:dPt>
          <c:dPt>
            <c:idx val="1714"/>
            <c:marker>
              <c:spPr>
                <a:solidFill>
                  <a:srgbClr val="4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B2-C974-49B2-9C17-08E16E5C920D}"/>
              </c:ext>
            </c:extLst>
          </c:dPt>
          <c:dPt>
            <c:idx val="1715"/>
            <c:marker>
              <c:spPr>
                <a:solidFill>
                  <a:srgbClr val="3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B3-C974-49B2-9C17-08E16E5C920D}"/>
              </c:ext>
            </c:extLst>
          </c:dPt>
          <c:dPt>
            <c:idx val="1716"/>
            <c:marker>
              <c:spPr>
                <a:solidFill>
                  <a:srgbClr val="3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B4-C974-49B2-9C17-08E16E5C920D}"/>
              </c:ext>
            </c:extLst>
          </c:dPt>
          <c:dPt>
            <c:idx val="1717"/>
            <c:marker>
              <c:spPr>
                <a:solidFill>
                  <a:srgbClr val="3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B5-C974-49B2-9C17-08E16E5C920D}"/>
              </c:ext>
            </c:extLst>
          </c:dPt>
          <c:dPt>
            <c:idx val="1718"/>
            <c:marker>
              <c:spPr>
                <a:solidFill>
                  <a:srgbClr val="3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B6-C974-49B2-9C17-08E16E5C920D}"/>
              </c:ext>
            </c:extLst>
          </c:dPt>
          <c:dPt>
            <c:idx val="1719"/>
            <c:marker>
              <c:spPr>
                <a:solidFill>
                  <a:srgbClr val="3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B7-C974-49B2-9C17-08E16E5C920D}"/>
              </c:ext>
            </c:extLst>
          </c:dPt>
          <c:dPt>
            <c:idx val="1720"/>
            <c:marker>
              <c:spPr>
                <a:solidFill>
                  <a:srgbClr val="3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B8-C974-49B2-9C17-08E16E5C920D}"/>
              </c:ext>
            </c:extLst>
          </c:dPt>
          <c:dPt>
            <c:idx val="1721"/>
            <c:marker>
              <c:spPr>
                <a:solidFill>
                  <a:srgbClr val="3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B9-C974-49B2-9C17-08E16E5C920D}"/>
              </c:ext>
            </c:extLst>
          </c:dPt>
          <c:dPt>
            <c:idx val="1722"/>
            <c:marker>
              <c:spPr>
                <a:solidFill>
                  <a:srgbClr val="3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BA-C974-49B2-9C17-08E16E5C920D}"/>
              </c:ext>
            </c:extLst>
          </c:dPt>
          <c:dPt>
            <c:idx val="1723"/>
            <c:marker>
              <c:spPr>
                <a:solidFill>
                  <a:srgbClr val="3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BB-C974-49B2-9C17-08E16E5C920D}"/>
              </c:ext>
            </c:extLst>
          </c:dPt>
          <c:dPt>
            <c:idx val="1724"/>
            <c:marker>
              <c:spPr>
                <a:solidFill>
                  <a:srgbClr val="3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BC-C974-49B2-9C17-08E16E5C920D}"/>
              </c:ext>
            </c:extLst>
          </c:dPt>
          <c:dPt>
            <c:idx val="1725"/>
            <c:marker>
              <c:spPr>
                <a:solidFill>
                  <a:srgbClr val="3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BD-C974-49B2-9C17-08E16E5C920D}"/>
              </c:ext>
            </c:extLst>
          </c:dPt>
          <c:dPt>
            <c:idx val="1726"/>
            <c:marker>
              <c:spPr>
                <a:solidFill>
                  <a:srgbClr val="3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BE-C974-49B2-9C17-08E16E5C920D}"/>
              </c:ext>
            </c:extLst>
          </c:dPt>
          <c:dPt>
            <c:idx val="1727"/>
            <c:marker>
              <c:spPr>
                <a:solidFill>
                  <a:srgbClr val="3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BF-C974-49B2-9C17-08E16E5C920D}"/>
              </c:ext>
            </c:extLst>
          </c:dPt>
          <c:dPt>
            <c:idx val="1728"/>
            <c:marker>
              <c:spPr>
                <a:solidFill>
                  <a:srgbClr val="3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C0-C974-49B2-9C17-08E16E5C920D}"/>
              </c:ext>
            </c:extLst>
          </c:dPt>
          <c:dPt>
            <c:idx val="1729"/>
            <c:marker>
              <c:spPr>
                <a:solidFill>
                  <a:srgbClr val="3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C1-C974-49B2-9C17-08E16E5C920D}"/>
              </c:ext>
            </c:extLst>
          </c:dPt>
          <c:dPt>
            <c:idx val="1730"/>
            <c:marker>
              <c:spPr>
                <a:solidFill>
                  <a:srgbClr val="3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C2-C974-49B2-9C17-08E16E5C920D}"/>
              </c:ext>
            </c:extLst>
          </c:dPt>
          <c:dPt>
            <c:idx val="1731"/>
            <c:marker>
              <c:spPr>
                <a:solidFill>
                  <a:srgbClr val="3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C3-C974-49B2-9C17-08E16E5C920D}"/>
              </c:ext>
            </c:extLst>
          </c:dPt>
          <c:dPt>
            <c:idx val="1732"/>
            <c:marker>
              <c:spPr>
                <a:solidFill>
                  <a:srgbClr val="3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C4-C974-49B2-9C17-08E16E5C920D}"/>
              </c:ext>
            </c:extLst>
          </c:dPt>
          <c:dPt>
            <c:idx val="1733"/>
            <c:marker>
              <c:spPr>
                <a:solidFill>
                  <a:srgbClr val="3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C5-C974-49B2-9C17-08E16E5C920D}"/>
              </c:ext>
            </c:extLst>
          </c:dPt>
          <c:dPt>
            <c:idx val="1734"/>
            <c:marker>
              <c:spPr>
                <a:solidFill>
                  <a:srgbClr val="3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C6-C974-49B2-9C17-08E16E5C920D}"/>
              </c:ext>
            </c:extLst>
          </c:dPt>
          <c:dPt>
            <c:idx val="1735"/>
            <c:marker>
              <c:spPr>
                <a:solidFill>
                  <a:srgbClr val="3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C7-C974-49B2-9C17-08E16E5C920D}"/>
              </c:ext>
            </c:extLst>
          </c:dPt>
          <c:dPt>
            <c:idx val="1736"/>
            <c:marker>
              <c:spPr>
                <a:solidFill>
                  <a:srgbClr val="3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C8-C974-49B2-9C17-08E16E5C920D}"/>
              </c:ext>
            </c:extLst>
          </c:dPt>
          <c:dPt>
            <c:idx val="1737"/>
            <c:marker>
              <c:spPr>
                <a:solidFill>
                  <a:srgbClr val="3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C9-C974-49B2-9C17-08E16E5C920D}"/>
              </c:ext>
            </c:extLst>
          </c:dPt>
          <c:dPt>
            <c:idx val="1738"/>
            <c:marker>
              <c:spPr>
                <a:solidFill>
                  <a:srgbClr val="3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CA-C974-49B2-9C17-08E16E5C920D}"/>
              </c:ext>
            </c:extLst>
          </c:dPt>
          <c:dPt>
            <c:idx val="1739"/>
            <c:marker>
              <c:spPr>
                <a:solidFill>
                  <a:srgbClr val="3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CB-C974-49B2-9C17-08E16E5C920D}"/>
              </c:ext>
            </c:extLst>
          </c:dPt>
          <c:dPt>
            <c:idx val="1740"/>
            <c:marker>
              <c:spPr>
                <a:solidFill>
                  <a:srgbClr val="3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CC-C974-49B2-9C17-08E16E5C920D}"/>
              </c:ext>
            </c:extLst>
          </c:dPt>
          <c:dPt>
            <c:idx val="1741"/>
            <c:marker>
              <c:spPr>
                <a:solidFill>
                  <a:srgbClr val="3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CD-C974-49B2-9C17-08E16E5C920D}"/>
              </c:ext>
            </c:extLst>
          </c:dPt>
          <c:dPt>
            <c:idx val="1742"/>
            <c:marker>
              <c:spPr>
                <a:solidFill>
                  <a:srgbClr val="3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CE-C974-49B2-9C17-08E16E5C920D}"/>
              </c:ext>
            </c:extLst>
          </c:dPt>
          <c:dPt>
            <c:idx val="1743"/>
            <c:marker>
              <c:spPr>
                <a:solidFill>
                  <a:srgbClr val="3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CF-C974-49B2-9C17-08E16E5C920D}"/>
              </c:ext>
            </c:extLst>
          </c:dPt>
          <c:dPt>
            <c:idx val="1744"/>
            <c:marker>
              <c:spPr>
                <a:solidFill>
                  <a:srgbClr val="3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D0-C974-49B2-9C17-08E16E5C920D}"/>
              </c:ext>
            </c:extLst>
          </c:dPt>
          <c:dPt>
            <c:idx val="1745"/>
            <c:marker>
              <c:spPr>
                <a:solidFill>
                  <a:srgbClr val="3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D1-C974-49B2-9C17-08E16E5C920D}"/>
              </c:ext>
            </c:extLst>
          </c:dPt>
          <c:dPt>
            <c:idx val="1746"/>
            <c:marker>
              <c:spPr>
                <a:solidFill>
                  <a:srgbClr val="3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D2-C974-49B2-9C17-08E16E5C920D}"/>
              </c:ext>
            </c:extLst>
          </c:dPt>
          <c:dPt>
            <c:idx val="1747"/>
            <c:marker>
              <c:spPr>
                <a:solidFill>
                  <a:srgbClr val="3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D3-C974-49B2-9C17-08E16E5C920D}"/>
              </c:ext>
            </c:extLst>
          </c:dPt>
          <c:dPt>
            <c:idx val="1748"/>
            <c:marker>
              <c:spPr>
                <a:solidFill>
                  <a:srgbClr val="3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D4-C974-49B2-9C17-08E16E5C920D}"/>
              </c:ext>
            </c:extLst>
          </c:dPt>
          <c:dPt>
            <c:idx val="1749"/>
            <c:marker>
              <c:spPr>
                <a:solidFill>
                  <a:srgbClr val="3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D5-C974-49B2-9C17-08E16E5C920D}"/>
              </c:ext>
            </c:extLst>
          </c:dPt>
          <c:dPt>
            <c:idx val="1750"/>
            <c:marker>
              <c:spPr>
                <a:solidFill>
                  <a:srgbClr val="3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D6-C974-49B2-9C17-08E16E5C920D}"/>
              </c:ext>
            </c:extLst>
          </c:dPt>
          <c:dPt>
            <c:idx val="1751"/>
            <c:marker>
              <c:spPr>
                <a:solidFill>
                  <a:srgbClr val="3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D7-C974-49B2-9C17-08E16E5C920D}"/>
              </c:ext>
            </c:extLst>
          </c:dPt>
          <c:dPt>
            <c:idx val="1752"/>
            <c:marker>
              <c:spPr>
                <a:solidFill>
                  <a:srgbClr val="3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D8-C974-49B2-9C17-08E16E5C920D}"/>
              </c:ext>
            </c:extLst>
          </c:dPt>
          <c:dPt>
            <c:idx val="1753"/>
            <c:marker>
              <c:spPr>
                <a:solidFill>
                  <a:srgbClr val="3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D9-C974-49B2-9C17-08E16E5C920D}"/>
              </c:ext>
            </c:extLst>
          </c:dPt>
          <c:dPt>
            <c:idx val="1754"/>
            <c:marker>
              <c:spPr>
                <a:solidFill>
                  <a:srgbClr val="3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DA-C974-49B2-9C17-08E16E5C920D}"/>
              </c:ext>
            </c:extLst>
          </c:dPt>
          <c:dPt>
            <c:idx val="1755"/>
            <c:marker>
              <c:spPr>
                <a:solidFill>
                  <a:srgbClr val="3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DB-C974-49B2-9C17-08E16E5C920D}"/>
              </c:ext>
            </c:extLst>
          </c:dPt>
          <c:dPt>
            <c:idx val="1756"/>
            <c:marker>
              <c:spPr>
                <a:solidFill>
                  <a:srgbClr val="3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DC-C974-49B2-9C17-08E16E5C920D}"/>
              </c:ext>
            </c:extLst>
          </c:dPt>
          <c:dPt>
            <c:idx val="1757"/>
            <c:marker>
              <c:spPr>
                <a:solidFill>
                  <a:srgbClr val="3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DD-C974-49B2-9C17-08E16E5C920D}"/>
              </c:ext>
            </c:extLst>
          </c:dPt>
          <c:dPt>
            <c:idx val="1758"/>
            <c:marker>
              <c:spPr>
                <a:solidFill>
                  <a:srgbClr val="3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DE-C974-49B2-9C17-08E16E5C920D}"/>
              </c:ext>
            </c:extLst>
          </c:dPt>
          <c:dPt>
            <c:idx val="1759"/>
            <c:marker>
              <c:spPr>
                <a:solidFill>
                  <a:srgbClr val="3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DF-C974-49B2-9C17-08E16E5C920D}"/>
              </c:ext>
            </c:extLst>
          </c:dPt>
          <c:dPt>
            <c:idx val="1760"/>
            <c:marker>
              <c:spPr>
                <a:solidFill>
                  <a:srgbClr val="3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E0-C974-49B2-9C17-08E16E5C920D}"/>
              </c:ext>
            </c:extLst>
          </c:dPt>
          <c:dPt>
            <c:idx val="1761"/>
            <c:marker>
              <c:spPr>
                <a:solidFill>
                  <a:srgbClr val="3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E1-C974-49B2-9C17-08E16E5C920D}"/>
              </c:ext>
            </c:extLst>
          </c:dPt>
          <c:dPt>
            <c:idx val="1762"/>
            <c:marker>
              <c:spPr>
                <a:solidFill>
                  <a:srgbClr val="3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E2-C974-49B2-9C17-08E16E5C920D}"/>
              </c:ext>
            </c:extLst>
          </c:dPt>
          <c:dPt>
            <c:idx val="1763"/>
            <c:marker>
              <c:spPr>
                <a:solidFill>
                  <a:srgbClr val="3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E3-C974-49B2-9C17-08E16E5C920D}"/>
              </c:ext>
            </c:extLst>
          </c:dPt>
          <c:dPt>
            <c:idx val="1764"/>
            <c:marker>
              <c:spPr>
                <a:solidFill>
                  <a:srgbClr val="3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E4-C974-49B2-9C17-08E16E5C920D}"/>
              </c:ext>
            </c:extLst>
          </c:dPt>
          <c:dPt>
            <c:idx val="1765"/>
            <c:marker>
              <c:spPr>
                <a:solidFill>
                  <a:srgbClr val="3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E5-C974-49B2-9C17-08E16E5C920D}"/>
              </c:ext>
            </c:extLst>
          </c:dPt>
          <c:dPt>
            <c:idx val="1766"/>
            <c:marker>
              <c:spPr>
                <a:solidFill>
                  <a:srgbClr val="3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E6-C974-49B2-9C17-08E16E5C920D}"/>
              </c:ext>
            </c:extLst>
          </c:dPt>
          <c:dPt>
            <c:idx val="1767"/>
            <c:marker>
              <c:spPr>
                <a:solidFill>
                  <a:srgbClr val="3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E7-C974-49B2-9C17-08E16E5C920D}"/>
              </c:ext>
            </c:extLst>
          </c:dPt>
          <c:dPt>
            <c:idx val="1768"/>
            <c:marker>
              <c:spPr>
                <a:solidFill>
                  <a:srgbClr val="3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E8-C974-49B2-9C17-08E16E5C920D}"/>
              </c:ext>
            </c:extLst>
          </c:dPt>
          <c:dPt>
            <c:idx val="1769"/>
            <c:marker>
              <c:spPr>
                <a:solidFill>
                  <a:srgbClr val="3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E9-C974-49B2-9C17-08E16E5C920D}"/>
              </c:ext>
            </c:extLst>
          </c:dPt>
          <c:dPt>
            <c:idx val="1770"/>
            <c:marker>
              <c:spPr>
                <a:solidFill>
                  <a:srgbClr val="3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EA-C974-49B2-9C17-08E16E5C920D}"/>
              </c:ext>
            </c:extLst>
          </c:dPt>
          <c:dPt>
            <c:idx val="1771"/>
            <c:marker>
              <c:spPr>
                <a:solidFill>
                  <a:srgbClr val="3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EB-C974-49B2-9C17-08E16E5C920D}"/>
              </c:ext>
            </c:extLst>
          </c:dPt>
          <c:dPt>
            <c:idx val="1772"/>
            <c:marker>
              <c:spPr>
                <a:solidFill>
                  <a:srgbClr val="3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EC-C974-49B2-9C17-08E16E5C920D}"/>
              </c:ext>
            </c:extLst>
          </c:dPt>
          <c:dPt>
            <c:idx val="1773"/>
            <c:marker>
              <c:spPr>
                <a:solidFill>
                  <a:srgbClr val="3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ED-C974-49B2-9C17-08E16E5C920D}"/>
              </c:ext>
            </c:extLst>
          </c:dPt>
          <c:dPt>
            <c:idx val="1774"/>
            <c:marker>
              <c:spPr>
                <a:solidFill>
                  <a:srgbClr val="3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EE-C974-49B2-9C17-08E16E5C920D}"/>
              </c:ext>
            </c:extLst>
          </c:dPt>
          <c:dPt>
            <c:idx val="1775"/>
            <c:marker>
              <c:spPr>
                <a:solidFill>
                  <a:srgbClr val="3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EF-C974-49B2-9C17-08E16E5C920D}"/>
              </c:ext>
            </c:extLst>
          </c:dPt>
          <c:dPt>
            <c:idx val="1776"/>
            <c:marker>
              <c:spPr>
                <a:solidFill>
                  <a:srgbClr val="3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F0-C974-49B2-9C17-08E16E5C920D}"/>
              </c:ext>
            </c:extLst>
          </c:dPt>
          <c:dPt>
            <c:idx val="1777"/>
            <c:marker>
              <c:spPr>
                <a:solidFill>
                  <a:srgbClr val="3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F1-C974-49B2-9C17-08E16E5C920D}"/>
              </c:ext>
            </c:extLst>
          </c:dPt>
          <c:dPt>
            <c:idx val="1778"/>
            <c:marker>
              <c:spPr>
                <a:solidFill>
                  <a:srgbClr val="3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F2-C974-49B2-9C17-08E16E5C920D}"/>
              </c:ext>
            </c:extLst>
          </c:dPt>
          <c:dPt>
            <c:idx val="1779"/>
            <c:marker>
              <c:spPr>
                <a:solidFill>
                  <a:srgbClr val="3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F3-C974-49B2-9C17-08E16E5C920D}"/>
              </c:ext>
            </c:extLst>
          </c:dPt>
          <c:dPt>
            <c:idx val="1780"/>
            <c:marker>
              <c:spPr>
                <a:solidFill>
                  <a:srgbClr val="3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F4-C974-49B2-9C17-08E16E5C920D}"/>
              </c:ext>
            </c:extLst>
          </c:dPt>
          <c:dPt>
            <c:idx val="1781"/>
            <c:marker>
              <c:spPr>
                <a:solidFill>
                  <a:srgbClr val="3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F5-C974-49B2-9C17-08E16E5C920D}"/>
              </c:ext>
            </c:extLst>
          </c:dPt>
          <c:dPt>
            <c:idx val="1782"/>
            <c:marker>
              <c:spPr>
                <a:solidFill>
                  <a:srgbClr val="3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F6-C974-49B2-9C17-08E16E5C920D}"/>
              </c:ext>
            </c:extLst>
          </c:dPt>
          <c:dPt>
            <c:idx val="1783"/>
            <c:marker>
              <c:spPr>
                <a:solidFill>
                  <a:srgbClr val="3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F7-C974-49B2-9C17-08E16E5C920D}"/>
              </c:ext>
            </c:extLst>
          </c:dPt>
          <c:dPt>
            <c:idx val="1784"/>
            <c:marker>
              <c:spPr>
                <a:solidFill>
                  <a:srgbClr val="3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F8-C974-49B2-9C17-08E16E5C920D}"/>
              </c:ext>
            </c:extLst>
          </c:dPt>
          <c:dPt>
            <c:idx val="1785"/>
            <c:marker>
              <c:spPr>
                <a:solidFill>
                  <a:srgbClr val="3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F9-C974-49B2-9C17-08E16E5C920D}"/>
              </c:ext>
            </c:extLst>
          </c:dPt>
          <c:dPt>
            <c:idx val="1786"/>
            <c:marker>
              <c:spPr>
                <a:solidFill>
                  <a:srgbClr val="3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FA-C974-49B2-9C17-08E16E5C920D}"/>
              </c:ext>
            </c:extLst>
          </c:dPt>
          <c:dPt>
            <c:idx val="1787"/>
            <c:marker>
              <c:spPr>
                <a:solidFill>
                  <a:srgbClr val="3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FB-C974-49B2-9C17-08E16E5C920D}"/>
              </c:ext>
            </c:extLst>
          </c:dPt>
          <c:dPt>
            <c:idx val="1788"/>
            <c:marker>
              <c:spPr>
                <a:solidFill>
                  <a:srgbClr val="3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FC-C974-49B2-9C17-08E16E5C920D}"/>
              </c:ext>
            </c:extLst>
          </c:dPt>
          <c:dPt>
            <c:idx val="1789"/>
            <c:marker>
              <c:spPr>
                <a:solidFill>
                  <a:srgbClr val="3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FD-C974-49B2-9C17-08E16E5C920D}"/>
              </c:ext>
            </c:extLst>
          </c:dPt>
          <c:dPt>
            <c:idx val="1790"/>
            <c:marker>
              <c:spPr>
                <a:solidFill>
                  <a:srgbClr val="3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FE-C974-49B2-9C17-08E16E5C920D}"/>
              </c:ext>
            </c:extLst>
          </c:dPt>
          <c:dPt>
            <c:idx val="1791"/>
            <c:marker>
              <c:spPr>
                <a:solidFill>
                  <a:srgbClr val="3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FF-C974-49B2-9C17-08E16E5C920D}"/>
              </c:ext>
            </c:extLst>
          </c:dPt>
          <c:dPt>
            <c:idx val="1792"/>
            <c:marker>
              <c:spPr>
                <a:solidFill>
                  <a:srgbClr val="3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00-C974-49B2-9C17-08E16E5C920D}"/>
              </c:ext>
            </c:extLst>
          </c:dPt>
          <c:dPt>
            <c:idx val="1793"/>
            <c:marker>
              <c:spPr>
                <a:solidFill>
                  <a:srgbClr val="3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01-C974-49B2-9C17-08E16E5C920D}"/>
              </c:ext>
            </c:extLst>
          </c:dPt>
          <c:dPt>
            <c:idx val="1794"/>
            <c:marker>
              <c:spPr>
                <a:solidFill>
                  <a:srgbClr val="3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02-C974-49B2-9C17-08E16E5C920D}"/>
              </c:ext>
            </c:extLst>
          </c:dPt>
          <c:dPt>
            <c:idx val="1795"/>
            <c:marker>
              <c:spPr>
                <a:solidFill>
                  <a:srgbClr val="3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03-C974-49B2-9C17-08E16E5C920D}"/>
              </c:ext>
            </c:extLst>
          </c:dPt>
          <c:dPt>
            <c:idx val="1796"/>
            <c:marker>
              <c:spPr>
                <a:solidFill>
                  <a:srgbClr val="3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04-C974-49B2-9C17-08E16E5C920D}"/>
              </c:ext>
            </c:extLst>
          </c:dPt>
          <c:dPt>
            <c:idx val="1797"/>
            <c:marker>
              <c:spPr>
                <a:solidFill>
                  <a:srgbClr val="3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05-C974-49B2-9C17-08E16E5C920D}"/>
              </c:ext>
            </c:extLst>
          </c:dPt>
          <c:dPt>
            <c:idx val="1798"/>
            <c:marker>
              <c:spPr>
                <a:solidFill>
                  <a:srgbClr val="3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06-C974-49B2-9C17-08E16E5C920D}"/>
              </c:ext>
            </c:extLst>
          </c:dPt>
          <c:dPt>
            <c:idx val="1799"/>
            <c:marker>
              <c:spPr>
                <a:solidFill>
                  <a:srgbClr val="3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07-C974-49B2-9C17-08E16E5C920D}"/>
              </c:ext>
            </c:extLst>
          </c:dPt>
          <c:dPt>
            <c:idx val="1800"/>
            <c:marker>
              <c:spPr>
                <a:solidFill>
                  <a:srgbClr val="3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08-C974-49B2-9C17-08E16E5C920D}"/>
              </c:ext>
            </c:extLst>
          </c:dPt>
          <c:dPt>
            <c:idx val="1801"/>
            <c:marker>
              <c:spPr>
                <a:solidFill>
                  <a:srgbClr val="3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09-C974-49B2-9C17-08E16E5C920D}"/>
              </c:ext>
            </c:extLst>
          </c:dPt>
          <c:dPt>
            <c:idx val="1802"/>
            <c:marker>
              <c:spPr>
                <a:solidFill>
                  <a:srgbClr val="3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0A-C974-49B2-9C17-08E16E5C920D}"/>
              </c:ext>
            </c:extLst>
          </c:dPt>
          <c:dPt>
            <c:idx val="1803"/>
            <c:marker>
              <c:spPr>
                <a:solidFill>
                  <a:srgbClr val="3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0B-C974-49B2-9C17-08E16E5C920D}"/>
              </c:ext>
            </c:extLst>
          </c:dPt>
          <c:dPt>
            <c:idx val="1804"/>
            <c:marker>
              <c:spPr>
                <a:solidFill>
                  <a:srgbClr val="3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0C-C974-49B2-9C17-08E16E5C920D}"/>
              </c:ext>
            </c:extLst>
          </c:dPt>
          <c:dPt>
            <c:idx val="1805"/>
            <c:marker>
              <c:spPr>
                <a:solidFill>
                  <a:srgbClr val="3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0D-C974-49B2-9C17-08E16E5C920D}"/>
              </c:ext>
            </c:extLst>
          </c:dPt>
          <c:dPt>
            <c:idx val="1806"/>
            <c:marker>
              <c:spPr>
                <a:solidFill>
                  <a:srgbClr val="3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0E-C974-49B2-9C17-08E16E5C920D}"/>
              </c:ext>
            </c:extLst>
          </c:dPt>
          <c:dPt>
            <c:idx val="1807"/>
            <c:marker>
              <c:spPr>
                <a:solidFill>
                  <a:srgbClr val="3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0F-C974-49B2-9C17-08E16E5C920D}"/>
              </c:ext>
            </c:extLst>
          </c:dPt>
          <c:dPt>
            <c:idx val="1808"/>
            <c:marker>
              <c:spPr>
                <a:solidFill>
                  <a:srgbClr val="3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10-C974-49B2-9C17-08E16E5C920D}"/>
              </c:ext>
            </c:extLst>
          </c:dPt>
          <c:dPt>
            <c:idx val="1809"/>
            <c:marker>
              <c:spPr>
                <a:solidFill>
                  <a:srgbClr val="3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11-C974-49B2-9C17-08E16E5C920D}"/>
              </c:ext>
            </c:extLst>
          </c:dPt>
          <c:dPt>
            <c:idx val="1810"/>
            <c:marker>
              <c:spPr>
                <a:solidFill>
                  <a:srgbClr val="3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12-C974-49B2-9C17-08E16E5C920D}"/>
              </c:ext>
            </c:extLst>
          </c:dPt>
          <c:dPt>
            <c:idx val="1811"/>
            <c:marker>
              <c:spPr>
                <a:solidFill>
                  <a:srgbClr val="3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13-C974-49B2-9C17-08E16E5C920D}"/>
              </c:ext>
            </c:extLst>
          </c:dPt>
          <c:dPt>
            <c:idx val="1812"/>
            <c:marker>
              <c:spPr>
                <a:solidFill>
                  <a:srgbClr val="3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14-C974-49B2-9C17-08E16E5C920D}"/>
              </c:ext>
            </c:extLst>
          </c:dPt>
          <c:dPt>
            <c:idx val="1813"/>
            <c:marker>
              <c:spPr>
                <a:solidFill>
                  <a:srgbClr val="3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15-C974-49B2-9C17-08E16E5C920D}"/>
              </c:ext>
            </c:extLst>
          </c:dPt>
          <c:dPt>
            <c:idx val="1814"/>
            <c:marker>
              <c:spPr>
                <a:solidFill>
                  <a:srgbClr val="3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16-C974-49B2-9C17-08E16E5C920D}"/>
              </c:ext>
            </c:extLst>
          </c:dPt>
          <c:dPt>
            <c:idx val="1815"/>
            <c:marker>
              <c:spPr>
                <a:solidFill>
                  <a:srgbClr val="3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17-C974-49B2-9C17-08E16E5C920D}"/>
              </c:ext>
            </c:extLst>
          </c:dPt>
          <c:dPt>
            <c:idx val="1816"/>
            <c:marker>
              <c:spPr>
                <a:solidFill>
                  <a:srgbClr val="3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18-C974-49B2-9C17-08E16E5C920D}"/>
              </c:ext>
            </c:extLst>
          </c:dPt>
          <c:dPt>
            <c:idx val="1817"/>
            <c:marker>
              <c:spPr>
                <a:solidFill>
                  <a:srgbClr val="3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19-C974-49B2-9C17-08E16E5C920D}"/>
              </c:ext>
            </c:extLst>
          </c:dPt>
          <c:dPt>
            <c:idx val="1818"/>
            <c:marker>
              <c:spPr>
                <a:solidFill>
                  <a:srgbClr val="3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1A-C974-49B2-9C17-08E16E5C920D}"/>
              </c:ext>
            </c:extLst>
          </c:dPt>
          <c:dPt>
            <c:idx val="1819"/>
            <c:marker>
              <c:spPr>
                <a:solidFill>
                  <a:srgbClr val="3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1B-C974-49B2-9C17-08E16E5C920D}"/>
              </c:ext>
            </c:extLst>
          </c:dPt>
          <c:dPt>
            <c:idx val="1820"/>
            <c:marker>
              <c:spPr>
                <a:solidFill>
                  <a:srgbClr val="3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1C-C974-49B2-9C17-08E16E5C920D}"/>
              </c:ext>
            </c:extLst>
          </c:dPt>
          <c:dPt>
            <c:idx val="1821"/>
            <c:marker>
              <c:spPr>
                <a:solidFill>
                  <a:srgbClr val="3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1D-C974-49B2-9C17-08E16E5C920D}"/>
              </c:ext>
            </c:extLst>
          </c:dPt>
          <c:dPt>
            <c:idx val="1822"/>
            <c:marker>
              <c:spPr>
                <a:solidFill>
                  <a:srgbClr val="3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1E-C974-49B2-9C17-08E16E5C920D}"/>
              </c:ext>
            </c:extLst>
          </c:dPt>
          <c:dPt>
            <c:idx val="1823"/>
            <c:marker>
              <c:spPr>
                <a:solidFill>
                  <a:srgbClr val="3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1F-C974-49B2-9C17-08E16E5C920D}"/>
              </c:ext>
            </c:extLst>
          </c:dPt>
          <c:dPt>
            <c:idx val="1824"/>
            <c:marker>
              <c:spPr>
                <a:solidFill>
                  <a:srgbClr val="3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20-C974-49B2-9C17-08E16E5C920D}"/>
              </c:ext>
            </c:extLst>
          </c:dPt>
          <c:dPt>
            <c:idx val="1825"/>
            <c:marker>
              <c:spPr>
                <a:solidFill>
                  <a:srgbClr val="3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21-C974-49B2-9C17-08E16E5C920D}"/>
              </c:ext>
            </c:extLst>
          </c:dPt>
          <c:dPt>
            <c:idx val="1826"/>
            <c:marker>
              <c:spPr>
                <a:solidFill>
                  <a:srgbClr val="3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22-C974-49B2-9C17-08E16E5C920D}"/>
              </c:ext>
            </c:extLst>
          </c:dPt>
          <c:dPt>
            <c:idx val="1827"/>
            <c:marker>
              <c:spPr>
                <a:solidFill>
                  <a:srgbClr val="3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23-C974-49B2-9C17-08E16E5C920D}"/>
              </c:ext>
            </c:extLst>
          </c:dPt>
          <c:dPt>
            <c:idx val="1828"/>
            <c:marker>
              <c:spPr>
                <a:solidFill>
                  <a:srgbClr val="3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24-C974-49B2-9C17-08E16E5C920D}"/>
              </c:ext>
            </c:extLst>
          </c:dPt>
          <c:dPt>
            <c:idx val="1829"/>
            <c:marker>
              <c:spPr>
                <a:solidFill>
                  <a:srgbClr val="3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25-C974-49B2-9C17-08E16E5C920D}"/>
              </c:ext>
            </c:extLst>
          </c:dPt>
          <c:dPt>
            <c:idx val="1830"/>
            <c:marker>
              <c:spPr>
                <a:solidFill>
                  <a:srgbClr val="3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26-C974-49B2-9C17-08E16E5C920D}"/>
              </c:ext>
            </c:extLst>
          </c:dPt>
          <c:dPt>
            <c:idx val="1831"/>
            <c:marker>
              <c:spPr>
                <a:solidFill>
                  <a:srgbClr val="3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27-C974-49B2-9C17-08E16E5C920D}"/>
              </c:ext>
            </c:extLst>
          </c:dPt>
          <c:dPt>
            <c:idx val="1832"/>
            <c:marker>
              <c:spPr>
                <a:solidFill>
                  <a:srgbClr val="3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28-C974-49B2-9C17-08E16E5C920D}"/>
              </c:ext>
            </c:extLst>
          </c:dPt>
          <c:dPt>
            <c:idx val="1833"/>
            <c:marker>
              <c:spPr>
                <a:solidFill>
                  <a:srgbClr val="3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29-C974-49B2-9C17-08E16E5C920D}"/>
              </c:ext>
            </c:extLst>
          </c:dPt>
          <c:dPt>
            <c:idx val="1834"/>
            <c:marker>
              <c:spPr>
                <a:solidFill>
                  <a:srgbClr val="3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2A-C974-49B2-9C17-08E16E5C920D}"/>
              </c:ext>
            </c:extLst>
          </c:dPt>
          <c:dPt>
            <c:idx val="1835"/>
            <c:marker>
              <c:spPr>
                <a:solidFill>
                  <a:srgbClr val="3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2B-C974-49B2-9C17-08E16E5C920D}"/>
              </c:ext>
            </c:extLst>
          </c:dPt>
          <c:dPt>
            <c:idx val="1836"/>
            <c:marker>
              <c:spPr>
                <a:solidFill>
                  <a:srgbClr val="3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2C-C974-49B2-9C17-08E16E5C920D}"/>
              </c:ext>
            </c:extLst>
          </c:dPt>
          <c:dPt>
            <c:idx val="1837"/>
            <c:marker>
              <c:spPr>
                <a:solidFill>
                  <a:srgbClr val="3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2D-C974-49B2-9C17-08E16E5C920D}"/>
              </c:ext>
            </c:extLst>
          </c:dPt>
          <c:dPt>
            <c:idx val="1838"/>
            <c:marker>
              <c:spPr>
                <a:solidFill>
                  <a:srgbClr val="3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2E-C974-49B2-9C17-08E16E5C920D}"/>
              </c:ext>
            </c:extLst>
          </c:dPt>
          <c:dPt>
            <c:idx val="1839"/>
            <c:marker>
              <c:spPr>
                <a:solidFill>
                  <a:srgbClr val="3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2F-C974-49B2-9C17-08E16E5C920D}"/>
              </c:ext>
            </c:extLst>
          </c:dPt>
          <c:dPt>
            <c:idx val="1840"/>
            <c:marker>
              <c:spPr>
                <a:solidFill>
                  <a:srgbClr val="3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30-C974-49B2-9C17-08E16E5C920D}"/>
              </c:ext>
            </c:extLst>
          </c:dPt>
          <c:dPt>
            <c:idx val="1841"/>
            <c:marker>
              <c:spPr>
                <a:solidFill>
                  <a:srgbClr val="3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31-C974-49B2-9C17-08E16E5C920D}"/>
              </c:ext>
            </c:extLst>
          </c:dPt>
          <c:dPt>
            <c:idx val="1842"/>
            <c:marker>
              <c:spPr>
                <a:solidFill>
                  <a:srgbClr val="3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32-C974-49B2-9C17-08E16E5C920D}"/>
              </c:ext>
            </c:extLst>
          </c:dPt>
          <c:dPt>
            <c:idx val="1843"/>
            <c:marker>
              <c:spPr>
                <a:solidFill>
                  <a:srgbClr val="3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33-C974-49B2-9C17-08E16E5C920D}"/>
              </c:ext>
            </c:extLst>
          </c:dPt>
          <c:dPt>
            <c:idx val="1844"/>
            <c:marker>
              <c:spPr>
                <a:solidFill>
                  <a:srgbClr val="3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34-C974-49B2-9C17-08E16E5C920D}"/>
              </c:ext>
            </c:extLst>
          </c:dPt>
          <c:dPt>
            <c:idx val="1845"/>
            <c:marker>
              <c:spPr>
                <a:solidFill>
                  <a:srgbClr val="3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35-C974-49B2-9C17-08E16E5C920D}"/>
              </c:ext>
            </c:extLst>
          </c:dPt>
          <c:dPt>
            <c:idx val="1846"/>
            <c:marker>
              <c:spPr>
                <a:solidFill>
                  <a:srgbClr val="3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36-C974-49B2-9C17-08E16E5C920D}"/>
              </c:ext>
            </c:extLst>
          </c:dPt>
          <c:dPt>
            <c:idx val="1847"/>
            <c:marker>
              <c:spPr>
                <a:solidFill>
                  <a:srgbClr val="3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37-C974-49B2-9C17-08E16E5C920D}"/>
              </c:ext>
            </c:extLst>
          </c:dPt>
          <c:dPt>
            <c:idx val="1848"/>
            <c:marker>
              <c:spPr>
                <a:solidFill>
                  <a:srgbClr val="3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38-C974-49B2-9C17-08E16E5C920D}"/>
              </c:ext>
            </c:extLst>
          </c:dPt>
          <c:dPt>
            <c:idx val="1849"/>
            <c:marker>
              <c:spPr>
                <a:solidFill>
                  <a:srgbClr val="3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39-C974-49B2-9C17-08E16E5C920D}"/>
              </c:ext>
            </c:extLst>
          </c:dPt>
          <c:dPt>
            <c:idx val="1850"/>
            <c:marker>
              <c:spPr>
                <a:solidFill>
                  <a:srgbClr val="3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3A-C974-49B2-9C17-08E16E5C920D}"/>
              </c:ext>
            </c:extLst>
          </c:dPt>
          <c:dPt>
            <c:idx val="1851"/>
            <c:marker>
              <c:spPr>
                <a:solidFill>
                  <a:srgbClr val="3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3B-C974-49B2-9C17-08E16E5C920D}"/>
              </c:ext>
            </c:extLst>
          </c:dPt>
          <c:dPt>
            <c:idx val="1852"/>
            <c:marker>
              <c:spPr>
                <a:solidFill>
                  <a:srgbClr val="3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3C-C974-49B2-9C17-08E16E5C920D}"/>
              </c:ext>
            </c:extLst>
          </c:dPt>
          <c:dPt>
            <c:idx val="1853"/>
            <c:marker>
              <c:spPr>
                <a:solidFill>
                  <a:srgbClr val="3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3D-C974-49B2-9C17-08E16E5C920D}"/>
              </c:ext>
            </c:extLst>
          </c:dPt>
          <c:dPt>
            <c:idx val="1854"/>
            <c:marker>
              <c:spPr>
                <a:solidFill>
                  <a:srgbClr val="3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3E-C974-49B2-9C17-08E16E5C920D}"/>
              </c:ext>
            </c:extLst>
          </c:dPt>
          <c:dPt>
            <c:idx val="1855"/>
            <c:marker>
              <c:spPr>
                <a:solidFill>
                  <a:srgbClr val="3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3F-C974-49B2-9C17-08E16E5C920D}"/>
              </c:ext>
            </c:extLst>
          </c:dPt>
          <c:dPt>
            <c:idx val="1856"/>
            <c:marker>
              <c:spPr>
                <a:solidFill>
                  <a:srgbClr val="3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40-C974-49B2-9C17-08E16E5C920D}"/>
              </c:ext>
            </c:extLst>
          </c:dPt>
          <c:dPt>
            <c:idx val="1857"/>
            <c:marker>
              <c:spPr>
                <a:solidFill>
                  <a:srgbClr val="3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41-C974-49B2-9C17-08E16E5C920D}"/>
              </c:ext>
            </c:extLst>
          </c:dPt>
          <c:dPt>
            <c:idx val="1858"/>
            <c:marker>
              <c:spPr>
                <a:solidFill>
                  <a:srgbClr val="3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42-C974-49B2-9C17-08E16E5C920D}"/>
              </c:ext>
            </c:extLst>
          </c:dPt>
          <c:dPt>
            <c:idx val="1859"/>
            <c:marker>
              <c:spPr>
                <a:solidFill>
                  <a:srgbClr val="2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43-C974-49B2-9C17-08E16E5C920D}"/>
              </c:ext>
            </c:extLst>
          </c:dPt>
          <c:dPt>
            <c:idx val="1860"/>
            <c:marker>
              <c:spPr>
                <a:solidFill>
                  <a:srgbClr val="2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44-C974-49B2-9C17-08E16E5C920D}"/>
              </c:ext>
            </c:extLst>
          </c:dPt>
          <c:dPt>
            <c:idx val="1861"/>
            <c:marker>
              <c:spPr>
                <a:solidFill>
                  <a:srgbClr val="2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45-C974-49B2-9C17-08E16E5C920D}"/>
              </c:ext>
            </c:extLst>
          </c:dPt>
          <c:dPt>
            <c:idx val="1862"/>
            <c:marker>
              <c:spPr>
                <a:solidFill>
                  <a:srgbClr val="2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46-C974-49B2-9C17-08E16E5C920D}"/>
              </c:ext>
            </c:extLst>
          </c:dPt>
          <c:dPt>
            <c:idx val="1863"/>
            <c:marker>
              <c:spPr>
                <a:solidFill>
                  <a:srgbClr val="2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47-C974-49B2-9C17-08E16E5C920D}"/>
              </c:ext>
            </c:extLst>
          </c:dPt>
          <c:dPt>
            <c:idx val="1864"/>
            <c:marker>
              <c:spPr>
                <a:solidFill>
                  <a:srgbClr val="2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48-C974-49B2-9C17-08E16E5C920D}"/>
              </c:ext>
            </c:extLst>
          </c:dPt>
          <c:dPt>
            <c:idx val="1865"/>
            <c:marker>
              <c:spPr>
                <a:solidFill>
                  <a:srgbClr val="2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49-C974-49B2-9C17-08E16E5C920D}"/>
              </c:ext>
            </c:extLst>
          </c:dPt>
          <c:dPt>
            <c:idx val="1866"/>
            <c:marker>
              <c:spPr>
                <a:solidFill>
                  <a:srgbClr val="2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4A-C974-49B2-9C17-08E16E5C920D}"/>
              </c:ext>
            </c:extLst>
          </c:dPt>
          <c:dPt>
            <c:idx val="1867"/>
            <c:marker>
              <c:spPr>
                <a:solidFill>
                  <a:srgbClr val="2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4B-C974-49B2-9C17-08E16E5C920D}"/>
              </c:ext>
            </c:extLst>
          </c:dPt>
          <c:dPt>
            <c:idx val="1868"/>
            <c:marker>
              <c:spPr>
                <a:solidFill>
                  <a:srgbClr val="2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4C-C974-49B2-9C17-08E16E5C920D}"/>
              </c:ext>
            </c:extLst>
          </c:dPt>
          <c:dPt>
            <c:idx val="1869"/>
            <c:marker>
              <c:spPr>
                <a:solidFill>
                  <a:srgbClr val="2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4D-C974-49B2-9C17-08E16E5C920D}"/>
              </c:ext>
            </c:extLst>
          </c:dPt>
          <c:dPt>
            <c:idx val="1870"/>
            <c:marker>
              <c:spPr>
                <a:solidFill>
                  <a:srgbClr val="2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4E-C974-49B2-9C17-08E16E5C920D}"/>
              </c:ext>
            </c:extLst>
          </c:dPt>
          <c:dPt>
            <c:idx val="1871"/>
            <c:marker>
              <c:spPr>
                <a:solidFill>
                  <a:srgbClr val="2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4F-C974-49B2-9C17-08E16E5C920D}"/>
              </c:ext>
            </c:extLst>
          </c:dPt>
          <c:dPt>
            <c:idx val="1872"/>
            <c:marker>
              <c:spPr>
                <a:solidFill>
                  <a:srgbClr val="2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50-C974-49B2-9C17-08E16E5C920D}"/>
              </c:ext>
            </c:extLst>
          </c:dPt>
          <c:dPt>
            <c:idx val="1873"/>
            <c:marker>
              <c:spPr>
                <a:solidFill>
                  <a:srgbClr val="2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51-C974-49B2-9C17-08E16E5C920D}"/>
              </c:ext>
            </c:extLst>
          </c:dPt>
          <c:dPt>
            <c:idx val="1874"/>
            <c:marker>
              <c:spPr>
                <a:solidFill>
                  <a:srgbClr val="2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52-C974-49B2-9C17-08E16E5C920D}"/>
              </c:ext>
            </c:extLst>
          </c:dPt>
          <c:dPt>
            <c:idx val="1875"/>
            <c:marker>
              <c:spPr>
                <a:solidFill>
                  <a:srgbClr val="2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53-C974-49B2-9C17-08E16E5C920D}"/>
              </c:ext>
            </c:extLst>
          </c:dPt>
          <c:dPt>
            <c:idx val="1876"/>
            <c:marker>
              <c:spPr>
                <a:solidFill>
                  <a:srgbClr val="2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54-C974-49B2-9C17-08E16E5C920D}"/>
              </c:ext>
            </c:extLst>
          </c:dPt>
          <c:dPt>
            <c:idx val="1877"/>
            <c:marker>
              <c:spPr>
                <a:solidFill>
                  <a:srgbClr val="2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55-C974-49B2-9C17-08E16E5C920D}"/>
              </c:ext>
            </c:extLst>
          </c:dPt>
          <c:dPt>
            <c:idx val="1878"/>
            <c:marker>
              <c:spPr>
                <a:solidFill>
                  <a:srgbClr val="2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56-C974-49B2-9C17-08E16E5C920D}"/>
              </c:ext>
            </c:extLst>
          </c:dPt>
          <c:dPt>
            <c:idx val="1879"/>
            <c:marker>
              <c:spPr>
                <a:solidFill>
                  <a:srgbClr val="2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57-C974-49B2-9C17-08E16E5C920D}"/>
              </c:ext>
            </c:extLst>
          </c:dPt>
          <c:dPt>
            <c:idx val="1880"/>
            <c:marker>
              <c:spPr>
                <a:solidFill>
                  <a:srgbClr val="2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58-C974-49B2-9C17-08E16E5C920D}"/>
              </c:ext>
            </c:extLst>
          </c:dPt>
          <c:dPt>
            <c:idx val="1881"/>
            <c:marker>
              <c:spPr>
                <a:solidFill>
                  <a:srgbClr val="2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59-C974-49B2-9C17-08E16E5C920D}"/>
              </c:ext>
            </c:extLst>
          </c:dPt>
          <c:dPt>
            <c:idx val="1882"/>
            <c:marker>
              <c:spPr>
                <a:solidFill>
                  <a:srgbClr val="2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5A-C974-49B2-9C17-08E16E5C920D}"/>
              </c:ext>
            </c:extLst>
          </c:dPt>
          <c:dPt>
            <c:idx val="1883"/>
            <c:marker>
              <c:spPr>
                <a:solidFill>
                  <a:srgbClr val="2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5B-C974-49B2-9C17-08E16E5C920D}"/>
              </c:ext>
            </c:extLst>
          </c:dPt>
          <c:dPt>
            <c:idx val="1884"/>
            <c:marker>
              <c:spPr>
                <a:solidFill>
                  <a:srgbClr val="2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5C-C974-49B2-9C17-08E16E5C920D}"/>
              </c:ext>
            </c:extLst>
          </c:dPt>
          <c:dPt>
            <c:idx val="1885"/>
            <c:marker>
              <c:spPr>
                <a:solidFill>
                  <a:srgbClr val="2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5D-C974-49B2-9C17-08E16E5C920D}"/>
              </c:ext>
            </c:extLst>
          </c:dPt>
          <c:dPt>
            <c:idx val="1886"/>
            <c:marker>
              <c:spPr>
                <a:solidFill>
                  <a:srgbClr val="2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5E-C974-49B2-9C17-08E16E5C920D}"/>
              </c:ext>
            </c:extLst>
          </c:dPt>
          <c:dPt>
            <c:idx val="1887"/>
            <c:marker>
              <c:spPr>
                <a:solidFill>
                  <a:srgbClr val="2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5F-C974-49B2-9C17-08E16E5C920D}"/>
              </c:ext>
            </c:extLst>
          </c:dPt>
          <c:dPt>
            <c:idx val="1888"/>
            <c:marker>
              <c:spPr>
                <a:solidFill>
                  <a:srgbClr val="2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60-C974-49B2-9C17-08E16E5C920D}"/>
              </c:ext>
            </c:extLst>
          </c:dPt>
          <c:dPt>
            <c:idx val="1889"/>
            <c:marker>
              <c:spPr>
                <a:solidFill>
                  <a:srgbClr val="2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61-C974-49B2-9C17-08E16E5C920D}"/>
              </c:ext>
            </c:extLst>
          </c:dPt>
          <c:dPt>
            <c:idx val="1890"/>
            <c:marker>
              <c:spPr>
                <a:solidFill>
                  <a:srgbClr val="2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62-C974-49B2-9C17-08E16E5C920D}"/>
              </c:ext>
            </c:extLst>
          </c:dPt>
          <c:dPt>
            <c:idx val="1891"/>
            <c:marker>
              <c:spPr>
                <a:solidFill>
                  <a:srgbClr val="2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63-C974-49B2-9C17-08E16E5C920D}"/>
              </c:ext>
            </c:extLst>
          </c:dPt>
          <c:dPt>
            <c:idx val="1892"/>
            <c:marker>
              <c:spPr>
                <a:solidFill>
                  <a:srgbClr val="2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64-C974-49B2-9C17-08E16E5C920D}"/>
              </c:ext>
            </c:extLst>
          </c:dPt>
          <c:dPt>
            <c:idx val="1893"/>
            <c:marker>
              <c:spPr>
                <a:solidFill>
                  <a:srgbClr val="2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65-C974-49B2-9C17-08E16E5C920D}"/>
              </c:ext>
            </c:extLst>
          </c:dPt>
          <c:dPt>
            <c:idx val="1894"/>
            <c:marker>
              <c:spPr>
                <a:solidFill>
                  <a:srgbClr val="2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66-C974-49B2-9C17-08E16E5C920D}"/>
              </c:ext>
            </c:extLst>
          </c:dPt>
          <c:dPt>
            <c:idx val="1895"/>
            <c:marker>
              <c:spPr>
                <a:solidFill>
                  <a:srgbClr val="2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67-C974-49B2-9C17-08E16E5C920D}"/>
              </c:ext>
            </c:extLst>
          </c:dPt>
          <c:dPt>
            <c:idx val="1896"/>
            <c:marker>
              <c:spPr>
                <a:solidFill>
                  <a:srgbClr val="2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68-C974-49B2-9C17-08E16E5C920D}"/>
              </c:ext>
            </c:extLst>
          </c:dPt>
          <c:dPt>
            <c:idx val="1897"/>
            <c:marker>
              <c:spPr>
                <a:solidFill>
                  <a:srgbClr val="2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69-C974-49B2-9C17-08E16E5C920D}"/>
              </c:ext>
            </c:extLst>
          </c:dPt>
          <c:dPt>
            <c:idx val="1898"/>
            <c:marker>
              <c:spPr>
                <a:solidFill>
                  <a:srgbClr val="2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6A-C974-49B2-9C17-08E16E5C920D}"/>
              </c:ext>
            </c:extLst>
          </c:dPt>
          <c:dPt>
            <c:idx val="1899"/>
            <c:marker>
              <c:spPr>
                <a:solidFill>
                  <a:srgbClr val="2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6B-C974-49B2-9C17-08E16E5C920D}"/>
              </c:ext>
            </c:extLst>
          </c:dPt>
          <c:dPt>
            <c:idx val="1900"/>
            <c:marker>
              <c:spPr>
                <a:solidFill>
                  <a:srgbClr val="2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6C-C974-49B2-9C17-08E16E5C920D}"/>
              </c:ext>
            </c:extLst>
          </c:dPt>
          <c:dPt>
            <c:idx val="1901"/>
            <c:marker>
              <c:spPr>
                <a:solidFill>
                  <a:srgbClr val="2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6D-C974-49B2-9C17-08E16E5C920D}"/>
              </c:ext>
            </c:extLst>
          </c:dPt>
          <c:dPt>
            <c:idx val="1902"/>
            <c:marker>
              <c:spPr>
                <a:solidFill>
                  <a:srgbClr val="2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6E-C974-49B2-9C17-08E16E5C920D}"/>
              </c:ext>
            </c:extLst>
          </c:dPt>
          <c:dPt>
            <c:idx val="1903"/>
            <c:marker>
              <c:spPr>
                <a:solidFill>
                  <a:srgbClr val="2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6F-C974-49B2-9C17-08E16E5C920D}"/>
              </c:ext>
            </c:extLst>
          </c:dPt>
          <c:dPt>
            <c:idx val="1904"/>
            <c:marker>
              <c:spPr>
                <a:solidFill>
                  <a:srgbClr val="2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70-C974-49B2-9C17-08E16E5C920D}"/>
              </c:ext>
            </c:extLst>
          </c:dPt>
          <c:dPt>
            <c:idx val="1905"/>
            <c:marker>
              <c:spPr>
                <a:solidFill>
                  <a:srgbClr val="2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71-C974-49B2-9C17-08E16E5C920D}"/>
              </c:ext>
            </c:extLst>
          </c:dPt>
          <c:dPt>
            <c:idx val="1906"/>
            <c:marker>
              <c:spPr>
                <a:solidFill>
                  <a:srgbClr val="2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72-C974-49B2-9C17-08E16E5C920D}"/>
              </c:ext>
            </c:extLst>
          </c:dPt>
          <c:dPt>
            <c:idx val="1907"/>
            <c:marker>
              <c:spPr>
                <a:solidFill>
                  <a:srgbClr val="2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73-C974-49B2-9C17-08E16E5C920D}"/>
              </c:ext>
            </c:extLst>
          </c:dPt>
          <c:dPt>
            <c:idx val="1908"/>
            <c:marker>
              <c:spPr>
                <a:solidFill>
                  <a:srgbClr val="2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74-C974-49B2-9C17-08E16E5C920D}"/>
              </c:ext>
            </c:extLst>
          </c:dPt>
          <c:dPt>
            <c:idx val="1909"/>
            <c:marker>
              <c:spPr>
                <a:solidFill>
                  <a:srgbClr val="2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75-C974-49B2-9C17-08E16E5C920D}"/>
              </c:ext>
            </c:extLst>
          </c:dPt>
          <c:dPt>
            <c:idx val="1910"/>
            <c:marker>
              <c:spPr>
                <a:solidFill>
                  <a:srgbClr val="2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76-C974-49B2-9C17-08E16E5C920D}"/>
              </c:ext>
            </c:extLst>
          </c:dPt>
          <c:dPt>
            <c:idx val="1911"/>
            <c:marker>
              <c:spPr>
                <a:solidFill>
                  <a:srgbClr val="2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77-C974-49B2-9C17-08E16E5C920D}"/>
              </c:ext>
            </c:extLst>
          </c:dPt>
          <c:dPt>
            <c:idx val="1912"/>
            <c:marker>
              <c:spPr>
                <a:solidFill>
                  <a:srgbClr val="2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78-C974-49B2-9C17-08E16E5C920D}"/>
              </c:ext>
            </c:extLst>
          </c:dPt>
          <c:dPt>
            <c:idx val="1913"/>
            <c:marker>
              <c:spPr>
                <a:solidFill>
                  <a:srgbClr val="2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79-C974-49B2-9C17-08E16E5C920D}"/>
              </c:ext>
            </c:extLst>
          </c:dPt>
          <c:dPt>
            <c:idx val="1914"/>
            <c:marker>
              <c:spPr>
                <a:solidFill>
                  <a:srgbClr val="2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7A-C974-49B2-9C17-08E16E5C920D}"/>
              </c:ext>
            </c:extLst>
          </c:dPt>
          <c:dPt>
            <c:idx val="1915"/>
            <c:marker>
              <c:spPr>
                <a:solidFill>
                  <a:srgbClr val="2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7B-C974-49B2-9C17-08E16E5C920D}"/>
              </c:ext>
            </c:extLst>
          </c:dPt>
          <c:dPt>
            <c:idx val="1916"/>
            <c:marker>
              <c:spPr>
                <a:solidFill>
                  <a:srgbClr val="2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7C-C974-49B2-9C17-08E16E5C920D}"/>
              </c:ext>
            </c:extLst>
          </c:dPt>
          <c:dPt>
            <c:idx val="1917"/>
            <c:marker>
              <c:spPr>
                <a:solidFill>
                  <a:srgbClr val="2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7D-C974-49B2-9C17-08E16E5C920D}"/>
              </c:ext>
            </c:extLst>
          </c:dPt>
          <c:dPt>
            <c:idx val="1918"/>
            <c:marker>
              <c:spPr>
                <a:solidFill>
                  <a:srgbClr val="2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7E-C974-49B2-9C17-08E16E5C920D}"/>
              </c:ext>
            </c:extLst>
          </c:dPt>
          <c:dPt>
            <c:idx val="1919"/>
            <c:marker>
              <c:spPr>
                <a:solidFill>
                  <a:srgbClr val="2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7F-C974-49B2-9C17-08E16E5C920D}"/>
              </c:ext>
            </c:extLst>
          </c:dPt>
          <c:dPt>
            <c:idx val="1920"/>
            <c:marker>
              <c:spPr>
                <a:solidFill>
                  <a:srgbClr val="2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80-C974-49B2-9C17-08E16E5C920D}"/>
              </c:ext>
            </c:extLst>
          </c:dPt>
          <c:dPt>
            <c:idx val="1921"/>
            <c:marker>
              <c:spPr>
                <a:solidFill>
                  <a:srgbClr val="2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81-C974-49B2-9C17-08E16E5C920D}"/>
              </c:ext>
            </c:extLst>
          </c:dPt>
          <c:dPt>
            <c:idx val="1922"/>
            <c:marker>
              <c:spPr>
                <a:solidFill>
                  <a:srgbClr val="2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82-C974-49B2-9C17-08E16E5C920D}"/>
              </c:ext>
            </c:extLst>
          </c:dPt>
          <c:dPt>
            <c:idx val="1923"/>
            <c:marker>
              <c:spPr>
                <a:solidFill>
                  <a:srgbClr val="2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83-C974-49B2-9C17-08E16E5C920D}"/>
              </c:ext>
            </c:extLst>
          </c:dPt>
          <c:dPt>
            <c:idx val="1924"/>
            <c:marker>
              <c:spPr>
                <a:solidFill>
                  <a:srgbClr val="2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84-C974-49B2-9C17-08E16E5C920D}"/>
              </c:ext>
            </c:extLst>
          </c:dPt>
          <c:dPt>
            <c:idx val="1925"/>
            <c:marker>
              <c:spPr>
                <a:solidFill>
                  <a:srgbClr val="2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85-C974-49B2-9C17-08E16E5C920D}"/>
              </c:ext>
            </c:extLst>
          </c:dPt>
          <c:dPt>
            <c:idx val="1926"/>
            <c:marker>
              <c:spPr>
                <a:solidFill>
                  <a:srgbClr val="2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86-C974-49B2-9C17-08E16E5C920D}"/>
              </c:ext>
            </c:extLst>
          </c:dPt>
          <c:dPt>
            <c:idx val="1927"/>
            <c:marker>
              <c:spPr>
                <a:solidFill>
                  <a:srgbClr val="2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87-C974-49B2-9C17-08E16E5C920D}"/>
              </c:ext>
            </c:extLst>
          </c:dPt>
          <c:dPt>
            <c:idx val="1928"/>
            <c:marker>
              <c:spPr>
                <a:solidFill>
                  <a:srgbClr val="2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88-C974-49B2-9C17-08E16E5C920D}"/>
              </c:ext>
            </c:extLst>
          </c:dPt>
          <c:dPt>
            <c:idx val="1929"/>
            <c:marker>
              <c:spPr>
                <a:solidFill>
                  <a:srgbClr val="2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89-C974-49B2-9C17-08E16E5C920D}"/>
              </c:ext>
            </c:extLst>
          </c:dPt>
          <c:dPt>
            <c:idx val="1930"/>
            <c:marker>
              <c:spPr>
                <a:solidFill>
                  <a:srgbClr val="2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8A-C974-49B2-9C17-08E16E5C920D}"/>
              </c:ext>
            </c:extLst>
          </c:dPt>
          <c:dPt>
            <c:idx val="1931"/>
            <c:marker>
              <c:spPr>
                <a:solidFill>
                  <a:srgbClr val="2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8B-C974-49B2-9C17-08E16E5C920D}"/>
              </c:ext>
            </c:extLst>
          </c:dPt>
          <c:dPt>
            <c:idx val="1932"/>
            <c:marker>
              <c:spPr>
                <a:solidFill>
                  <a:srgbClr val="2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8C-C974-49B2-9C17-08E16E5C920D}"/>
              </c:ext>
            </c:extLst>
          </c:dPt>
          <c:dPt>
            <c:idx val="1933"/>
            <c:marker>
              <c:spPr>
                <a:solidFill>
                  <a:srgbClr val="2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8D-C974-49B2-9C17-08E16E5C920D}"/>
              </c:ext>
            </c:extLst>
          </c:dPt>
          <c:dPt>
            <c:idx val="1934"/>
            <c:marker>
              <c:spPr>
                <a:solidFill>
                  <a:srgbClr val="2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8E-C974-49B2-9C17-08E16E5C920D}"/>
              </c:ext>
            </c:extLst>
          </c:dPt>
          <c:dPt>
            <c:idx val="1935"/>
            <c:marker>
              <c:spPr>
                <a:solidFill>
                  <a:srgbClr val="2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8F-C974-49B2-9C17-08E16E5C920D}"/>
              </c:ext>
            </c:extLst>
          </c:dPt>
          <c:dPt>
            <c:idx val="1936"/>
            <c:marker>
              <c:spPr>
                <a:solidFill>
                  <a:srgbClr val="2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90-C974-49B2-9C17-08E16E5C920D}"/>
              </c:ext>
            </c:extLst>
          </c:dPt>
          <c:dPt>
            <c:idx val="1937"/>
            <c:marker>
              <c:spPr>
                <a:solidFill>
                  <a:srgbClr val="2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91-C974-49B2-9C17-08E16E5C920D}"/>
              </c:ext>
            </c:extLst>
          </c:dPt>
          <c:dPt>
            <c:idx val="1938"/>
            <c:marker>
              <c:spPr>
                <a:solidFill>
                  <a:srgbClr val="2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92-C974-49B2-9C17-08E16E5C920D}"/>
              </c:ext>
            </c:extLst>
          </c:dPt>
          <c:dPt>
            <c:idx val="1939"/>
            <c:marker>
              <c:spPr>
                <a:solidFill>
                  <a:srgbClr val="2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93-C974-49B2-9C17-08E16E5C920D}"/>
              </c:ext>
            </c:extLst>
          </c:dPt>
          <c:dPt>
            <c:idx val="1940"/>
            <c:marker>
              <c:spPr>
                <a:solidFill>
                  <a:srgbClr val="2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94-C974-49B2-9C17-08E16E5C920D}"/>
              </c:ext>
            </c:extLst>
          </c:dPt>
          <c:dPt>
            <c:idx val="1941"/>
            <c:marker>
              <c:spPr>
                <a:solidFill>
                  <a:srgbClr val="2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95-C974-49B2-9C17-08E16E5C920D}"/>
              </c:ext>
            </c:extLst>
          </c:dPt>
          <c:dPt>
            <c:idx val="1942"/>
            <c:marker>
              <c:spPr>
                <a:solidFill>
                  <a:srgbClr val="2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96-C974-49B2-9C17-08E16E5C920D}"/>
              </c:ext>
            </c:extLst>
          </c:dPt>
          <c:dPt>
            <c:idx val="1943"/>
            <c:marker>
              <c:spPr>
                <a:solidFill>
                  <a:srgbClr val="2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97-C974-49B2-9C17-08E16E5C920D}"/>
              </c:ext>
            </c:extLst>
          </c:dPt>
          <c:dPt>
            <c:idx val="1944"/>
            <c:marker>
              <c:spPr>
                <a:solidFill>
                  <a:srgbClr val="2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98-C974-49B2-9C17-08E16E5C920D}"/>
              </c:ext>
            </c:extLst>
          </c:dPt>
          <c:dPt>
            <c:idx val="1945"/>
            <c:marker>
              <c:spPr>
                <a:solidFill>
                  <a:srgbClr val="2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99-C974-49B2-9C17-08E16E5C920D}"/>
              </c:ext>
            </c:extLst>
          </c:dPt>
          <c:dPt>
            <c:idx val="1946"/>
            <c:marker>
              <c:spPr>
                <a:solidFill>
                  <a:srgbClr val="2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9A-C974-49B2-9C17-08E16E5C920D}"/>
              </c:ext>
            </c:extLst>
          </c:dPt>
          <c:dPt>
            <c:idx val="1947"/>
            <c:marker>
              <c:spPr>
                <a:solidFill>
                  <a:srgbClr val="2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9B-C974-49B2-9C17-08E16E5C920D}"/>
              </c:ext>
            </c:extLst>
          </c:dPt>
          <c:dPt>
            <c:idx val="1948"/>
            <c:marker>
              <c:spPr>
                <a:solidFill>
                  <a:srgbClr val="2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9C-C974-49B2-9C17-08E16E5C920D}"/>
              </c:ext>
            </c:extLst>
          </c:dPt>
          <c:dPt>
            <c:idx val="1949"/>
            <c:marker>
              <c:spPr>
                <a:solidFill>
                  <a:srgbClr val="2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9D-C974-49B2-9C17-08E16E5C920D}"/>
              </c:ext>
            </c:extLst>
          </c:dPt>
          <c:dPt>
            <c:idx val="1950"/>
            <c:marker>
              <c:spPr>
                <a:solidFill>
                  <a:srgbClr val="2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9E-C974-49B2-9C17-08E16E5C920D}"/>
              </c:ext>
            </c:extLst>
          </c:dPt>
          <c:dPt>
            <c:idx val="1951"/>
            <c:marker>
              <c:spPr>
                <a:solidFill>
                  <a:srgbClr val="2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9F-C974-49B2-9C17-08E16E5C920D}"/>
              </c:ext>
            </c:extLst>
          </c:dPt>
          <c:dPt>
            <c:idx val="1952"/>
            <c:marker>
              <c:spPr>
                <a:solidFill>
                  <a:srgbClr val="2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A0-C974-49B2-9C17-08E16E5C920D}"/>
              </c:ext>
            </c:extLst>
          </c:dPt>
          <c:dPt>
            <c:idx val="1953"/>
            <c:marker>
              <c:spPr>
                <a:solidFill>
                  <a:srgbClr val="2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A1-C974-49B2-9C17-08E16E5C920D}"/>
              </c:ext>
            </c:extLst>
          </c:dPt>
          <c:dPt>
            <c:idx val="1954"/>
            <c:marker>
              <c:spPr>
                <a:solidFill>
                  <a:srgbClr val="2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A2-C974-49B2-9C17-08E16E5C920D}"/>
              </c:ext>
            </c:extLst>
          </c:dPt>
          <c:dPt>
            <c:idx val="1955"/>
            <c:marker>
              <c:spPr>
                <a:solidFill>
                  <a:srgbClr val="2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A3-C974-49B2-9C17-08E16E5C920D}"/>
              </c:ext>
            </c:extLst>
          </c:dPt>
          <c:dPt>
            <c:idx val="1956"/>
            <c:marker>
              <c:spPr>
                <a:solidFill>
                  <a:srgbClr val="2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A4-C974-49B2-9C17-08E16E5C920D}"/>
              </c:ext>
            </c:extLst>
          </c:dPt>
          <c:dPt>
            <c:idx val="1957"/>
            <c:marker>
              <c:spPr>
                <a:solidFill>
                  <a:srgbClr val="2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A5-C974-49B2-9C17-08E16E5C920D}"/>
              </c:ext>
            </c:extLst>
          </c:dPt>
          <c:dPt>
            <c:idx val="1958"/>
            <c:marker>
              <c:spPr>
                <a:solidFill>
                  <a:srgbClr val="2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A6-C974-49B2-9C17-08E16E5C920D}"/>
              </c:ext>
            </c:extLst>
          </c:dPt>
          <c:dPt>
            <c:idx val="1959"/>
            <c:marker>
              <c:spPr>
                <a:solidFill>
                  <a:srgbClr val="2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A7-C974-49B2-9C17-08E16E5C920D}"/>
              </c:ext>
            </c:extLst>
          </c:dPt>
          <c:dPt>
            <c:idx val="1960"/>
            <c:marker>
              <c:spPr>
                <a:solidFill>
                  <a:srgbClr val="2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A8-C974-49B2-9C17-08E16E5C920D}"/>
              </c:ext>
            </c:extLst>
          </c:dPt>
          <c:dPt>
            <c:idx val="1961"/>
            <c:marker>
              <c:spPr>
                <a:solidFill>
                  <a:srgbClr val="2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A9-C974-49B2-9C17-08E16E5C920D}"/>
              </c:ext>
            </c:extLst>
          </c:dPt>
          <c:dPt>
            <c:idx val="1962"/>
            <c:marker>
              <c:spPr>
                <a:solidFill>
                  <a:srgbClr val="2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AA-C974-49B2-9C17-08E16E5C920D}"/>
              </c:ext>
            </c:extLst>
          </c:dPt>
          <c:dPt>
            <c:idx val="1963"/>
            <c:marker>
              <c:spPr>
                <a:solidFill>
                  <a:srgbClr val="2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AB-C974-49B2-9C17-08E16E5C920D}"/>
              </c:ext>
            </c:extLst>
          </c:dPt>
          <c:dPt>
            <c:idx val="1964"/>
            <c:marker>
              <c:spPr>
                <a:solidFill>
                  <a:srgbClr val="2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AC-C974-49B2-9C17-08E16E5C920D}"/>
              </c:ext>
            </c:extLst>
          </c:dPt>
          <c:dPt>
            <c:idx val="1965"/>
            <c:marker>
              <c:spPr>
                <a:solidFill>
                  <a:srgbClr val="2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AD-C974-49B2-9C17-08E16E5C920D}"/>
              </c:ext>
            </c:extLst>
          </c:dPt>
          <c:dPt>
            <c:idx val="1966"/>
            <c:marker>
              <c:spPr>
                <a:solidFill>
                  <a:srgbClr val="2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AE-C974-49B2-9C17-08E16E5C920D}"/>
              </c:ext>
            </c:extLst>
          </c:dPt>
          <c:dPt>
            <c:idx val="1967"/>
            <c:marker>
              <c:spPr>
                <a:solidFill>
                  <a:srgbClr val="2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AF-C974-49B2-9C17-08E16E5C920D}"/>
              </c:ext>
            </c:extLst>
          </c:dPt>
          <c:dPt>
            <c:idx val="1968"/>
            <c:marker>
              <c:spPr>
                <a:solidFill>
                  <a:srgbClr val="2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B0-C974-49B2-9C17-08E16E5C920D}"/>
              </c:ext>
            </c:extLst>
          </c:dPt>
          <c:dPt>
            <c:idx val="1969"/>
            <c:marker>
              <c:spPr>
                <a:solidFill>
                  <a:srgbClr val="2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B1-C974-49B2-9C17-08E16E5C920D}"/>
              </c:ext>
            </c:extLst>
          </c:dPt>
          <c:dPt>
            <c:idx val="1970"/>
            <c:marker>
              <c:spPr>
                <a:solidFill>
                  <a:srgbClr val="2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B2-C974-49B2-9C17-08E16E5C920D}"/>
              </c:ext>
            </c:extLst>
          </c:dPt>
          <c:dPt>
            <c:idx val="1971"/>
            <c:marker>
              <c:spPr>
                <a:solidFill>
                  <a:srgbClr val="2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B3-C974-49B2-9C17-08E16E5C920D}"/>
              </c:ext>
            </c:extLst>
          </c:dPt>
          <c:dPt>
            <c:idx val="1972"/>
            <c:marker>
              <c:spPr>
                <a:solidFill>
                  <a:srgbClr val="2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B4-C974-49B2-9C17-08E16E5C920D}"/>
              </c:ext>
            </c:extLst>
          </c:dPt>
          <c:dPt>
            <c:idx val="1973"/>
            <c:marker>
              <c:spPr>
                <a:solidFill>
                  <a:srgbClr val="2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B5-C974-49B2-9C17-08E16E5C920D}"/>
              </c:ext>
            </c:extLst>
          </c:dPt>
          <c:dPt>
            <c:idx val="1974"/>
            <c:marker>
              <c:spPr>
                <a:solidFill>
                  <a:srgbClr val="2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B6-C974-49B2-9C17-08E16E5C920D}"/>
              </c:ext>
            </c:extLst>
          </c:dPt>
          <c:dPt>
            <c:idx val="1975"/>
            <c:marker>
              <c:spPr>
                <a:solidFill>
                  <a:srgbClr val="2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B7-C974-49B2-9C17-08E16E5C920D}"/>
              </c:ext>
            </c:extLst>
          </c:dPt>
          <c:dPt>
            <c:idx val="1976"/>
            <c:marker>
              <c:spPr>
                <a:solidFill>
                  <a:srgbClr val="2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B8-C974-49B2-9C17-08E16E5C920D}"/>
              </c:ext>
            </c:extLst>
          </c:dPt>
          <c:dPt>
            <c:idx val="1977"/>
            <c:marker>
              <c:spPr>
                <a:solidFill>
                  <a:srgbClr val="2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B9-C974-49B2-9C17-08E16E5C920D}"/>
              </c:ext>
            </c:extLst>
          </c:dPt>
          <c:dPt>
            <c:idx val="1978"/>
            <c:marker>
              <c:spPr>
                <a:solidFill>
                  <a:srgbClr val="2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BA-C974-49B2-9C17-08E16E5C920D}"/>
              </c:ext>
            </c:extLst>
          </c:dPt>
          <c:dPt>
            <c:idx val="1979"/>
            <c:marker>
              <c:spPr>
                <a:solidFill>
                  <a:srgbClr val="2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BB-C974-49B2-9C17-08E16E5C920D}"/>
              </c:ext>
            </c:extLst>
          </c:dPt>
          <c:dPt>
            <c:idx val="1980"/>
            <c:marker>
              <c:spPr>
                <a:solidFill>
                  <a:srgbClr val="2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BC-C974-49B2-9C17-08E16E5C920D}"/>
              </c:ext>
            </c:extLst>
          </c:dPt>
          <c:dPt>
            <c:idx val="1981"/>
            <c:marker>
              <c:spPr>
                <a:solidFill>
                  <a:srgbClr val="2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BD-C974-49B2-9C17-08E16E5C920D}"/>
              </c:ext>
            </c:extLst>
          </c:dPt>
          <c:dPt>
            <c:idx val="1982"/>
            <c:marker>
              <c:spPr>
                <a:solidFill>
                  <a:srgbClr val="2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BE-C974-49B2-9C17-08E16E5C920D}"/>
              </c:ext>
            </c:extLst>
          </c:dPt>
          <c:dPt>
            <c:idx val="1983"/>
            <c:marker>
              <c:spPr>
                <a:solidFill>
                  <a:srgbClr val="2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BF-C974-49B2-9C17-08E16E5C920D}"/>
              </c:ext>
            </c:extLst>
          </c:dPt>
          <c:dPt>
            <c:idx val="1984"/>
            <c:marker>
              <c:spPr>
                <a:solidFill>
                  <a:srgbClr val="2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C0-C974-49B2-9C17-08E16E5C920D}"/>
              </c:ext>
            </c:extLst>
          </c:dPt>
          <c:dPt>
            <c:idx val="1985"/>
            <c:marker>
              <c:spPr>
                <a:solidFill>
                  <a:srgbClr val="2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C1-C974-49B2-9C17-08E16E5C920D}"/>
              </c:ext>
            </c:extLst>
          </c:dPt>
          <c:dPt>
            <c:idx val="1986"/>
            <c:marker>
              <c:spPr>
                <a:solidFill>
                  <a:srgbClr val="2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C2-C974-49B2-9C17-08E16E5C920D}"/>
              </c:ext>
            </c:extLst>
          </c:dPt>
          <c:dPt>
            <c:idx val="1987"/>
            <c:marker>
              <c:spPr>
                <a:solidFill>
                  <a:srgbClr val="2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C3-C974-49B2-9C17-08E16E5C920D}"/>
              </c:ext>
            </c:extLst>
          </c:dPt>
          <c:dPt>
            <c:idx val="1988"/>
            <c:marker>
              <c:spPr>
                <a:solidFill>
                  <a:srgbClr val="2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C4-C974-49B2-9C17-08E16E5C920D}"/>
              </c:ext>
            </c:extLst>
          </c:dPt>
          <c:dPt>
            <c:idx val="1989"/>
            <c:marker>
              <c:spPr>
                <a:solidFill>
                  <a:srgbClr val="2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C5-C974-49B2-9C17-08E16E5C920D}"/>
              </c:ext>
            </c:extLst>
          </c:dPt>
          <c:dPt>
            <c:idx val="1990"/>
            <c:marker>
              <c:spPr>
                <a:solidFill>
                  <a:srgbClr val="2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C6-C974-49B2-9C17-08E16E5C920D}"/>
              </c:ext>
            </c:extLst>
          </c:dPt>
          <c:dPt>
            <c:idx val="1991"/>
            <c:marker>
              <c:spPr>
                <a:solidFill>
                  <a:srgbClr val="2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C7-C974-49B2-9C17-08E16E5C920D}"/>
              </c:ext>
            </c:extLst>
          </c:dPt>
          <c:dPt>
            <c:idx val="1992"/>
            <c:marker>
              <c:spPr>
                <a:solidFill>
                  <a:srgbClr val="2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C8-C974-49B2-9C17-08E16E5C920D}"/>
              </c:ext>
            </c:extLst>
          </c:dPt>
          <c:dPt>
            <c:idx val="1993"/>
            <c:marker>
              <c:spPr>
                <a:solidFill>
                  <a:srgbClr val="2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C9-C974-49B2-9C17-08E16E5C920D}"/>
              </c:ext>
            </c:extLst>
          </c:dPt>
          <c:dPt>
            <c:idx val="1994"/>
            <c:marker>
              <c:spPr>
                <a:solidFill>
                  <a:srgbClr val="2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CA-C974-49B2-9C17-08E16E5C920D}"/>
              </c:ext>
            </c:extLst>
          </c:dPt>
          <c:dPt>
            <c:idx val="1995"/>
            <c:marker>
              <c:spPr>
                <a:solidFill>
                  <a:srgbClr val="2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CB-C974-49B2-9C17-08E16E5C920D}"/>
              </c:ext>
            </c:extLst>
          </c:dPt>
          <c:dPt>
            <c:idx val="1996"/>
            <c:marker>
              <c:spPr>
                <a:solidFill>
                  <a:srgbClr val="2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CC-C974-49B2-9C17-08E16E5C920D}"/>
              </c:ext>
            </c:extLst>
          </c:dPt>
          <c:dPt>
            <c:idx val="1997"/>
            <c:marker>
              <c:spPr>
                <a:solidFill>
                  <a:srgbClr val="2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CD-C974-49B2-9C17-08E16E5C920D}"/>
              </c:ext>
            </c:extLst>
          </c:dPt>
          <c:dPt>
            <c:idx val="1998"/>
            <c:marker>
              <c:spPr>
                <a:solidFill>
                  <a:srgbClr val="2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CE-C974-49B2-9C17-08E16E5C920D}"/>
              </c:ext>
            </c:extLst>
          </c:dPt>
          <c:dPt>
            <c:idx val="1999"/>
            <c:marker>
              <c:spPr>
                <a:solidFill>
                  <a:srgbClr val="2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CF-C974-49B2-9C17-08E16E5C920D}"/>
              </c:ext>
            </c:extLst>
          </c:dPt>
          <c:dPt>
            <c:idx val="2000"/>
            <c:marker>
              <c:spPr>
                <a:solidFill>
                  <a:srgbClr val="2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D0-C974-49B2-9C17-08E16E5C920D}"/>
              </c:ext>
            </c:extLst>
          </c:dPt>
          <c:dPt>
            <c:idx val="2001"/>
            <c:marker>
              <c:spPr>
                <a:solidFill>
                  <a:srgbClr val="2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D1-C974-49B2-9C17-08E16E5C920D}"/>
              </c:ext>
            </c:extLst>
          </c:dPt>
          <c:dPt>
            <c:idx val="2002"/>
            <c:marker>
              <c:spPr>
                <a:solidFill>
                  <a:srgbClr val="1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D2-C974-49B2-9C17-08E16E5C920D}"/>
              </c:ext>
            </c:extLst>
          </c:dPt>
          <c:dPt>
            <c:idx val="2003"/>
            <c:marker>
              <c:spPr>
                <a:solidFill>
                  <a:srgbClr val="1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D3-C974-49B2-9C17-08E16E5C920D}"/>
              </c:ext>
            </c:extLst>
          </c:dPt>
          <c:dPt>
            <c:idx val="2004"/>
            <c:marker>
              <c:spPr>
                <a:solidFill>
                  <a:srgbClr val="1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D4-C974-49B2-9C17-08E16E5C920D}"/>
              </c:ext>
            </c:extLst>
          </c:dPt>
          <c:dPt>
            <c:idx val="2005"/>
            <c:marker>
              <c:spPr>
                <a:solidFill>
                  <a:srgbClr val="1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D5-C974-49B2-9C17-08E16E5C920D}"/>
              </c:ext>
            </c:extLst>
          </c:dPt>
          <c:dPt>
            <c:idx val="2006"/>
            <c:marker>
              <c:spPr>
                <a:solidFill>
                  <a:srgbClr val="1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D6-C974-49B2-9C17-08E16E5C920D}"/>
              </c:ext>
            </c:extLst>
          </c:dPt>
          <c:dPt>
            <c:idx val="2007"/>
            <c:marker>
              <c:spPr>
                <a:solidFill>
                  <a:srgbClr val="1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D7-C974-49B2-9C17-08E16E5C920D}"/>
              </c:ext>
            </c:extLst>
          </c:dPt>
          <c:dPt>
            <c:idx val="2008"/>
            <c:marker>
              <c:spPr>
                <a:solidFill>
                  <a:srgbClr val="1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D8-C974-49B2-9C17-08E16E5C920D}"/>
              </c:ext>
            </c:extLst>
          </c:dPt>
          <c:dPt>
            <c:idx val="2009"/>
            <c:marker>
              <c:spPr>
                <a:solidFill>
                  <a:srgbClr val="1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D9-C974-49B2-9C17-08E16E5C920D}"/>
              </c:ext>
            </c:extLst>
          </c:dPt>
          <c:dPt>
            <c:idx val="2010"/>
            <c:marker>
              <c:spPr>
                <a:solidFill>
                  <a:srgbClr val="1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DA-C974-49B2-9C17-08E16E5C920D}"/>
              </c:ext>
            </c:extLst>
          </c:dPt>
          <c:dPt>
            <c:idx val="2011"/>
            <c:marker>
              <c:spPr>
                <a:solidFill>
                  <a:srgbClr val="1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DB-C974-49B2-9C17-08E16E5C920D}"/>
              </c:ext>
            </c:extLst>
          </c:dPt>
          <c:dPt>
            <c:idx val="2012"/>
            <c:marker>
              <c:spPr>
                <a:solidFill>
                  <a:srgbClr val="1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DC-C974-49B2-9C17-08E16E5C920D}"/>
              </c:ext>
            </c:extLst>
          </c:dPt>
          <c:dPt>
            <c:idx val="2013"/>
            <c:marker>
              <c:spPr>
                <a:solidFill>
                  <a:srgbClr val="1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DD-C974-49B2-9C17-08E16E5C920D}"/>
              </c:ext>
            </c:extLst>
          </c:dPt>
          <c:dPt>
            <c:idx val="2014"/>
            <c:marker>
              <c:spPr>
                <a:solidFill>
                  <a:srgbClr val="1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DE-C974-49B2-9C17-08E16E5C920D}"/>
              </c:ext>
            </c:extLst>
          </c:dPt>
          <c:dPt>
            <c:idx val="2015"/>
            <c:marker>
              <c:spPr>
                <a:solidFill>
                  <a:srgbClr val="1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DF-C974-49B2-9C17-08E16E5C920D}"/>
              </c:ext>
            </c:extLst>
          </c:dPt>
          <c:dPt>
            <c:idx val="2016"/>
            <c:marker>
              <c:spPr>
                <a:solidFill>
                  <a:srgbClr val="1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E0-C974-49B2-9C17-08E16E5C920D}"/>
              </c:ext>
            </c:extLst>
          </c:dPt>
          <c:dPt>
            <c:idx val="2017"/>
            <c:marker>
              <c:spPr>
                <a:solidFill>
                  <a:srgbClr val="1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E1-C974-49B2-9C17-08E16E5C920D}"/>
              </c:ext>
            </c:extLst>
          </c:dPt>
          <c:dPt>
            <c:idx val="2018"/>
            <c:marker>
              <c:spPr>
                <a:solidFill>
                  <a:srgbClr val="1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E2-C974-49B2-9C17-08E16E5C920D}"/>
              </c:ext>
            </c:extLst>
          </c:dPt>
          <c:dPt>
            <c:idx val="2019"/>
            <c:marker>
              <c:spPr>
                <a:solidFill>
                  <a:srgbClr val="1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E3-C974-49B2-9C17-08E16E5C920D}"/>
              </c:ext>
            </c:extLst>
          </c:dPt>
          <c:dPt>
            <c:idx val="2020"/>
            <c:marker>
              <c:spPr>
                <a:solidFill>
                  <a:srgbClr val="1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E4-C974-49B2-9C17-08E16E5C920D}"/>
              </c:ext>
            </c:extLst>
          </c:dPt>
          <c:dPt>
            <c:idx val="2021"/>
            <c:marker>
              <c:spPr>
                <a:solidFill>
                  <a:srgbClr val="1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E5-C974-49B2-9C17-08E16E5C920D}"/>
              </c:ext>
            </c:extLst>
          </c:dPt>
          <c:dPt>
            <c:idx val="2022"/>
            <c:marker>
              <c:spPr>
                <a:solidFill>
                  <a:srgbClr val="1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E6-C974-49B2-9C17-08E16E5C920D}"/>
              </c:ext>
            </c:extLst>
          </c:dPt>
          <c:dPt>
            <c:idx val="2023"/>
            <c:marker>
              <c:spPr>
                <a:solidFill>
                  <a:srgbClr val="1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E7-C974-49B2-9C17-08E16E5C920D}"/>
              </c:ext>
            </c:extLst>
          </c:dPt>
          <c:dPt>
            <c:idx val="2024"/>
            <c:marker>
              <c:spPr>
                <a:solidFill>
                  <a:srgbClr val="1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E8-C974-49B2-9C17-08E16E5C920D}"/>
              </c:ext>
            </c:extLst>
          </c:dPt>
          <c:dPt>
            <c:idx val="2025"/>
            <c:marker>
              <c:spPr>
                <a:solidFill>
                  <a:srgbClr val="1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E9-C974-49B2-9C17-08E16E5C920D}"/>
              </c:ext>
            </c:extLst>
          </c:dPt>
          <c:dPt>
            <c:idx val="2026"/>
            <c:marker>
              <c:spPr>
                <a:solidFill>
                  <a:srgbClr val="1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EA-C974-49B2-9C17-08E16E5C920D}"/>
              </c:ext>
            </c:extLst>
          </c:dPt>
          <c:dPt>
            <c:idx val="2027"/>
            <c:marker>
              <c:spPr>
                <a:solidFill>
                  <a:srgbClr val="1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EB-C974-49B2-9C17-08E16E5C920D}"/>
              </c:ext>
            </c:extLst>
          </c:dPt>
          <c:dPt>
            <c:idx val="2028"/>
            <c:marker>
              <c:spPr>
                <a:solidFill>
                  <a:srgbClr val="1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EC-C974-49B2-9C17-08E16E5C920D}"/>
              </c:ext>
            </c:extLst>
          </c:dPt>
          <c:dPt>
            <c:idx val="2029"/>
            <c:marker>
              <c:spPr>
                <a:solidFill>
                  <a:srgbClr val="1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ED-C974-49B2-9C17-08E16E5C920D}"/>
              </c:ext>
            </c:extLst>
          </c:dPt>
          <c:dPt>
            <c:idx val="2030"/>
            <c:marker>
              <c:spPr>
                <a:solidFill>
                  <a:srgbClr val="1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EE-C974-49B2-9C17-08E16E5C920D}"/>
              </c:ext>
            </c:extLst>
          </c:dPt>
          <c:dPt>
            <c:idx val="2031"/>
            <c:marker>
              <c:spPr>
                <a:solidFill>
                  <a:srgbClr val="1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EF-C974-49B2-9C17-08E16E5C920D}"/>
              </c:ext>
            </c:extLst>
          </c:dPt>
          <c:dPt>
            <c:idx val="2032"/>
            <c:marker>
              <c:spPr>
                <a:solidFill>
                  <a:srgbClr val="1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F0-C974-49B2-9C17-08E16E5C920D}"/>
              </c:ext>
            </c:extLst>
          </c:dPt>
          <c:dPt>
            <c:idx val="2033"/>
            <c:marker>
              <c:spPr>
                <a:solidFill>
                  <a:srgbClr val="1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F1-C974-49B2-9C17-08E16E5C920D}"/>
              </c:ext>
            </c:extLst>
          </c:dPt>
          <c:dPt>
            <c:idx val="2034"/>
            <c:marker>
              <c:spPr>
                <a:solidFill>
                  <a:srgbClr val="1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F2-C974-49B2-9C17-08E16E5C920D}"/>
              </c:ext>
            </c:extLst>
          </c:dPt>
          <c:dPt>
            <c:idx val="2035"/>
            <c:marker>
              <c:spPr>
                <a:solidFill>
                  <a:srgbClr val="1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F3-C974-49B2-9C17-08E16E5C920D}"/>
              </c:ext>
            </c:extLst>
          </c:dPt>
          <c:dPt>
            <c:idx val="2036"/>
            <c:marker>
              <c:spPr>
                <a:solidFill>
                  <a:srgbClr val="1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F4-C974-49B2-9C17-08E16E5C920D}"/>
              </c:ext>
            </c:extLst>
          </c:dPt>
          <c:dPt>
            <c:idx val="2037"/>
            <c:marker>
              <c:spPr>
                <a:solidFill>
                  <a:srgbClr val="1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F5-C974-49B2-9C17-08E16E5C920D}"/>
              </c:ext>
            </c:extLst>
          </c:dPt>
          <c:dPt>
            <c:idx val="2038"/>
            <c:marker>
              <c:spPr>
                <a:solidFill>
                  <a:srgbClr val="1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F6-C974-49B2-9C17-08E16E5C920D}"/>
              </c:ext>
            </c:extLst>
          </c:dPt>
          <c:dPt>
            <c:idx val="2039"/>
            <c:marker>
              <c:spPr>
                <a:solidFill>
                  <a:srgbClr val="1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F7-C974-49B2-9C17-08E16E5C920D}"/>
              </c:ext>
            </c:extLst>
          </c:dPt>
          <c:dPt>
            <c:idx val="2040"/>
            <c:marker>
              <c:spPr>
                <a:solidFill>
                  <a:srgbClr val="1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F8-C974-49B2-9C17-08E16E5C920D}"/>
              </c:ext>
            </c:extLst>
          </c:dPt>
          <c:dPt>
            <c:idx val="2041"/>
            <c:marker>
              <c:spPr>
                <a:solidFill>
                  <a:srgbClr val="1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F9-C974-49B2-9C17-08E16E5C920D}"/>
              </c:ext>
            </c:extLst>
          </c:dPt>
          <c:dPt>
            <c:idx val="2042"/>
            <c:marker>
              <c:spPr>
                <a:solidFill>
                  <a:srgbClr val="1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FA-C974-49B2-9C17-08E16E5C920D}"/>
              </c:ext>
            </c:extLst>
          </c:dPt>
          <c:dPt>
            <c:idx val="2043"/>
            <c:marker>
              <c:spPr>
                <a:solidFill>
                  <a:srgbClr val="1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FB-C974-49B2-9C17-08E16E5C920D}"/>
              </c:ext>
            </c:extLst>
          </c:dPt>
          <c:dPt>
            <c:idx val="2044"/>
            <c:marker>
              <c:spPr>
                <a:solidFill>
                  <a:srgbClr val="1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FC-C974-49B2-9C17-08E16E5C920D}"/>
              </c:ext>
            </c:extLst>
          </c:dPt>
          <c:dPt>
            <c:idx val="2045"/>
            <c:marker>
              <c:spPr>
                <a:solidFill>
                  <a:srgbClr val="1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FD-C974-49B2-9C17-08E16E5C920D}"/>
              </c:ext>
            </c:extLst>
          </c:dPt>
          <c:dPt>
            <c:idx val="2046"/>
            <c:marker>
              <c:spPr>
                <a:solidFill>
                  <a:srgbClr val="1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FE-C974-49B2-9C17-08E16E5C920D}"/>
              </c:ext>
            </c:extLst>
          </c:dPt>
          <c:dPt>
            <c:idx val="2047"/>
            <c:marker>
              <c:spPr>
                <a:solidFill>
                  <a:srgbClr val="1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FF-C974-49B2-9C17-08E16E5C920D}"/>
              </c:ext>
            </c:extLst>
          </c:dPt>
          <c:dPt>
            <c:idx val="2048"/>
            <c:marker>
              <c:spPr>
                <a:solidFill>
                  <a:srgbClr val="1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00-C974-49B2-9C17-08E16E5C920D}"/>
              </c:ext>
            </c:extLst>
          </c:dPt>
          <c:dPt>
            <c:idx val="2049"/>
            <c:marker>
              <c:spPr>
                <a:solidFill>
                  <a:srgbClr val="1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01-C974-49B2-9C17-08E16E5C920D}"/>
              </c:ext>
            </c:extLst>
          </c:dPt>
          <c:dPt>
            <c:idx val="2050"/>
            <c:marker>
              <c:spPr>
                <a:solidFill>
                  <a:srgbClr val="1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02-C974-49B2-9C17-08E16E5C920D}"/>
              </c:ext>
            </c:extLst>
          </c:dPt>
          <c:dPt>
            <c:idx val="2051"/>
            <c:marker>
              <c:spPr>
                <a:solidFill>
                  <a:srgbClr val="1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03-C974-49B2-9C17-08E16E5C920D}"/>
              </c:ext>
            </c:extLst>
          </c:dPt>
          <c:dPt>
            <c:idx val="2052"/>
            <c:marker>
              <c:spPr>
                <a:solidFill>
                  <a:srgbClr val="1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04-C974-49B2-9C17-08E16E5C920D}"/>
              </c:ext>
            </c:extLst>
          </c:dPt>
          <c:dPt>
            <c:idx val="2053"/>
            <c:marker>
              <c:spPr>
                <a:solidFill>
                  <a:srgbClr val="1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05-C974-49B2-9C17-08E16E5C920D}"/>
              </c:ext>
            </c:extLst>
          </c:dPt>
          <c:dPt>
            <c:idx val="2054"/>
            <c:marker>
              <c:spPr>
                <a:solidFill>
                  <a:srgbClr val="1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06-C974-49B2-9C17-08E16E5C920D}"/>
              </c:ext>
            </c:extLst>
          </c:dPt>
          <c:dPt>
            <c:idx val="2055"/>
            <c:marker>
              <c:spPr>
                <a:solidFill>
                  <a:srgbClr val="1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07-C974-49B2-9C17-08E16E5C920D}"/>
              </c:ext>
            </c:extLst>
          </c:dPt>
          <c:dPt>
            <c:idx val="2056"/>
            <c:marker>
              <c:spPr>
                <a:solidFill>
                  <a:srgbClr val="1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08-C974-49B2-9C17-08E16E5C920D}"/>
              </c:ext>
            </c:extLst>
          </c:dPt>
          <c:dPt>
            <c:idx val="2057"/>
            <c:marker>
              <c:spPr>
                <a:solidFill>
                  <a:srgbClr val="1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09-C974-49B2-9C17-08E16E5C920D}"/>
              </c:ext>
            </c:extLst>
          </c:dPt>
          <c:dPt>
            <c:idx val="2058"/>
            <c:marker>
              <c:spPr>
                <a:solidFill>
                  <a:srgbClr val="1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0A-C974-49B2-9C17-08E16E5C920D}"/>
              </c:ext>
            </c:extLst>
          </c:dPt>
          <c:dPt>
            <c:idx val="2059"/>
            <c:marker>
              <c:spPr>
                <a:solidFill>
                  <a:srgbClr val="1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0B-C974-49B2-9C17-08E16E5C920D}"/>
              </c:ext>
            </c:extLst>
          </c:dPt>
          <c:dPt>
            <c:idx val="2060"/>
            <c:marker>
              <c:spPr>
                <a:solidFill>
                  <a:srgbClr val="1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0C-C974-49B2-9C17-08E16E5C920D}"/>
              </c:ext>
            </c:extLst>
          </c:dPt>
          <c:dPt>
            <c:idx val="2061"/>
            <c:marker>
              <c:spPr>
                <a:solidFill>
                  <a:srgbClr val="1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0D-C974-49B2-9C17-08E16E5C920D}"/>
              </c:ext>
            </c:extLst>
          </c:dPt>
          <c:dPt>
            <c:idx val="2062"/>
            <c:marker>
              <c:spPr>
                <a:solidFill>
                  <a:srgbClr val="1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0E-C974-49B2-9C17-08E16E5C920D}"/>
              </c:ext>
            </c:extLst>
          </c:dPt>
          <c:dPt>
            <c:idx val="2063"/>
            <c:marker>
              <c:spPr>
                <a:solidFill>
                  <a:srgbClr val="1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0F-C974-49B2-9C17-08E16E5C920D}"/>
              </c:ext>
            </c:extLst>
          </c:dPt>
          <c:dPt>
            <c:idx val="2064"/>
            <c:marker>
              <c:spPr>
                <a:solidFill>
                  <a:srgbClr val="1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10-C974-49B2-9C17-08E16E5C920D}"/>
              </c:ext>
            </c:extLst>
          </c:dPt>
          <c:dPt>
            <c:idx val="2065"/>
            <c:marker>
              <c:spPr>
                <a:solidFill>
                  <a:srgbClr val="1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11-C974-49B2-9C17-08E16E5C920D}"/>
              </c:ext>
            </c:extLst>
          </c:dPt>
          <c:dPt>
            <c:idx val="2066"/>
            <c:marker>
              <c:spPr>
                <a:solidFill>
                  <a:srgbClr val="1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12-C974-49B2-9C17-08E16E5C920D}"/>
              </c:ext>
            </c:extLst>
          </c:dPt>
          <c:dPt>
            <c:idx val="2067"/>
            <c:marker>
              <c:spPr>
                <a:solidFill>
                  <a:srgbClr val="1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13-C974-49B2-9C17-08E16E5C920D}"/>
              </c:ext>
            </c:extLst>
          </c:dPt>
          <c:dPt>
            <c:idx val="2068"/>
            <c:marker>
              <c:spPr>
                <a:solidFill>
                  <a:srgbClr val="1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14-C974-49B2-9C17-08E16E5C920D}"/>
              </c:ext>
            </c:extLst>
          </c:dPt>
          <c:dPt>
            <c:idx val="2069"/>
            <c:marker>
              <c:spPr>
                <a:solidFill>
                  <a:srgbClr val="1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15-C974-49B2-9C17-08E16E5C920D}"/>
              </c:ext>
            </c:extLst>
          </c:dPt>
          <c:dPt>
            <c:idx val="2070"/>
            <c:marker>
              <c:spPr>
                <a:solidFill>
                  <a:srgbClr val="1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16-C974-49B2-9C17-08E16E5C920D}"/>
              </c:ext>
            </c:extLst>
          </c:dPt>
          <c:dPt>
            <c:idx val="2071"/>
            <c:marker>
              <c:spPr>
                <a:solidFill>
                  <a:srgbClr val="1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17-C974-49B2-9C17-08E16E5C920D}"/>
              </c:ext>
            </c:extLst>
          </c:dPt>
          <c:dPt>
            <c:idx val="2072"/>
            <c:marker>
              <c:spPr>
                <a:solidFill>
                  <a:srgbClr val="1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18-C974-49B2-9C17-08E16E5C920D}"/>
              </c:ext>
            </c:extLst>
          </c:dPt>
          <c:dPt>
            <c:idx val="2073"/>
            <c:marker>
              <c:spPr>
                <a:solidFill>
                  <a:srgbClr val="1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19-C974-49B2-9C17-08E16E5C920D}"/>
              </c:ext>
            </c:extLst>
          </c:dPt>
          <c:dPt>
            <c:idx val="2074"/>
            <c:marker>
              <c:spPr>
                <a:solidFill>
                  <a:srgbClr val="1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1A-C974-49B2-9C17-08E16E5C920D}"/>
              </c:ext>
            </c:extLst>
          </c:dPt>
          <c:dPt>
            <c:idx val="2075"/>
            <c:marker>
              <c:spPr>
                <a:solidFill>
                  <a:srgbClr val="1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1B-C974-49B2-9C17-08E16E5C920D}"/>
              </c:ext>
            </c:extLst>
          </c:dPt>
          <c:dPt>
            <c:idx val="2076"/>
            <c:marker>
              <c:spPr>
                <a:solidFill>
                  <a:srgbClr val="1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1C-C974-49B2-9C17-08E16E5C920D}"/>
              </c:ext>
            </c:extLst>
          </c:dPt>
          <c:dPt>
            <c:idx val="2077"/>
            <c:marker>
              <c:spPr>
                <a:solidFill>
                  <a:srgbClr val="1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1D-C974-49B2-9C17-08E16E5C920D}"/>
              </c:ext>
            </c:extLst>
          </c:dPt>
          <c:dPt>
            <c:idx val="2078"/>
            <c:marker>
              <c:spPr>
                <a:solidFill>
                  <a:srgbClr val="1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1E-C974-49B2-9C17-08E16E5C920D}"/>
              </c:ext>
            </c:extLst>
          </c:dPt>
          <c:dPt>
            <c:idx val="2079"/>
            <c:marker>
              <c:spPr>
                <a:solidFill>
                  <a:srgbClr val="1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1F-C974-49B2-9C17-08E16E5C920D}"/>
              </c:ext>
            </c:extLst>
          </c:dPt>
          <c:dPt>
            <c:idx val="2080"/>
            <c:marker>
              <c:spPr>
                <a:solidFill>
                  <a:srgbClr val="1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20-C974-49B2-9C17-08E16E5C920D}"/>
              </c:ext>
            </c:extLst>
          </c:dPt>
          <c:dPt>
            <c:idx val="2081"/>
            <c:marker>
              <c:spPr>
                <a:solidFill>
                  <a:srgbClr val="1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21-C974-49B2-9C17-08E16E5C920D}"/>
              </c:ext>
            </c:extLst>
          </c:dPt>
          <c:dPt>
            <c:idx val="2082"/>
            <c:marker>
              <c:spPr>
                <a:solidFill>
                  <a:srgbClr val="1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22-C974-49B2-9C17-08E16E5C920D}"/>
              </c:ext>
            </c:extLst>
          </c:dPt>
          <c:dPt>
            <c:idx val="2083"/>
            <c:marker>
              <c:spPr>
                <a:solidFill>
                  <a:srgbClr val="1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23-C974-49B2-9C17-08E16E5C920D}"/>
              </c:ext>
            </c:extLst>
          </c:dPt>
          <c:dPt>
            <c:idx val="2084"/>
            <c:marker>
              <c:spPr>
                <a:solidFill>
                  <a:srgbClr val="1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24-C974-49B2-9C17-08E16E5C920D}"/>
              </c:ext>
            </c:extLst>
          </c:dPt>
          <c:dPt>
            <c:idx val="2085"/>
            <c:marker>
              <c:spPr>
                <a:solidFill>
                  <a:srgbClr val="1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25-C974-49B2-9C17-08E16E5C920D}"/>
              </c:ext>
            </c:extLst>
          </c:dPt>
          <c:dPt>
            <c:idx val="2086"/>
            <c:marker>
              <c:spPr>
                <a:solidFill>
                  <a:srgbClr val="1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26-C974-49B2-9C17-08E16E5C920D}"/>
              </c:ext>
            </c:extLst>
          </c:dPt>
          <c:dPt>
            <c:idx val="2087"/>
            <c:marker>
              <c:spPr>
                <a:solidFill>
                  <a:srgbClr val="1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27-C974-49B2-9C17-08E16E5C920D}"/>
              </c:ext>
            </c:extLst>
          </c:dPt>
          <c:dPt>
            <c:idx val="2088"/>
            <c:marker>
              <c:spPr>
                <a:solidFill>
                  <a:srgbClr val="1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28-C974-49B2-9C17-08E16E5C920D}"/>
              </c:ext>
            </c:extLst>
          </c:dPt>
          <c:dPt>
            <c:idx val="2089"/>
            <c:marker>
              <c:spPr>
                <a:solidFill>
                  <a:srgbClr val="1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29-C974-49B2-9C17-08E16E5C920D}"/>
              </c:ext>
            </c:extLst>
          </c:dPt>
          <c:dPt>
            <c:idx val="2090"/>
            <c:marker>
              <c:spPr>
                <a:solidFill>
                  <a:srgbClr val="1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2A-C974-49B2-9C17-08E16E5C920D}"/>
              </c:ext>
            </c:extLst>
          </c:dPt>
          <c:dPt>
            <c:idx val="2091"/>
            <c:marker>
              <c:spPr>
                <a:solidFill>
                  <a:srgbClr val="1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2B-C974-49B2-9C17-08E16E5C920D}"/>
              </c:ext>
            </c:extLst>
          </c:dPt>
          <c:dPt>
            <c:idx val="2092"/>
            <c:marker>
              <c:spPr>
                <a:solidFill>
                  <a:srgbClr val="1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2C-C974-49B2-9C17-08E16E5C920D}"/>
              </c:ext>
            </c:extLst>
          </c:dPt>
          <c:dPt>
            <c:idx val="2093"/>
            <c:marker>
              <c:spPr>
                <a:solidFill>
                  <a:srgbClr val="1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2D-C974-49B2-9C17-08E16E5C920D}"/>
              </c:ext>
            </c:extLst>
          </c:dPt>
          <c:dPt>
            <c:idx val="2094"/>
            <c:marker>
              <c:spPr>
                <a:solidFill>
                  <a:srgbClr val="1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2E-C974-49B2-9C17-08E16E5C920D}"/>
              </c:ext>
            </c:extLst>
          </c:dPt>
          <c:dPt>
            <c:idx val="2095"/>
            <c:marker>
              <c:spPr>
                <a:solidFill>
                  <a:srgbClr val="1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2F-C974-49B2-9C17-08E16E5C920D}"/>
              </c:ext>
            </c:extLst>
          </c:dPt>
          <c:dPt>
            <c:idx val="2096"/>
            <c:marker>
              <c:spPr>
                <a:solidFill>
                  <a:srgbClr val="1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30-C974-49B2-9C17-08E16E5C920D}"/>
              </c:ext>
            </c:extLst>
          </c:dPt>
          <c:dPt>
            <c:idx val="2097"/>
            <c:marker>
              <c:spPr>
                <a:solidFill>
                  <a:srgbClr val="1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31-C974-49B2-9C17-08E16E5C920D}"/>
              </c:ext>
            </c:extLst>
          </c:dPt>
          <c:dPt>
            <c:idx val="2098"/>
            <c:marker>
              <c:spPr>
                <a:solidFill>
                  <a:srgbClr val="1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32-C974-49B2-9C17-08E16E5C920D}"/>
              </c:ext>
            </c:extLst>
          </c:dPt>
          <c:dPt>
            <c:idx val="2099"/>
            <c:marker>
              <c:spPr>
                <a:solidFill>
                  <a:srgbClr val="1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33-C974-49B2-9C17-08E16E5C920D}"/>
              </c:ext>
            </c:extLst>
          </c:dPt>
          <c:dPt>
            <c:idx val="2100"/>
            <c:marker>
              <c:spPr>
                <a:solidFill>
                  <a:srgbClr val="1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34-C974-49B2-9C17-08E16E5C920D}"/>
              </c:ext>
            </c:extLst>
          </c:dPt>
          <c:dPt>
            <c:idx val="2101"/>
            <c:marker>
              <c:spPr>
                <a:solidFill>
                  <a:srgbClr val="1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35-C974-49B2-9C17-08E16E5C920D}"/>
              </c:ext>
            </c:extLst>
          </c:dPt>
          <c:dPt>
            <c:idx val="2102"/>
            <c:marker>
              <c:spPr>
                <a:solidFill>
                  <a:srgbClr val="1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36-C974-49B2-9C17-08E16E5C920D}"/>
              </c:ext>
            </c:extLst>
          </c:dPt>
          <c:dPt>
            <c:idx val="2103"/>
            <c:marker>
              <c:spPr>
                <a:solidFill>
                  <a:srgbClr val="1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37-C974-49B2-9C17-08E16E5C920D}"/>
              </c:ext>
            </c:extLst>
          </c:dPt>
          <c:dPt>
            <c:idx val="2104"/>
            <c:marker>
              <c:spPr>
                <a:solidFill>
                  <a:srgbClr val="1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38-C974-49B2-9C17-08E16E5C920D}"/>
              </c:ext>
            </c:extLst>
          </c:dPt>
          <c:dPt>
            <c:idx val="2105"/>
            <c:marker>
              <c:spPr>
                <a:solidFill>
                  <a:srgbClr val="1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39-C974-49B2-9C17-08E16E5C920D}"/>
              </c:ext>
            </c:extLst>
          </c:dPt>
          <c:dPt>
            <c:idx val="2106"/>
            <c:marker>
              <c:spPr>
                <a:solidFill>
                  <a:srgbClr val="1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3A-C974-49B2-9C17-08E16E5C920D}"/>
              </c:ext>
            </c:extLst>
          </c:dPt>
          <c:dPt>
            <c:idx val="2107"/>
            <c:marker>
              <c:spPr>
                <a:solidFill>
                  <a:srgbClr val="1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3B-C974-49B2-9C17-08E16E5C920D}"/>
              </c:ext>
            </c:extLst>
          </c:dPt>
          <c:dPt>
            <c:idx val="2108"/>
            <c:marker>
              <c:spPr>
                <a:solidFill>
                  <a:srgbClr val="1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3C-C974-49B2-9C17-08E16E5C920D}"/>
              </c:ext>
            </c:extLst>
          </c:dPt>
          <c:dPt>
            <c:idx val="2109"/>
            <c:marker>
              <c:spPr>
                <a:solidFill>
                  <a:srgbClr val="1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3D-C974-49B2-9C17-08E16E5C920D}"/>
              </c:ext>
            </c:extLst>
          </c:dPt>
          <c:dPt>
            <c:idx val="2110"/>
            <c:marker>
              <c:spPr>
                <a:solidFill>
                  <a:srgbClr val="1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3E-C974-49B2-9C17-08E16E5C920D}"/>
              </c:ext>
            </c:extLst>
          </c:dPt>
          <c:dPt>
            <c:idx val="2111"/>
            <c:marker>
              <c:spPr>
                <a:solidFill>
                  <a:srgbClr val="1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3F-C974-49B2-9C17-08E16E5C920D}"/>
              </c:ext>
            </c:extLst>
          </c:dPt>
          <c:dPt>
            <c:idx val="2112"/>
            <c:marker>
              <c:spPr>
                <a:solidFill>
                  <a:srgbClr val="1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40-C974-49B2-9C17-08E16E5C920D}"/>
              </c:ext>
            </c:extLst>
          </c:dPt>
          <c:dPt>
            <c:idx val="2113"/>
            <c:marker>
              <c:spPr>
                <a:solidFill>
                  <a:srgbClr val="1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41-C974-49B2-9C17-08E16E5C920D}"/>
              </c:ext>
            </c:extLst>
          </c:dPt>
          <c:dPt>
            <c:idx val="2114"/>
            <c:marker>
              <c:spPr>
                <a:solidFill>
                  <a:srgbClr val="1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42-C974-49B2-9C17-08E16E5C920D}"/>
              </c:ext>
            </c:extLst>
          </c:dPt>
          <c:dPt>
            <c:idx val="2115"/>
            <c:marker>
              <c:spPr>
                <a:solidFill>
                  <a:srgbClr val="1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43-C974-49B2-9C17-08E16E5C920D}"/>
              </c:ext>
            </c:extLst>
          </c:dPt>
          <c:dPt>
            <c:idx val="2116"/>
            <c:marker>
              <c:spPr>
                <a:solidFill>
                  <a:srgbClr val="1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44-C974-49B2-9C17-08E16E5C920D}"/>
              </c:ext>
            </c:extLst>
          </c:dPt>
          <c:dPt>
            <c:idx val="2117"/>
            <c:marker>
              <c:spPr>
                <a:solidFill>
                  <a:srgbClr val="1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45-C974-49B2-9C17-08E16E5C920D}"/>
              </c:ext>
            </c:extLst>
          </c:dPt>
          <c:dPt>
            <c:idx val="2118"/>
            <c:marker>
              <c:spPr>
                <a:solidFill>
                  <a:srgbClr val="1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46-C974-49B2-9C17-08E16E5C920D}"/>
              </c:ext>
            </c:extLst>
          </c:dPt>
          <c:dPt>
            <c:idx val="2119"/>
            <c:marker>
              <c:spPr>
                <a:solidFill>
                  <a:srgbClr val="1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47-C974-49B2-9C17-08E16E5C920D}"/>
              </c:ext>
            </c:extLst>
          </c:dPt>
          <c:dPt>
            <c:idx val="2120"/>
            <c:marker>
              <c:spPr>
                <a:solidFill>
                  <a:srgbClr val="1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48-C974-49B2-9C17-08E16E5C920D}"/>
              </c:ext>
            </c:extLst>
          </c:dPt>
          <c:dPt>
            <c:idx val="2121"/>
            <c:marker>
              <c:spPr>
                <a:solidFill>
                  <a:srgbClr val="1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49-C974-49B2-9C17-08E16E5C920D}"/>
              </c:ext>
            </c:extLst>
          </c:dPt>
          <c:dPt>
            <c:idx val="2122"/>
            <c:marker>
              <c:spPr>
                <a:solidFill>
                  <a:srgbClr val="1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4A-C974-49B2-9C17-08E16E5C920D}"/>
              </c:ext>
            </c:extLst>
          </c:dPt>
          <c:dPt>
            <c:idx val="2123"/>
            <c:marker>
              <c:spPr>
                <a:solidFill>
                  <a:srgbClr val="1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4B-C974-49B2-9C17-08E16E5C920D}"/>
              </c:ext>
            </c:extLst>
          </c:dPt>
          <c:dPt>
            <c:idx val="2124"/>
            <c:marker>
              <c:spPr>
                <a:solidFill>
                  <a:srgbClr val="1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4C-C974-49B2-9C17-08E16E5C920D}"/>
              </c:ext>
            </c:extLst>
          </c:dPt>
          <c:dPt>
            <c:idx val="2125"/>
            <c:marker>
              <c:spPr>
                <a:solidFill>
                  <a:srgbClr val="1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4D-C974-49B2-9C17-08E16E5C920D}"/>
              </c:ext>
            </c:extLst>
          </c:dPt>
          <c:dPt>
            <c:idx val="2126"/>
            <c:marker>
              <c:spPr>
                <a:solidFill>
                  <a:srgbClr val="1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4E-C974-49B2-9C17-08E16E5C920D}"/>
              </c:ext>
            </c:extLst>
          </c:dPt>
          <c:dPt>
            <c:idx val="2127"/>
            <c:marker>
              <c:spPr>
                <a:solidFill>
                  <a:srgbClr val="1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4F-C974-49B2-9C17-08E16E5C920D}"/>
              </c:ext>
            </c:extLst>
          </c:dPt>
          <c:dPt>
            <c:idx val="2128"/>
            <c:marker>
              <c:spPr>
                <a:solidFill>
                  <a:srgbClr val="1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50-C974-49B2-9C17-08E16E5C920D}"/>
              </c:ext>
            </c:extLst>
          </c:dPt>
          <c:dPt>
            <c:idx val="2129"/>
            <c:marker>
              <c:spPr>
                <a:solidFill>
                  <a:srgbClr val="1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51-C974-49B2-9C17-08E16E5C920D}"/>
              </c:ext>
            </c:extLst>
          </c:dPt>
          <c:dPt>
            <c:idx val="2130"/>
            <c:marker>
              <c:spPr>
                <a:solidFill>
                  <a:srgbClr val="1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52-C974-49B2-9C17-08E16E5C920D}"/>
              </c:ext>
            </c:extLst>
          </c:dPt>
          <c:dPt>
            <c:idx val="2131"/>
            <c:marker>
              <c:spPr>
                <a:solidFill>
                  <a:srgbClr val="1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53-C974-49B2-9C17-08E16E5C920D}"/>
              </c:ext>
            </c:extLst>
          </c:dPt>
          <c:dPt>
            <c:idx val="2132"/>
            <c:marker>
              <c:spPr>
                <a:solidFill>
                  <a:srgbClr val="1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54-C974-49B2-9C17-08E16E5C920D}"/>
              </c:ext>
            </c:extLst>
          </c:dPt>
          <c:dPt>
            <c:idx val="2133"/>
            <c:marker>
              <c:spPr>
                <a:solidFill>
                  <a:srgbClr val="1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55-C974-49B2-9C17-08E16E5C920D}"/>
              </c:ext>
            </c:extLst>
          </c:dPt>
          <c:dPt>
            <c:idx val="2134"/>
            <c:marker>
              <c:spPr>
                <a:solidFill>
                  <a:srgbClr val="1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56-C974-49B2-9C17-08E16E5C920D}"/>
              </c:ext>
            </c:extLst>
          </c:dPt>
          <c:dPt>
            <c:idx val="2135"/>
            <c:marker>
              <c:spPr>
                <a:solidFill>
                  <a:srgbClr val="1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57-C974-49B2-9C17-08E16E5C920D}"/>
              </c:ext>
            </c:extLst>
          </c:dPt>
          <c:dPt>
            <c:idx val="2136"/>
            <c:marker>
              <c:spPr>
                <a:solidFill>
                  <a:srgbClr val="1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58-C974-49B2-9C17-08E16E5C920D}"/>
              </c:ext>
            </c:extLst>
          </c:dPt>
          <c:dPt>
            <c:idx val="2137"/>
            <c:marker>
              <c:spPr>
                <a:solidFill>
                  <a:srgbClr val="1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59-C974-49B2-9C17-08E16E5C920D}"/>
              </c:ext>
            </c:extLst>
          </c:dPt>
          <c:dPt>
            <c:idx val="2138"/>
            <c:marker>
              <c:spPr>
                <a:solidFill>
                  <a:srgbClr val="1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5A-C974-49B2-9C17-08E16E5C920D}"/>
              </c:ext>
            </c:extLst>
          </c:dPt>
          <c:dPt>
            <c:idx val="2139"/>
            <c:marker>
              <c:spPr>
                <a:solidFill>
                  <a:srgbClr val="1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5B-C974-49B2-9C17-08E16E5C920D}"/>
              </c:ext>
            </c:extLst>
          </c:dPt>
          <c:dPt>
            <c:idx val="2140"/>
            <c:marker>
              <c:spPr>
                <a:solidFill>
                  <a:srgbClr val="1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5C-C974-49B2-9C17-08E16E5C920D}"/>
              </c:ext>
            </c:extLst>
          </c:dPt>
          <c:dPt>
            <c:idx val="2141"/>
            <c:marker>
              <c:spPr>
                <a:solidFill>
                  <a:srgbClr val="1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5D-C974-49B2-9C17-08E16E5C920D}"/>
              </c:ext>
            </c:extLst>
          </c:dPt>
          <c:dPt>
            <c:idx val="2142"/>
            <c:marker>
              <c:spPr>
                <a:solidFill>
                  <a:srgbClr val="1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5E-C974-49B2-9C17-08E16E5C920D}"/>
              </c:ext>
            </c:extLst>
          </c:dPt>
          <c:dPt>
            <c:idx val="2143"/>
            <c:marker>
              <c:spPr>
                <a:solidFill>
                  <a:srgbClr val="1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5F-C974-49B2-9C17-08E16E5C920D}"/>
              </c:ext>
            </c:extLst>
          </c:dPt>
          <c:dPt>
            <c:idx val="2144"/>
            <c:marker>
              <c:spPr>
                <a:solidFill>
                  <a:srgbClr val="1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60-C974-49B2-9C17-08E16E5C920D}"/>
              </c:ext>
            </c:extLst>
          </c:dPt>
          <c:dPt>
            <c:idx val="2145"/>
            <c:marker>
              <c:spPr>
                <a:solidFill>
                  <a:srgbClr val="1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61-C974-49B2-9C17-08E16E5C920D}"/>
              </c:ext>
            </c:extLst>
          </c:dPt>
          <c:dPt>
            <c:idx val="2146"/>
            <c:marker>
              <c:spPr>
                <a:solidFill>
                  <a:srgbClr val="0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62-C974-49B2-9C17-08E16E5C920D}"/>
              </c:ext>
            </c:extLst>
          </c:dPt>
          <c:dPt>
            <c:idx val="2147"/>
            <c:marker>
              <c:spPr>
                <a:solidFill>
                  <a:srgbClr val="0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63-C974-49B2-9C17-08E16E5C920D}"/>
              </c:ext>
            </c:extLst>
          </c:dPt>
          <c:dPt>
            <c:idx val="2148"/>
            <c:marker>
              <c:spPr>
                <a:solidFill>
                  <a:srgbClr val="0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64-C974-49B2-9C17-08E16E5C920D}"/>
              </c:ext>
            </c:extLst>
          </c:dPt>
          <c:dPt>
            <c:idx val="2149"/>
            <c:marker>
              <c:spPr>
                <a:solidFill>
                  <a:srgbClr val="0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65-C974-49B2-9C17-08E16E5C920D}"/>
              </c:ext>
            </c:extLst>
          </c:dPt>
          <c:dPt>
            <c:idx val="2150"/>
            <c:marker>
              <c:spPr>
                <a:solidFill>
                  <a:srgbClr val="0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66-C974-49B2-9C17-08E16E5C920D}"/>
              </c:ext>
            </c:extLst>
          </c:dPt>
          <c:dPt>
            <c:idx val="2151"/>
            <c:marker>
              <c:spPr>
                <a:solidFill>
                  <a:srgbClr val="0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67-C974-49B2-9C17-08E16E5C920D}"/>
              </c:ext>
            </c:extLst>
          </c:dPt>
          <c:dPt>
            <c:idx val="2152"/>
            <c:marker>
              <c:spPr>
                <a:solidFill>
                  <a:srgbClr val="0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68-C974-49B2-9C17-08E16E5C920D}"/>
              </c:ext>
            </c:extLst>
          </c:dPt>
          <c:dPt>
            <c:idx val="2153"/>
            <c:marker>
              <c:spPr>
                <a:solidFill>
                  <a:srgbClr val="0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69-C974-49B2-9C17-08E16E5C920D}"/>
              </c:ext>
            </c:extLst>
          </c:dPt>
          <c:dPt>
            <c:idx val="2154"/>
            <c:marker>
              <c:spPr>
                <a:solidFill>
                  <a:srgbClr val="0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6A-C974-49B2-9C17-08E16E5C920D}"/>
              </c:ext>
            </c:extLst>
          </c:dPt>
          <c:dPt>
            <c:idx val="2155"/>
            <c:marker>
              <c:spPr>
                <a:solidFill>
                  <a:srgbClr val="0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6B-C974-49B2-9C17-08E16E5C920D}"/>
              </c:ext>
            </c:extLst>
          </c:dPt>
          <c:dPt>
            <c:idx val="2156"/>
            <c:marker>
              <c:spPr>
                <a:solidFill>
                  <a:srgbClr val="0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6C-C974-49B2-9C17-08E16E5C920D}"/>
              </c:ext>
            </c:extLst>
          </c:dPt>
          <c:dPt>
            <c:idx val="2157"/>
            <c:marker>
              <c:spPr>
                <a:solidFill>
                  <a:srgbClr val="0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6D-C974-49B2-9C17-08E16E5C920D}"/>
              </c:ext>
            </c:extLst>
          </c:dPt>
          <c:dPt>
            <c:idx val="2158"/>
            <c:marker>
              <c:spPr>
                <a:solidFill>
                  <a:srgbClr val="0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6E-C974-49B2-9C17-08E16E5C920D}"/>
              </c:ext>
            </c:extLst>
          </c:dPt>
          <c:dPt>
            <c:idx val="2159"/>
            <c:marker>
              <c:spPr>
                <a:solidFill>
                  <a:srgbClr val="0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6F-C974-49B2-9C17-08E16E5C920D}"/>
              </c:ext>
            </c:extLst>
          </c:dPt>
          <c:dPt>
            <c:idx val="2160"/>
            <c:marker>
              <c:spPr>
                <a:solidFill>
                  <a:srgbClr val="0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70-C974-49B2-9C17-08E16E5C920D}"/>
              </c:ext>
            </c:extLst>
          </c:dPt>
          <c:dPt>
            <c:idx val="2161"/>
            <c:marker>
              <c:spPr>
                <a:solidFill>
                  <a:srgbClr val="0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71-C974-49B2-9C17-08E16E5C920D}"/>
              </c:ext>
            </c:extLst>
          </c:dPt>
          <c:dPt>
            <c:idx val="2162"/>
            <c:marker>
              <c:spPr>
                <a:solidFill>
                  <a:srgbClr val="0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72-C974-49B2-9C17-08E16E5C920D}"/>
              </c:ext>
            </c:extLst>
          </c:dPt>
          <c:dPt>
            <c:idx val="2163"/>
            <c:marker>
              <c:spPr>
                <a:solidFill>
                  <a:srgbClr val="0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73-C974-49B2-9C17-08E16E5C920D}"/>
              </c:ext>
            </c:extLst>
          </c:dPt>
          <c:dPt>
            <c:idx val="2164"/>
            <c:marker>
              <c:spPr>
                <a:solidFill>
                  <a:srgbClr val="0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74-C974-49B2-9C17-08E16E5C920D}"/>
              </c:ext>
            </c:extLst>
          </c:dPt>
          <c:dPt>
            <c:idx val="2165"/>
            <c:marker>
              <c:spPr>
                <a:solidFill>
                  <a:srgbClr val="0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75-C974-49B2-9C17-08E16E5C920D}"/>
              </c:ext>
            </c:extLst>
          </c:dPt>
          <c:dPt>
            <c:idx val="2166"/>
            <c:marker>
              <c:spPr>
                <a:solidFill>
                  <a:srgbClr val="0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76-C974-49B2-9C17-08E16E5C920D}"/>
              </c:ext>
            </c:extLst>
          </c:dPt>
          <c:dPt>
            <c:idx val="2167"/>
            <c:marker>
              <c:spPr>
                <a:solidFill>
                  <a:srgbClr val="0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77-C974-49B2-9C17-08E16E5C920D}"/>
              </c:ext>
            </c:extLst>
          </c:dPt>
          <c:dPt>
            <c:idx val="2168"/>
            <c:marker>
              <c:spPr>
                <a:solidFill>
                  <a:srgbClr val="0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78-C974-49B2-9C17-08E16E5C920D}"/>
              </c:ext>
            </c:extLst>
          </c:dPt>
          <c:dPt>
            <c:idx val="2169"/>
            <c:marker>
              <c:spPr>
                <a:solidFill>
                  <a:srgbClr val="0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79-C974-49B2-9C17-08E16E5C920D}"/>
              </c:ext>
            </c:extLst>
          </c:dPt>
          <c:dPt>
            <c:idx val="2170"/>
            <c:marker>
              <c:spPr>
                <a:solidFill>
                  <a:srgbClr val="0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7A-C974-49B2-9C17-08E16E5C920D}"/>
              </c:ext>
            </c:extLst>
          </c:dPt>
          <c:dPt>
            <c:idx val="2171"/>
            <c:marker>
              <c:spPr>
                <a:solidFill>
                  <a:srgbClr val="0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7B-C974-49B2-9C17-08E16E5C920D}"/>
              </c:ext>
            </c:extLst>
          </c:dPt>
          <c:dPt>
            <c:idx val="2172"/>
            <c:marker>
              <c:spPr>
                <a:solidFill>
                  <a:srgbClr val="0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7C-C974-49B2-9C17-08E16E5C920D}"/>
              </c:ext>
            </c:extLst>
          </c:dPt>
          <c:dPt>
            <c:idx val="2173"/>
            <c:marker>
              <c:spPr>
                <a:solidFill>
                  <a:srgbClr val="0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7D-C974-49B2-9C17-08E16E5C920D}"/>
              </c:ext>
            </c:extLst>
          </c:dPt>
          <c:dPt>
            <c:idx val="2174"/>
            <c:marker>
              <c:spPr>
                <a:solidFill>
                  <a:srgbClr val="0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7E-C974-49B2-9C17-08E16E5C920D}"/>
              </c:ext>
            </c:extLst>
          </c:dPt>
          <c:dPt>
            <c:idx val="2175"/>
            <c:marker>
              <c:spPr>
                <a:solidFill>
                  <a:srgbClr val="0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7F-C974-49B2-9C17-08E16E5C920D}"/>
              </c:ext>
            </c:extLst>
          </c:dPt>
          <c:dPt>
            <c:idx val="2176"/>
            <c:marker>
              <c:spPr>
                <a:solidFill>
                  <a:srgbClr val="0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80-C974-49B2-9C17-08E16E5C920D}"/>
              </c:ext>
            </c:extLst>
          </c:dPt>
          <c:dPt>
            <c:idx val="2177"/>
            <c:marker>
              <c:spPr>
                <a:solidFill>
                  <a:srgbClr val="0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81-C974-49B2-9C17-08E16E5C920D}"/>
              </c:ext>
            </c:extLst>
          </c:dPt>
          <c:dPt>
            <c:idx val="2178"/>
            <c:marker>
              <c:spPr>
                <a:solidFill>
                  <a:srgbClr val="0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82-C974-49B2-9C17-08E16E5C920D}"/>
              </c:ext>
            </c:extLst>
          </c:dPt>
          <c:dPt>
            <c:idx val="2179"/>
            <c:marker>
              <c:spPr>
                <a:solidFill>
                  <a:srgbClr val="0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83-C974-49B2-9C17-08E16E5C920D}"/>
              </c:ext>
            </c:extLst>
          </c:dPt>
          <c:dPt>
            <c:idx val="2180"/>
            <c:marker>
              <c:spPr>
                <a:solidFill>
                  <a:srgbClr val="0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84-C974-49B2-9C17-08E16E5C920D}"/>
              </c:ext>
            </c:extLst>
          </c:dPt>
          <c:dPt>
            <c:idx val="2181"/>
            <c:marker>
              <c:spPr>
                <a:solidFill>
                  <a:srgbClr val="0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85-C974-49B2-9C17-08E16E5C920D}"/>
              </c:ext>
            </c:extLst>
          </c:dPt>
          <c:dPt>
            <c:idx val="2182"/>
            <c:marker>
              <c:spPr>
                <a:solidFill>
                  <a:srgbClr val="0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86-C974-49B2-9C17-08E16E5C920D}"/>
              </c:ext>
            </c:extLst>
          </c:dPt>
          <c:dPt>
            <c:idx val="2183"/>
            <c:marker>
              <c:spPr>
                <a:solidFill>
                  <a:srgbClr val="0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87-C974-49B2-9C17-08E16E5C920D}"/>
              </c:ext>
            </c:extLst>
          </c:dPt>
          <c:dPt>
            <c:idx val="2184"/>
            <c:marker>
              <c:spPr>
                <a:solidFill>
                  <a:srgbClr val="0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88-C974-49B2-9C17-08E16E5C920D}"/>
              </c:ext>
            </c:extLst>
          </c:dPt>
          <c:dPt>
            <c:idx val="2185"/>
            <c:marker>
              <c:spPr>
                <a:solidFill>
                  <a:srgbClr val="0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89-C974-49B2-9C17-08E16E5C920D}"/>
              </c:ext>
            </c:extLst>
          </c:dPt>
          <c:dPt>
            <c:idx val="2186"/>
            <c:marker>
              <c:spPr>
                <a:solidFill>
                  <a:srgbClr val="0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8A-C974-49B2-9C17-08E16E5C920D}"/>
              </c:ext>
            </c:extLst>
          </c:dPt>
          <c:dPt>
            <c:idx val="2187"/>
            <c:marker>
              <c:spPr>
                <a:solidFill>
                  <a:srgbClr val="0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8B-C974-49B2-9C17-08E16E5C920D}"/>
              </c:ext>
            </c:extLst>
          </c:dPt>
          <c:dPt>
            <c:idx val="2188"/>
            <c:marker>
              <c:spPr>
                <a:solidFill>
                  <a:srgbClr val="0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8C-C974-49B2-9C17-08E16E5C920D}"/>
              </c:ext>
            </c:extLst>
          </c:dPt>
          <c:dPt>
            <c:idx val="2189"/>
            <c:marker>
              <c:spPr>
                <a:solidFill>
                  <a:srgbClr val="0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8D-C974-49B2-9C17-08E16E5C920D}"/>
              </c:ext>
            </c:extLst>
          </c:dPt>
          <c:dPt>
            <c:idx val="2190"/>
            <c:marker>
              <c:spPr>
                <a:solidFill>
                  <a:srgbClr val="0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8E-C974-49B2-9C17-08E16E5C920D}"/>
              </c:ext>
            </c:extLst>
          </c:dPt>
          <c:dPt>
            <c:idx val="2191"/>
            <c:marker>
              <c:spPr>
                <a:solidFill>
                  <a:srgbClr val="0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8F-C974-49B2-9C17-08E16E5C920D}"/>
              </c:ext>
            </c:extLst>
          </c:dPt>
          <c:dPt>
            <c:idx val="2192"/>
            <c:marker>
              <c:spPr>
                <a:solidFill>
                  <a:srgbClr val="0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90-C974-49B2-9C17-08E16E5C920D}"/>
              </c:ext>
            </c:extLst>
          </c:dPt>
          <c:dPt>
            <c:idx val="2193"/>
            <c:marker>
              <c:spPr>
                <a:solidFill>
                  <a:srgbClr val="0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91-C974-49B2-9C17-08E16E5C920D}"/>
              </c:ext>
            </c:extLst>
          </c:dPt>
          <c:dPt>
            <c:idx val="2194"/>
            <c:marker>
              <c:spPr>
                <a:solidFill>
                  <a:srgbClr val="0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92-C974-49B2-9C17-08E16E5C920D}"/>
              </c:ext>
            </c:extLst>
          </c:dPt>
          <c:dPt>
            <c:idx val="2195"/>
            <c:marker>
              <c:spPr>
                <a:solidFill>
                  <a:srgbClr val="0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93-C974-49B2-9C17-08E16E5C920D}"/>
              </c:ext>
            </c:extLst>
          </c:dPt>
          <c:dPt>
            <c:idx val="2196"/>
            <c:marker>
              <c:spPr>
                <a:solidFill>
                  <a:srgbClr val="0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94-C974-49B2-9C17-08E16E5C920D}"/>
              </c:ext>
            </c:extLst>
          </c:dPt>
          <c:dPt>
            <c:idx val="2197"/>
            <c:marker>
              <c:spPr>
                <a:solidFill>
                  <a:srgbClr val="0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95-C974-49B2-9C17-08E16E5C920D}"/>
              </c:ext>
            </c:extLst>
          </c:dPt>
          <c:dPt>
            <c:idx val="2198"/>
            <c:marker>
              <c:spPr>
                <a:solidFill>
                  <a:srgbClr val="0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96-C974-49B2-9C17-08E16E5C920D}"/>
              </c:ext>
            </c:extLst>
          </c:dPt>
          <c:dPt>
            <c:idx val="2199"/>
            <c:marker>
              <c:spPr>
                <a:solidFill>
                  <a:srgbClr val="0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97-C974-49B2-9C17-08E16E5C920D}"/>
              </c:ext>
            </c:extLst>
          </c:dPt>
          <c:dPt>
            <c:idx val="2200"/>
            <c:marker>
              <c:spPr>
                <a:solidFill>
                  <a:srgbClr val="0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98-C974-49B2-9C17-08E16E5C920D}"/>
              </c:ext>
            </c:extLst>
          </c:dPt>
          <c:dPt>
            <c:idx val="2201"/>
            <c:marker>
              <c:spPr>
                <a:solidFill>
                  <a:srgbClr val="0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99-C974-49B2-9C17-08E16E5C920D}"/>
              </c:ext>
            </c:extLst>
          </c:dPt>
          <c:dPt>
            <c:idx val="2202"/>
            <c:marker>
              <c:spPr>
                <a:solidFill>
                  <a:srgbClr val="0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9A-C974-49B2-9C17-08E16E5C920D}"/>
              </c:ext>
            </c:extLst>
          </c:dPt>
          <c:dPt>
            <c:idx val="2203"/>
            <c:marker>
              <c:spPr>
                <a:solidFill>
                  <a:srgbClr val="0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9B-C974-49B2-9C17-08E16E5C920D}"/>
              </c:ext>
            </c:extLst>
          </c:dPt>
          <c:dPt>
            <c:idx val="2204"/>
            <c:marker>
              <c:spPr>
                <a:solidFill>
                  <a:srgbClr val="0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9C-C974-49B2-9C17-08E16E5C920D}"/>
              </c:ext>
            </c:extLst>
          </c:dPt>
          <c:dPt>
            <c:idx val="2205"/>
            <c:marker>
              <c:spPr>
                <a:solidFill>
                  <a:srgbClr val="0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9D-C974-49B2-9C17-08E16E5C920D}"/>
              </c:ext>
            </c:extLst>
          </c:dPt>
          <c:dPt>
            <c:idx val="2206"/>
            <c:marker>
              <c:spPr>
                <a:solidFill>
                  <a:srgbClr val="0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9E-C974-49B2-9C17-08E16E5C920D}"/>
              </c:ext>
            </c:extLst>
          </c:dPt>
          <c:dPt>
            <c:idx val="2207"/>
            <c:marker>
              <c:spPr>
                <a:solidFill>
                  <a:srgbClr val="0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9F-C974-49B2-9C17-08E16E5C920D}"/>
              </c:ext>
            </c:extLst>
          </c:dPt>
          <c:dPt>
            <c:idx val="2208"/>
            <c:marker>
              <c:spPr>
                <a:solidFill>
                  <a:srgbClr val="0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A0-C974-49B2-9C17-08E16E5C920D}"/>
              </c:ext>
            </c:extLst>
          </c:dPt>
          <c:dPt>
            <c:idx val="2209"/>
            <c:marker>
              <c:spPr>
                <a:solidFill>
                  <a:srgbClr val="0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A1-C974-49B2-9C17-08E16E5C920D}"/>
              </c:ext>
            </c:extLst>
          </c:dPt>
          <c:dPt>
            <c:idx val="2210"/>
            <c:marker>
              <c:spPr>
                <a:solidFill>
                  <a:srgbClr val="0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A2-C974-49B2-9C17-08E16E5C920D}"/>
              </c:ext>
            </c:extLst>
          </c:dPt>
          <c:dPt>
            <c:idx val="2211"/>
            <c:marker>
              <c:spPr>
                <a:solidFill>
                  <a:srgbClr val="0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A3-C974-49B2-9C17-08E16E5C920D}"/>
              </c:ext>
            </c:extLst>
          </c:dPt>
          <c:dPt>
            <c:idx val="2212"/>
            <c:marker>
              <c:spPr>
                <a:solidFill>
                  <a:srgbClr val="0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A4-C974-49B2-9C17-08E16E5C920D}"/>
              </c:ext>
            </c:extLst>
          </c:dPt>
          <c:dPt>
            <c:idx val="2213"/>
            <c:marker>
              <c:spPr>
                <a:solidFill>
                  <a:srgbClr val="0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A5-C974-49B2-9C17-08E16E5C920D}"/>
              </c:ext>
            </c:extLst>
          </c:dPt>
          <c:dPt>
            <c:idx val="2214"/>
            <c:marker>
              <c:spPr>
                <a:solidFill>
                  <a:srgbClr val="0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A6-C974-49B2-9C17-08E16E5C920D}"/>
              </c:ext>
            </c:extLst>
          </c:dPt>
          <c:dPt>
            <c:idx val="2215"/>
            <c:marker>
              <c:spPr>
                <a:solidFill>
                  <a:srgbClr val="0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A7-C974-49B2-9C17-08E16E5C920D}"/>
              </c:ext>
            </c:extLst>
          </c:dPt>
          <c:dPt>
            <c:idx val="2216"/>
            <c:marker>
              <c:spPr>
                <a:solidFill>
                  <a:srgbClr val="0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A8-C974-49B2-9C17-08E16E5C920D}"/>
              </c:ext>
            </c:extLst>
          </c:dPt>
          <c:dPt>
            <c:idx val="2217"/>
            <c:marker>
              <c:spPr>
                <a:solidFill>
                  <a:srgbClr val="0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A9-C974-49B2-9C17-08E16E5C920D}"/>
              </c:ext>
            </c:extLst>
          </c:dPt>
          <c:dPt>
            <c:idx val="2218"/>
            <c:marker>
              <c:spPr>
                <a:solidFill>
                  <a:srgbClr val="0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AA-C974-49B2-9C17-08E16E5C920D}"/>
              </c:ext>
            </c:extLst>
          </c:dPt>
          <c:dPt>
            <c:idx val="2219"/>
            <c:marker>
              <c:spPr>
                <a:solidFill>
                  <a:srgbClr val="0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AB-C974-49B2-9C17-08E16E5C920D}"/>
              </c:ext>
            </c:extLst>
          </c:dPt>
          <c:dPt>
            <c:idx val="2220"/>
            <c:marker>
              <c:spPr>
                <a:solidFill>
                  <a:srgbClr val="0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AC-C974-49B2-9C17-08E16E5C920D}"/>
              </c:ext>
            </c:extLst>
          </c:dPt>
          <c:dPt>
            <c:idx val="2221"/>
            <c:marker>
              <c:spPr>
                <a:solidFill>
                  <a:srgbClr val="0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AD-C974-49B2-9C17-08E16E5C920D}"/>
              </c:ext>
            </c:extLst>
          </c:dPt>
          <c:dPt>
            <c:idx val="2222"/>
            <c:marker>
              <c:spPr>
                <a:solidFill>
                  <a:srgbClr val="0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AE-C974-49B2-9C17-08E16E5C920D}"/>
              </c:ext>
            </c:extLst>
          </c:dPt>
          <c:dPt>
            <c:idx val="2223"/>
            <c:marker>
              <c:spPr>
                <a:solidFill>
                  <a:srgbClr val="0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AF-C974-49B2-9C17-08E16E5C920D}"/>
              </c:ext>
            </c:extLst>
          </c:dPt>
          <c:dPt>
            <c:idx val="2224"/>
            <c:marker>
              <c:spPr>
                <a:solidFill>
                  <a:srgbClr val="0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B0-C974-49B2-9C17-08E16E5C920D}"/>
              </c:ext>
            </c:extLst>
          </c:dPt>
          <c:dPt>
            <c:idx val="2225"/>
            <c:marker>
              <c:spPr>
                <a:solidFill>
                  <a:srgbClr val="0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B1-C974-49B2-9C17-08E16E5C920D}"/>
              </c:ext>
            </c:extLst>
          </c:dPt>
          <c:dPt>
            <c:idx val="2226"/>
            <c:marker>
              <c:spPr>
                <a:solidFill>
                  <a:srgbClr val="0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B2-C974-49B2-9C17-08E16E5C920D}"/>
              </c:ext>
            </c:extLst>
          </c:dPt>
          <c:dPt>
            <c:idx val="2227"/>
            <c:marker>
              <c:spPr>
                <a:solidFill>
                  <a:srgbClr val="0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B3-C974-49B2-9C17-08E16E5C920D}"/>
              </c:ext>
            </c:extLst>
          </c:dPt>
          <c:dPt>
            <c:idx val="2228"/>
            <c:marker>
              <c:spPr>
                <a:solidFill>
                  <a:srgbClr val="0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B4-C974-49B2-9C17-08E16E5C920D}"/>
              </c:ext>
            </c:extLst>
          </c:dPt>
          <c:dPt>
            <c:idx val="2229"/>
            <c:marker>
              <c:spPr>
                <a:solidFill>
                  <a:srgbClr val="0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B5-C974-49B2-9C17-08E16E5C920D}"/>
              </c:ext>
            </c:extLst>
          </c:dPt>
          <c:dPt>
            <c:idx val="2230"/>
            <c:marker>
              <c:spPr>
                <a:solidFill>
                  <a:srgbClr val="0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B6-C974-49B2-9C17-08E16E5C920D}"/>
              </c:ext>
            </c:extLst>
          </c:dPt>
          <c:dPt>
            <c:idx val="2231"/>
            <c:marker>
              <c:spPr>
                <a:solidFill>
                  <a:srgbClr val="0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B7-C974-49B2-9C17-08E16E5C920D}"/>
              </c:ext>
            </c:extLst>
          </c:dPt>
          <c:dPt>
            <c:idx val="2232"/>
            <c:marker>
              <c:spPr>
                <a:solidFill>
                  <a:srgbClr val="0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B8-C974-49B2-9C17-08E16E5C920D}"/>
              </c:ext>
            </c:extLst>
          </c:dPt>
          <c:dPt>
            <c:idx val="2233"/>
            <c:marker>
              <c:spPr>
                <a:solidFill>
                  <a:srgbClr val="0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B9-C974-49B2-9C17-08E16E5C920D}"/>
              </c:ext>
            </c:extLst>
          </c:dPt>
          <c:dPt>
            <c:idx val="2234"/>
            <c:marker>
              <c:spPr>
                <a:solidFill>
                  <a:srgbClr val="0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BA-C974-49B2-9C17-08E16E5C920D}"/>
              </c:ext>
            </c:extLst>
          </c:dPt>
          <c:dPt>
            <c:idx val="2235"/>
            <c:marker>
              <c:spPr>
                <a:solidFill>
                  <a:srgbClr val="0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BB-C974-49B2-9C17-08E16E5C920D}"/>
              </c:ext>
            </c:extLst>
          </c:dPt>
          <c:dPt>
            <c:idx val="2236"/>
            <c:marker>
              <c:spPr>
                <a:solidFill>
                  <a:srgbClr val="0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BC-C974-49B2-9C17-08E16E5C920D}"/>
              </c:ext>
            </c:extLst>
          </c:dPt>
          <c:dPt>
            <c:idx val="2237"/>
            <c:marker>
              <c:spPr>
                <a:solidFill>
                  <a:srgbClr val="0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BD-C974-49B2-9C17-08E16E5C920D}"/>
              </c:ext>
            </c:extLst>
          </c:dPt>
          <c:dPt>
            <c:idx val="2238"/>
            <c:marker>
              <c:spPr>
                <a:solidFill>
                  <a:srgbClr val="0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BE-C974-49B2-9C17-08E16E5C920D}"/>
              </c:ext>
            </c:extLst>
          </c:dPt>
          <c:dPt>
            <c:idx val="2239"/>
            <c:marker>
              <c:spPr>
                <a:solidFill>
                  <a:srgbClr val="0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BF-C974-49B2-9C17-08E16E5C920D}"/>
              </c:ext>
            </c:extLst>
          </c:dPt>
          <c:dPt>
            <c:idx val="2240"/>
            <c:marker>
              <c:spPr>
                <a:solidFill>
                  <a:srgbClr val="0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C0-C974-49B2-9C17-08E16E5C920D}"/>
              </c:ext>
            </c:extLst>
          </c:dPt>
          <c:dPt>
            <c:idx val="2241"/>
            <c:marker>
              <c:spPr>
                <a:solidFill>
                  <a:srgbClr val="0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C1-C974-49B2-9C17-08E16E5C920D}"/>
              </c:ext>
            </c:extLst>
          </c:dPt>
          <c:dPt>
            <c:idx val="2242"/>
            <c:marker>
              <c:spPr>
                <a:solidFill>
                  <a:srgbClr val="0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C2-C974-49B2-9C17-08E16E5C920D}"/>
              </c:ext>
            </c:extLst>
          </c:dPt>
          <c:dPt>
            <c:idx val="2243"/>
            <c:marker>
              <c:spPr>
                <a:solidFill>
                  <a:srgbClr val="0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C3-C974-49B2-9C17-08E16E5C920D}"/>
              </c:ext>
            </c:extLst>
          </c:dPt>
          <c:dPt>
            <c:idx val="2244"/>
            <c:marker>
              <c:spPr>
                <a:solidFill>
                  <a:srgbClr val="0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C4-C974-49B2-9C17-08E16E5C920D}"/>
              </c:ext>
            </c:extLst>
          </c:dPt>
          <c:dPt>
            <c:idx val="2245"/>
            <c:marker>
              <c:spPr>
                <a:solidFill>
                  <a:srgbClr val="0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C5-C974-49B2-9C17-08E16E5C920D}"/>
              </c:ext>
            </c:extLst>
          </c:dPt>
          <c:dPt>
            <c:idx val="2246"/>
            <c:marker>
              <c:spPr>
                <a:solidFill>
                  <a:srgbClr val="0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C6-C974-49B2-9C17-08E16E5C920D}"/>
              </c:ext>
            </c:extLst>
          </c:dPt>
          <c:dPt>
            <c:idx val="2247"/>
            <c:marker>
              <c:spPr>
                <a:solidFill>
                  <a:srgbClr val="0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C7-C974-49B2-9C17-08E16E5C920D}"/>
              </c:ext>
            </c:extLst>
          </c:dPt>
          <c:dPt>
            <c:idx val="2248"/>
            <c:marker>
              <c:spPr>
                <a:solidFill>
                  <a:srgbClr val="0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C8-C974-49B2-9C17-08E16E5C920D}"/>
              </c:ext>
            </c:extLst>
          </c:dPt>
          <c:dPt>
            <c:idx val="2249"/>
            <c:marker>
              <c:spPr>
                <a:solidFill>
                  <a:srgbClr val="0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C9-C974-49B2-9C17-08E16E5C920D}"/>
              </c:ext>
            </c:extLst>
          </c:dPt>
          <c:dPt>
            <c:idx val="2250"/>
            <c:marker>
              <c:spPr>
                <a:solidFill>
                  <a:srgbClr val="0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CA-C974-49B2-9C17-08E16E5C920D}"/>
              </c:ext>
            </c:extLst>
          </c:dPt>
          <c:dPt>
            <c:idx val="2251"/>
            <c:marker>
              <c:spPr>
                <a:solidFill>
                  <a:srgbClr val="0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CB-C974-49B2-9C17-08E16E5C920D}"/>
              </c:ext>
            </c:extLst>
          </c:dPt>
          <c:dPt>
            <c:idx val="2252"/>
            <c:marker>
              <c:spPr>
                <a:solidFill>
                  <a:srgbClr val="0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CC-C974-49B2-9C17-08E16E5C920D}"/>
              </c:ext>
            </c:extLst>
          </c:dPt>
          <c:dPt>
            <c:idx val="2253"/>
            <c:marker>
              <c:spPr>
                <a:solidFill>
                  <a:srgbClr val="0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CD-C974-49B2-9C17-08E16E5C920D}"/>
              </c:ext>
            </c:extLst>
          </c:dPt>
          <c:dPt>
            <c:idx val="2254"/>
            <c:marker>
              <c:spPr>
                <a:solidFill>
                  <a:srgbClr val="0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CE-C974-49B2-9C17-08E16E5C920D}"/>
              </c:ext>
            </c:extLst>
          </c:dPt>
          <c:dPt>
            <c:idx val="2255"/>
            <c:marker>
              <c:spPr>
                <a:solidFill>
                  <a:srgbClr val="0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CF-C974-49B2-9C17-08E16E5C920D}"/>
              </c:ext>
            </c:extLst>
          </c:dPt>
          <c:dPt>
            <c:idx val="2256"/>
            <c:marker>
              <c:spPr>
                <a:solidFill>
                  <a:srgbClr val="0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D0-C974-49B2-9C17-08E16E5C920D}"/>
              </c:ext>
            </c:extLst>
          </c:dPt>
          <c:dPt>
            <c:idx val="2257"/>
            <c:marker>
              <c:spPr>
                <a:solidFill>
                  <a:srgbClr val="0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D1-C974-49B2-9C17-08E16E5C920D}"/>
              </c:ext>
            </c:extLst>
          </c:dPt>
          <c:dPt>
            <c:idx val="2258"/>
            <c:marker>
              <c:spPr>
                <a:solidFill>
                  <a:srgbClr val="0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D2-C974-49B2-9C17-08E16E5C920D}"/>
              </c:ext>
            </c:extLst>
          </c:dPt>
          <c:dPt>
            <c:idx val="2259"/>
            <c:marker>
              <c:spPr>
                <a:solidFill>
                  <a:srgbClr val="0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D3-C974-49B2-9C17-08E16E5C920D}"/>
              </c:ext>
            </c:extLst>
          </c:dPt>
          <c:dPt>
            <c:idx val="2260"/>
            <c:marker>
              <c:spPr>
                <a:solidFill>
                  <a:srgbClr val="0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D4-C974-49B2-9C17-08E16E5C920D}"/>
              </c:ext>
            </c:extLst>
          </c:dPt>
          <c:dPt>
            <c:idx val="2261"/>
            <c:marker>
              <c:spPr>
                <a:solidFill>
                  <a:srgbClr val="0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D5-C974-49B2-9C17-08E16E5C920D}"/>
              </c:ext>
            </c:extLst>
          </c:dPt>
          <c:dPt>
            <c:idx val="2262"/>
            <c:marker>
              <c:spPr>
                <a:solidFill>
                  <a:srgbClr val="0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D6-C974-49B2-9C17-08E16E5C920D}"/>
              </c:ext>
            </c:extLst>
          </c:dPt>
          <c:dPt>
            <c:idx val="2263"/>
            <c:marker>
              <c:spPr>
                <a:solidFill>
                  <a:srgbClr val="0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D7-C974-49B2-9C17-08E16E5C920D}"/>
              </c:ext>
            </c:extLst>
          </c:dPt>
          <c:dPt>
            <c:idx val="2264"/>
            <c:marker>
              <c:spPr>
                <a:solidFill>
                  <a:srgbClr val="0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D8-C974-49B2-9C17-08E16E5C920D}"/>
              </c:ext>
            </c:extLst>
          </c:dPt>
          <c:dPt>
            <c:idx val="2265"/>
            <c:marker>
              <c:spPr>
                <a:solidFill>
                  <a:srgbClr val="0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D9-C974-49B2-9C17-08E16E5C920D}"/>
              </c:ext>
            </c:extLst>
          </c:dPt>
          <c:dPt>
            <c:idx val="2266"/>
            <c:marker>
              <c:spPr>
                <a:solidFill>
                  <a:srgbClr val="0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DA-C974-49B2-9C17-08E16E5C920D}"/>
              </c:ext>
            </c:extLst>
          </c:dPt>
          <c:dPt>
            <c:idx val="2267"/>
            <c:marker>
              <c:spPr>
                <a:solidFill>
                  <a:srgbClr val="0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DB-C974-49B2-9C17-08E16E5C920D}"/>
              </c:ext>
            </c:extLst>
          </c:dPt>
          <c:dPt>
            <c:idx val="2268"/>
            <c:marker>
              <c:spPr>
                <a:solidFill>
                  <a:srgbClr val="0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DC-C974-49B2-9C17-08E16E5C920D}"/>
              </c:ext>
            </c:extLst>
          </c:dPt>
          <c:dPt>
            <c:idx val="2269"/>
            <c:marker>
              <c:spPr>
                <a:solidFill>
                  <a:srgbClr val="0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DD-C974-49B2-9C17-08E16E5C920D}"/>
              </c:ext>
            </c:extLst>
          </c:dPt>
          <c:dPt>
            <c:idx val="2270"/>
            <c:marker>
              <c:spPr>
                <a:solidFill>
                  <a:srgbClr val="0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DE-C974-49B2-9C17-08E16E5C920D}"/>
              </c:ext>
            </c:extLst>
          </c:dPt>
          <c:dPt>
            <c:idx val="2271"/>
            <c:marker>
              <c:spPr>
                <a:solidFill>
                  <a:srgbClr val="0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DF-C974-49B2-9C17-08E16E5C920D}"/>
              </c:ext>
            </c:extLst>
          </c:dPt>
          <c:dPt>
            <c:idx val="2272"/>
            <c:marker>
              <c:spPr>
                <a:solidFill>
                  <a:srgbClr val="0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E0-C974-49B2-9C17-08E16E5C920D}"/>
              </c:ext>
            </c:extLst>
          </c:dPt>
          <c:dPt>
            <c:idx val="2273"/>
            <c:marker>
              <c:spPr>
                <a:solidFill>
                  <a:srgbClr val="0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E1-C974-49B2-9C17-08E16E5C920D}"/>
              </c:ext>
            </c:extLst>
          </c:dPt>
          <c:dPt>
            <c:idx val="2274"/>
            <c:marker>
              <c:spPr>
                <a:solidFill>
                  <a:srgbClr val="0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E2-C974-49B2-9C17-08E16E5C920D}"/>
              </c:ext>
            </c:extLst>
          </c:dPt>
          <c:dPt>
            <c:idx val="2275"/>
            <c:marker>
              <c:spPr>
                <a:solidFill>
                  <a:srgbClr val="0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E3-C974-49B2-9C17-08E16E5C920D}"/>
              </c:ext>
            </c:extLst>
          </c:dPt>
          <c:dPt>
            <c:idx val="2276"/>
            <c:marker>
              <c:spPr>
                <a:solidFill>
                  <a:srgbClr val="0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E4-C974-49B2-9C17-08E16E5C920D}"/>
              </c:ext>
            </c:extLst>
          </c:dPt>
          <c:dPt>
            <c:idx val="2277"/>
            <c:marker>
              <c:spPr>
                <a:solidFill>
                  <a:srgbClr val="0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E5-C974-49B2-9C17-08E16E5C920D}"/>
              </c:ext>
            </c:extLst>
          </c:dPt>
          <c:dPt>
            <c:idx val="2278"/>
            <c:marker>
              <c:spPr>
                <a:solidFill>
                  <a:srgbClr val="0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E6-C974-49B2-9C17-08E16E5C920D}"/>
              </c:ext>
            </c:extLst>
          </c:dPt>
          <c:dPt>
            <c:idx val="2279"/>
            <c:marker>
              <c:spPr>
                <a:solidFill>
                  <a:srgbClr val="0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E7-C974-49B2-9C17-08E16E5C920D}"/>
              </c:ext>
            </c:extLst>
          </c:dPt>
          <c:dPt>
            <c:idx val="2280"/>
            <c:marker>
              <c:spPr>
                <a:solidFill>
                  <a:srgbClr val="0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E8-C974-49B2-9C17-08E16E5C920D}"/>
              </c:ext>
            </c:extLst>
          </c:dPt>
          <c:dPt>
            <c:idx val="2281"/>
            <c:marker>
              <c:spPr>
                <a:solidFill>
                  <a:srgbClr val="0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E9-C974-49B2-9C17-08E16E5C920D}"/>
              </c:ext>
            </c:extLst>
          </c:dPt>
          <c:dPt>
            <c:idx val="2282"/>
            <c:marker>
              <c:spPr>
                <a:solidFill>
                  <a:srgbClr val="0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EA-C974-49B2-9C17-08E16E5C920D}"/>
              </c:ext>
            </c:extLst>
          </c:dPt>
          <c:dPt>
            <c:idx val="2283"/>
            <c:marker>
              <c:spPr>
                <a:solidFill>
                  <a:srgbClr val="0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EB-C974-49B2-9C17-08E16E5C920D}"/>
              </c:ext>
            </c:extLst>
          </c:dPt>
          <c:dPt>
            <c:idx val="2284"/>
            <c:marker>
              <c:spPr>
                <a:solidFill>
                  <a:srgbClr val="0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EC-C974-49B2-9C17-08E16E5C920D}"/>
              </c:ext>
            </c:extLst>
          </c:dPt>
          <c:dPt>
            <c:idx val="2285"/>
            <c:marker>
              <c:spPr>
                <a:solidFill>
                  <a:srgbClr val="0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ED-C974-49B2-9C17-08E16E5C920D}"/>
              </c:ext>
            </c:extLst>
          </c:dPt>
          <c:dPt>
            <c:idx val="2286"/>
            <c:marker>
              <c:spPr>
                <a:solidFill>
                  <a:srgbClr val="0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EE-C974-49B2-9C17-08E16E5C920D}"/>
              </c:ext>
            </c:extLst>
          </c:dPt>
          <c:dPt>
            <c:idx val="2287"/>
            <c:marker>
              <c:spPr>
                <a:solidFill>
                  <a:srgbClr val="0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EF-C974-49B2-9C17-08E16E5C920D}"/>
              </c:ext>
            </c:extLst>
          </c:dPt>
          <c:dPt>
            <c:idx val="2288"/>
            <c:marker>
              <c:spPr>
                <a:solidFill>
                  <a:srgbClr val="0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F0-C974-49B2-9C17-08E16E5C920D}"/>
              </c:ext>
            </c:extLst>
          </c:dPt>
          <c:xVal>
            <c:numRef>
              <c:f>gráficos!$A$7:$A$2295</c:f>
              <c:numCache>
                <c:formatCode>General</c:formatCode>
                <c:ptCount val="2289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  <c:pt idx="698">
                  <c:v>#N/A</c:v>
                </c:pt>
                <c:pt idx="699">
                  <c:v>#N/A</c:v>
                </c:pt>
                <c:pt idx="700">
                  <c:v>#N/A</c:v>
                </c:pt>
                <c:pt idx="701">
                  <c:v>#N/A</c:v>
                </c:pt>
                <c:pt idx="702">
                  <c:v>#N/A</c:v>
                </c:pt>
                <c:pt idx="703">
                  <c:v>#N/A</c:v>
                </c:pt>
                <c:pt idx="704">
                  <c:v>#N/A</c:v>
                </c:pt>
                <c:pt idx="705">
                  <c:v>#N/A</c:v>
                </c:pt>
                <c:pt idx="706">
                  <c:v>#N/A</c:v>
                </c:pt>
                <c:pt idx="707">
                  <c:v>#N/A</c:v>
                </c:pt>
                <c:pt idx="708">
                  <c:v>#N/A</c:v>
                </c:pt>
                <c:pt idx="709">
                  <c:v>#N/A</c:v>
                </c:pt>
                <c:pt idx="710">
                  <c:v>#N/A</c:v>
                </c:pt>
                <c:pt idx="711">
                  <c:v>#N/A</c:v>
                </c:pt>
                <c:pt idx="712">
                  <c:v>#N/A</c:v>
                </c:pt>
                <c:pt idx="713">
                  <c:v>#N/A</c:v>
                </c:pt>
                <c:pt idx="714">
                  <c:v>#N/A</c:v>
                </c:pt>
                <c:pt idx="715">
                  <c:v>#N/A</c:v>
                </c:pt>
                <c:pt idx="716">
                  <c:v>#N/A</c:v>
                </c:pt>
                <c:pt idx="717">
                  <c:v>#N/A</c:v>
                </c:pt>
                <c:pt idx="718">
                  <c:v>#N/A</c:v>
                </c:pt>
                <c:pt idx="719">
                  <c:v>#N/A</c:v>
                </c:pt>
                <c:pt idx="720">
                  <c:v>#N/A</c:v>
                </c:pt>
                <c:pt idx="721">
                  <c:v>#N/A</c:v>
                </c:pt>
                <c:pt idx="722">
                  <c:v>#N/A</c:v>
                </c:pt>
                <c:pt idx="723">
                  <c:v>#N/A</c:v>
                </c:pt>
                <c:pt idx="724">
                  <c:v>#N/A</c:v>
                </c:pt>
                <c:pt idx="725">
                  <c:v>#N/A</c:v>
                </c:pt>
                <c:pt idx="726">
                  <c:v>#N/A</c:v>
                </c:pt>
                <c:pt idx="727">
                  <c:v>#N/A</c:v>
                </c:pt>
                <c:pt idx="728">
                  <c:v>#N/A</c:v>
                </c:pt>
                <c:pt idx="729">
                  <c:v>#N/A</c:v>
                </c:pt>
                <c:pt idx="730">
                  <c:v>#N/A</c:v>
                </c:pt>
                <c:pt idx="731">
                  <c:v>#N/A</c:v>
                </c:pt>
                <c:pt idx="732">
                  <c:v>#N/A</c:v>
                </c:pt>
                <c:pt idx="733">
                  <c:v>#N/A</c:v>
                </c:pt>
                <c:pt idx="734">
                  <c:v>#N/A</c:v>
                </c:pt>
                <c:pt idx="735">
                  <c:v>#N/A</c:v>
                </c:pt>
                <c:pt idx="736">
                  <c:v>#N/A</c:v>
                </c:pt>
                <c:pt idx="737">
                  <c:v>#N/A</c:v>
                </c:pt>
                <c:pt idx="738">
                  <c:v>#N/A</c:v>
                </c:pt>
                <c:pt idx="739">
                  <c:v>#N/A</c:v>
                </c:pt>
                <c:pt idx="740">
                  <c:v>#N/A</c:v>
                </c:pt>
                <c:pt idx="741">
                  <c:v>#N/A</c:v>
                </c:pt>
                <c:pt idx="742">
                  <c:v>#N/A</c:v>
                </c:pt>
                <c:pt idx="743">
                  <c:v>#N/A</c:v>
                </c:pt>
                <c:pt idx="744">
                  <c:v>#N/A</c:v>
                </c:pt>
                <c:pt idx="745">
                  <c:v>#N/A</c:v>
                </c:pt>
                <c:pt idx="746">
                  <c:v>#N/A</c:v>
                </c:pt>
                <c:pt idx="747">
                  <c:v>#N/A</c:v>
                </c:pt>
                <c:pt idx="748">
                  <c:v>#N/A</c:v>
                </c:pt>
                <c:pt idx="749">
                  <c:v>#N/A</c:v>
                </c:pt>
                <c:pt idx="750">
                  <c:v>#N/A</c:v>
                </c:pt>
                <c:pt idx="751">
                  <c:v>#N/A</c:v>
                </c:pt>
                <c:pt idx="752">
                  <c:v>#N/A</c:v>
                </c:pt>
                <c:pt idx="753">
                  <c:v>#N/A</c:v>
                </c:pt>
                <c:pt idx="754">
                  <c:v>#N/A</c:v>
                </c:pt>
                <c:pt idx="755">
                  <c:v>#N/A</c:v>
                </c:pt>
                <c:pt idx="756">
                  <c:v>#N/A</c:v>
                </c:pt>
                <c:pt idx="757">
                  <c:v>#N/A</c:v>
                </c:pt>
                <c:pt idx="758">
                  <c:v>#N/A</c:v>
                </c:pt>
                <c:pt idx="759">
                  <c:v>#N/A</c:v>
                </c:pt>
                <c:pt idx="760">
                  <c:v>#N/A</c:v>
                </c:pt>
                <c:pt idx="761">
                  <c:v>#N/A</c:v>
                </c:pt>
                <c:pt idx="762">
                  <c:v>#N/A</c:v>
                </c:pt>
                <c:pt idx="763">
                  <c:v>#N/A</c:v>
                </c:pt>
                <c:pt idx="764">
                  <c:v>#N/A</c:v>
                </c:pt>
                <c:pt idx="765">
                  <c:v>#N/A</c:v>
                </c:pt>
                <c:pt idx="766">
                  <c:v>#N/A</c:v>
                </c:pt>
                <c:pt idx="767">
                  <c:v>#N/A</c:v>
                </c:pt>
                <c:pt idx="768">
                  <c:v>#N/A</c:v>
                </c:pt>
                <c:pt idx="769">
                  <c:v>#N/A</c:v>
                </c:pt>
                <c:pt idx="770">
                  <c:v>#N/A</c:v>
                </c:pt>
                <c:pt idx="771">
                  <c:v>#N/A</c:v>
                </c:pt>
                <c:pt idx="772">
                  <c:v>#N/A</c:v>
                </c:pt>
                <c:pt idx="773">
                  <c:v>#N/A</c:v>
                </c:pt>
                <c:pt idx="774">
                  <c:v>#N/A</c:v>
                </c:pt>
                <c:pt idx="775">
                  <c:v>#N/A</c:v>
                </c:pt>
                <c:pt idx="776">
                  <c:v>#N/A</c:v>
                </c:pt>
                <c:pt idx="777">
                  <c:v>#N/A</c:v>
                </c:pt>
                <c:pt idx="778">
                  <c:v>#N/A</c:v>
                </c:pt>
                <c:pt idx="779">
                  <c:v>#N/A</c:v>
                </c:pt>
                <c:pt idx="780">
                  <c:v>#N/A</c:v>
                </c:pt>
                <c:pt idx="781">
                  <c:v>#N/A</c:v>
                </c:pt>
                <c:pt idx="782">
                  <c:v>#N/A</c:v>
                </c:pt>
                <c:pt idx="783">
                  <c:v>#N/A</c:v>
                </c:pt>
                <c:pt idx="784">
                  <c:v>#N/A</c:v>
                </c:pt>
                <c:pt idx="785">
                  <c:v>#N/A</c:v>
                </c:pt>
                <c:pt idx="786">
                  <c:v>#N/A</c:v>
                </c:pt>
                <c:pt idx="787">
                  <c:v>#N/A</c:v>
                </c:pt>
                <c:pt idx="788">
                  <c:v>#N/A</c:v>
                </c:pt>
                <c:pt idx="789">
                  <c:v>#N/A</c:v>
                </c:pt>
                <c:pt idx="790">
                  <c:v>#N/A</c:v>
                </c:pt>
                <c:pt idx="791">
                  <c:v>#N/A</c:v>
                </c:pt>
                <c:pt idx="792">
                  <c:v>#N/A</c:v>
                </c:pt>
                <c:pt idx="793">
                  <c:v>#N/A</c:v>
                </c:pt>
                <c:pt idx="794">
                  <c:v>#N/A</c:v>
                </c:pt>
                <c:pt idx="795">
                  <c:v>#N/A</c:v>
                </c:pt>
                <c:pt idx="796">
                  <c:v>#N/A</c:v>
                </c:pt>
                <c:pt idx="797">
                  <c:v>#N/A</c:v>
                </c:pt>
                <c:pt idx="798">
                  <c:v>#N/A</c:v>
                </c:pt>
                <c:pt idx="799">
                  <c:v>#N/A</c:v>
                </c:pt>
                <c:pt idx="800">
                  <c:v>#N/A</c:v>
                </c:pt>
                <c:pt idx="801">
                  <c:v>#N/A</c:v>
                </c:pt>
                <c:pt idx="802">
                  <c:v>#N/A</c:v>
                </c:pt>
                <c:pt idx="803">
                  <c:v>#N/A</c:v>
                </c:pt>
                <c:pt idx="804">
                  <c:v>#N/A</c:v>
                </c:pt>
                <c:pt idx="805">
                  <c:v>#N/A</c:v>
                </c:pt>
                <c:pt idx="806">
                  <c:v>#N/A</c:v>
                </c:pt>
                <c:pt idx="807">
                  <c:v>#N/A</c:v>
                </c:pt>
                <c:pt idx="808">
                  <c:v>#N/A</c:v>
                </c:pt>
                <c:pt idx="809">
                  <c:v>#N/A</c:v>
                </c:pt>
                <c:pt idx="810">
                  <c:v>#N/A</c:v>
                </c:pt>
                <c:pt idx="811">
                  <c:v>#N/A</c:v>
                </c:pt>
                <c:pt idx="812">
                  <c:v>#N/A</c:v>
                </c:pt>
                <c:pt idx="813">
                  <c:v>#N/A</c:v>
                </c:pt>
                <c:pt idx="814">
                  <c:v>#N/A</c:v>
                </c:pt>
                <c:pt idx="815">
                  <c:v>#N/A</c:v>
                </c:pt>
                <c:pt idx="816">
                  <c:v>#N/A</c:v>
                </c:pt>
                <c:pt idx="817">
                  <c:v>#N/A</c:v>
                </c:pt>
                <c:pt idx="818">
                  <c:v>#N/A</c:v>
                </c:pt>
                <c:pt idx="819">
                  <c:v>#N/A</c:v>
                </c:pt>
                <c:pt idx="820">
                  <c:v>#N/A</c:v>
                </c:pt>
                <c:pt idx="821">
                  <c:v>#N/A</c:v>
                </c:pt>
                <c:pt idx="822">
                  <c:v>#N/A</c:v>
                </c:pt>
                <c:pt idx="823">
                  <c:v>#N/A</c:v>
                </c:pt>
                <c:pt idx="824">
                  <c:v>#N/A</c:v>
                </c:pt>
                <c:pt idx="825">
                  <c:v>#N/A</c:v>
                </c:pt>
                <c:pt idx="826">
                  <c:v>#N/A</c:v>
                </c:pt>
                <c:pt idx="827">
                  <c:v>#N/A</c:v>
                </c:pt>
                <c:pt idx="828">
                  <c:v>#N/A</c:v>
                </c:pt>
                <c:pt idx="829">
                  <c:v>#N/A</c:v>
                </c:pt>
                <c:pt idx="830">
                  <c:v>#N/A</c:v>
                </c:pt>
                <c:pt idx="831">
                  <c:v>#N/A</c:v>
                </c:pt>
                <c:pt idx="832">
                  <c:v>#N/A</c:v>
                </c:pt>
                <c:pt idx="833">
                  <c:v>#N/A</c:v>
                </c:pt>
                <c:pt idx="834">
                  <c:v>#N/A</c:v>
                </c:pt>
                <c:pt idx="835">
                  <c:v>#N/A</c:v>
                </c:pt>
                <c:pt idx="836">
                  <c:v>#N/A</c:v>
                </c:pt>
                <c:pt idx="837">
                  <c:v>#N/A</c:v>
                </c:pt>
                <c:pt idx="838">
                  <c:v>#N/A</c:v>
                </c:pt>
                <c:pt idx="839">
                  <c:v>#N/A</c:v>
                </c:pt>
                <c:pt idx="840">
                  <c:v>#N/A</c:v>
                </c:pt>
                <c:pt idx="841">
                  <c:v>#N/A</c:v>
                </c:pt>
                <c:pt idx="842">
                  <c:v>#N/A</c:v>
                </c:pt>
                <c:pt idx="843">
                  <c:v>#N/A</c:v>
                </c:pt>
                <c:pt idx="844">
                  <c:v>#N/A</c:v>
                </c:pt>
                <c:pt idx="845">
                  <c:v>#N/A</c:v>
                </c:pt>
                <c:pt idx="846">
                  <c:v>#N/A</c:v>
                </c:pt>
                <c:pt idx="847">
                  <c:v>#N/A</c:v>
                </c:pt>
                <c:pt idx="848">
                  <c:v>#N/A</c:v>
                </c:pt>
                <c:pt idx="849">
                  <c:v>#N/A</c:v>
                </c:pt>
                <c:pt idx="850">
                  <c:v>#N/A</c:v>
                </c:pt>
                <c:pt idx="851">
                  <c:v>#N/A</c:v>
                </c:pt>
                <c:pt idx="852">
                  <c:v>#N/A</c:v>
                </c:pt>
                <c:pt idx="853">
                  <c:v>#N/A</c:v>
                </c:pt>
                <c:pt idx="854">
                  <c:v>#N/A</c:v>
                </c:pt>
                <c:pt idx="855">
                  <c:v>#N/A</c:v>
                </c:pt>
                <c:pt idx="856">
                  <c:v>#N/A</c:v>
                </c:pt>
                <c:pt idx="857">
                  <c:v>#N/A</c:v>
                </c:pt>
                <c:pt idx="858">
                  <c:v>#N/A</c:v>
                </c:pt>
                <c:pt idx="859">
                  <c:v>#N/A</c:v>
                </c:pt>
                <c:pt idx="860">
                  <c:v>#N/A</c:v>
                </c:pt>
                <c:pt idx="861">
                  <c:v>#N/A</c:v>
                </c:pt>
                <c:pt idx="862">
                  <c:v>#N/A</c:v>
                </c:pt>
                <c:pt idx="863">
                  <c:v>#N/A</c:v>
                </c:pt>
                <c:pt idx="864">
                  <c:v>#N/A</c:v>
                </c:pt>
                <c:pt idx="865">
                  <c:v>#N/A</c:v>
                </c:pt>
                <c:pt idx="866">
                  <c:v>#N/A</c:v>
                </c:pt>
                <c:pt idx="867">
                  <c:v>#N/A</c:v>
                </c:pt>
                <c:pt idx="868">
                  <c:v>#N/A</c:v>
                </c:pt>
                <c:pt idx="869">
                  <c:v>#N/A</c:v>
                </c:pt>
                <c:pt idx="870">
                  <c:v>#N/A</c:v>
                </c:pt>
                <c:pt idx="871">
                  <c:v>#N/A</c:v>
                </c:pt>
                <c:pt idx="872">
                  <c:v>#N/A</c:v>
                </c:pt>
                <c:pt idx="873">
                  <c:v>#N/A</c:v>
                </c:pt>
                <c:pt idx="874">
                  <c:v>#N/A</c:v>
                </c:pt>
                <c:pt idx="875">
                  <c:v>#N/A</c:v>
                </c:pt>
                <c:pt idx="876">
                  <c:v>#N/A</c:v>
                </c:pt>
                <c:pt idx="877">
                  <c:v>#N/A</c:v>
                </c:pt>
                <c:pt idx="878">
                  <c:v>#N/A</c:v>
                </c:pt>
                <c:pt idx="879">
                  <c:v>#N/A</c:v>
                </c:pt>
                <c:pt idx="880">
                  <c:v>#N/A</c:v>
                </c:pt>
                <c:pt idx="881">
                  <c:v>#N/A</c:v>
                </c:pt>
                <c:pt idx="882">
                  <c:v>#N/A</c:v>
                </c:pt>
                <c:pt idx="883">
                  <c:v>#N/A</c:v>
                </c:pt>
                <c:pt idx="884">
                  <c:v>#N/A</c:v>
                </c:pt>
                <c:pt idx="885">
                  <c:v>#N/A</c:v>
                </c:pt>
                <c:pt idx="886">
                  <c:v>#N/A</c:v>
                </c:pt>
                <c:pt idx="887">
                  <c:v>#N/A</c:v>
                </c:pt>
                <c:pt idx="888">
                  <c:v>#N/A</c:v>
                </c:pt>
                <c:pt idx="889">
                  <c:v>#N/A</c:v>
                </c:pt>
                <c:pt idx="890">
                  <c:v>#N/A</c:v>
                </c:pt>
                <c:pt idx="891">
                  <c:v>#N/A</c:v>
                </c:pt>
                <c:pt idx="892">
                  <c:v>#N/A</c:v>
                </c:pt>
                <c:pt idx="893">
                  <c:v>#N/A</c:v>
                </c:pt>
                <c:pt idx="894">
                  <c:v>#N/A</c:v>
                </c:pt>
                <c:pt idx="895">
                  <c:v>#N/A</c:v>
                </c:pt>
                <c:pt idx="896">
                  <c:v>#N/A</c:v>
                </c:pt>
                <c:pt idx="897">
                  <c:v>#N/A</c:v>
                </c:pt>
                <c:pt idx="898">
                  <c:v>#N/A</c:v>
                </c:pt>
                <c:pt idx="899">
                  <c:v>#N/A</c:v>
                </c:pt>
                <c:pt idx="900">
                  <c:v>#N/A</c:v>
                </c:pt>
                <c:pt idx="901">
                  <c:v>#N/A</c:v>
                </c:pt>
                <c:pt idx="902">
                  <c:v>#N/A</c:v>
                </c:pt>
                <c:pt idx="903">
                  <c:v>#N/A</c:v>
                </c:pt>
                <c:pt idx="904">
                  <c:v>#N/A</c:v>
                </c:pt>
                <c:pt idx="905">
                  <c:v>#N/A</c:v>
                </c:pt>
                <c:pt idx="906">
                  <c:v>#N/A</c:v>
                </c:pt>
                <c:pt idx="907">
                  <c:v>#N/A</c:v>
                </c:pt>
                <c:pt idx="908">
                  <c:v>#N/A</c:v>
                </c:pt>
                <c:pt idx="909">
                  <c:v>#N/A</c:v>
                </c:pt>
                <c:pt idx="910">
                  <c:v>#N/A</c:v>
                </c:pt>
                <c:pt idx="911">
                  <c:v>#N/A</c:v>
                </c:pt>
                <c:pt idx="912">
                  <c:v>#N/A</c:v>
                </c:pt>
                <c:pt idx="913">
                  <c:v>#N/A</c:v>
                </c:pt>
                <c:pt idx="914">
                  <c:v>#N/A</c:v>
                </c:pt>
                <c:pt idx="915">
                  <c:v>#N/A</c:v>
                </c:pt>
                <c:pt idx="916">
                  <c:v>#N/A</c:v>
                </c:pt>
                <c:pt idx="917">
                  <c:v>#N/A</c:v>
                </c:pt>
                <c:pt idx="918">
                  <c:v>#N/A</c:v>
                </c:pt>
                <c:pt idx="919">
                  <c:v>#N/A</c:v>
                </c:pt>
                <c:pt idx="920">
                  <c:v>#N/A</c:v>
                </c:pt>
                <c:pt idx="921">
                  <c:v>#N/A</c:v>
                </c:pt>
                <c:pt idx="922">
                  <c:v>#N/A</c:v>
                </c:pt>
                <c:pt idx="923">
                  <c:v>#N/A</c:v>
                </c:pt>
                <c:pt idx="924">
                  <c:v>#N/A</c:v>
                </c:pt>
                <c:pt idx="925">
                  <c:v>#N/A</c:v>
                </c:pt>
                <c:pt idx="926">
                  <c:v>#N/A</c:v>
                </c:pt>
                <c:pt idx="927">
                  <c:v>#N/A</c:v>
                </c:pt>
                <c:pt idx="928">
                  <c:v>#N/A</c:v>
                </c:pt>
                <c:pt idx="929">
                  <c:v>#N/A</c:v>
                </c:pt>
                <c:pt idx="930">
                  <c:v>#N/A</c:v>
                </c:pt>
                <c:pt idx="931">
                  <c:v>#N/A</c:v>
                </c:pt>
                <c:pt idx="932">
                  <c:v>#N/A</c:v>
                </c:pt>
                <c:pt idx="933">
                  <c:v>#N/A</c:v>
                </c:pt>
                <c:pt idx="934">
                  <c:v>#N/A</c:v>
                </c:pt>
                <c:pt idx="935">
                  <c:v>#N/A</c:v>
                </c:pt>
                <c:pt idx="936">
                  <c:v>#N/A</c:v>
                </c:pt>
                <c:pt idx="937">
                  <c:v>#N/A</c:v>
                </c:pt>
                <c:pt idx="938">
                  <c:v>#N/A</c:v>
                </c:pt>
                <c:pt idx="939">
                  <c:v>#N/A</c:v>
                </c:pt>
                <c:pt idx="940">
                  <c:v>#N/A</c:v>
                </c:pt>
                <c:pt idx="941">
                  <c:v>#N/A</c:v>
                </c:pt>
                <c:pt idx="942">
                  <c:v>#N/A</c:v>
                </c:pt>
                <c:pt idx="943">
                  <c:v>#N/A</c:v>
                </c:pt>
                <c:pt idx="944">
                  <c:v>#N/A</c:v>
                </c:pt>
                <c:pt idx="945">
                  <c:v>#N/A</c:v>
                </c:pt>
                <c:pt idx="946">
                  <c:v>#N/A</c:v>
                </c:pt>
                <c:pt idx="947">
                  <c:v>#N/A</c:v>
                </c:pt>
                <c:pt idx="948">
                  <c:v>#N/A</c:v>
                </c:pt>
                <c:pt idx="949">
                  <c:v>#N/A</c:v>
                </c:pt>
                <c:pt idx="950">
                  <c:v>#N/A</c:v>
                </c:pt>
                <c:pt idx="951">
                  <c:v>#N/A</c:v>
                </c:pt>
                <c:pt idx="952">
                  <c:v>#N/A</c:v>
                </c:pt>
                <c:pt idx="953">
                  <c:v>#N/A</c:v>
                </c:pt>
                <c:pt idx="954">
                  <c:v>#N/A</c:v>
                </c:pt>
                <c:pt idx="955">
                  <c:v>#N/A</c:v>
                </c:pt>
                <c:pt idx="956">
                  <c:v>#N/A</c:v>
                </c:pt>
                <c:pt idx="957">
                  <c:v>#N/A</c:v>
                </c:pt>
                <c:pt idx="958">
                  <c:v>#N/A</c:v>
                </c:pt>
                <c:pt idx="959">
                  <c:v>#N/A</c:v>
                </c:pt>
                <c:pt idx="960">
                  <c:v>#N/A</c:v>
                </c:pt>
                <c:pt idx="961">
                  <c:v>#N/A</c:v>
                </c:pt>
                <c:pt idx="962">
                  <c:v>#N/A</c:v>
                </c:pt>
                <c:pt idx="963">
                  <c:v>#N/A</c:v>
                </c:pt>
                <c:pt idx="964">
                  <c:v>#N/A</c:v>
                </c:pt>
                <c:pt idx="965">
                  <c:v>#N/A</c:v>
                </c:pt>
                <c:pt idx="966">
                  <c:v>#N/A</c:v>
                </c:pt>
                <c:pt idx="967">
                  <c:v>#N/A</c:v>
                </c:pt>
                <c:pt idx="968">
                  <c:v>#N/A</c:v>
                </c:pt>
                <c:pt idx="969">
                  <c:v>#N/A</c:v>
                </c:pt>
                <c:pt idx="970">
                  <c:v>#N/A</c:v>
                </c:pt>
                <c:pt idx="971">
                  <c:v>#N/A</c:v>
                </c:pt>
                <c:pt idx="972">
                  <c:v>#N/A</c:v>
                </c:pt>
                <c:pt idx="973">
                  <c:v>#N/A</c:v>
                </c:pt>
                <c:pt idx="974">
                  <c:v>#N/A</c:v>
                </c:pt>
                <c:pt idx="975">
                  <c:v>#N/A</c:v>
                </c:pt>
                <c:pt idx="976">
                  <c:v>#N/A</c:v>
                </c:pt>
                <c:pt idx="977">
                  <c:v>#N/A</c:v>
                </c:pt>
                <c:pt idx="978">
                  <c:v>#N/A</c:v>
                </c:pt>
                <c:pt idx="979">
                  <c:v>#N/A</c:v>
                </c:pt>
                <c:pt idx="980">
                  <c:v>#N/A</c:v>
                </c:pt>
                <c:pt idx="981">
                  <c:v>#N/A</c:v>
                </c:pt>
                <c:pt idx="982">
                  <c:v>#N/A</c:v>
                </c:pt>
                <c:pt idx="983">
                  <c:v>#N/A</c:v>
                </c:pt>
                <c:pt idx="984">
                  <c:v>#N/A</c:v>
                </c:pt>
                <c:pt idx="985">
                  <c:v>#N/A</c:v>
                </c:pt>
                <c:pt idx="986">
                  <c:v>#N/A</c:v>
                </c:pt>
                <c:pt idx="987">
                  <c:v>#N/A</c:v>
                </c:pt>
                <c:pt idx="988">
                  <c:v>#N/A</c:v>
                </c:pt>
                <c:pt idx="989">
                  <c:v>#N/A</c:v>
                </c:pt>
                <c:pt idx="990">
                  <c:v>#N/A</c:v>
                </c:pt>
                <c:pt idx="991">
                  <c:v>#N/A</c:v>
                </c:pt>
                <c:pt idx="992">
                  <c:v>#N/A</c:v>
                </c:pt>
                <c:pt idx="993">
                  <c:v>#N/A</c:v>
                </c:pt>
                <c:pt idx="994">
                  <c:v>#N/A</c:v>
                </c:pt>
                <c:pt idx="995">
                  <c:v>#N/A</c:v>
                </c:pt>
                <c:pt idx="996">
                  <c:v>#N/A</c:v>
                </c:pt>
                <c:pt idx="997">
                  <c:v>#N/A</c:v>
                </c:pt>
                <c:pt idx="998">
                  <c:v>#N/A</c:v>
                </c:pt>
                <c:pt idx="999">
                  <c:v>#N/A</c:v>
                </c:pt>
                <c:pt idx="1000">
                  <c:v>#N/A</c:v>
                </c:pt>
                <c:pt idx="1001">
                  <c:v>#N/A</c:v>
                </c:pt>
                <c:pt idx="1002">
                  <c:v>#N/A</c:v>
                </c:pt>
                <c:pt idx="1003">
                  <c:v>#N/A</c:v>
                </c:pt>
                <c:pt idx="1004">
                  <c:v>#N/A</c:v>
                </c:pt>
                <c:pt idx="1005">
                  <c:v>#N/A</c:v>
                </c:pt>
                <c:pt idx="1006">
                  <c:v>#N/A</c:v>
                </c:pt>
                <c:pt idx="1007">
                  <c:v>#N/A</c:v>
                </c:pt>
                <c:pt idx="1008">
                  <c:v>#N/A</c:v>
                </c:pt>
                <c:pt idx="1009">
                  <c:v>#N/A</c:v>
                </c:pt>
                <c:pt idx="1010">
                  <c:v>#N/A</c:v>
                </c:pt>
                <c:pt idx="1011">
                  <c:v>#N/A</c:v>
                </c:pt>
                <c:pt idx="1012">
                  <c:v>#N/A</c:v>
                </c:pt>
                <c:pt idx="1013">
                  <c:v>#N/A</c:v>
                </c:pt>
                <c:pt idx="1014">
                  <c:v>#N/A</c:v>
                </c:pt>
                <c:pt idx="1015">
                  <c:v>#N/A</c:v>
                </c:pt>
                <c:pt idx="1016">
                  <c:v>#N/A</c:v>
                </c:pt>
                <c:pt idx="1017">
                  <c:v>#N/A</c:v>
                </c:pt>
                <c:pt idx="1018">
                  <c:v>#N/A</c:v>
                </c:pt>
                <c:pt idx="1019">
                  <c:v>#N/A</c:v>
                </c:pt>
                <c:pt idx="1020">
                  <c:v>#N/A</c:v>
                </c:pt>
                <c:pt idx="1021">
                  <c:v>#N/A</c:v>
                </c:pt>
                <c:pt idx="1022">
                  <c:v>#N/A</c:v>
                </c:pt>
                <c:pt idx="1023">
                  <c:v>#N/A</c:v>
                </c:pt>
                <c:pt idx="1024">
                  <c:v>#N/A</c:v>
                </c:pt>
                <c:pt idx="1025">
                  <c:v>#N/A</c:v>
                </c:pt>
                <c:pt idx="1026">
                  <c:v>#N/A</c:v>
                </c:pt>
                <c:pt idx="1027">
                  <c:v>#N/A</c:v>
                </c:pt>
                <c:pt idx="1028">
                  <c:v>#N/A</c:v>
                </c:pt>
                <c:pt idx="1029">
                  <c:v>#N/A</c:v>
                </c:pt>
                <c:pt idx="1030">
                  <c:v>#N/A</c:v>
                </c:pt>
                <c:pt idx="1031">
                  <c:v>#N/A</c:v>
                </c:pt>
                <c:pt idx="1032">
                  <c:v>#N/A</c:v>
                </c:pt>
                <c:pt idx="1033">
                  <c:v>#N/A</c:v>
                </c:pt>
                <c:pt idx="1034">
                  <c:v>#N/A</c:v>
                </c:pt>
                <c:pt idx="1035">
                  <c:v>#N/A</c:v>
                </c:pt>
                <c:pt idx="1036">
                  <c:v>#N/A</c:v>
                </c:pt>
                <c:pt idx="1037">
                  <c:v>#N/A</c:v>
                </c:pt>
                <c:pt idx="1038">
                  <c:v>#N/A</c:v>
                </c:pt>
                <c:pt idx="1039">
                  <c:v>#N/A</c:v>
                </c:pt>
                <c:pt idx="1040">
                  <c:v>#N/A</c:v>
                </c:pt>
                <c:pt idx="1041">
                  <c:v>#N/A</c:v>
                </c:pt>
                <c:pt idx="1042">
                  <c:v>#N/A</c:v>
                </c:pt>
                <c:pt idx="1043">
                  <c:v>#N/A</c:v>
                </c:pt>
                <c:pt idx="1044">
                  <c:v>#N/A</c:v>
                </c:pt>
                <c:pt idx="1045">
                  <c:v>#N/A</c:v>
                </c:pt>
                <c:pt idx="1046">
                  <c:v>#N/A</c:v>
                </c:pt>
                <c:pt idx="1047">
                  <c:v>#N/A</c:v>
                </c:pt>
                <c:pt idx="1048">
                  <c:v>#N/A</c:v>
                </c:pt>
                <c:pt idx="1049">
                  <c:v>#N/A</c:v>
                </c:pt>
                <c:pt idx="1050">
                  <c:v>#N/A</c:v>
                </c:pt>
                <c:pt idx="1051">
                  <c:v>#N/A</c:v>
                </c:pt>
                <c:pt idx="1052">
                  <c:v>#N/A</c:v>
                </c:pt>
                <c:pt idx="1053">
                  <c:v>#N/A</c:v>
                </c:pt>
                <c:pt idx="1054">
                  <c:v>#N/A</c:v>
                </c:pt>
                <c:pt idx="1055">
                  <c:v>#N/A</c:v>
                </c:pt>
                <c:pt idx="1056">
                  <c:v>#N/A</c:v>
                </c:pt>
                <c:pt idx="1057">
                  <c:v>#N/A</c:v>
                </c:pt>
                <c:pt idx="1058">
                  <c:v>#N/A</c:v>
                </c:pt>
                <c:pt idx="1059">
                  <c:v>#N/A</c:v>
                </c:pt>
                <c:pt idx="1060">
                  <c:v>#N/A</c:v>
                </c:pt>
                <c:pt idx="1061">
                  <c:v>#N/A</c:v>
                </c:pt>
                <c:pt idx="1062">
                  <c:v>#N/A</c:v>
                </c:pt>
                <c:pt idx="1063">
                  <c:v>#N/A</c:v>
                </c:pt>
                <c:pt idx="1064">
                  <c:v>#N/A</c:v>
                </c:pt>
                <c:pt idx="1065">
                  <c:v>#N/A</c:v>
                </c:pt>
                <c:pt idx="1066">
                  <c:v>#N/A</c:v>
                </c:pt>
                <c:pt idx="1067">
                  <c:v>#N/A</c:v>
                </c:pt>
                <c:pt idx="1068">
                  <c:v>#N/A</c:v>
                </c:pt>
                <c:pt idx="1069">
                  <c:v>#N/A</c:v>
                </c:pt>
                <c:pt idx="1070">
                  <c:v>#N/A</c:v>
                </c:pt>
                <c:pt idx="1071">
                  <c:v>#N/A</c:v>
                </c:pt>
                <c:pt idx="1072">
                  <c:v>#N/A</c:v>
                </c:pt>
                <c:pt idx="1073">
                  <c:v>#N/A</c:v>
                </c:pt>
                <c:pt idx="1074">
                  <c:v>#N/A</c:v>
                </c:pt>
                <c:pt idx="1075">
                  <c:v>#N/A</c:v>
                </c:pt>
                <c:pt idx="1076">
                  <c:v>#N/A</c:v>
                </c:pt>
                <c:pt idx="1077">
                  <c:v>#N/A</c:v>
                </c:pt>
                <c:pt idx="1078">
                  <c:v>#N/A</c:v>
                </c:pt>
                <c:pt idx="1079">
                  <c:v>#N/A</c:v>
                </c:pt>
                <c:pt idx="1080">
                  <c:v>#N/A</c:v>
                </c:pt>
                <c:pt idx="1081">
                  <c:v>#N/A</c:v>
                </c:pt>
                <c:pt idx="1082">
                  <c:v>#N/A</c:v>
                </c:pt>
                <c:pt idx="1083">
                  <c:v>#N/A</c:v>
                </c:pt>
                <c:pt idx="1084">
                  <c:v>#N/A</c:v>
                </c:pt>
                <c:pt idx="1085">
                  <c:v>#N/A</c:v>
                </c:pt>
                <c:pt idx="1086">
                  <c:v>#N/A</c:v>
                </c:pt>
                <c:pt idx="1087">
                  <c:v>#N/A</c:v>
                </c:pt>
                <c:pt idx="1088">
                  <c:v>#N/A</c:v>
                </c:pt>
                <c:pt idx="1089">
                  <c:v>#N/A</c:v>
                </c:pt>
                <c:pt idx="1090">
                  <c:v>#N/A</c:v>
                </c:pt>
                <c:pt idx="1091">
                  <c:v>#N/A</c:v>
                </c:pt>
                <c:pt idx="1092">
                  <c:v>#N/A</c:v>
                </c:pt>
                <c:pt idx="1093">
                  <c:v>#N/A</c:v>
                </c:pt>
                <c:pt idx="1094">
                  <c:v>#N/A</c:v>
                </c:pt>
                <c:pt idx="1095">
                  <c:v>#N/A</c:v>
                </c:pt>
                <c:pt idx="1096">
                  <c:v>#N/A</c:v>
                </c:pt>
                <c:pt idx="1097">
                  <c:v>#N/A</c:v>
                </c:pt>
                <c:pt idx="1098">
                  <c:v>#N/A</c:v>
                </c:pt>
                <c:pt idx="1099">
                  <c:v>#N/A</c:v>
                </c:pt>
                <c:pt idx="1100">
                  <c:v>#N/A</c:v>
                </c:pt>
                <c:pt idx="1101">
                  <c:v>#N/A</c:v>
                </c:pt>
                <c:pt idx="1102">
                  <c:v>#N/A</c:v>
                </c:pt>
                <c:pt idx="1103">
                  <c:v>#N/A</c:v>
                </c:pt>
                <c:pt idx="1104">
                  <c:v>#N/A</c:v>
                </c:pt>
                <c:pt idx="1105">
                  <c:v>#N/A</c:v>
                </c:pt>
                <c:pt idx="1106">
                  <c:v>#N/A</c:v>
                </c:pt>
                <c:pt idx="1107">
                  <c:v>#N/A</c:v>
                </c:pt>
                <c:pt idx="1108">
                  <c:v>#N/A</c:v>
                </c:pt>
                <c:pt idx="1109">
                  <c:v>#N/A</c:v>
                </c:pt>
                <c:pt idx="1110">
                  <c:v>#N/A</c:v>
                </c:pt>
                <c:pt idx="1111">
                  <c:v>#N/A</c:v>
                </c:pt>
                <c:pt idx="1112">
                  <c:v>#N/A</c:v>
                </c:pt>
                <c:pt idx="1113">
                  <c:v>#N/A</c:v>
                </c:pt>
                <c:pt idx="1114">
                  <c:v>#N/A</c:v>
                </c:pt>
                <c:pt idx="1115">
                  <c:v>#N/A</c:v>
                </c:pt>
                <c:pt idx="1116">
                  <c:v>#N/A</c:v>
                </c:pt>
                <c:pt idx="1117">
                  <c:v>#N/A</c:v>
                </c:pt>
                <c:pt idx="1118">
                  <c:v>#N/A</c:v>
                </c:pt>
                <c:pt idx="1119">
                  <c:v>#N/A</c:v>
                </c:pt>
                <c:pt idx="1120">
                  <c:v>#N/A</c:v>
                </c:pt>
                <c:pt idx="1121">
                  <c:v>#N/A</c:v>
                </c:pt>
                <c:pt idx="1122">
                  <c:v>#N/A</c:v>
                </c:pt>
                <c:pt idx="1123">
                  <c:v>#N/A</c:v>
                </c:pt>
                <c:pt idx="1124">
                  <c:v>#N/A</c:v>
                </c:pt>
                <c:pt idx="1125">
                  <c:v>#N/A</c:v>
                </c:pt>
                <c:pt idx="1126">
                  <c:v>#N/A</c:v>
                </c:pt>
                <c:pt idx="1127">
                  <c:v>#N/A</c:v>
                </c:pt>
                <c:pt idx="1128">
                  <c:v>#N/A</c:v>
                </c:pt>
                <c:pt idx="1129">
                  <c:v>#N/A</c:v>
                </c:pt>
                <c:pt idx="1130">
                  <c:v>#N/A</c:v>
                </c:pt>
                <c:pt idx="1131">
                  <c:v>#N/A</c:v>
                </c:pt>
                <c:pt idx="1132">
                  <c:v>#N/A</c:v>
                </c:pt>
                <c:pt idx="1133">
                  <c:v>#N/A</c:v>
                </c:pt>
                <c:pt idx="1134">
                  <c:v>#N/A</c:v>
                </c:pt>
                <c:pt idx="1135">
                  <c:v>#N/A</c:v>
                </c:pt>
                <c:pt idx="1136">
                  <c:v>#N/A</c:v>
                </c:pt>
                <c:pt idx="1137">
                  <c:v>#N/A</c:v>
                </c:pt>
                <c:pt idx="1138">
                  <c:v>#N/A</c:v>
                </c:pt>
                <c:pt idx="1139">
                  <c:v>#N/A</c:v>
                </c:pt>
                <c:pt idx="1140">
                  <c:v>#N/A</c:v>
                </c:pt>
                <c:pt idx="1141">
                  <c:v>#N/A</c:v>
                </c:pt>
                <c:pt idx="1142">
                  <c:v>#N/A</c:v>
                </c:pt>
                <c:pt idx="1143">
                  <c:v>#N/A</c:v>
                </c:pt>
                <c:pt idx="1144">
                  <c:v>#N/A</c:v>
                </c:pt>
                <c:pt idx="1145">
                  <c:v>#N/A</c:v>
                </c:pt>
                <c:pt idx="1146">
                  <c:v>#N/A</c:v>
                </c:pt>
                <c:pt idx="1147">
                  <c:v>#N/A</c:v>
                </c:pt>
                <c:pt idx="1148">
                  <c:v>#N/A</c:v>
                </c:pt>
                <c:pt idx="1149">
                  <c:v>#N/A</c:v>
                </c:pt>
                <c:pt idx="1150">
                  <c:v>#N/A</c:v>
                </c:pt>
                <c:pt idx="1151">
                  <c:v>#N/A</c:v>
                </c:pt>
                <c:pt idx="1152">
                  <c:v>#N/A</c:v>
                </c:pt>
                <c:pt idx="1153">
                  <c:v>#N/A</c:v>
                </c:pt>
                <c:pt idx="1154">
                  <c:v>#N/A</c:v>
                </c:pt>
                <c:pt idx="1155">
                  <c:v>#N/A</c:v>
                </c:pt>
                <c:pt idx="1156">
                  <c:v>#N/A</c:v>
                </c:pt>
                <c:pt idx="1157">
                  <c:v>#N/A</c:v>
                </c:pt>
                <c:pt idx="1158">
                  <c:v>#N/A</c:v>
                </c:pt>
                <c:pt idx="1159">
                  <c:v>#N/A</c:v>
                </c:pt>
                <c:pt idx="1160">
                  <c:v>#N/A</c:v>
                </c:pt>
                <c:pt idx="1161">
                  <c:v>#N/A</c:v>
                </c:pt>
                <c:pt idx="1162">
                  <c:v>#N/A</c:v>
                </c:pt>
                <c:pt idx="1163">
                  <c:v>#N/A</c:v>
                </c:pt>
                <c:pt idx="1164">
                  <c:v>#N/A</c:v>
                </c:pt>
                <c:pt idx="1165">
                  <c:v>#N/A</c:v>
                </c:pt>
                <c:pt idx="1166">
                  <c:v>#N/A</c:v>
                </c:pt>
                <c:pt idx="1167">
                  <c:v>#N/A</c:v>
                </c:pt>
                <c:pt idx="1168">
                  <c:v>#N/A</c:v>
                </c:pt>
                <c:pt idx="1169">
                  <c:v>#N/A</c:v>
                </c:pt>
                <c:pt idx="1170">
                  <c:v>#N/A</c:v>
                </c:pt>
                <c:pt idx="1171">
                  <c:v>#N/A</c:v>
                </c:pt>
                <c:pt idx="1172">
                  <c:v>#N/A</c:v>
                </c:pt>
                <c:pt idx="1173">
                  <c:v>#N/A</c:v>
                </c:pt>
                <c:pt idx="1174">
                  <c:v>#N/A</c:v>
                </c:pt>
                <c:pt idx="1175">
                  <c:v>#N/A</c:v>
                </c:pt>
                <c:pt idx="1176">
                  <c:v>#N/A</c:v>
                </c:pt>
                <c:pt idx="1177">
                  <c:v>#N/A</c:v>
                </c:pt>
                <c:pt idx="1178">
                  <c:v>#N/A</c:v>
                </c:pt>
                <c:pt idx="1179">
                  <c:v>#N/A</c:v>
                </c:pt>
                <c:pt idx="1180">
                  <c:v>#N/A</c:v>
                </c:pt>
                <c:pt idx="1181">
                  <c:v>#N/A</c:v>
                </c:pt>
                <c:pt idx="1182">
                  <c:v>#N/A</c:v>
                </c:pt>
                <c:pt idx="1183">
                  <c:v>#N/A</c:v>
                </c:pt>
                <c:pt idx="1184">
                  <c:v>#N/A</c:v>
                </c:pt>
                <c:pt idx="1185">
                  <c:v>#N/A</c:v>
                </c:pt>
                <c:pt idx="1186">
                  <c:v>#N/A</c:v>
                </c:pt>
                <c:pt idx="1187">
                  <c:v>#N/A</c:v>
                </c:pt>
                <c:pt idx="1188">
                  <c:v>#N/A</c:v>
                </c:pt>
                <c:pt idx="1189">
                  <c:v>#N/A</c:v>
                </c:pt>
                <c:pt idx="1190">
                  <c:v>#N/A</c:v>
                </c:pt>
                <c:pt idx="1191">
                  <c:v>#N/A</c:v>
                </c:pt>
                <c:pt idx="1192">
                  <c:v>#N/A</c:v>
                </c:pt>
                <c:pt idx="1193">
                  <c:v>#N/A</c:v>
                </c:pt>
                <c:pt idx="1194">
                  <c:v>#N/A</c:v>
                </c:pt>
                <c:pt idx="1195">
                  <c:v>#N/A</c:v>
                </c:pt>
                <c:pt idx="1196">
                  <c:v>#N/A</c:v>
                </c:pt>
                <c:pt idx="1197">
                  <c:v>#N/A</c:v>
                </c:pt>
                <c:pt idx="1198">
                  <c:v>#N/A</c:v>
                </c:pt>
                <c:pt idx="1199">
                  <c:v>#N/A</c:v>
                </c:pt>
                <c:pt idx="1200">
                  <c:v>#N/A</c:v>
                </c:pt>
                <c:pt idx="1201">
                  <c:v>#N/A</c:v>
                </c:pt>
                <c:pt idx="1202">
                  <c:v>#N/A</c:v>
                </c:pt>
                <c:pt idx="1203">
                  <c:v>#N/A</c:v>
                </c:pt>
                <c:pt idx="1204">
                  <c:v>#N/A</c:v>
                </c:pt>
                <c:pt idx="1205">
                  <c:v>#N/A</c:v>
                </c:pt>
                <c:pt idx="1206">
                  <c:v>#N/A</c:v>
                </c:pt>
                <c:pt idx="1207">
                  <c:v>#N/A</c:v>
                </c:pt>
                <c:pt idx="1208">
                  <c:v>#N/A</c:v>
                </c:pt>
                <c:pt idx="1209">
                  <c:v>#N/A</c:v>
                </c:pt>
                <c:pt idx="1210">
                  <c:v>#N/A</c:v>
                </c:pt>
                <c:pt idx="1211">
                  <c:v>#N/A</c:v>
                </c:pt>
                <c:pt idx="1212">
                  <c:v>#N/A</c:v>
                </c:pt>
                <c:pt idx="1213">
                  <c:v>#N/A</c:v>
                </c:pt>
                <c:pt idx="1214">
                  <c:v>#N/A</c:v>
                </c:pt>
                <c:pt idx="1215">
                  <c:v>#N/A</c:v>
                </c:pt>
                <c:pt idx="1216">
                  <c:v>#N/A</c:v>
                </c:pt>
                <c:pt idx="1217">
                  <c:v>#N/A</c:v>
                </c:pt>
                <c:pt idx="1218">
                  <c:v>#N/A</c:v>
                </c:pt>
                <c:pt idx="1219">
                  <c:v>#N/A</c:v>
                </c:pt>
                <c:pt idx="1220">
                  <c:v>#N/A</c:v>
                </c:pt>
                <c:pt idx="1221">
                  <c:v>#N/A</c:v>
                </c:pt>
                <c:pt idx="1222">
                  <c:v>#N/A</c:v>
                </c:pt>
                <c:pt idx="1223">
                  <c:v>#N/A</c:v>
                </c:pt>
                <c:pt idx="1224">
                  <c:v>#N/A</c:v>
                </c:pt>
                <c:pt idx="1225">
                  <c:v>#N/A</c:v>
                </c:pt>
                <c:pt idx="1226">
                  <c:v>#N/A</c:v>
                </c:pt>
                <c:pt idx="1227">
                  <c:v>#N/A</c:v>
                </c:pt>
                <c:pt idx="1228">
                  <c:v>#N/A</c:v>
                </c:pt>
                <c:pt idx="1229">
                  <c:v>#N/A</c:v>
                </c:pt>
                <c:pt idx="1230">
                  <c:v>#N/A</c:v>
                </c:pt>
                <c:pt idx="1231">
                  <c:v>#N/A</c:v>
                </c:pt>
                <c:pt idx="1232">
                  <c:v>#N/A</c:v>
                </c:pt>
                <c:pt idx="1233">
                  <c:v>#N/A</c:v>
                </c:pt>
                <c:pt idx="1234">
                  <c:v>#N/A</c:v>
                </c:pt>
                <c:pt idx="1235">
                  <c:v>#N/A</c:v>
                </c:pt>
                <c:pt idx="1236">
                  <c:v>#N/A</c:v>
                </c:pt>
                <c:pt idx="1237">
                  <c:v>#N/A</c:v>
                </c:pt>
                <c:pt idx="1238">
                  <c:v>#N/A</c:v>
                </c:pt>
                <c:pt idx="1239">
                  <c:v>#N/A</c:v>
                </c:pt>
                <c:pt idx="1240">
                  <c:v>#N/A</c:v>
                </c:pt>
                <c:pt idx="1241">
                  <c:v>#N/A</c:v>
                </c:pt>
                <c:pt idx="1242">
                  <c:v>#N/A</c:v>
                </c:pt>
                <c:pt idx="1243">
                  <c:v>#N/A</c:v>
                </c:pt>
                <c:pt idx="1244">
                  <c:v>#N/A</c:v>
                </c:pt>
                <c:pt idx="1245">
                  <c:v>#N/A</c:v>
                </c:pt>
                <c:pt idx="1246">
                  <c:v>#N/A</c:v>
                </c:pt>
                <c:pt idx="1247">
                  <c:v>#N/A</c:v>
                </c:pt>
                <c:pt idx="1248">
                  <c:v>#N/A</c:v>
                </c:pt>
                <c:pt idx="1249">
                  <c:v>#N/A</c:v>
                </c:pt>
                <c:pt idx="1250">
                  <c:v>#N/A</c:v>
                </c:pt>
                <c:pt idx="1251">
                  <c:v>#N/A</c:v>
                </c:pt>
                <c:pt idx="1252">
                  <c:v>#N/A</c:v>
                </c:pt>
                <c:pt idx="1253">
                  <c:v>#N/A</c:v>
                </c:pt>
                <c:pt idx="1254">
                  <c:v>#N/A</c:v>
                </c:pt>
                <c:pt idx="1255">
                  <c:v>#N/A</c:v>
                </c:pt>
                <c:pt idx="1256">
                  <c:v>#N/A</c:v>
                </c:pt>
                <c:pt idx="1257">
                  <c:v>#N/A</c:v>
                </c:pt>
                <c:pt idx="1258">
                  <c:v>#N/A</c:v>
                </c:pt>
                <c:pt idx="1259">
                  <c:v>#N/A</c:v>
                </c:pt>
                <c:pt idx="1260">
                  <c:v>#N/A</c:v>
                </c:pt>
                <c:pt idx="1261">
                  <c:v>#N/A</c:v>
                </c:pt>
                <c:pt idx="1262">
                  <c:v>#N/A</c:v>
                </c:pt>
                <c:pt idx="1263">
                  <c:v>#N/A</c:v>
                </c:pt>
                <c:pt idx="1264">
                  <c:v>#N/A</c:v>
                </c:pt>
                <c:pt idx="1265">
                  <c:v>#N/A</c:v>
                </c:pt>
                <c:pt idx="1266">
                  <c:v>#N/A</c:v>
                </c:pt>
                <c:pt idx="1267">
                  <c:v>#N/A</c:v>
                </c:pt>
                <c:pt idx="1268">
                  <c:v>#N/A</c:v>
                </c:pt>
                <c:pt idx="1269">
                  <c:v>#N/A</c:v>
                </c:pt>
                <c:pt idx="1270">
                  <c:v>#N/A</c:v>
                </c:pt>
                <c:pt idx="1271">
                  <c:v>#N/A</c:v>
                </c:pt>
                <c:pt idx="1272">
                  <c:v>#N/A</c:v>
                </c:pt>
                <c:pt idx="1273">
                  <c:v>#N/A</c:v>
                </c:pt>
                <c:pt idx="1274">
                  <c:v>#N/A</c:v>
                </c:pt>
                <c:pt idx="1275">
                  <c:v>#N/A</c:v>
                </c:pt>
                <c:pt idx="1276">
                  <c:v>#N/A</c:v>
                </c:pt>
                <c:pt idx="1277">
                  <c:v>#N/A</c:v>
                </c:pt>
                <c:pt idx="1278">
                  <c:v>#N/A</c:v>
                </c:pt>
                <c:pt idx="1279">
                  <c:v>#N/A</c:v>
                </c:pt>
                <c:pt idx="1280">
                  <c:v>#N/A</c:v>
                </c:pt>
                <c:pt idx="1281">
                  <c:v>#N/A</c:v>
                </c:pt>
                <c:pt idx="1282">
                  <c:v>#N/A</c:v>
                </c:pt>
                <c:pt idx="1283">
                  <c:v>#N/A</c:v>
                </c:pt>
                <c:pt idx="1284">
                  <c:v>#N/A</c:v>
                </c:pt>
                <c:pt idx="1285">
                  <c:v>#N/A</c:v>
                </c:pt>
                <c:pt idx="1286">
                  <c:v>#N/A</c:v>
                </c:pt>
                <c:pt idx="1287">
                  <c:v>#N/A</c:v>
                </c:pt>
                <c:pt idx="1288">
                  <c:v>#N/A</c:v>
                </c:pt>
                <c:pt idx="1289">
                  <c:v>#N/A</c:v>
                </c:pt>
                <c:pt idx="1290">
                  <c:v>#N/A</c:v>
                </c:pt>
                <c:pt idx="1291">
                  <c:v>#N/A</c:v>
                </c:pt>
                <c:pt idx="1292">
                  <c:v>#N/A</c:v>
                </c:pt>
                <c:pt idx="1293">
                  <c:v>#N/A</c:v>
                </c:pt>
                <c:pt idx="1294">
                  <c:v>#N/A</c:v>
                </c:pt>
                <c:pt idx="1295">
                  <c:v>#N/A</c:v>
                </c:pt>
                <c:pt idx="1296">
                  <c:v>#N/A</c:v>
                </c:pt>
                <c:pt idx="1297">
                  <c:v>#N/A</c:v>
                </c:pt>
                <c:pt idx="1298">
                  <c:v>#N/A</c:v>
                </c:pt>
                <c:pt idx="1299">
                  <c:v>#N/A</c:v>
                </c:pt>
                <c:pt idx="1300">
                  <c:v>#N/A</c:v>
                </c:pt>
                <c:pt idx="1301">
                  <c:v>#N/A</c:v>
                </c:pt>
                <c:pt idx="1302">
                  <c:v>#N/A</c:v>
                </c:pt>
                <c:pt idx="1303">
                  <c:v>#N/A</c:v>
                </c:pt>
                <c:pt idx="1304">
                  <c:v>#N/A</c:v>
                </c:pt>
                <c:pt idx="1305">
                  <c:v>#N/A</c:v>
                </c:pt>
                <c:pt idx="1306">
                  <c:v>#N/A</c:v>
                </c:pt>
                <c:pt idx="1307">
                  <c:v>#N/A</c:v>
                </c:pt>
                <c:pt idx="1308">
                  <c:v>#N/A</c:v>
                </c:pt>
                <c:pt idx="1309">
                  <c:v>#N/A</c:v>
                </c:pt>
                <c:pt idx="1310">
                  <c:v>#N/A</c:v>
                </c:pt>
                <c:pt idx="1311">
                  <c:v>#N/A</c:v>
                </c:pt>
                <c:pt idx="1312">
                  <c:v>#N/A</c:v>
                </c:pt>
                <c:pt idx="1313">
                  <c:v>#N/A</c:v>
                </c:pt>
                <c:pt idx="1314">
                  <c:v>#N/A</c:v>
                </c:pt>
                <c:pt idx="1315">
                  <c:v>#N/A</c:v>
                </c:pt>
                <c:pt idx="1316">
                  <c:v>#N/A</c:v>
                </c:pt>
                <c:pt idx="1317">
                  <c:v>#N/A</c:v>
                </c:pt>
                <c:pt idx="1318">
                  <c:v>#N/A</c:v>
                </c:pt>
                <c:pt idx="1319">
                  <c:v>#N/A</c:v>
                </c:pt>
                <c:pt idx="1320">
                  <c:v>#N/A</c:v>
                </c:pt>
                <c:pt idx="1321">
                  <c:v>#N/A</c:v>
                </c:pt>
                <c:pt idx="1322">
                  <c:v>#N/A</c:v>
                </c:pt>
                <c:pt idx="1323">
                  <c:v>#N/A</c:v>
                </c:pt>
                <c:pt idx="1324">
                  <c:v>#N/A</c:v>
                </c:pt>
                <c:pt idx="1325">
                  <c:v>#N/A</c:v>
                </c:pt>
                <c:pt idx="1326">
                  <c:v>#N/A</c:v>
                </c:pt>
                <c:pt idx="1327">
                  <c:v>#N/A</c:v>
                </c:pt>
                <c:pt idx="1328">
                  <c:v>#N/A</c:v>
                </c:pt>
                <c:pt idx="1329">
                  <c:v>#N/A</c:v>
                </c:pt>
                <c:pt idx="1330">
                  <c:v>#N/A</c:v>
                </c:pt>
                <c:pt idx="1331">
                  <c:v>#N/A</c:v>
                </c:pt>
                <c:pt idx="1332">
                  <c:v>#N/A</c:v>
                </c:pt>
                <c:pt idx="1333">
                  <c:v>#N/A</c:v>
                </c:pt>
                <c:pt idx="1334">
                  <c:v>#N/A</c:v>
                </c:pt>
                <c:pt idx="1335">
                  <c:v>#N/A</c:v>
                </c:pt>
                <c:pt idx="1336">
                  <c:v>#N/A</c:v>
                </c:pt>
                <c:pt idx="1337">
                  <c:v>#N/A</c:v>
                </c:pt>
                <c:pt idx="1338">
                  <c:v>#N/A</c:v>
                </c:pt>
                <c:pt idx="1339">
                  <c:v>#N/A</c:v>
                </c:pt>
                <c:pt idx="1340">
                  <c:v>#N/A</c:v>
                </c:pt>
                <c:pt idx="1341">
                  <c:v>#N/A</c:v>
                </c:pt>
                <c:pt idx="1342">
                  <c:v>#N/A</c:v>
                </c:pt>
                <c:pt idx="1343">
                  <c:v>#N/A</c:v>
                </c:pt>
                <c:pt idx="1344">
                  <c:v>#N/A</c:v>
                </c:pt>
                <c:pt idx="1345">
                  <c:v>#N/A</c:v>
                </c:pt>
                <c:pt idx="1346">
                  <c:v>#N/A</c:v>
                </c:pt>
                <c:pt idx="1347">
                  <c:v>#N/A</c:v>
                </c:pt>
                <c:pt idx="1348">
                  <c:v>#N/A</c:v>
                </c:pt>
                <c:pt idx="1349">
                  <c:v>#N/A</c:v>
                </c:pt>
                <c:pt idx="1350">
                  <c:v>#N/A</c:v>
                </c:pt>
                <c:pt idx="1351">
                  <c:v>#N/A</c:v>
                </c:pt>
                <c:pt idx="1352">
                  <c:v>#N/A</c:v>
                </c:pt>
                <c:pt idx="1353">
                  <c:v>#N/A</c:v>
                </c:pt>
                <c:pt idx="1354">
                  <c:v>#N/A</c:v>
                </c:pt>
                <c:pt idx="1355">
                  <c:v>#N/A</c:v>
                </c:pt>
                <c:pt idx="1356">
                  <c:v>#N/A</c:v>
                </c:pt>
                <c:pt idx="1357">
                  <c:v>#N/A</c:v>
                </c:pt>
                <c:pt idx="1358">
                  <c:v>#N/A</c:v>
                </c:pt>
                <c:pt idx="1359">
                  <c:v>#N/A</c:v>
                </c:pt>
                <c:pt idx="1360">
                  <c:v>#N/A</c:v>
                </c:pt>
                <c:pt idx="1361">
                  <c:v>#N/A</c:v>
                </c:pt>
                <c:pt idx="1362">
                  <c:v>#N/A</c:v>
                </c:pt>
                <c:pt idx="1363">
                  <c:v>#N/A</c:v>
                </c:pt>
                <c:pt idx="1364">
                  <c:v>#N/A</c:v>
                </c:pt>
                <c:pt idx="1365">
                  <c:v>#N/A</c:v>
                </c:pt>
                <c:pt idx="1366">
                  <c:v>#N/A</c:v>
                </c:pt>
                <c:pt idx="1367">
                  <c:v>#N/A</c:v>
                </c:pt>
                <c:pt idx="1368">
                  <c:v>#N/A</c:v>
                </c:pt>
                <c:pt idx="1369">
                  <c:v>#N/A</c:v>
                </c:pt>
                <c:pt idx="1370">
                  <c:v>#N/A</c:v>
                </c:pt>
                <c:pt idx="1371">
                  <c:v>#N/A</c:v>
                </c:pt>
                <c:pt idx="1372">
                  <c:v>#N/A</c:v>
                </c:pt>
                <c:pt idx="1373">
                  <c:v>#N/A</c:v>
                </c:pt>
                <c:pt idx="1374">
                  <c:v>#N/A</c:v>
                </c:pt>
                <c:pt idx="1375">
                  <c:v>#N/A</c:v>
                </c:pt>
                <c:pt idx="1376">
                  <c:v>#N/A</c:v>
                </c:pt>
                <c:pt idx="1377">
                  <c:v>#N/A</c:v>
                </c:pt>
                <c:pt idx="1378">
                  <c:v>#N/A</c:v>
                </c:pt>
                <c:pt idx="1379">
                  <c:v>#N/A</c:v>
                </c:pt>
                <c:pt idx="1380">
                  <c:v>#N/A</c:v>
                </c:pt>
                <c:pt idx="1381">
                  <c:v>#N/A</c:v>
                </c:pt>
                <c:pt idx="1382">
                  <c:v>#N/A</c:v>
                </c:pt>
                <c:pt idx="1383">
                  <c:v>#N/A</c:v>
                </c:pt>
                <c:pt idx="1384">
                  <c:v>#N/A</c:v>
                </c:pt>
                <c:pt idx="1385">
                  <c:v>#N/A</c:v>
                </c:pt>
                <c:pt idx="1386">
                  <c:v>#N/A</c:v>
                </c:pt>
                <c:pt idx="1387">
                  <c:v>#N/A</c:v>
                </c:pt>
                <c:pt idx="1388">
                  <c:v>#N/A</c:v>
                </c:pt>
                <c:pt idx="1389">
                  <c:v>#N/A</c:v>
                </c:pt>
                <c:pt idx="1390">
                  <c:v>#N/A</c:v>
                </c:pt>
                <c:pt idx="1391">
                  <c:v>#N/A</c:v>
                </c:pt>
                <c:pt idx="1392">
                  <c:v>#N/A</c:v>
                </c:pt>
                <c:pt idx="1393">
                  <c:v>#N/A</c:v>
                </c:pt>
                <c:pt idx="1394">
                  <c:v>#N/A</c:v>
                </c:pt>
                <c:pt idx="1395">
                  <c:v>#N/A</c:v>
                </c:pt>
                <c:pt idx="1396">
                  <c:v>#N/A</c:v>
                </c:pt>
                <c:pt idx="1397">
                  <c:v>#N/A</c:v>
                </c:pt>
                <c:pt idx="1398">
                  <c:v>#N/A</c:v>
                </c:pt>
                <c:pt idx="1399">
                  <c:v>#N/A</c:v>
                </c:pt>
                <c:pt idx="1400">
                  <c:v>#N/A</c:v>
                </c:pt>
                <c:pt idx="1401">
                  <c:v>#N/A</c:v>
                </c:pt>
                <c:pt idx="1402">
                  <c:v>#N/A</c:v>
                </c:pt>
                <c:pt idx="1403">
                  <c:v>#N/A</c:v>
                </c:pt>
                <c:pt idx="1404">
                  <c:v>#N/A</c:v>
                </c:pt>
                <c:pt idx="1405">
                  <c:v>#N/A</c:v>
                </c:pt>
                <c:pt idx="1406">
                  <c:v>#N/A</c:v>
                </c:pt>
                <c:pt idx="1407">
                  <c:v>#N/A</c:v>
                </c:pt>
                <c:pt idx="1408">
                  <c:v>#N/A</c:v>
                </c:pt>
                <c:pt idx="1409">
                  <c:v>#N/A</c:v>
                </c:pt>
                <c:pt idx="1410">
                  <c:v>#N/A</c:v>
                </c:pt>
                <c:pt idx="1411">
                  <c:v>#N/A</c:v>
                </c:pt>
                <c:pt idx="1412">
                  <c:v>#N/A</c:v>
                </c:pt>
                <c:pt idx="1413">
                  <c:v>#N/A</c:v>
                </c:pt>
                <c:pt idx="1414">
                  <c:v>#N/A</c:v>
                </c:pt>
                <c:pt idx="1415">
                  <c:v>#N/A</c:v>
                </c:pt>
                <c:pt idx="1416">
                  <c:v>#N/A</c:v>
                </c:pt>
                <c:pt idx="1417">
                  <c:v>#N/A</c:v>
                </c:pt>
                <c:pt idx="1418">
                  <c:v>#N/A</c:v>
                </c:pt>
                <c:pt idx="1419">
                  <c:v>#N/A</c:v>
                </c:pt>
                <c:pt idx="1420">
                  <c:v>#N/A</c:v>
                </c:pt>
                <c:pt idx="1421">
                  <c:v>#N/A</c:v>
                </c:pt>
                <c:pt idx="1422">
                  <c:v>#N/A</c:v>
                </c:pt>
                <c:pt idx="1423">
                  <c:v>#N/A</c:v>
                </c:pt>
                <c:pt idx="1424">
                  <c:v>#N/A</c:v>
                </c:pt>
                <c:pt idx="1425">
                  <c:v>#N/A</c:v>
                </c:pt>
                <c:pt idx="1426">
                  <c:v>#N/A</c:v>
                </c:pt>
                <c:pt idx="1427">
                  <c:v>#N/A</c:v>
                </c:pt>
                <c:pt idx="1428">
                  <c:v>#N/A</c:v>
                </c:pt>
                <c:pt idx="1429">
                  <c:v>#N/A</c:v>
                </c:pt>
                <c:pt idx="1430">
                  <c:v>#N/A</c:v>
                </c:pt>
                <c:pt idx="1431">
                  <c:v>#N/A</c:v>
                </c:pt>
                <c:pt idx="1432">
                  <c:v>#N/A</c:v>
                </c:pt>
                <c:pt idx="1433">
                  <c:v>#N/A</c:v>
                </c:pt>
                <c:pt idx="1434">
                  <c:v>#N/A</c:v>
                </c:pt>
                <c:pt idx="1435">
                  <c:v>#N/A</c:v>
                </c:pt>
                <c:pt idx="1436">
                  <c:v>#N/A</c:v>
                </c:pt>
                <c:pt idx="1437">
                  <c:v>#N/A</c:v>
                </c:pt>
                <c:pt idx="1438">
                  <c:v>#N/A</c:v>
                </c:pt>
                <c:pt idx="1439">
                  <c:v>#N/A</c:v>
                </c:pt>
                <c:pt idx="1440">
                  <c:v>#N/A</c:v>
                </c:pt>
                <c:pt idx="1441">
                  <c:v>#N/A</c:v>
                </c:pt>
                <c:pt idx="1442">
                  <c:v>#N/A</c:v>
                </c:pt>
                <c:pt idx="1443">
                  <c:v>#N/A</c:v>
                </c:pt>
                <c:pt idx="1444">
                  <c:v>#N/A</c:v>
                </c:pt>
                <c:pt idx="1445">
                  <c:v>#N/A</c:v>
                </c:pt>
                <c:pt idx="1446">
                  <c:v>#N/A</c:v>
                </c:pt>
                <c:pt idx="1447">
                  <c:v>#N/A</c:v>
                </c:pt>
                <c:pt idx="1448">
                  <c:v>#N/A</c:v>
                </c:pt>
                <c:pt idx="1449">
                  <c:v>#N/A</c:v>
                </c:pt>
                <c:pt idx="1450">
                  <c:v>#N/A</c:v>
                </c:pt>
                <c:pt idx="1451">
                  <c:v>#N/A</c:v>
                </c:pt>
                <c:pt idx="1452">
                  <c:v>#N/A</c:v>
                </c:pt>
                <c:pt idx="1453">
                  <c:v>#N/A</c:v>
                </c:pt>
                <c:pt idx="1454">
                  <c:v>#N/A</c:v>
                </c:pt>
                <c:pt idx="1455">
                  <c:v>#N/A</c:v>
                </c:pt>
                <c:pt idx="1456">
                  <c:v>#N/A</c:v>
                </c:pt>
                <c:pt idx="1457">
                  <c:v>#N/A</c:v>
                </c:pt>
                <c:pt idx="1458">
                  <c:v>#N/A</c:v>
                </c:pt>
                <c:pt idx="1459">
                  <c:v>#N/A</c:v>
                </c:pt>
                <c:pt idx="1460">
                  <c:v>#N/A</c:v>
                </c:pt>
                <c:pt idx="1461">
                  <c:v>#N/A</c:v>
                </c:pt>
                <c:pt idx="1462">
                  <c:v>#N/A</c:v>
                </c:pt>
                <c:pt idx="1463">
                  <c:v>#N/A</c:v>
                </c:pt>
                <c:pt idx="1464">
                  <c:v>#N/A</c:v>
                </c:pt>
                <c:pt idx="1465">
                  <c:v>#N/A</c:v>
                </c:pt>
                <c:pt idx="1466">
                  <c:v>#N/A</c:v>
                </c:pt>
                <c:pt idx="1467">
                  <c:v>#N/A</c:v>
                </c:pt>
                <c:pt idx="1468">
                  <c:v>#N/A</c:v>
                </c:pt>
                <c:pt idx="1469">
                  <c:v>#N/A</c:v>
                </c:pt>
                <c:pt idx="1470">
                  <c:v>#N/A</c:v>
                </c:pt>
                <c:pt idx="1471">
                  <c:v>#N/A</c:v>
                </c:pt>
                <c:pt idx="1472">
                  <c:v>#N/A</c:v>
                </c:pt>
                <c:pt idx="1473">
                  <c:v>#N/A</c:v>
                </c:pt>
                <c:pt idx="1474">
                  <c:v>#N/A</c:v>
                </c:pt>
                <c:pt idx="1475">
                  <c:v>#N/A</c:v>
                </c:pt>
                <c:pt idx="1476">
                  <c:v>#N/A</c:v>
                </c:pt>
                <c:pt idx="1477">
                  <c:v>#N/A</c:v>
                </c:pt>
                <c:pt idx="1478">
                  <c:v>#N/A</c:v>
                </c:pt>
                <c:pt idx="1479">
                  <c:v>#N/A</c:v>
                </c:pt>
                <c:pt idx="1480">
                  <c:v>#N/A</c:v>
                </c:pt>
                <c:pt idx="1481">
                  <c:v>#N/A</c:v>
                </c:pt>
                <c:pt idx="1482">
                  <c:v>#N/A</c:v>
                </c:pt>
                <c:pt idx="1483">
                  <c:v>#N/A</c:v>
                </c:pt>
                <c:pt idx="1484">
                  <c:v>#N/A</c:v>
                </c:pt>
                <c:pt idx="1485">
                  <c:v>#N/A</c:v>
                </c:pt>
                <c:pt idx="1486">
                  <c:v>#N/A</c:v>
                </c:pt>
                <c:pt idx="1487">
                  <c:v>#N/A</c:v>
                </c:pt>
                <c:pt idx="1488">
                  <c:v>#N/A</c:v>
                </c:pt>
                <c:pt idx="1489">
                  <c:v>#N/A</c:v>
                </c:pt>
                <c:pt idx="1490">
                  <c:v>#N/A</c:v>
                </c:pt>
                <c:pt idx="1491">
                  <c:v>#N/A</c:v>
                </c:pt>
                <c:pt idx="1492">
                  <c:v>#N/A</c:v>
                </c:pt>
                <c:pt idx="1493">
                  <c:v>#N/A</c:v>
                </c:pt>
                <c:pt idx="1494">
                  <c:v>#N/A</c:v>
                </c:pt>
                <c:pt idx="1495">
                  <c:v>#N/A</c:v>
                </c:pt>
                <c:pt idx="1496">
                  <c:v>#N/A</c:v>
                </c:pt>
                <c:pt idx="1497">
                  <c:v>#N/A</c:v>
                </c:pt>
                <c:pt idx="1498">
                  <c:v>#N/A</c:v>
                </c:pt>
                <c:pt idx="1499">
                  <c:v>#N/A</c:v>
                </c:pt>
                <c:pt idx="1500">
                  <c:v>#N/A</c:v>
                </c:pt>
                <c:pt idx="1501">
                  <c:v>#N/A</c:v>
                </c:pt>
                <c:pt idx="1502">
                  <c:v>#N/A</c:v>
                </c:pt>
                <c:pt idx="1503">
                  <c:v>#N/A</c:v>
                </c:pt>
                <c:pt idx="1504">
                  <c:v>#N/A</c:v>
                </c:pt>
                <c:pt idx="1505">
                  <c:v>#N/A</c:v>
                </c:pt>
                <c:pt idx="1506">
                  <c:v>#N/A</c:v>
                </c:pt>
                <c:pt idx="1507">
                  <c:v>#N/A</c:v>
                </c:pt>
                <c:pt idx="1508">
                  <c:v>#N/A</c:v>
                </c:pt>
                <c:pt idx="1509">
                  <c:v>#N/A</c:v>
                </c:pt>
                <c:pt idx="1510">
                  <c:v>#N/A</c:v>
                </c:pt>
                <c:pt idx="1511">
                  <c:v>#N/A</c:v>
                </c:pt>
                <c:pt idx="1512">
                  <c:v>#N/A</c:v>
                </c:pt>
                <c:pt idx="1513">
                  <c:v>#N/A</c:v>
                </c:pt>
                <c:pt idx="1514">
                  <c:v>#N/A</c:v>
                </c:pt>
                <c:pt idx="1515">
                  <c:v>#N/A</c:v>
                </c:pt>
                <c:pt idx="1516">
                  <c:v>#N/A</c:v>
                </c:pt>
                <c:pt idx="1517">
                  <c:v>#N/A</c:v>
                </c:pt>
                <c:pt idx="1518">
                  <c:v>#N/A</c:v>
                </c:pt>
                <c:pt idx="1519">
                  <c:v>#N/A</c:v>
                </c:pt>
                <c:pt idx="1520">
                  <c:v>#N/A</c:v>
                </c:pt>
                <c:pt idx="1521">
                  <c:v>#N/A</c:v>
                </c:pt>
                <c:pt idx="1522">
                  <c:v>#N/A</c:v>
                </c:pt>
                <c:pt idx="1523">
                  <c:v>#N/A</c:v>
                </c:pt>
                <c:pt idx="1524">
                  <c:v>#N/A</c:v>
                </c:pt>
                <c:pt idx="1525">
                  <c:v>#N/A</c:v>
                </c:pt>
                <c:pt idx="1526">
                  <c:v>#N/A</c:v>
                </c:pt>
                <c:pt idx="1527">
                  <c:v>#N/A</c:v>
                </c:pt>
                <c:pt idx="1528">
                  <c:v>#N/A</c:v>
                </c:pt>
                <c:pt idx="1529">
                  <c:v>#N/A</c:v>
                </c:pt>
                <c:pt idx="1530">
                  <c:v>#N/A</c:v>
                </c:pt>
                <c:pt idx="1531">
                  <c:v>#N/A</c:v>
                </c:pt>
                <c:pt idx="1532">
                  <c:v>#N/A</c:v>
                </c:pt>
                <c:pt idx="1533">
                  <c:v>#N/A</c:v>
                </c:pt>
                <c:pt idx="1534">
                  <c:v>#N/A</c:v>
                </c:pt>
                <c:pt idx="1535">
                  <c:v>#N/A</c:v>
                </c:pt>
                <c:pt idx="1536">
                  <c:v>#N/A</c:v>
                </c:pt>
                <c:pt idx="1537">
                  <c:v>#N/A</c:v>
                </c:pt>
                <c:pt idx="1538">
                  <c:v>#N/A</c:v>
                </c:pt>
                <c:pt idx="1539">
                  <c:v>#N/A</c:v>
                </c:pt>
                <c:pt idx="1540">
                  <c:v>#N/A</c:v>
                </c:pt>
                <c:pt idx="1541">
                  <c:v>#N/A</c:v>
                </c:pt>
                <c:pt idx="1542">
                  <c:v>#N/A</c:v>
                </c:pt>
                <c:pt idx="1543">
                  <c:v>#N/A</c:v>
                </c:pt>
                <c:pt idx="1544">
                  <c:v>#N/A</c:v>
                </c:pt>
                <c:pt idx="1545">
                  <c:v>#N/A</c:v>
                </c:pt>
                <c:pt idx="1546">
                  <c:v>#N/A</c:v>
                </c:pt>
                <c:pt idx="1547">
                  <c:v>#N/A</c:v>
                </c:pt>
                <c:pt idx="1548">
                  <c:v>#N/A</c:v>
                </c:pt>
                <c:pt idx="1549">
                  <c:v>#N/A</c:v>
                </c:pt>
                <c:pt idx="1550">
                  <c:v>#N/A</c:v>
                </c:pt>
                <c:pt idx="1551">
                  <c:v>#N/A</c:v>
                </c:pt>
                <c:pt idx="1552">
                  <c:v>#N/A</c:v>
                </c:pt>
                <c:pt idx="1553">
                  <c:v>#N/A</c:v>
                </c:pt>
                <c:pt idx="1554">
                  <c:v>#N/A</c:v>
                </c:pt>
                <c:pt idx="1555">
                  <c:v>#N/A</c:v>
                </c:pt>
                <c:pt idx="1556">
                  <c:v>#N/A</c:v>
                </c:pt>
                <c:pt idx="1557">
                  <c:v>#N/A</c:v>
                </c:pt>
                <c:pt idx="1558">
                  <c:v>#N/A</c:v>
                </c:pt>
                <c:pt idx="1559">
                  <c:v>#N/A</c:v>
                </c:pt>
                <c:pt idx="1560">
                  <c:v>#N/A</c:v>
                </c:pt>
                <c:pt idx="1561">
                  <c:v>#N/A</c:v>
                </c:pt>
                <c:pt idx="1562">
                  <c:v>#N/A</c:v>
                </c:pt>
                <c:pt idx="1563">
                  <c:v>#N/A</c:v>
                </c:pt>
                <c:pt idx="1564">
                  <c:v>#N/A</c:v>
                </c:pt>
                <c:pt idx="1565">
                  <c:v>#N/A</c:v>
                </c:pt>
                <c:pt idx="1566">
                  <c:v>#N/A</c:v>
                </c:pt>
                <c:pt idx="1567">
                  <c:v>#N/A</c:v>
                </c:pt>
                <c:pt idx="1568">
                  <c:v>#N/A</c:v>
                </c:pt>
                <c:pt idx="1569">
                  <c:v>#N/A</c:v>
                </c:pt>
                <c:pt idx="1570">
                  <c:v>#N/A</c:v>
                </c:pt>
                <c:pt idx="1571">
                  <c:v>#N/A</c:v>
                </c:pt>
                <c:pt idx="1572">
                  <c:v>#N/A</c:v>
                </c:pt>
                <c:pt idx="1573">
                  <c:v>#N/A</c:v>
                </c:pt>
                <c:pt idx="1574">
                  <c:v>#N/A</c:v>
                </c:pt>
                <c:pt idx="1575">
                  <c:v>#N/A</c:v>
                </c:pt>
                <c:pt idx="1576">
                  <c:v>#N/A</c:v>
                </c:pt>
                <c:pt idx="1577">
                  <c:v>#N/A</c:v>
                </c:pt>
                <c:pt idx="1578">
                  <c:v>#N/A</c:v>
                </c:pt>
                <c:pt idx="1579">
                  <c:v>#N/A</c:v>
                </c:pt>
                <c:pt idx="1580">
                  <c:v>#N/A</c:v>
                </c:pt>
                <c:pt idx="1581">
                  <c:v>#N/A</c:v>
                </c:pt>
                <c:pt idx="1582">
                  <c:v>#N/A</c:v>
                </c:pt>
                <c:pt idx="1583">
                  <c:v>#N/A</c:v>
                </c:pt>
                <c:pt idx="1584">
                  <c:v>#N/A</c:v>
                </c:pt>
                <c:pt idx="1585">
                  <c:v>#N/A</c:v>
                </c:pt>
                <c:pt idx="1586">
                  <c:v>#N/A</c:v>
                </c:pt>
                <c:pt idx="1587">
                  <c:v>#N/A</c:v>
                </c:pt>
                <c:pt idx="1588">
                  <c:v>#N/A</c:v>
                </c:pt>
                <c:pt idx="1589">
                  <c:v>#N/A</c:v>
                </c:pt>
                <c:pt idx="1590">
                  <c:v>#N/A</c:v>
                </c:pt>
                <c:pt idx="1591">
                  <c:v>#N/A</c:v>
                </c:pt>
                <c:pt idx="1592">
                  <c:v>#N/A</c:v>
                </c:pt>
                <c:pt idx="1593">
                  <c:v>#N/A</c:v>
                </c:pt>
                <c:pt idx="1594">
                  <c:v>#N/A</c:v>
                </c:pt>
                <c:pt idx="1595">
                  <c:v>#N/A</c:v>
                </c:pt>
                <c:pt idx="1596">
                  <c:v>#N/A</c:v>
                </c:pt>
                <c:pt idx="1597">
                  <c:v>#N/A</c:v>
                </c:pt>
                <c:pt idx="1598">
                  <c:v>#N/A</c:v>
                </c:pt>
                <c:pt idx="1599">
                  <c:v>#N/A</c:v>
                </c:pt>
                <c:pt idx="1600">
                  <c:v>#N/A</c:v>
                </c:pt>
                <c:pt idx="1601">
                  <c:v>#N/A</c:v>
                </c:pt>
                <c:pt idx="1602">
                  <c:v>#N/A</c:v>
                </c:pt>
                <c:pt idx="1603">
                  <c:v>#N/A</c:v>
                </c:pt>
                <c:pt idx="1604">
                  <c:v>#N/A</c:v>
                </c:pt>
                <c:pt idx="1605">
                  <c:v>#N/A</c:v>
                </c:pt>
                <c:pt idx="1606">
                  <c:v>#N/A</c:v>
                </c:pt>
                <c:pt idx="1607">
                  <c:v>#N/A</c:v>
                </c:pt>
                <c:pt idx="1608">
                  <c:v>#N/A</c:v>
                </c:pt>
                <c:pt idx="1609">
                  <c:v>#N/A</c:v>
                </c:pt>
                <c:pt idx="1610">
                  <c:v>#N/A</c:v>
                </c:pt>
                <c:pt idx="1611">
                  <c:v>#N/A</c:v>
                </c:pt>
                <c:pt idx="1612">
                  <c:v>#N/A</c:v>
                </c:pt>
                <c:pt idx="1613">
                  <c:v>#N/A</c:v>
                </c:pt>
                <c:pt idx="1614">
                  <c:v>#N/A</c:v>
                </c:pt>
                <c:pt idx="1615">
                  <c:v>#N/A</c:v>
                </c:pt>
                <c:pt idx="1616">
                  <c:v>#N/A</c:v>
                </c:pt>
                <c:pt idx="1617">
                  <c:v>#N/A</c:v>
                </c:pt>
                <c:pt idx="1618">
                  <c:v>#N/A</c:v>
                </c:pt>
                <c:pt idx="1619">
                  <c:v>#N/A</c:v>
                </c:pt>
                <c:pt idx="1620">
                  <c:v>#N/A</c:v>
                </c:pt>
                <c:pt idx="1621">
                  <c:v>#N/A</c:v>
                </c:pt>
                <c:pt idx="1622">
                  <c:v>#N/A</c:v>
                </c:pt>
                <c:pt idx="1623">
                  <c:v>#N/A</c:v>
                </c:pt>
                <c:pt idx="1624">
                  <c:v>#N/A</c:v>
                </c:pt>
                <c:pt idx="1625">
                  <c:v>#N/A</c:v>
                </c:pt>
                <c:pt idx="1626">
                  <c:v>#N/A</c:v>
                </c:pt>
                <c:pt idx="1627">
                  <c:v>#N/A</c:v>
                </c:pt>
                <c:pt idx="1628">
                  <c:v>#N/A</c:v>
                </c:pt>
                <c:pt idx="1629">
                  <c:v>#N/A</c:v>
                </c:pt>
                <c:pt idx="1630">
                  <c:v>#N/A</c:v>
                </c:pt>
                <c:pt idx="1631">
                  <c:v>#N/A</c:v>
                </c:pt>
                <c:pt idx="1632">
                  <c:v>#N/A</c:v>
                </c:pt>
                <c:pt idx="1633">
                  <c:v>#N/A</c:v>
                </c:pt>
                <c:pt idx="1634">
                  <c:v>#N/A</c:v>
                </c:pt>
                <c:pt idx="1635">
                  <c:v>#N/A</c:v>
                </c:pt>
                <c:pt idx="1636">
                  <c:v>#N/A</c:v>
                </c:pt>
                <c:pt idx="1637">
                  <c:v>#N/A</c:v>
                </c:pt>
                <c:pt idx="1638">
                  <c:v>#N/A</c:v>
                </c:pt>
                <c:pt idx="1639">
                  <c:v>#N/A</c:v>
                </c:pt>
                <c:pt idx="1640">
                  <c:v>#N/A</c:v>
                </c:pt>
                <c:pt idx="1641">
                  <c:v>#N/A</c:v>
                </c:pt>
                <c:pt idx="1642">
                  <c:v>#N/A</c:v>
                </c:pt>
                <c:pt idx="1643">
                  <c:v>#N/A</c:v>
                </c:pt>
                <c:pt idx="1644">
                  <c:v>#N/A</c:v>
                </c:pt>
                <c:pt idx="1645">
                  <c:v>#N/A</c:v>
                </c:pt>
                <c:pt idx="1646">
                  <c:v>#N/A</c:v>
                </c:pt>
                <c:pt idx="1647">
                  <c:v>#N/A</c:v>
                </c:pt>
                <c:pt idx="1648">
                  <c:v>#N/A</c:v>
                </c:pt>
                <c:pt idx="1649">
                  <c:v>#N/A</c:v>
                </c:pt>
                <c:pt idx="1650">
                  <c:v>#N/A</c:v>
                </c:pt>
                <c:pt idx="1651">
                  <c:v>#N/A</c:v>
                </c:pt>
                <c:pt idx="1652">
                  <c:v>#N/A</c:v>
                </c:pt>
                <c:pt idx="1653">
                  <c:v>#N/A</c:v>
                </c:pt>
                <c:pt idx="1654">
                  <c:v>#N/A</c:v>
                </c:pt>
                <c:pt idx="1655">
                  <c:v>#N/A</c:v>
                </c:pt>
                <c:pt idx="1656">
                  <c:v>#N/A</c:v>
                </c:pt>
                <c:pt idx="1657">
                  <c:v>#N/A</c:v>
                </c:pt>
                <c:pt idx="1658">
                  <c:v>#N/A</c:v>
                </c:pt>
                <c:pt idx="1659">
                  <c:v>#N/A</c:v>
                </c:pt>
                <c:pt idx="1660">
                  <c:v>#N/A</c:v>
                </c:pt>
                <c:pt idx="1661">
                  <c:v>#N/A</c:v>
                </c:pt>
                <c:pt idx="1662">
                  <c:v>#N/A</c:v>
                </c:pt>
                <c:pt idx="1663">
                  <c:v>#N/A</c:v>
                </c:pt>
                <c:pt idx="1664">
                  <c:v>#N/A</c:v>
                </c:pt>
                <c:pt idx="1665">
                  <c:v>#N/A</c:v>
                </c:pt>
                <c:pt idx="1666">
                  <c:v>#N/A</c:v>
                </c:pt>
                <c:pt idx="1667">
                  <c:v>#N/A</c:v>
                </c:pt>
                <c:pt idx="1668">
                  <c:v>#N/A</c:v>
                </c:pt>
                <c:pt idx="1669">
                  <c:v>#N/A</c:v>
                </c:pt>
                <c:pt idx="1670">
                  <c:v>#N/A</c:v>
                </c:pt>
                <c:pt idx="1671">
                  <c:v>#N/A</c:v>
                </c:pt>
                <c:pt idx="1672">
                  <c:v>#N/A</c:v>
                </c:pt>
                <c:pt idx="1673">
                  <c:v>#N/A</c:v>
                </c:pt>
                <c:pt idx="1674">
                  <c:v>#N/A</c:v>
                </c:pt>
                <c:pt idx="1675">
                  <c:v>#N/A</c:v>
                </c:pt>
                <c:pt idx="1676">
                  <c:v>#N/A</c:v>
                </c:pt>
                <c:pt idx="1677">
                  <c:v>#N/A</c:v>
                </c:pt>
                <c:pt idx="1678">
                  <c:v>#N/A</c:v>
                </c:pt>
                <c:pt idx="1679">
                  <c:v>#N/A</c:v>
                </c:pt>
                <c:pt idx="1680">
                  <c:v>#N/A</c:v>
                </c:pt>
                <c:pt idx="1681">
                  <c:v>#N/A</c:v>
                </c:pt>
                <c:pt idx="1682">
                  <c:v>#N/A</c:v>
                </c:pt>
                <c:pt idx="1683">
                  <c:v>#N/A</c:v>
                </c:pt>
                <c:pt idx="1684">
                  <c:v>#N/A</c:v>
                </c:pt>
                <c:pt idx="1685">
                  <c:v>#N/A</c:v>
                </c:pt>
                <c:pt idx="1686">
                  <c:v>#N/A</c:v>
                </c:pt>
                <c:pt idx="1687">
                  <c:v>#N/A</c:v>
                </c:pt>
                <c:pt idx="1688">
                  <c:v>#N/A</c:v>
                </c:pt>
                <c:pt idx="1689">
                  <c:v>#N/A</c:v>
                </c:pt>
                <c:pt idx="1690">
                  <c:v>#N/A</c:v>
                </c:pt>
                <c:pt idx="1691">
                  <c:v>#N/A</c:v>
                </c:pt>
                <c:pt idx="1692">
                  <c:v>#N/A</c:v>
                </c:pt>
                <c:pt idx="1693">
                  <c:v>#N/A</c:v>
                </c:pt>
                <c:pt idx="1694">
                  <c:v>#N/A</c:v>
                </c:pt>
                <c:pt idx="1695">
                  <c:v>#N/A</c:v>
                </c:pt>
                <c:pt idx="1696">
                  <c:v>#N/A</c:v>
                </c:pt>
                <c:pt idx="1697">
                  <c:v>#N/A</c:v>
                </c:pt>
                <c:pt idx="1698">
                  <c:v>#N/A</c:v>
                </c:pt>
                <c:pt idx="1699">
                  <c:v>#N/A</c:v>
                </c:pt>
                <c:pt idx="1700">
                  <c:v>#N/A</c:v>
                </c:pt>
                <c:pt idx="1701">
                  <c:v>#N/A</c:v>
                </c:pt>
                <c:pt idx="1702">
                  <c:v>#N/A</c:v>
                </c:pt>
                <c:pt idx="1703">
                  <c:v>#N/A</c:v>
                </c:pt>
                <c:pt idx="1704">
                  <c:v>#N/A</c:v>
                </c:pt>
                <c:pt idx="1705">
                  <c:v>#N/A</c:v>
                </c:pt>
                <c:pt idx="1706">
                  <c:v>#N/A</c:v>
                </c:pt>
                <c:pt idx="1707">
                  <c:v>#N/A</c:v>
                </c:pt>
                <c:pt idx="1708">
                  <c:v>#N/A</c:v>
                </c:pt>
                <c:pt idx="1709">
                  <c:v>#N/A</c:v>
                </c:pt>
                <c:pt idx="1710">
                  <c:v>#N/A</c:v>
                </c:pt>
                <c:pt idx="1711">
                  <c:v>#N/A</c:v>
                </c:pt>
                <c:pt idx="1712">
                  <c:v>#N/A</c:v>
                </c:pt>
                <c:pt idx="1713">
                  <c:v>#N/A</c:v>
                </c:pt>
                <c:pt idx="1714">
                  <c:v>#N/A</c:v>
                </c:pt>
                <c:pt idx="1715">
                  <c:v>#N/A</c:v>
                </c:pt>
                <c:pt idx="1716">
                  <c:v>#N/A</c:v>
                </c:pt>
                <c:pt idx="1717">
                  <c:v>#N/A</c:v>
                </c:pt>
                <c:pt idx="1718">
                  <c:v>#N/A</c:v>
                </c:pt>
                <c:pt idx="1719">
                  <c:v>#N/A</c:v>
                </c:pt>
                <c:pt idx="1720">
                  <c:v>#N/A</c:v>
                </c:pt>
                <c:pt idx="1721">
                  <c:v>#N/A</c:v>
                </c:pt>
                <c:pt idx="1722">
                  <c:v>#N/A</c:v>
                </c:pt>
                <c:pt idx="1723">
                  <c:v>#N/A</c:v>
                </c:pt>
                <c:pt idx="1724">
                  <c:v>#N/A</c:v>
                </c:pt>
                <c:pt idx="1725">
                  <c:v>#N/A</c:v>
                </c:pt>
                <c:pt idx="1726">
                  <c:v>#N/A</c:v>
                </c:pt>
                <c:pt idx="1727">
                  <c:v>#N/A</c:v>
                </c:pt>
                <c:pt idx="1728">
                  <c:v>#N/A</c:v>
                </c:pt>
                <c:pt idx="1729">
                  <c:v>#N/A</c:v>
                </c:pt>
                <c:pt idx="1730">
                  <c:v>#N/A</c:v>
                </c:pt>
                <c:pt idx="1731">
                  <c:v>#N/A</c:v>
                </c:pt>
                <c:pt idx="1732">
                  <c:v>#N/A</c:v>
                </c:pt>
                <c:pt idx="1733">
                  <c:v>#N/A</c:v>
                </c:pt>
                <c:pt idx="1734">
                  <c:v>#N/A</c:v>
                </c:pt>
                <c:pt idx="1735">
                  <c:v>#N/A</c:v>
                </c:pt>
                <c:pt idx="1736">
                  <c:v>#N/A</c:v>
                </c:pt>
                <c:pt idx="1737">
                  <c:v>#N/A</c:v>
                </c:pt>
                <c:pt idx="1738">
                  <c:v>#N/A</c:v>
                </c:pt>
                <c:pt idx="1739">
                  <c:v>#N/A</c:v>
                </c:pt>
                <c:pt idx="1740">
                  <c:v>#N/A</c:v>
                </c:pt>
                <c:pt idx="1741">
                  <c:v>#N/A</c:v>
                </c:pt>
                <c:pt idx="1742">
                  <c:v>#N/A</c:v>
                </c:pt>
                <c:pt idx="1743">
                  <c:v>#N/A</c:v>
                </c:pt>
                <c:pt idx="1744">
                  <c:v>#N/A</c:v>
                </c:pt>
                <c:pt idx="1745">
                  <c:v>#N/A</c:v>
                </c:pt>
                <c:pt idx="1746">
                  <c:v>#N/A</c:v>
                </c:pt>
                <c:pt idx="1747">
                  <c:v>#N/A</c:v>
                </c:pt>
                <c:pt idx="1748">
                  <c:v>#N/A</c:v>
                </c:pt>
                <c:pt idx="1749">
                  <c:v>#N/A</c:v>
                </c:pt>
                <c:pt idx="1750">
                  <c:v>#N/A</c:v>
                </c:pt>
                <c:pt idx="1751">
                  <c:v>#N/A</c:v>
                </c:pt>
                <c:pt idx="1752">
                  <c:v>#N/A</c:v>
                </c:pt>
                <c:pt idx="1753">
                  <c:v>#N/A</c:v>
                </c:pt>
                <c:pt idx="1754">
                  <c:v>#N/A</c:v>
                </c:pt>
                <c:pt idx="1755">
                  <c:v>#N/A</c:v>
                </c:pt>
                <c:pt idx="1756">
                  <c:v>#N/A</c:v>
                </c:pt>
                <c:pt idx="1757">
                  <c:v>#N/A</c:v>
                </c:pt>
                <c:pt idx="1758">
                  <c:v>#N/A</c:v>
                </c:pt>
                <c:pt idx="1759">
                  <c:v>#N/A</c:v>
                </c:pt>
                <c:pt idx="1760">
                  <c:v>#N/A</c:v>
                </c:pt>
                <c:pt idx="1761">
                  <c:v>#N/A</c:v>
                </c:pt>
                <c:pt idx="1762">
                  <c:v>#N/A</c:v>
                </c:pt>
                <c:pt idx="1763">
                  <c:v>#N/A</c:v>
                </c:pt>
                <c:pt idx="1764">
                  <c:v>#N/A</c:v>
                </c:pt>
                <c:pt idx="1765">
                  <c:v>#N/A</c:v>
                </c:pt>
                <c:pt idx="1766">
                  <c:v>#N/A</c:v>
                </c:pt>
                <c:pt idx="1767">
                  <c:v>#N/A</c:v>
                </c:pt>
                <c:pt idx="1768">
                  <c:v>#N/A</c:v>
                </c:pt>
                <c:pt idx="1769">
                  <c:v>#N/A</c:v>
                </c:pt>
                <c:pt idx="1770">
                  <c:v>#N/A</c:v>
                </c:pt>
                <c:pt idx="1771">
                  <c:v>#N/A</c:v>
                </c:pt>
                <c:pt idx="1772">
                  <c:v>#N/A</c:v>
                </c:pt>
                <c:pt idx="1773">
                  <c:v>#N/A</c:v>
                </c:pt>
                <c:pt idx="1774">
                  <c:v>#N/A</c:v>
                </c:pt>
                <c:pt idx="1775">
                  <c:v>#N/A</c:v>
                </c:pt>
                <c:pt idx="1776">
                  <c:v>#N/A</c:v>
                </c:pt>
                <c:pt idx="1777">
                  <c:v>#N/A</c:v>
                </c:pt>
                <c:pt idx="1778">
                  <c:v>#N/A</c:v>
                </c:pt>
                <c:pt idx="1779">
                  <c:v>#N/A</c:v>
                </c:pt>
                <c:pt idx="1780">
                  <c:v>#N/A</c:v>
                </c:pt>
                <c:pt idx="1781">
                  <c:v>#N/A</c:v>
                </c:pt>
                <c:pt idx="1782">
                  <c:v>#N/A</c:v>
                </c:pt>
                <c:pt idx="1783">
                  <c:v>#N/A</c:v>
                </c:pt>
                <c:pt idx="1784">
                  <c:v>#N/A</c:v>
                </c:pt>
                <c:pt idx="1785">
                  <c:v>#N/A</c:v>
                </c:pt>
                <c:pt idx="1786">
                  <c:v>#N/A</c:v>
                </c:pt>
                <c:pt idx="1787">
                  <c:v>#N/A</c:v>
                </c:pt>
                <c:pt idx="1788">
                  <c:v>#N/A</c:v>
                </c:pt>
                <c:pt idx="1789">
                  <c:v>#N/A</c:v>
                </c:pt>
                <c:pt idx="1790">
                  <c:v>#N/A</c:v>
                </c:pt>
                <c:pt idx="1791">
                  <c:v>#N/A</c:v>
                </c:pt>
                <c:pt idx="1792">
                  <c:v>#N/A</c:v>
                </c:pt>
                <c:pt idx="1793">
                  <c:v>#N/A</c:v>
                </c:pt>
                <c:pt idx="1794">
                  <c:v>#N/A</c:v>
                </c:pt>
                <c:pt idx="1795">
                  <c:v>#N/A</c:v>
                </c:pt>
                <c:pt idx="1796">
                  <c:v>#N/A</c:v>
                </c:pt>
                <c:pt idx="1797">
                  <c:v>#N/A</c:v>
                </c:pt>
                <c:pt idx="1798">
                  <c:v>#N/A</c:v>
                </c:pt>
                <c:pt idx="1799">
                  <c:v>#N/A</c:v>
                </c:pt>
                <c:pt idx="1800">
                  <c:v>#N/A</c:v>
                </c:pt>
                <c:pt idx="1801">
                  <c:v>#N/A</c:v>
                </c:pt>
                <c:pt idx="1802">
                  <c:v>#N/A</c:v>
                </c:pt>
                <c:pt idx="1803">
                  <c:v>#N/A</c:v>
                </c:pt>
                <c:pt idx="1804">
                  <c:v>#N/A</c:v>
                </c:pt>
                <c:pt idx="1805">
                  <c:v>#N/A</c:v>
                </c:pt>
                <c:pt idx="1806">
                  <c:v>#N/A</c:v>
                </c:pt>
                <c:pt idx="1807">
                  <c:v>#N/A</c:v>
                </c:pt>
                <c:pt idx="1808">
                  <c:v>#N/A</c:v>
                </c:pt>
                <c:pt idx="1809">
                  <c:v>#N/A</c:v>
                </c:pt>
                <c:pt idx="1810">
                  <c:v>#N/A</c:v>
                </c:pt>
                <c:pt idx="1811">
                  <c:v>#N/A</c:v>
                </c:pt>
                <c:pt idx="1812">
                  <c:v>#N/A</c:v>
                </c:pt>
                <c:pt idx="1813">
                  <c:v>#N/A</c:v>
                </c:pt>
                <c:pt idx="1814">
                  <c:v>#N/A</c:v>
                </c:pt>
                <c:pt idx="1815">
                  <c:v>#N/A</c:v>
                </c:pt>
                <c:pt idx="1816">
                  <c:v>#N/A</c:v>
                </c:pt>
                <c:pt idx="1817">
                  <c:v>#N/A</c:v>
                </c:pt>
                <c:pt idx="1818">
                  <c:v>#N/A</c:v>
                </c:pt>
                <c:pt idx="1819">
                  <c:v>#N/A</c:v>
                </c:pt>
                <c:pt idx="1820">
                  <c:v>#N/A</c:v>
                </c:pt>
                <c:pt idx="1821">
                  <c:v>#N/A</c:v>
                </c:pt>
                <c:pt idx="1822">
                  <c:v>#N/A</c:v>
                </c:pt>
                <c:pt idx="1823">
                  <c:v>#N/A</c:v>
                </c:pt>
                <c:pt idx="1824">
                  <c:v>#N/A</c:v>
                </c:pt>
                <c:pt idx="1825">
                  <c:v>#N/A</c:v>
                </c:pt>
                <c:pt idx="1826">
                  <c:v>#N/A</c:v>
                </c:pt>
                <c:pt idx="1827">
                  <c:v>#N/A</c:v>
                </c:pt>
                <c:pt idx="1828">
                  <c:v>#N/A</c:v>
                </c:pt>
                <c:pt idx="1829">
                  <c:v>#N/A</c:v>
                </c:pt>
                <c:pt idx="1830">
                  <c:v>#N/A</c:v>
                </c:pt>
                <c:pt idx="1831">
                  <c:v>#N/A</c:v>
                </c:pt>
                <c:pt idx="1832">
                  <c:v>#N/A</c:v>
                </c:pt>
                <c:pt idx="1833">
                  <c:v>#N/A</c:v>
                </c:pt>
                <c:pt idx="1834">
                  <c:v>#N/A</c:v>
                </c:pt>
                <c:pt idx="1835">
                  <c:v>#N/A</c:v>
                </c:pt>
                <c:pt idx="1836">
                  <c:v>#N/A</c:v>
                </c:pt>
                <c:pt idx="1837">
                  <c:v>#N/A</c:v>
                </c:pt>
                <c:pt idx="1838">
                  <c:v>#N/A</c:v>
                </c:pt>
                <c:pt idx="1839">
                  <c:v>#N/A</c:v>
                </c:pt>
                <c:pt idx="1840">
                  <c:v>#N/A</c:v>
                </c:pt>
                <c:pt idx="1841">
                  <c:v>#N/A</c:v>
                </c:pt>
                <c:pt idx="1842">
                  <c:v>#N/A</c:v>
                </c:pt>
                <c:pt idx="1843">
                  <c:v>#N/A</c:v>
                </c:pt>
                <c:pt idx="1844">
                  <c:v>#N/A</c:v>
                </c:pt>
                <c:pt idx="1845">
                  <c:v>#N/A</c:v>
                </c:pt>
                <c:pt idx="1846">
                  <c:v>#N/A</c:v>
                </c:pt>
                <c:pt idx="1847">
                  <c:v>#N/A</c:v>
                </c:pt>
                <c:pt idx="1848">
                  <c:v>#N/A</c:v>
                </c:pt>
                <c:pt idx="1849">
                  <c:v>#N/A</c:v>
                </c:pt>
                <c:pt idx="1850">
                  <c:v>#N/A</c:v>
                </c:pt>
                <c:pt idx="1851">
                  <c:v>#N/A</c:v>
                </c:pt>
                <c:pt idx="1852">
                  <c:v>#N/A</c:v>
                </c:pt>
                <c:pt idx="1853">
                  <c:v>#N/A</c:v>
                </c:pt>
                <c:pt idx="1854">
                  <c:v>#N/A</c:v>
                </c:pt>
                <c:pt idx="1855">
                  <c:v>#N/A</c:v>
                </c:pt>
                <c:pt idx="1856">
                  <c:v>#N/A</c:v>
                </c:pt>
                <c:pt idx="1857">
                  <c:v>#N/A</c:v>
                </c:pt>
                <c:pt idx="1858">
                  <c:v>#N/A</c:v>
                </c:pt>
                <c:pt idx="1859">
                  <c:v>#N/A</c:v>
                </c:pt>
                <c:pt idx="1860">
                  <c:v>#N/A</c:v>
                </c:pt>
                <c:pt idx="1861">
                  <c:v>#N/A</c:v>
                </c:pt>
                <c:pt idx="1862">
                  <c:v>#N/A</c:v>
                </c:pt>
                <c:pt idx="1863">
                  <c:v>#N/A</c:v>
                </c:pt>
                <c:pt idx="1864">
                  <c:v>#N/A</c:v>
                </c:pt>
                <c:pt idx="1865">
                  <c:v>#N/A</c:v>
                </c:pt>
                <c:pt idx="1866">
                  <c:v>#N/A</c:v>
                </c:pt>
                <c:pt idx="1867">
                  <c:v>#N/A</c:v>
                </c:pt>
                <c:pt idx="1868">
                  <c:v>#N/A</c:v>
                </c:pt>
                <c:pt idx="1869">
                  <c:v>#N/A</c:v>
                </c:pt>
                <c:pt idx="1870">
                  <c:v>#N/A</c:v>
                </c:pt>
                <c:pt idx="1871">
                  <c:v>#N/A</c:v>
                </c:pt>
                <c:pt idx="1872">
                  <c:v>#N/A</c:v>
                </c:pt>
                <c:pt idx="1873">
                  <c:v>#N/A</c:v>
                </c:pt>
                <c:pt idx="1874">
                  <c:v>#N/A</c:v>
                </c:pt>
                <c:pt idx="1875">
                  <c:v>#N/A</c:v>
                </c:pt>
                <c:pt idx="1876">
                  <c:v>#N/A</c:v>
                </c:pt>
                <c:pt idx="1877">
                  <c:v>#N/A</c:v>
                </c:pt>
                <c:pt idx="1878">
                  <c:v>#N/A</c:v>
                </c:pt>
                <c:pt idx="1879">
                  <c:v>#N/A</c:v>
                </c:pt>
                <c:pt idx="1880">
                  <c:v>#N/A</c:v>
                </c:pt>
                <c:pt idx="1881">
                  <c:v>#N/A</c:v>
                </c:pt>
                <c:pt idx="1882">
                  <c:v>#N/A</c:v>
                </c:pt>
                <c:pt idx="1883">
                  <c:v>#N/A</c:v>
                </c:pt>
                <c:pt idx="1884">
                  <c:v>#N/A</c:v>
                </c:pt>
                <c:pt idx="1885">
                  <c:v>#N/A</c:v>
                </c:pt>
                <c:pt idx="1886">
                  <c:v>#N/A</c:v>
                </c:pt>
                <c:pt idx="1887">
                  <c:v>#N/A</c:v>
                </c:pt>
                <c:pt idx="1888">
                  <c:v>#N/A</c:v>
                </c:pt>
                <c:pt idx="1889">
                  <c:v>#N/A</c:v>
                </c:pt>
                <c:pt idx="1890">
                  <c:v>#N/A</c:v>
                </c:pt>
                <c:pt idx="1891">
                  <c:v>#N/A</c:v>
                </c:pt>
                <c:pt idx="1892">
                  <c:v>#N/A</c:v>
                </c:pt>
                <c:pt idx="1893">
                  <c:v>#N/A</c:v>
                </c:pt>
                <c:pt idx="1894">
                  <c:v>#N/A</c:v>
                </c:pt>
                <c:pt idx="1895">
                  <c:v>#N/A</c:v>
                </c:pt>
                <c:pt idx="1896">
                  <c:v>#N/A</c:v>
                </c:pt>
                <c:pt idx="1897">
                  <c:v>#N/A</c:v>
                </c:pt>
                <c:pt idx="1898">
                  <c:v>#N/A</c:v>
                </c:pt>
                <c:pt idx="1899">
                  <c:v>#N/A</c:v>
                </c:pt>
                <c:pt idx="1900">
                  <c:v>#N/A</c:v>
                </c:pt>
                <c:pt idx="1901">
                  <c:v>#N/A</c:v>
                </c:pt>
                <c:pt idx="1902">
                  <c:v>#N/A</c:v>
                </c:pt>
                <c:pt idx="1903">
                  <c:v>#N/A</c:v>
                </c:pt>
                <c:pt idx="1904">
                  <c:v>#N/A</c:v>
                </c:pt>
                <c:pt idx="1905">
                  <c:v>#N/A</c:v>
                </c:pt>
                <c:pt idx="1906">
                  <c:v>#N/A</c:v>
                </c:pt>
                <c:pt idx="1907">
                  <c:v>#N/A</c:v>
                </c:pt>
                <c:pt idx="1908">
                  <c:v>#N/A</c:v>
                </c:pt>
                <c:pt idx="1909">
                  <c:v>#N/A</c:v>
                </c:pt>
                <c:pt idx="1910">
                  <c:v>#N/A</c:v>
                </c:pt>
                <c:pt idx="1911">
                  <c:v>#N/A</c:v>
                </c:pt>
                <c:pt idx="1912">
                  <c:v>#N/A</c:v>
                </c:pt>
                <c:pt idx="1913">
                  <c:v>#N/A</c:v>
                </c:pt>
                <c:pt idx="1914">
                  <c:v>#N/A</c:v>
                </c:pt>
                <c:pt idx="1915">
                  <c:v>#N/A</c:v>
                </c:pt>
                <c:pt idx="1916">
                  <c:v>#N/A</c:v>
                </c:pt>
                <c:pt idx="1917">
                  <c:v>#N/A</c:v>
                </c:pt>
                <c:pt idx="1918">
                  <c:v>#N/A</c:v>
                </c:pt>
                <c:pt idx="1919">
                  <c:v>#N/A</c:v>
                </c:pt>
                <c:pt idx="1920">
                  <c:v>#N/A</c:v>
                </c:pt>
                <c:pt idx="1921">
                  <c:v>#N/A</c:v>
                </c:pt>
                <c:pt idx="1922">
                  <c:v>#N/A</c:v>
                </c:pt>
                <c:pt idx="1923">
                  <c:v>#N/A</c:v>
                </c:pt>
                <c:pt idx="1924">
                  <c:v>#N/A</c:v>
                </c:pt>
                <c:pt idx="1925">
                  <c:v>#N/A</c:v>
                </c:pt>
                <c:pt idx="1926">
                  <c:v>#N/A</c:v>
                </c:pt>
                <c:pt idx="1927">
                  <c:v>#N/A</c:v>
                </c:pt>
                <c:pt idx="1928">
                  <c:v>#N/A</c:v>
                </c:pt>
                <c:pt idx="1929">
                  <c:v>#N/A</c:v>
                </c:pt>
                <c:pt idx="1930">
                  <c:v>#N/A</c:v>
                </c:pt>
                <c:pt idx="1931">
                  <c:v>#N/A</c:v>
                </c:pt>
                <c:pt idx="1932">
                  <c:v>#N/A</c:v>
                </c:pt>
                <c:pt idx="1933">
                  <c:v>#N/A</c:v>
                </c:pt>
                <c:pt idx="1934">
                  <c:v>#N/A</c:v>
                </c:pt>
                <c:pt idx="1935">
                  <c:v>#N/A</c:v>
                </c:pt>
                <c:pt idx="1936">
                  <c:v>#N/A</c:v>
                </c:pt>
                <c:pt idx="1937">
                  <c:v>#N/A</c:v>
                </c:pt>
                <c:pt idx="1938">
                  <c:v>#N/A</c:v>
                </c:pt>
                <c:pt idx="1939">
                  <c:v>#N/A</c:v>
                </c:pt>
                <c:pt idx="1940">
                  <c:v>#N/A</c:v>
                </c:pt>
                <c:pt idx="1941">
                  <c:v>#N/A</c:v>
                </c:pt>
                <c:pt idx="1942">
                  <c:v>#N/A</c:v>
                </c:pt>
                <c:pt idx="1943">
                  <c:v>#N/A</c:v>
                </c:pt>
                <c:pt idx="1944">
                  <c:v>#N/A</c:v>
                </c:pt>
                <c:pt idx="1945">
                  <c:v>#N/A</c:v>
                </c:pt>
                <c:pt idx="1946">
                  <c:v>#N/A</c:v>
                </c:pt>
                <c:pt idx="1947">
                  <c:v>#N/A</c:v>
                </c:pt>
                <c:pt idx="1948">
                  <c:v>#N/A</c:v>
                </c:pt>
                <c:pt idx="1949">
                  <c:v>#N/A</c:v>
                </c:pt>
                <c:pt idx="1950">
                  <c:v>#N/A</c:v>
                </c:pt>
                <c:pt idx="1951">
                  <c:v>#N/A</c:v>
                </c:pt>
                <c:pt idx="1952">
                  <c:v>#N/A</c:v>
                </c:pt>
                <c:pt idx="1953">
                  <c:v>#N/A</c:v>
                </c:pt>
                <c:pt idx="1954">
                  <c:v>#N/A</c:v>
                </c:pt>
                <c:pt idx="1955">
                  <c:v>#N/A</c:v>
                </c:pt>
                <c:pt idx="1956">
                  <c:v>#N/A</c:v>
                </c:pt>
                <c:pt idx="1957">
                  <c:v>#N/A</c:v>
                </c:pt>
                <c:pt idx="1958">
                  <c:v>#N/A</c:v>
                </c:pt>
                <c:pt idx="1959">
                  <c:v>#N/A</c:v>
                </c:pt>
                <c:pt idx="1960">
                  <c:v>#N/A</c:v>
                </c:pt>
                <c:pt idx="1961">
                  <c:v>#N/A</c:v>
                </c:pt>
                <c:pt idx="1962">
                  <c:v>#N/A</c:v>
                </c:pt>
                <c:pt idx="1963">
                  <c:v>#N/A</c:v>
                </c:pt>
                <c:pt idx="1964">
                  <c:v>#N/A</c:v>
                </c:pt>
                <c:pt idx="1965">
                  <c:v>#N/A</c:v>
                </c:pt>
                <c:pt idx="1966">
                  <c:v>#N/A</c:v>
                </c:pt>
                <c:pt idx="1967">
                  <c:v>#N/A</c:v>
                </c:pt>
                <c:pt idx="1968">
                  <c:v>#N/A</c:v>
                </c:pt>
                <c:pt idx="1969">
                  <c:v>#N/A</c:v>
                </c:pt>
                <c:pt idx="1970">
                  <c:v>#N/A</c:v>
                </c:pt>
                <c:pt idx="1971">
                  <c:v>#N/A</c:v>
                </c:pt>
                <c:pt idx="1972">
                  <c:v>#N/A</c:v>
                </c:pt>
                <c:pt idx="1973">
                  <c:v>#N/A</c:v>
                </c:pt>
                <c:pt idx="1974">
                  <c:v>#N/A</c:v>
                </c:pt>
                <c:pt idx="1975">
                  <c:v>#N/A</c:v>
                </c:pt>
                <c:pt idx="1976">
                  <c:v>#N/A</c:v>
                </c:pt>
                <c:pt idx="1977">
                  <c:v>#N/A</c:v>
                </c:pt>
                <c:pt idx="1978">
                  <c:v>#N/A</c:v>
                </c:pt>
                <c:pt idx="1979">
                  <c:v>#N/A</c:v>
                </c:pt>
                <c:pt idx="1980">
                  <c:v>#N/A</c:v>
                </c:pt>
                <c:pt idx="1981">
                  <c:v>#N/A</c:v>
                </c:pt>
                <c:pt idx="1982">
                  <c:v>#N/A</c:v>
                </c:pt>
                <c:pt idx="1983">
                  <c:v>#N/A</c:v>
                </c:pt>
                <c:pt idx="1984">
                  <c:v>#N/A</c:v>
                </c:pt>
                <c:pt idx="1985">
                  <c:v>#N/A</c:v>
                </c:pt>
                <c:pt idx="1986">
                  <c:v>#N/A</c:v>
                </c:pt>
                <c:pt idx="1987">
                  <c:v>#N/A</c:v>
                </c:pt>
                <c:pt idx="1988">
                  <c:v>#N/A</c:v>
                </c:pt>
                <c:pt idx="1989">
                  <c:v>#N/A</c:v>
                </c:pt>
                <c:pt idx="1990">
                  <c:v>#N/A</c:v>
                </c:pt>
                <c:pt idx="1991">
                  <c:v>#N/A</c:v>
                </c:pt>
                <c:pt idx="1992">
                  <c:v>#N/A</c:v>
                </c:pt>
                <c:pt idx="1993">
                  <c:v>#N/A</c:v>
                </c:pt>
                <c:pt idx="1994">
                  <c:v>#N/A</c:v>
                </c:pt>
                <c:pt idx="1995">
                  <c:v>#N/A</c:v>
                </c:pt>
                <c:pt idx="1996">
                  <c:v>#N/A</c:v>
                </c:pt>
                <c:pt idx="1997">
                  <c:v>#N/A</c:v>
                </c:pt>
                <c:pt idx="1998">
                  <c:v>#N/A</c:v>
                </c:pt>
                <c:pt idx="1999">
                  <c:v>#N/A</c:v>
                </c:pt>
                <c:pt idx="2000">
                  <c:v>#N/A</c:v>
                </c:pt>
                <c:pt idx="2001">
                  <c:v>#N/A</c:v>
                </c:pt>
                <c:pt idx="2002">
                  <c:v>#N/A</c:v>
                </c:pt>
                <c:pt idx="2003">
                  <c:v>#N/A</c:v>
                </c:pt>
                <c:pt idx="2004">
                  <c:v>#N/A</c:v>
                </c:pt>
                <c:pt idx="2005">
                  <c:v>#N/A</c:v>
                </c:pt>
                <c:pt idx="2006">
                  <c:v>#N/A</c:v>
                </c:pt>
                <c:pt idx="2007">
                  <c:v>#N/A</c:v>
                </c:pt>
                <c:pt idx="2008">
                  <c:v>#N/A</c:v>
                </c:pt>
                <c:pt idx="2009">
                  <c:v>#N/A</c:v>
                </c:pt>
                <c:pt idx="2010">
                  <c:v>#N/A</c:v>
                </c:pt>
                <c:pt idx="2011">
                  <c:v>#N/A</c:v>
                </c:pt>
                <c:pt idx="2012">
                  <c:v>#N/A</c:v>
                </c:pt>
                <c:pt idx="2013">
                  <c:v>#N/A</c:v>
                </c:pt>
                <c:pt idx="2014">
                  <c:v>#N/A</c:v>
                </c:pt>
                <c:pt idx="2015">
                  <c:v>#N/A</c:v>
                </c:pt>
                <c:pt idx="2016">
                  <c:v>#N/A</c:v>
                </c:pt>
                <c:pt idx="2017">
                  <c:v>#N/A</c:v>
                </c:pt>
                <c:pt idx="2018">
                  <c:v>#N/A</c:v>
                </c:pt>
                <c:pt idx="2019">
                  <c:v>#N/A</c:v>
                </c:pt>
                <c:pt idx="2020">
                  <c:v>#N/A</c:v>
                </c:pt>
                <c:pt idx="2021">
                  <c:v>#N/A</c:v>
                </c:pt>
                <c:pt idx="2022">
                  <c:v>#N/A</c:v>
                </c:pt>
                <c:pt idx="2023">
                  <c:v>#N/A</c:v>
                </c:pt>
                <c:pt idx="2024">
                  <c:v>#N/A</c:v>
                </c:pt>
                <c:pt idx="2025">
                  <c:v>#N/A</c:v>
                </c:pt>
                <c:pt idx="2026">
                  <c:v>#N/A</c:v>
                </c:pt>
                <c:pt idx="2027">
                  <c:v>#N/A</c:v>
                </c:pt>
                <c:pt idx="2028">
                  <c:v>#N/A</c:v>
                </c:pt>
                <c:pt idx="2029">
                  <c:v>#N/A</c:v>
                </c:pt>
                <c:pt idx="2030">
                  <c:v>#N/A</c:v>
                </c:pt>
                <c:pt idx="2031">
                  <c:v>#N/A</c:v>
                </c:pt>
                <c:pt idx="2032">
                  <c:v>#N/A</c:v>
                </c:pt>
                <c:pt idx="2033">
                  <c:v>#N/A</c:v>
                </c:pt>
                <c:pt idx="2034">
                  <c:v>#N/A</c:v>
                </c:pt>
                <c:pt idx="2035">
                  <c:v>#N/A</c:v>
                </c:pt>
                <c:pt idx="2036">
                  <c:v>#N/A</c:v>
                </c:pt>
                <c:pt idx="2037">
                  <c:v>#N/A</c:v>
                </c:pt>
                <c:pt idx="2038">
                  <c:v>#N/A</c:v>
                </c:pt>
                <c:pt idx="2039">
                  <c:v>#N/A</c:v>
                </c:pt>
                <c:pt idx="2040">
                  <c:v>#N/A</c:v>
                </c:pt>
                <c:pt idx="2041">
                  <c:v>#N/A</c:v>
                </c:pt>
                <c:pt idx="2042">
                  <c:v>#N/A</c:v>
                </c:pt>
                <c:pt idx="2043">
                  <c:v>#N/A</c:v>
                </c:pt>
                <c:pt idx="2044">
                  <c:v>#N/A</c:v>
                </c:pt>
                <c:pt idx="2045">
                  <c:v>#N/A</c:v>
                </c:pt>
                <c:pt idx="2046">
                  <c:v>#N/A</c:v>
                </c:pt>
                <c:pt idx="2047">
                  <c:v>#N/A</c:v>
                </c:pt>
                <c:pt idx="2048">
                  <c:v>#N/A</c:v>
                </c:pt>
                <c:pt idx="2049">
                  <c:v>#N/A</c:v>
                </c:pt>
                <c:pt idx="2050">
                  <c:v>#N/A</c:v>
                </c:pt>
                <c:pt idx="2051">
                  <c:v>#N/A</c:v>
                </c:pt>
                <c:pt idx="2052">
                  <c:v>#N/A</c:v>
                </c:pt>
                <c:pt idx="2053">
                  <c:v>#N/A</c:v>
                </c:pt>
                <c:pt idx="2054">
                  <c:v>#N/A</c:v>
                </c:pt>
                <c:pt idx="2055">
                  <c:v>#N/A</c:v>
                </c:pt>
                <c:pt idx="2056">
                  <c:v>#N/A</c:v>
                </c:pt>
                <c:pt idx="2057">
                  <c:v>#N/A</c:v>
                </c:pt>
                <c:pt idx="2058">
                  <c:v>#N/A</c:v>
                </c:pt>
                <c:pt idx="2059">
                  <c:v>#N/A</c:v>
                </c:pt>
                <c:pt idx="2060">
                  <c:v>#N/A</c:v>
                </c:pt>
                <c:pt idx="2061">
                  <c:v>#N/A</c:v>
                </c:pt>
                <c:pt idx="2062">
                  <c:v>#N/A</c:v>
                </c:pt>
                <c:pt idx="2063">
                  <c:v>#N/A</c:v>
                </c:pt>
                <c:pt idx="2064">
                  <c:v>#N/A</c:v>
                </c:pt>
                <c:pt idx="2065">
                  <c:v>#N/A</c:v>
                </c:pt>
                <c:pt idx="2066">
                  <c:v>#N/A</c:v>
                </c:pt>
                <c:pt idx="2067">
                  <c:v>#N/A</c:v>
                </c:pt>
                <c:pt idx="2068">
                  <c:v>#N/A</c:v>
                </c:pt>
                <c:pt idx="2069">
                  <c:v>#N/A</c:v>
                </c:pt>
                <c:pt idx="2070">
                  <c:v>#N/A</c:v>
                </c:pt>
                <c:pt idx="2071">
                  <c:v>#N/A</c:v>
                </c:pt>
                <c:pt idx="2072">
                  <c:v>#N/A</c:v>
                </c:pt>
                <c:pt idx="2073">
                  <c:v>#N/A</c:v>
                </c:pt>
                <c:pt idx="2074">
                  <c:v>#N/A</c:v>
                </c:pt>
                <c:pt idx="2075">
                  <c:v>#N/A</c:v>
                </c:pt>
                <c:pt idx="2076">
                  <c:v>#N/A</c:v>
                </c:pt>
                <c:pt idx="2077">
                  <c:v>#N/A</c:v>
                </c:pt>
                <c:pt idx="2078">
                  <c:v>#N/A</c:v>
                </c:pt>
                <c:pt idx="2079">
                  <c:v>#N/A</c:v>
                </c:pt>
                <c:pt idx="2080">
                  <c:v>#N/A</c:v>
                </c:pt>
                <c:pt idx="2081">
                  <c:v>#N/A</c:v>
                </c:pt>
                <c:pt idx="2082">
                  <c:v>#N/A</c:v>
                </c:pt>
                <c:pt idx="2083">
                  <c:v>#N/A</c:v>
                </c:pt>
                <c:pt idx="2084">
                  <c:v>#N/A</c:v>
                </c:pt>
                <c:pt idx="2085">
                  <c:v>#N/A</c:v>
                </c:pt>
                <c:pt idx="2086">
                  <c:v>#N/A</c:v>
                </c:pt>
                <c:pt idx="2087">
                  <c:v>#N/A</c:v>
                </c:pt>
                <c:pt idx="2088">
                  <c:v>#N/A</c:v>
                </c:pt>
                <c:pt idx="2089">
                  <c:v>#N/A</c:v>
                </c:pt>
                <c:pt idx="2090">
                  <c:v>#N/A</c:v>
                </c:pt>
                <c:pt idx="2091">
                  <c:v>#N/A</c:v>
                </c:pt>
                <c:pt idx="2092">
                  <c:v>#N/A</c:v>
                </c:pt>
                <c:pt idx="2093">
                  <c:v>#N/A</c:v>
                </c:pt>
                <c:pt idx="2094">
                  <c:v>#N/A</c:v>
                </c:pt>
                <c:pt idx="2095">
                  <c:v>#N/A</c:v>
                </c:pt>
                <c:pt idx="2096">
                  <c:v>#N/A</c:v>
                </c:pt>
                <c:pt idx="2097">
                  <c:v>#N/A</c:v>
                </c:pt>
                <c:pt idx="2098">
                  <c:v>#N/A</c:v>
                </c:pt>
                <c:pt idx="2099">
                  <c:v>#N/A</c:v>
                </c:pt>
                <c:pt idx="2100">
                  <c:v>#N/A</c:v>
                </c:pt>
                <c:pt idx="2101">
                  <c:v>#N/A</c:v>
                </c:pt>
                <c:pt idx="2102">
                  <c:v>#N/A</c:v>
                </c:pt>
                <c:pt idx="2103">
                  <c:v>#N/A</c:v>
                </c:pt>
                <c:pt idx="2104">
                  <c:v>#N/A</c:v>
                </c:pt>
                <c:pt idx="2105">
                  <c:v>#N/A</c:v>
                </c:pt>
                <c:pt idx="2106">
                  <c:v>#N/A</c:v>
                </c:pt>
                <c:pt idx="2107">
                  <c:v>#N/A</c:v>
                </c:pt>
                <c:pt idx="2108">
                  <c:v>#N/A</c:v>
                </c:pt>
                <c:pt idx="2109">
                  <c:v>#N/A</c:v>
                </c:pt>
                <c:pt idx="2110">
                  <c:v>#N/A</c:v>
                </c:pt>
                <c:pt idx="2111">
                  <c:v>#N/A</c:v>
                </c:pt>
                <c:pt idx="2112">
                  <c:v>#N/A</c:v>
                </c:pt>
                <c:pt idx="2113">
                  <c:v>#N/A</c:v>
                </c:pt>
                <c:pt idx="2114">
                  <c:v>#N/A</c:v>
                </c:pt>
                <c:pt idx="2115">
                  <c:v>#N/A</c:v>
                </c:pt>
                <c:pt idx="2116">
                  <c:v>#N/A</c:v>
                </c:pt>
                <c:pt idx="2117">
                  <c:v>#N/A</c:v>
                </c:pt>
                <c:pt idx="2118">
                  <c:v>#N/A</c:v>
                </c:pt>
                <c:pt idx="2119">
                  <c:v>#N/A</c:v>
                </c:pt>
                <c:pt idx="2120">
                  <c:v>#N/A</c:v>
                </c:pt>
                <c:pt idx="2121">
                  <c:v>#N/A</c:v>
                </c:pt>
                <c:pt idx="2122">
                  <c:v>#N/A</c:v>
                </c:pt>
                <c:pt idx="2123">
                  <c:v>#N/A</c:v>
                </c:pt>
                <c:pt idx="2124">
                  <c:v>#N/A</c:v>
                </c:pt>
                <c:pt idx="2125">
                  <c:v>#N/A</c:v>
                </c:pt>
                <c:pt idx="2126">
                  <c:v>#N/A</c:v>
                </c:pt>
                <c:pt idx="2127">
                  <c:v>#N/A</c:v>
                </c:pt>
                <c:pt idx="2128">
                  <c:v>#N/A</c:v>
                </c:pt>
                <c:pt idx="2129">
                  <c:v>#N/A</c:v>
                </c:pt>
                <c:pt idx="2130">
                  <c:v>#N/A</c:v>
                </c:pt>
                <c:pt idx="2131">
                  <c:v>#N/A</c:v>
                </c:pt>
                <c:pt idx="2132">
                  <c:v>#N/A</c:v>
                </c:pt>
                <c:pt idx="2133">
                  <c:v>#N/A</c:v>
                </c:pt>
                <c:pt idx="2134">
                  <c:v>#N/A</c:v>
                </c:pt>
                <c:pt idx="2135">
                  <c:v>#N/A</c:v>
                </c:pt>
                <c:pt idx="2136">
                  <c:v>#N/A</c:v>
                </c:pt>
                <c:pt idx="2137">
                  <c:v>#N/A</c:v>
                </c:pt>
                <c:pt idx="2138">
                  <c:v>#N/A</c:v>
                </c:pt>
                <c:pt idx="2139">
                  <c:v>#N/A</c:v>
                </c:pt>
                <c:pt idx="2140">
                  <c:v>#N/A</c:v>
                </c:pt>
                <c:pt idx="2141">
                  <c:v>#N/A</c:v>
                </c:pt>
                <c:pt idx="2142">
                  <c:v>#N/A</c:v>
                </c:pt>
                <c:pt idx="2143">
                  <c:v>#N/A</c:v>
                </c:pt>
                <c:pt idx="2144">
                  <c:v>#N/A</c:v>
                </c:pt>
                <c:pt idx="2145">
                  <c:v>#N/A</c:v>
                </c:pt>
                <c:pt idx="2146">
                  <c:v>#N/A</c:v>
                </c:pt>
                <c:pt idx="2147">
                  <c:v>#N/A</c:v>
                </c:pt>
                <c:pt idx="2148">
                  <c:v>#N/A</c:v>
                </c:pt>
                <c:pt idx="2149">
                  <c:v>#N/A</c:v>
                </c:pt>
                <c:pt idx="2150">
                  <c:v>#N/A</c:v>
                </c:pt>
                <c:pt idx="2151">
                  <c:v>#N/A</c:v>
                </c:pt>
                <c:pt idx="2152">
                  <c:v>#N/A</c:v>
                </c:pt>
                <c:pt idx="2153">
                  <c:v>#N/A</c:v>
                </c:pt>
                <c:pt idx="2154">
                  <c:v>#N/A</c:v>
                </c:pt>
                <c:pt idx="2155">
                  <c:v>#N/A</c:v>
                </c:pt>
                <c:pt idx="2156">
                  <c:v>#N/A</c:v>
                </c:pt>
                <c:pt idx="2157">
                  <c:v>#N/A</c:v>
                </c:pt>
                <c:pt idx="2158">
                  <c:v>#N/A</c:v>
                </c:pt>
                <c:pt idx="2159">
                  <c:v>#N/A</c:v>
                </c:pt>
                <c:pt idx="2160">
                  <c:v>#N/A</c:v>
                </c:pt>
                <c:pt idx="2161">
                  <c:v>#N/A</c:v>
                </c:pt>
                <c:pt idx="2162">
                  <c:v>#N/A</c:v>
                </c:pt>
                <c:pt idx="2163">
                  <c:v>#N/A</c:v>
                </c:pt>
                <c:pt idx="2164">
                  <c:v>#N/A</c:v>
                </c:pt>
                <c:pt idx="2165">
                  <c:v>#N/A</c:v>
                </c:pt>
                <c:pt idx="2166">
                  <c:v>#N/A</c:v>
                </c:pt>
                <c:pt idx="2167">
                  <c:v>#N/A</c:v>
                </c:pt>
                <c:pt idx="2168">
                  <c:v>#N/A</c:v>
                </c:pt>
                <c:pt idx="2169">
                  <c:v>#N/A</c:v>
                </c:pt>
                <c:pt idx="2170">
                  <c:v>#N/A</c:v>
                </c:pt>
                <c:pt idx="2171">
                  <c:v>#N/A</c:v>
                </c:pt>
                <c:pt idx="2172">
                  <c:v>#N/A</c:v>
                </c:pt>
                <c:pt idx="2173">
                  <c:v>#N/A</c:v>
                </c:pt>
                <c:pt idx="2174">
                  <c:v>#N/A</c:v>
                </c:pt>
                <c:pt idx="2175">
                  <c:v>#N/A</c:v>
                </c:pt>
                <c:pt idx="2176">
                  <c:v>#N/A</c:v>
                </c:pt>
                <c:pt idx="2177">
                  <c:v>#N/A</c:v>
                </c:pt>
                <c:pt idx="2178">
                  <c:v>#N/A</c:v>
                </c:pt>
                <c:pt idx="2179">
                  <c:v>#N/A</c:v>
                </c:pt>
                <c:pt idx="2180">
                  <c:v>#N/A</c:v>
                </c:pt>
                <c:pt idx="2181">
                  <c:v>#N/A</c:v>
                </c:pt>
                <c:pt idx="2182">
                  <c:v>#N/A</c:v>
                </c:pt>
                <c:pt idx="2183">
                  <c:v>#N/A</c:v>
                </c:pt>
                <c:pt idx="2184">
                  <c:v>#N/A</c:v>
                </c:pt>
                <c:pt idx="2185">
                  <c:v>#N/A</c:v>
                </c:pt>
                <c:pt idx="2186">
                  <c:v>#N/A</c:v>
                </c:pt>
                <c:pt idx="2187">
                  <c:v>#N/A</c:v>
                </c:pt>
                <c:pt idx="2188">
                  <c:v>#N/A</c:v>
                </c:pt>
                <c:pt idx="2189">
                  <c:v>#N/A</c:v>
                </c:pt>
                <c:pt idx="2190">
                  <c:v>#N/A</c:v>
                </c:pt>
                <c:pt idx="2191">
                  <c:v>#N/A</c:v>
                </c:pt>
                <c:pt idx="2192">
                  <c:v>#N/A</c:v>
                </c:pt>
                <c:pt idx="2193">
                  <c:v>#N/A</c:v>
                </c:pt>
                <c:pt idx="2194">
                  <c:v>#N/A</c:v>
                </c:pt>
                <c:pt idx="2195">
                  <c:v>#N/A</c:v>
                </c:pt>
                <c:pt idx="2196">
                  <c:v>#N/A</c:v>
                </c:pt>
                <c:pt idx="2197">
                  <c:v>#N/A</c:v>
                </c:pt>
                <c:pt idx="2198">
                  <c:v>#N/A</c:v>
                </c:pt>
                <c:pt idx="2199">
                  <c:v>#N/A</c:v>
                </c:pt>
                <c:pt idx="2200">
                  <c:v>#N/A</c:v>
                </c:pt>
                <c:pt idx="2201">
                  <c:v>#N/A</c:v>
                </c:pt>
                <c:pt idx="2202">
                  <c:v>#N/A</c:v>
                </c:pt>
                <c:pt idx="2203">
                  <c:v>#N/A</c:v>
                </c:pt>
                <c:pt idx="2204">
                  <c:v>#N/A</c:v>
                </c:pt>
                <c:pt idx="2205">
                  <c:v>#N/A</c:v>
                </c:pt>
                <c:pt idx="2206">
                  <c:v>#N/A</c:v>
                </c:pt>
                <c:pt idx="2207">
                  <c:v>#N/A</c:v>
                </c:pt>
                <c:pt idx="2208">
                  <c:v>#N/A</c:v>
                </c:pt>
                <c:pt idx="2209">
                  <c:v>#N/A</c:v>
                </c:pt>
                <c:pt idx="2210">
                  <c:v>#N/A</c:v>
                </c:pt>
                <c:pt idx="2211">
                  <c:v>#N/A</c:v>
                </c:pt>
                <c:pt idx="2212">
                  <c:v>#N/A</c:v>
                </c:pt>
                <c:pt idx="2213">
                  <c:v>#N/A</c:v>
                </c:pt>
                <c:pt idx="2214">
                  <c:v>#N/A</c:v>
                </c:pt>
                <c:pt idx="2215">
                  <c:v>#N/A</c:v>
                </c:pt>
                <c:pt idx="2216">
                  <c:v>#N/A</c:v>
                </c:pt>
                <c:pt idx="2217">
                  <c:v>#N/A</c:v>
                </c:pt>
                <c:pt idx="2218">
                  <c:v>#N/A</c:v>
                </c:pt>
                <c:pt idx="2219">
                  <c:v>#N/A</c:v>
                </c:pt>
                <c:pt idx="2220">
                  <c:v>#N/A</c:v>
                </c:pt>
                <c:pt idx="2221">
                  <c:v>#N/A</c:v>
                </c:pt>
                <c:pt idx="2222">
                  <c:v>#N/A</c:v>
                </c:pt>
                <c:pt idx="2223">
                  <c:v>#N/A</c:v>
                </c:pt>
                <c:pt idx="2224">
                  <c:v>#N/A</c:v>
                </c:pt>
                <c:pt idx="2225">
                  <c:v>#N/A</c:v>
                </c:pt>
                <c:pt idx="2226">
                  <c:v>#N/A</c:v>
                </c:pt>
                <c:pt idx="2227">
                  <c:v>#N/A</c:v>
                </c:pt>
                <c:pt idx="2228">
                  <c:v>#N/A</c:v>
                </c:pt>
                <c:pt idx="2229">
                  <c:v>#N/A</c:v>
                </c:pt>
                <c:pt idx="2230">
                  <c:v>#N/A</c:v>
                </c:pt>
                <c:pt idx="2231">
                  <c:v>#N/A</c:v>
                </c:pt>
                <c:pt idx="2232">
                  <c:v>#N/A</c:v>
                </c:pt>
                <c:pt idx="2233">
                  <c:v>#N/A</c:v>
                </c:pt>
                <c:pt idx="2234">
                  <c:v>#N/A</c:v>
                </c:pt>
                <c:pt idx="2235">
                  <c:v>#N/A</c:v>
                </c:pt>
                <c:pt idx="2236">
                  <c:v>#N/A</c:v>
                </c:pt>
                <c:pt idx="2237">
                  <c:v>#N/A</c:v>
                </c:pt>
                <c:pt idx="2238">
                  <c:v>#N/A</c:v>
                </c:pt>
                <c:pt idx="2239">
                  <c:v>#N/A</c:v>
                </c:pt>
                <c:pt idx="2240">
                  <c:v>#N/A</c:v>
                </c:pt>
                <c:pt idx="2241">
                  <c:v>#N/A</c:v>
                </c:pt>
                <c:pt idx="2242">
                  <c:v>#N/A</c:v>
                </c:pt>
                <c:pt idx="2243">
                  <c:v>#N/A</c:v>
                </c:pt>
                <c:pt idx="2244">
                  <c:v>#N/A</c:v>
                </c:pt>
                <c:pt idx="2245">
                  <c:v>#N/A</c:v>
                </c:pt>
                <c:pt idx="2246">
                  <c:v>#N/A</c:v>
                </c:pt>
                <c:pt idx="2247">
                  <c:v>#N/A</c:v>
                </c:pt>
                <c:pt idx="2248">
                  <c:v>#N/A</c:v>
                </c:pt>
                <c:pt idx="2249">
                  <c:v>#N/A</c:v>
                </c:pt>
                <c:pt idx="2250">
                  <c:v>#N/A</c:v>
                </c:pt>
                <c:pt idx="2251">
                  <c:v>#N/A</c:v>
                </c:pt>
                <c:pt idx="2252">
                  <c:v>#N/A</c:v>
                </c:pt>
                <c:pt idx="2253">
                  <c:v>#N/A</c:v>
                </c:pt>
                <c:pt idx="2254">
                  <c:v>#N/A</c:v>
                </c:pt>
                <c:pt idx="2255">
                  <c:v>#N/A</c:v>
                </c:pt>
                <c:pt idx="2256">
                  <c:v>#N/A</c:v>
                </c:pt>
                <c:pt idx="2257">
                  <c:v>#N/A</c:v>
                </c:pt>
                <c:pt idx="2258">
                  <c:v>#N/A</c:v>
                </c:pt>
                <c:pt idx="2259">
                  <c:v>#N/A</c:v>
                </c:pt>
                <c:pt idx="2260">
                  <c:v>#N/A</c:v>
                </c:pt>
                <c:pt idx="2261">
                  <c:v>#N/A</c:v>
                </c:pt>
                <c:pt idx="2262">
                  <c:v>#N/A</c:v>
                </c:pt>
                <c:pt idx="2263">
                  <c:v>#N/A</c:v>
                </c:pt>
                <c:pt idx="2264">
                  <c:v>#N/A</c:v>
                </c:pt>
                <c:pt idx="2265">
                  <c:v>#N/A</c:v>
                </c:pt>
                <c:pt idx="2266">
                  <c:v>#N/A</c:v>
                </c:pt>
                <c:pt idx="2267">
                  <c:v>#N/A</c:v>
                </c:pt>
                <c:pt idx="2268">
                  <c:v>#N/A</c:v>
                </c:pt>
                <c:pt idx="2269">
                  <c:v>#N/A</c:v>
                </c:pt>
                <c:pt idx="2270">
                  <c:v>#N/A</c:v>
                </c:pt>
                <c:pt idx="2271">
                  <c:v>#N/A</c:v>
                </c:pt>
                <c:pt idx="2272">
                  <c:v>#N/A</c:v>
                </c:pt>
                <c:pt idx="2273">
                  <c:v>#N/A</c:v>
                </c:pt>
                <c:pt idx="2274">
                  <c:v>#N/A</c:v>
                </c:pt>
                <c:pt idx="2275">
                  <c:v>#N/A</c:v>
                </c:pt>
                <c:pt idx="2276">
                  <c:v>#N/A</c:v>
                </c:pt>
                <c:pt idx="2277">
                  <c:v>#N/A</c:v>
                </c:pt>
                <c:pt idx="2278">
                  <c:v>#N/A</c:v>
                </c:pt>
                <c:pt idx="2279">
                  <c:v>#N/A</c:v>
                </c:pt>
                <c:pt idx="2280">
                  <c:v>#N/A</c:v>
                </c:pt>
                <c:pt idx="2281">
                  <c:v>#N/A</c:v>
                </c:pt>
                <c:pt idx="2282">
                  <c:v>#N/A</c:v>
                </c:pt>
                <c:pt idx="2283">
                  <c:v>#N/A</c:v>
                </c:pt>
                <c:pt idx="2284">
                  <c:v>#N/A</c:v>
                </c:pt>
                <c:pt idx="2285">
                  <c:v>#N/A</c:v>
                </c:pt>
                <c:pt idx="2286">
                  <c:v>#N/A</c:v>
                </c:pt>
                <c:pt idx="2287">
                  <c:v>#N/A</c:v>
                </c:pt>
                <c:pt idx="2288">
                  <c:v>#N/A</c:v>
                </c:pt>
              </c:numCache>
            </c:numRef>
          </c:xVal>
          <c:yVal>
            <c:numRef>
              <c:f>gráficos!$B$7:$B$2295</c:f>
              <c:numCache>
                <c:formatCode>General</c:formatCode>
                <c:ptCount val="2289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  <c:pt idx="698">
                  <c:v>#N/A</c:v>
                </c:pt>
                <c:pt idx="699">
                  <c:v>#N/A</c:v>
                </c:pt>
                <c:pt idx="700">
                  <c:v>#N/A</c:v>
                </c:pt>
                <c:pt idx="701">
                  <c:v>#N/A</c:v>
                </c:pt>
                <c:pt idx="702">
                  <c:v>#N/A</c:v>
                </c:pt>
                <c:pt idx="703">
                  <c:v>#N/A</c:v>
                </c:pt>
                <c:pt idx="704">
                  <c:v>#N/A</c:v>
                </c:pt>
                <c:pt idx="705">
                  <c:v>#N/A</c:v>
                </c:pt>
                <c:pt idx="706">
                  <c:v>#N/A</c:v>
                </c:pt>
                <c:pt idx="707">
                  <c:v>#N/A</c:v>
                </c:pt>
                <c:pt idx="708">
                  <c:v>#N/A</c:v>
                </c:pt>
                <c:pt idx="709">
                  <c:v>#N/A</c:v>
                </c:pt>
                <c:pt idx="710">
                  <c:v>#N/A</c:v>
                </c:pt>
                <c:pt idx="711">
                  <c:v>#N/A</c:v>
                </c:pt>
                <c:pt idx="712">
                  <c:v>#N/A</c:v>
                </c:pt>
                <c:pt idx="713">
                  <c:v>#N/A</c:v>
                </c:pt>
                <c:pt idx="714">
                  <c:v>#N/A</c:v>
                </c:pt>
                <c:pt idx="715">
                  <c:v>#N/A</c:v>
                </c:pt>
                <c:pt idx="716">
                  <c:v>#N/A</c:v>
                </c:pt>
                <c:pt idx="717">
                  <c:v>#N/A</c:v>
                </c:pt>
                <c:pt idx="718">
                  <c:v>#N/A</c:v>
                </c:pt>
                <c:pt idx="719">
                  <c:v>#N/A</c:v>
                </c:pt>
                <c:pt idx="720">
                  <c:v>#N/A</c:v>
                </c:pt>
                <c:pt idx="721">
                  <c:v>#N/A</c:v>
                </c:pt>
                <c:pt idx="722">
                  <c:v>#N/A</c:v>
                </c:pt>
                <c:pt idx="723">
                  <c:v>#N/A</c:v>
                </c:pt>
                <c:pt idx="724">
                  <c:v>#N/A</c:v>
                </c:pt>
                <c:pt idx="725">
                  <c:v>#N/A</c:v>
                </c:pt>
                <c:pt idx="726">
                  <c:v>#N/A</c:v>
                </c:pt>
                <c:pt idx="727">
                  <c:v>#N/A</c:v>
                </c:pt>
                <c:pt idx="728">
                  <c:v>#N/A</c:v>
                </c:pt>
                <c:pt idx="729">
                  <c:v>#N/A</c:v>
                </c:pt>
                <c:pt idx="730">
                  <c:v>#N/A</c:v>
                </c:pt>
                <c:pt idx="731">
                  <c:v>#N/A</c:v>
                </c:pt>
                <c:pt idx="732">
                  <c:v>#N/A</c:v>
                </c:pt>
                <c:pt idx="733">
                  <c:v>#N/A</c:v>
                </c:pt>
                <c:pt idx="734">
                  <c:v>#N/A</c:v>
                </c:pt>
                <c:pt idx="735">
                  <c:v>#N/A</c:v>
                </c:pt>
                <c:pt idx="736">
                  <c:v>#N/A</c:v>
                </c:pt>
                <c:pt idx="737">
                  <c:v>#N/A</c:v>
                </c:pt>
                <c:pt idx="738">
                  <c:v>#N/A</c:v>
                </c:pt>
                <c:pt idx="739">
                  <c:v>#N/A</c:v>
                </c:pt>
                <c:pt idx="740">
                  <c:v>#N/A</c:v>
                </c:pt>
                <c:pt idx="741">
                  <c:v>#N/A</c:v>
                </c:pt>
                <c:pt idx="742">
                  <c:v>#N/A</c:v>
                </c:pt>
                <c:pt idx="743">
                  <c:v>#N/A</c:v>
                </c:pt>
                <c:pt idx="744">
                  <c:v>#N/A</c:v>
                </c:pt>
                <c:pt idx="745">
                  <c:v>#N/A</c:v>
                </c:pt>
                <c:pt idx="746">
                  <c:v>#N/A</c:v>
                </c:pt>
                <c:pt idx="747">
                  <c:v>#N/A</c:v>
                </c:pt>
                <c:pt idx="748">
                  <c:v>#N/A</c:v>
                </c:pt>
                <c:pt idx="749">
                  <c:v>#N/A</c:v>
                </c:pt>
                <c:pt idx="750">
                  <c:v>#N/A</c:v>
                </c:pt>
                <c:pt idx="751">
                  <c:v>#N/A</c:v>
                </c:pt>
                <c:pt idx="752">
                  <c:v>#N/A</c:v>
                </c:pt>
                <c:pt idx="753">
                  <c:v>#N/A</c:v>
                </c:pt>
                <c:pt idx="754">
                  <c:v>#N/A</c:v>
                </c:pt>
                <c:pt idx="755">
                  <c:v>#N/A</c:v>
                </c:pt>
                <c:pt idx="756">
                  <c:v>#N/A</c:v>
                </c:pt>
                <c:pt idx="757">
                  <c:v>#N/A</c:v>
                </c:pt>
                <c:pt idx="758">
                  <c:v>#N/A</c:v>
                </c:pt>
                <c:pt idx="759">
                  <c:v>#N/A</c:v>
                </c:pt>
                <c:pt idx="760">
                  <c:v>#N/A</c:v>
                </c:pt>
                <c:pt idx="761">
                  <c:v>#N/A</c:v>
                </c:pt>
                <c:pt idx="762">
                  <c:v>#N/A</c:v>
                </c:pt>
                <c:pt idx="763">
                  <c:v>#N/A</c:v>
                </c:pt>
                <c:pt idx="764">
                  <c:v>#N/A</c:v>
                </c:pt>
                <c:pt idx="765">
                  <c:v>#N/A</c:v>
                </c:pt>
                <c:pt idx="766">
                  <c:v>#N/A</c:v>
                </c:pt>
                <c:pt idx="767">
                  <c:v>#N/A</c:v>
                </c:pt>
                <c:pt idx="768">
                  <c:v>#N/A</c:v>
                </c:pt>
                <c:pt idx="769">
                  <c:v>#N/A</c:v>
                </c:pt>
                <c:pt idx="770">
                  <c:v>#N/A</c:v>
                </c:pt>
                <c:pt idx="771">
                  <c:v>#N/A</c:v>
                </c:pt>
                <c:pt idx="772">
                  <c:v>#N/A</c:v>
                </c:pt>
                <c:pt idx="773">
                  <c:v>#N/A</c:v>
                </c:pt>
                <c:pt idx="774">
                  <c:v>#N/A</c:v>
                </c:pt>
                <c:pt idx="775">
                  <c:v>#N/A</c:v>
                </c:pt>
                <c:pt idx="776">
                  <c:v>#N/A</c:v>
                </c:pt>
                <c:pt idx="777">
                  <c:v>#N/A</c:v>
                </c:pt>
                <c:pt idx="778">
                  <c:v>#N/A</c:v>
                </c:pt>
                <c:pt idx="779">
                  <c:v>#N/A</c:v>
                </c:pt>
                <c:pt idx="780">
                  <c:v>#N/A</c:v>
                </c:pt>
                <c:pt idx="781">
                  <c:v>#N/A</c:v>
                </c:pt>
                <c:pt idx="782">
                  <c:v>#N/A</c:v>
                </c:pt>
                <c:pt idx="783">
                  <c:v>#N/A</c:v>
                </c:pt>
                <c:pt idx="784">
                  <c:v>#N/A</c:v>
                </c:pt>
                <c:pt idx="785">
                  <c:v>#N/A</c:v>
                </c:pt>
                <c:pt idx="786">
                  <c:v>#N/A</c:v>
                </c:pt>
                <c:pt idx="787">
                  <c:v>#N/A</c:v>
                </c:pt>
                <c:pt idx="788">
                  <c:v>#N/A</c:v>
                </c:pt>
                <c:pt idx="789">
                  <c:v>#N/A</c:v>
                </c:pt>
                <c:pt idx="790">
                  <c:v>#N/A</c:v>
                </c:pt>
                <c:pt idx="791">
                  <c:v>#N/A</c:v>
                </c:pt>
                <c:pt idx="792">
                  <c:v>#N/A</c:v>
                </c:pt>
                <c:pt idx="793">
                  <c:v>#N/A</c:v>
                </c:pt>
                <c:pt idx="794">
                  <c:v>#N/A</c:v>
                </c:pt>
                <c:pt idx="795">
                  <c:v>#N/A</c:v>
                </c:pt>
                <c:pt idx="796">
                  <c:v>#N/A</c:v>
                </c:pt>
                <c:pt idx="797">
                  <c:v>#N/A</c:v>
                </c:pt>
                <c:pt idx="798">
                  <c:v>#N/A</c:v>
                </c:pt>
                <c:pt idx="799">
                  <c:v>#N/A</c:v>
                </c:pt>
                <c:pt idx="800">
                  <c:v>#N/A</c:v>
                </c:pt>
                <c:pt idx="801">
                  <c:v>#N/A</c:v>
                </c:pt>
                <c:pt idx="802">
                  <c:v>#N/A</c:v>
                </c:pt>
                <c:pt idx="803">
                  <c:v>#N/A</c:v>
                </c:pt>
                <c:pt idx="804">
                  <c:v>#N/A</c:v>
                </c:pt>
                <c:pt idx="805">
                  <c:v>#N/A</c:v>
                </c:pt>
                <c:pt idx="806">
                  <c:v>#N/A</c:v>
                </c:pt>
                <c:pt idx="807">
                  <c:v>#N/A</c:v>
                </c:pt>
                <c:pt idx="808">
                  <c:v>#N/A</c:v>
                </c:pt>
                <c:pt idx="809">
                  <c:v>#N/A</c:v>
                </c:pt>
                <c:pt idx="810">
                  <c:v>#N/A</c:v>
                </c:pt>
                <c:pt idx="811">
                  <c:v>#N/A</c:v>
                </c:pt>
                <c:pt idx="812">
                  <c:v>#N/A</c:v>
                </c:pt>
                <c:pt idx="813">
                  <c:v>#N/A</c:v>
                </c:pt>
                <c:pt idx="814">
                  <c:v>#N/A</c:v>
                </c:pt>
                <c:pt idx="815">
                  <c:v>#N/A</c:v>
                </c:pt>
                <c:pt idx="816">
                  <c:v>#N/A</c:v>
                </c:pt>
                <c:pt idx="817">
                  <c:v>#N/A</c:v>
                </c:pt>
                <c:pt idx="818">
                  <c:v>#N/A</c:v>
                </c:pt>
                <c:pt idx="819">
                  <c:v>#N/A</c:v>
                </c:pt>
                <c:pt idx="820">
                  <c:v>#N/A</c:v>
                </c:pt>
                <c:pt idx="821">
                  <c:v>#N/A</c:v>
                </c:pt>
                <c:pt idx="822">
                  <c:v>#N/A</c:v>
                </c:pt>
                <c:pt idx="823">
                  <c:v>#N/A</c:v>
                </c:pt>
                <c:pt idx="824">
                  <c:v>#N/A</c:v>
                </c:pt>
                <c:pt idx="825">
                  <c:v>#N/A</c:v>
                </c:pt>
                <c:pt idx="826">
                  <c:v>#N/A</c:v>
                </c:pt>
                <c:pt idx="827">
                  <c:v>#N/A</c:v>
                </c:pt>
                <c:pt idx="828">
                  <c:v>#N/A</c:v>
                </c:pt>
                <c:pt idx="829">
                  <c:v>#N/A</c:v>
                </c:pt>
                <c:pt idx="830">
                  <c:v>#N/A</c:v>
                </c:pt>
                <c:pt idx="831">
                  <c:v>#N/A</c:v>
                </c:pt>
                <c:pt idx="832">
                  <c:v>#N/A</c:v>
                </c:pt>
                <c:pt idx="833">
                  <c:v>#N/A</c:v>
                </c:pt>
                <c:pt idx="834">
                  <c:v>#N/A</c:v>
                </c:pt>
                <c:pt idx="835">
                  <c:v>#N/A</c:v>
                </c:pt>
                <c:pt idx="836">
                  <c:v>#N/A</c:v>
                </c:pt>
                <c:pt idx="837">
                  <c:v>#N/A</c:v>
                </c:pt>
                <c:pt idx="838">
                  <c:v>#N/A</c:v>
                </c:pt>
                <c:pt idx="839">
                  <c:v>#N/A</c:v>
                </c:pt>
                <c:pt idx="840">
                  <c:v>#N/A</c:v>
                </c:pt>
                <c:pt idx="841">
                  <c:v>#N/A</c:v>
                </c:pt>
                <c:pt idx="842">
                  <c:v>#N/A</c:v>
                </c:pt>
                <c:pt idx="843">
                  <c:v>#N/A</c:v>
                </c:pt>
                <c:pt idx="844">
                  <c:v>#N/A</c:v>
                </c:pt>
                <c:pt idx="845">
                  <c:v>#N/A</c:v>
                </c:pt>
                <c:pt idx="846">
                  <c:v>#N/A</c:v>
                </c:pt>
                <c:pt idx="847">
                  <c:v>#N/A</c:v>
                </c:pt>
                <c:pt idx="848">
                  <c:v>#N/A</c:v>
                </c:pt>
                <c:pt idx="849">
                  <c:v>#N/A</c:v>
                </c:pt>
                <c:pt idx="850">
                  <c:v>#N/A</c:v>
                </c:pt>
                <c:pt idx="851">
                  <c:v>#N/A</c:v>
                </c:pt>
                <c:pt idx="852">
                  <c:v>#N/A</c:v>
                </c:pt>
                <c:pt idx="853">
                  <c:v>#N/A</c:v>
                </c:pt>
                <c:pt idx="854">
                  <c:v>#N/A</c:v>
                </c:pt>
                <c:pt idx="855">
                  <c:v>#N/A</c:v>
                </c:pt>
                <c:pt idx="856">
                  <c:v>#N/A</c:v>
                </c:pt>
                <c:pt idx="857">
                  <c:v>#N/A</c:v>
                </c:pt>
                <c:pt idx="858">
                  <c:v>#N/A</c:v>
                </c:pt>
                <c:pt idx="859">
                  <c:v>#N/A</c:v>
                </c:pt>
                <c:pt idx="860">
                  <c:v>#N/A</c:v>
                </c:pt>
                <c:pt idx="861">
                  <c:v>#N/A</c:v>
                </c:pt>
                <c:pt idx="862">
                  <c:v>#N/A</c:v>
                </c:pt>
                <c:pt idx="863">
                  <c:v>#N/A</c:v>
                </c:pt>
                <c:pt idx="864">
                  <c:v>#N/A</c:v>
                </c:pt>
                <c:pt idx="865">
                  <c:v>#N/A</c:v>
                </c:pt>
                <c:pt idx="866">
                  <c:v>#N/A</c:v>
                </c:pt>
                <c:pt idx="867">
                  <c:v>#N/A</c:v>
                </c:pt>
                <c:pt idx="868">
                  <c:v>#N/A</c:v>
                </c:pt>
                <c:pt idx="869">
                  <c:v>#N/A</c:v>
                </c:pt>
                <c:pt idx="870">
                  <c:v>#N/A</c:v>
                </c:pt>
                <c:pt idx="871">
                  <c:v>#N/A</c:v>
                </c:pt>
                <c:pt idx="872">
                  <c:v>#N/A</c:v>
                </c:pt>
                <c:pt idx="873">
                  <c:v>#N/A</c:v>
                </c:pt>
                <c:pt idx="874">
                  <c:v>#N/A</c:v>
                </c:pt>
                <c:pt idx="875">
                  <c:v>#N/A</c:v>
                </c:pt>
                <c:pt idx="876">
                  <c:v>#N/A</c:v>
                </c:pt>
                <c:pt idx="877">
                  <c:v>#N/A</c:v>
                </c:pt>
                <c:pt idx="878">
                  <c:v>#N/A</c:v>
                </c:pt>
                <c:pt idx="879">
                  <c:v>#N/A</c:v>
                </c:pt>
                <c:pt idx="880">
                  <c:v>#N/A</c:v>
                </c:pt>
                <c:pt idx="881">
                  <c:v>#N/A</c:v>
                </c:pt>
                <c:pt idx="882">
                  <c:v>#N/A</c:v>
                </c:pt>
                <c:pt idx="883">
                  <c:v>#N/A</c:v>
                </c:pt>
                <c:pt idx="884">
                  <c:v>#N/A</c:v>
                </c:pt>
                <c:pt idx="885">
                  <c:v>#N/A</c:v>
                </c:pt>
                <c:pt idx="886">
                  <c:v>#N/A</c:v>
                </c:pt>
                <c:pt idx="887">
                  <c:v>#N/A</c:v>
                </c:pt>
                <c:pt idx="888">
                  <c:v>#N/A</c:v>
                </c:pt>
                <c:pt idx="889">
                  <c:v>#N/A</c:v>
                </c:pt>
                <c:pt idx="890">
                  <c:v>#N/A</c:v>
                </c:pt>
                <c:pt idx="891">
                  <c:v>#N/A</c:v>
                </c:pt>
                <c:pt idx="892">
                  <c:v>#N/A</c:v>
                </c:pt>
                <c:pt idx="893">
                  <c:v>#N/A</c:v>
                </c:pt>
                <c:pt idx="894">
                  <c:v>#N/A</c:v>
                </c:pt>
                <c:pt idx="895">
                  <c:v>#N/A</c:v>
                </c:pt>
                <c:pt idx="896">
                  <c:v>#N/A</c:v>
                </c:pt>
                <c:pt idx="897">
                  <c:v>#N/A</c:v>
                </c:pt>
                <c:pt idx="898">
                  <c:v>#N/A</c:v>
                </c:pt>
                <c:pt idx="899">
                  <c:v>#N/A</c:v>
                </c:pt>
                <c:pt idx="900">
                  <c:v>#N/A</c:v>
                </c:pt>
                <c:pt idx="901">
                  <c:v>#N/A</c:v>
                </c:pt>
                <c:pt idx="902">
                  <c:v>#N/A</c:v>
                </c:pt>
                <c:pt idx="903">
                  <c:v>#N/A</c:v>
                </c:pt>
                <c:pt idx="904">
                  <c:v>#N/A</c:v>
                </c:pt>
                <c:pt idx="905">
                  <c:v>#N/A</c:v>
                </c:pt>
                <c:pt idx="906">
                  <c:v>#N/A</c:v>
                </c:pt>
                <c:pt idx="907">
                  <c:v>#N/A</c:v>
                </c:pt>
                <c:pt idx="908">
                  <c:v>#N/A</c:v>
                </c:pt>
                <c:pt idx="909">
                  <c:v>#N/A</c:v>
                </c:pt>
                <c:pt idx="910">
                  <c:v>#N/A</c:v>
                </c:pt>
                <c:pt idx="911">
                  <c:v>#N/A</c:v>
                </c:pt>
                <c:pt idx="912">
                  <c:v>#N/A</c:v>
                </c:pt>
                <c:pt idx="913">
                  <c:v>#N/A</c:v>
                </c:pt>
                <c:pt idx="914">
                  <c:v>#N/A</c:v>
                </c:pt>
                <c:pt idx="915">
                  <c:v>#N/A</c:v>
                </c:pt>
                <c:pt idx="916">
                  <c:v>#N/A</c:v>
                </c:pt>
                <c:pt idx="917">
                  <c:v>#N/A</c:v>
                </c:pt>
                <c:pt idx="918">
                  <c:v>#N/A</c:v>
                </c:pt>
                <c:pt idx="919">
                  <c:v>#N/A</c:v>
                </c:pt>
                <c:pt idx="920">
                  <c:v>#N/A</c:v>
                </c:pt>
                <c:pt idx="921">
                  <c:v>#N/A</c:v>
                </c:pt>
                <c:pt idx="922">
                  <c:v>#N/A</c:v>
                </c:pt>
                <c:pt idx="923">
                  <c:v>#N/A</c:v>
                </c:pt>
                <c:pt idx="924">
                  <c:v>#N/A</c:v>
                </c:pt>
                <c:pt idx="925">
                  <c:v>#N/A</c:v>
                </c:pt>
                <c:pt idx="926">
                  <c:v>#N/A</c:v>
                </c:pt>
                <c:pt idx="927">
                  <c:v>#N/A</c:v>
                </c:pt>
                <c:pt idx="928">
                  <c:v>#N/A</c:v>
                </c:pt>
                <c:pt idx="929">
                  <c:v>#N/A</c:v>
                </c:pt>
                <c:pt idx="930">
                  <c:v>#N/A</c:v>
                </c:pt>
                <c:pt idx="931">
                  <c:v>#N/A</c:v>
                </c:pt>
                <c:pt idx="932">
                  <c:v>#N/A</c:v>
                </c:pt>
                <c:pt idx="933">
                  <c:v>#N/A</c:v>
                </c:pt>
                <c:pt idx="934">
                  <c:v>#N/A</c:v>
                </c:pt>
                <c:pt idx="935">
                  <c:v>#N/A</c:v>
                </c:pt>
                <c:pt idx="936">
                  <c:v>#N/A</c:v>
                </c:pt>
                <c:pt idx="937">
                  <c:v>#N/A</c:v>
                </c:pt>
                <c:pt idx="938">
                  <c:v>#N/A</c:v>
                </c:pt>
                <c:pt idx="939">
                  <c:v>#N/A</c:v>
                </c:pt>
                <c:pt idx="940">
                  <c:v>#N/A</c:v>
                </c:pt>
                <c:pt idx="941">
                  <c:v>#N/A</c:v>
                </c:pt>
                <c:pt idx="942">
                  <c:v>#N/A</c:v>
                </c:pt>
                <c:pt idx="943">
                  <c:v>#N/A</c:v>
                </c:pt>
                <c:pt idx="944">
                  <c:v>#N/A</c:v>
                </c:pt>
                <c:pt idx="945">
                  <c:v>#N/A</c:v>
                </c:pt>
                <c:pt idx="946">
                  <c:v>#N/A</c:v>
                </c:pt>
                <c:pt idx="947">
                  <c:v>#N/A</c:v>
                </c:pt>
                <c:pt idx="948">
                  <c:v>#N/A</c:v>
                </c:pt>
                <c:pt idx="949">
                  <c:v>#N/A</c:v>
                </c:pt>
                <c:pt idx="950">
                  <c:v>#N/A</c:v>
                </c:pt>
                <c:pt idx="951">
                  <c:v>#N/A</c:v>
                </c:pt>
                <c:pt idx="952">
                  <c:v>#N/A</c:v>
                </c:pt>
                <c:pt idx="953">
                  <c:v>#N/A</c:v>
                </c:pt>
                <c:pt idx="954">
                  <c:v>#N/A</c:v>
                </c:pt>
                <c:pt idx="955">
                  <c:v>#N/A</c:v>
                </c:pt>
                <c:pt idx="956">
                  <c:v>#N/A</c:v>
                </c:pt>
                <c:pt idx="957">
                  <c:v>#N/A</c:v>
                </c:pt>
                <c:pt idx="958">
                  <c:v>#N/A</c:v>
                </c:pt>
                <c:pt idx="959">
                  <c:v>#N/A</c:v>
                </c:pt>
                <c:pt idx="960">
                  <c:v>#N/A</c:v>
                </c:pt>
                <c:pt idx="961">
                  <c:v>#N/A</c:v>
                </c:pt>
                <c:pt idx="962">
                  <c:v>#N/A</c:v>
                </c:pt>
                <c:pt idx="963">
                  <c:v>#N/A</c:v>
                </c:pt>
                <c:pt idx="964">
                  <c:v>#N/A</c:v>
                </c:pt>
                <c:pt idx="965">
                  <c:v>#N/A</c:v>
                </c:pt>
                <c:pt idx="966">
                  <c:v>#N/A</c:v>
                </c:pt>
                <c:pt idx="967">
                  <c:v>#N/A</c:v>
                </c:pt>
                <c:pt idx="968">
                  <c:v>#N/A</c:v>
                </c:pt>
                <c:pt idx="969">
                  <c:v>#N/A</c:v>
                </c:pt>
                <c:pt idx="970">
                  <c:v>#N/A</c:v>
                </c:pt>
                <c:pt idx="971">
                  <c:v>#N/A</c:v>
                </c:pt>
                <c:pt idx="972">
                  <c:v>#N/A</c:v>
                </c:pt>
                <c:pt idx="973">
                  <c:v>#N/A</c:v>
                </c:pt>
                <c:pt idx="974">
                  <c:v>#N/A</c:v>
                </c:pt>
                <c:pt idx="975">
                  <c:v>#N/A</c:v>
                </c:pt>
                <c:pt idx="976">
                  <c:v>#N/A</c:v>
                </c:pt>
                <c:pt idx="977">
                  <c:v>#N/A</c:v>
                </c:pt>
                <c:pt idx="978">
                  <c:v>#N/A</c:v>
                </c:pt>
                <c:pt idx="979">
                  <c:v>#N/A</c:v>
                </c:pt>
                <c:pt idx="980">
                  <c:v>#N/A</c:v>
                </c:pt>
                <c:pt idx="981">
                  <c:v>#N/A</c:v>
                </c:pt>
                <c:pt idx="982">
                  <c:v>#N/A</c:v>
                </c:pt>
                <c:pt idx="983">
                  <c:v>#N/A</c:v>
                </c:pt>
                <c:pt idx="984">
                  <c:v>#N/A</c:v>
                </c:pt>
                <c:pt idx="985">
                  <c:v>#N/A</c:v>
                </c:pt>
                <c:pt idx="986">
                  <c:v>#N/A</c:v>
                </c:pt>
                <c:pt idx="987">
                  <c:v>#N/A</c:v>
                </c:pt>
                <c:pt idx="988">
                  <c:v>#N/A</c:v>
                </c:pt>
                <c:pt idx="989">
                  <c:v>#N/A</c:v>
                </c:pt>
                <c:pt idx="990">
                  <c:v>#N/A</c:v>
                </c:pt>
                <c:pt idx="991">
                  <c:v>#N/A</c:v>
                </c:pt>
                <c:pt idx="992">
                  <c:v>#N/A</c:v>
                </c:pt>
                <c:pt idx="993">
                  <c:v>#N/A</c:v>
                </c:pt>
                <c:pt idx="994">
                  <c:v>#N/A</c:v>
                </c:pt>
                <c:pt idx="995">
                  <c:v>#N/A</c:v>
                </c:pt>
                <c:pt idx="996">
                  <c:v>#N/A</c:v>
                </c:pt>
                <c:pt idx="997">
                  <c:v>#N/A</c:v>
                </c:pt>
                <c:pt idx="998">
                  <c:v>#N/A</c:v>
                </c:pt>
                <c:pt idx="999">
                  <c:v>#N/A</c:v>
                </c:pt>
                <c:pt idx="1000">
                  <c:v>#N/A</c:v>
                </c:pt>
                <c:pt idx="1001">
                  <c:v>#N/A</c:v>
                </c:pt>
                <c:pt idx="1002">
                  <c:v>#N/A</c:v>
                </c:pt>
                <c:pt idx="1003">
                  <c:v>#N/A</c:v>
                </c:pt>
                <c:pt idx="1004">
                  <c:v>#N/A</c:v>
                </c:pt>
                <c:pt idx="1005">
                  <c:v>#N/A</c:v>
                </c:pt>
                <c:pt idx="1006">
                  <c:v>#N/A</c:v>
                </c:pt>
                <c:pt idx="1007">
                  <c:v>#N/A</c:v>
                </c:pt>
                <c:pt idx="1008">
                  <c:v>#N/A</c:v>
                </c:pt>
                <c:pt idx="1009">
                  <c:v>#N/A</c:v>
                </c:pt>
                <c:pt idx="1010">
                  <c:v>#N/A</c:v>
                </c:pt>
                <c:pt idx="1011">
                  <c:v>#N/A</c:v>
                </c:pt>
                <c:pt idx="1012">
                  <c:v>#N/A</c:v>
                </c:pt>
                <c:pt idx="1013">
                  <c:v>#N/A</c:v>
                </c:pt>
                <c:pt idx="1014">
                  <c:v>#N/A</c:v>
                </c:pt>
                <c:pt idx="1015">
                  <c:v>#N/A</c:v>
                </c:pt>
                <c:pt idx="1016">
                  <c:v>#N/A</c:v>
                </c:pt>
                <c:pt idx="1017">
                  <c:v>#N/A</c:v>
                </c:pt>
                <c:pt idx="1018">
                  <c:v>#N/A</c:v>
                </c:pt>
                <c:pt idx="1019">
                  <c:v>#N/A</c:v>
                </c:pt>
                <c:pt idx="1020">
                  <c:v>#N/A</c:v>
                </c:pt>
                <c:pt idx="1021">
                  <c:v>#N/A</c:v>
                </c:pt>
                <c:pt idx="1022">
                  <c:v>#N/A</c:v>
                </c:pt>
                <c:pt idx="1023">
                  <c:v>#N/A</c:v>
                </c:pt>
                <c:pt idx="1024">
                  <c:v>#N/A</c:v>
                </c:pt>
                <c:pt idx="1025">
                  <c:v>#N/A</c:v>
                </c:pt>
                <c:pt idx="1026">
                  <c:v>#N/A</c:v>
                </c:pt>
                <c:pt idx="1027">
                  <c:v>#N/A</c:v>
                </c:pt>
                <c:pt idx="1028">
                  <c:v>#N/A</c:v>
                </c:pt>
                <c:pt idx="1029">
                  <c:v>#N/A</c:v>
                </c:pt>
                <c:pt idx="1030">
                  <c:v>#N/A</c:v>
                </c:pt>
                <c:pt idx="1031">
                  <c:v>#N/A</c:v>
                </c:pt>
                <c:pt idx="1032">
                  <c:v>#N/A</c:v>
                </c:pt>
                <c:pt idx="1033">
                  <c:v>#N/A</c:v>
                </c:pt>
                <c:pt idx="1034">
                  <c:v>#N/A</c:v>
                </c:pt>
                <c:pt idx="1035">
                  <c:v>#N/A</c:v>
                </c:pt>
                <c:pt idx="1036">
                  <c:v>#N/A</c:v>
                </c:pt>
                <c:pt idx="1037">
                  <c:v>#N/A</c:v>
                </c:pt>
                <c:pt idx="1038">
                  <c:v>#N/A</c:v>
                </c:pt>
                <c:pt idx="1039">
                  <c:v>#N/A</c:v>
                </c:pt>
                <c:pt idx="1040">
                  <c:v>#N/A</c:v>
                </c:pt>
                <c:pt idx="1041">
                  <c:v>#N/A</c:v>
                </c:pt>
                <c:pt idx="1042">
                  <c:v>#N/A</c:v>
                </c:pt>
                <c:pt idx="1043">
                  <c:v>#N/A</c:v>
                </c:pt>
                <c:pt idx="1044">
                  <c:v>#N/A</c:v>
                </c:pt>
                <c:pt idx="1045">
                  <c:v>#N/A</c:v>
                </c:pt>
                <c:pt idx="1046">
                  <c:v>#N/A</c:v>
                </c:pt>
                <c:pt idx="1047">
                  <c:v>#N/A</c:v>
                </c:pt>
                <c:pt idx="1048">
                  <c:v>#N/A</c:v>
                </c:pt>
                <c:pt idx="1049">
                  <c:v>#N/A</c:v>
                </c:pt>
                <c:pt idx="1050">
                  <c:v>#N/A</c:v>
                </c:pt>
                <c:pt idx="1051">
                  <c:v>#N/A</c:v>
                </c:pt>
                <c:pt idx="1052">
                  <c:v>#N/A</c:v>
                </c:pt>
                <c:pt idx="1053">
                  <c:v>#N/A</c:v>
                </c:pt>
                <c:pt idx="1054">
                  <c:v>#N/A</c:v>
                </c:pt>
                <c:pt idx="1055">
                  <c:v>#N/A</c:v>
                </c:pt>
                <c:pt idx="1056">
                  <c:v>#N/A</c:v>
                </c:pt>
                <c:pt idx="1057">
                  <c:v>#N/A</c:v>
                </c:pt>
                <c:pt idx="1058">
                  <c:v>#N/A</c:v>
                </c:pt>
                <c:pt idx="1059">
                  <c:v>#N/A</c:v>
                </c:pt>
                <c:pt idx="1060">
                  <c:v>#N/A</c:v>
                </c:pt>
                <c:pt idx="1061">
                  <c:v>#N/A</c:v>
                </c:pt>
                <c:pt idx="1062">
                  <c:v>#N/A</c:v>
                </c:pt>
                <c:pt idx="1063">
                  <c:v>#N/A</c:v>
                </c:pt>
                <c:pt idx="1064">
                  <c:v>#N/A</c:v>
                </c:pt>
                <c:pt idx="1065">
                  <c:v>#N/A</c:v>
                </c:pt>
                <c:pt idx="1066">
                  <c:v>#N/A</c:v>
                </c:pt>
                <c:pt idx="1067">
                  <c:v>#N/A</c:v>
                </c:pt>
                <c:pt idx="1068">
                  <c:v>#N/A</c:v>
                </c:pt>
                <c:pt idx="1069">
                  <c:v>#N/A</c:v>
                </c:pt>
                <c:pt idx="1070">
                  <c:v>#N/A</c:v>
                </c:pt>
                <c:pt idx="1071">
                  <c:v>#N/A</c:v>
                </c:pt>
                <c:pt idx="1072">
                  <c:v>#N/A</c:v>
                </c:pt>
                <c:pt idx="1073">
                  <c:v>#N/A</c:v>
                </c:pt>
                <c:pt idx="1074">
                  <c:v>#N/A</c:v>
                </c:pt>
                <c:pt idx="1075">
                  <c:v>#N/A</c:v>
                </c:pt>
                <c:pt idx="1076">
                  <c:v>#N/A</c:v>
                </c:pt>
                <c:pt idx="1077">
                  <c:v>#N/A</c:v>
                </c:pt>
                <c:pt idx="1078">
                  <c:v>#N/A</c:v>
                </c:pt>
                <c:pt idx="1079">
                  <c:v>#N/A</c:v>
                </c:pt>
                <c:pt idx="1080">
                  <c:v>#N/A</c:v>
                </c:pt>
                <c:pt idx="1081">
                  <c:v>#N/A</c:v>
                </c:pt>
                <c:pt idx="1082">
                  <c:v>#N/A</c:v>
                </c:pt>
                <c:pt idx="1083">
                  <c:v>#N/A</c:v>
                </c:pt>
                <c:pt idx="1084">
                  <c:v>#N/A</c:v>
                </c:pt>
                <c:pt idx="1085">
                  <c:v>#N/A</c:v>
                </c:pt>
                <c:pt idx="1086">
                  <c:v>#N/A</c:v>
                </c:pt>
                <c:pt idx="1087">
                  <c:v>#N/A</c:v>
                </c:pt>
                <c:pt idx="1088">
                  <c:v>#N/A</c:v>
                </c:pt>
                <c:pt idx="1089">
                  <c:v>#N/A</c:v>
                </c:pt>
                <c:pt idx="1090">
                  <c:v>#N/A</c:v>
                </c:pt>
                <c:pt idx="1091">
                  <c:v>#N/A</c:v>
                </c:pt>
                <c:pt idx="1092">
                  <c:v>#N/A</c:v>
                </c:pt>
                <c:pt idx="1093">
                  <c:v>#N/A</c:v>
                </c:pt>
                <c:pt idx="1094">
                  <c:v>#N/A</c:v>
                </c:pt>
                <c:pt idx="1095">
                  <c:v>#N/A</c:v>
                </c:pt>
                <c:pt idx="1096">
                  <c:v>#N/A</c:v>
                </c:pt>
                <c:pt idx="1097">
                  <c:v>#N/A</c:v>
                </c:pt>
                <c:pt idx="1098">
                  <c:v>#N/A</c:v>
                </c:pt>
                <c:pt idx="1099">
                  <c:v>#N/A</c:v>
                </c:pt>
                <c:pt idx="1100">
                  <c:v>#N/A</c:v>
                </c:pt>
                <c:pt idx="1101">
                  <c:v>#N/A</c:v>
                </c:pt>
                <c:pt idx="1102">
                  <c:v>#N/A</c:v>
                </c:pt>
                <c:pt idx="1103">
                  <c:v>#N/A</c:v>
                </c:pt>
                <c:pt idx="1104">
                  <c:v>#N/A</c:v>
                </c:pt>
                <c:pt idx="1105">
                  <c:v>#N/A</c:v>
                </c:pt>
                <c:pt idx="1106">
                  <c:v>#N/A</c:v>
                </c:pt>
                <c:pt idx="1107">
                  <c:v>#N/A</c:v>
                </c:pt>
                <c:pt idx="1108">
                  <c:v>#N/A</c:v>
                </c:pt>
                <c:pt idx="1109">
                  <c:v>#N/A</c:v>
                </c:pt>
                <c:pt idx="1110">
                  <c:v>#N/A</c:v>
                </c:pt>
                <c:pt idx="1111">
                  <c:v>#N/A</c:v>
                </c:pt>
                <c:pt idx="1112">
                  <c:v>#N/A</c:v>
                </c:pt>
                <c:pt idx="1113">
                  <c:v>#N/A</c:v>
                </c:pt>
                <c:pt idx="1114">
                  <c:v>#N/A</c:v>
                </c:pt>
                <c:pt idx="1115">
                  <c:v>#N/A</c:v>
                </c:pt>
                <c:pt idx="1116">
                  <c:v>#N/A</c:v>
                </c:pt>
                <c:pt idx="1117">
                  <c:v>#N/A</c:v>
                </c:pt>
                <c:pt idx="1118">
                  <c:v>#N/A</c:v>
                </c:pt>
                <c:pt idx="1119">
                  <c:v>#N/A</c:v>
                </c:pt>
                <c:pt idx="1120">
                  <c:v>#N/A</c:v>
                </c:pt>
                <c:pt idx="1121">
                  <c:v>#N/A</c:v>
                </c:pt>
                <c:pt idx="1122">
                  <c:v>#N/A</c:v>
                </c:pt>
                <c:pt idx="1123">
                  <c:v>#N/A</c:v>
                </c:pt>
                <c:pt idx="1124">
                  <c:v>#N/A</c:v>
                </c:pt>
                <c:pt idx="1125">
                  <c:v>#N/A</c:v>
                </c:pt>
                <c:pt idx="1126">
                  <c:v>#N/A</c:v>
                </c:pt>
                <c:pt idx="1127">
                  <c:v>#N/A</c:v>
                </c:pt>
                <c:pt idx="1128">
                  <c:v>#N/A</c:v>
                </c:pt>
                <c:pt idx="1129">
                  <c:v>#N/A</c:v>
                </c:pt>
                <c:pt idx="1130">
                  <c:v>#N/A</c:v>
                </c:pt>
                <c:pt idx="1131">
                  <c:v>#N/A</c:v>
                </c:pt>
                <c:pt idx="1132">
                  <c:v>#N/A</c:v>
                </c:pt>
                <c:pt idx="1133">
                  <c:v>#N/A</c:v>
                </c:pt>
                <c:pt idx="1134">
                  <c:v>#N/A</c:v>
                </c:pt>
                <c:pt idx="1135">
                  <c:v>#N/A</c:v>
                </c:pt>
                <c:pt idx="1136">
                  <c:v>#N/A</c:v>
                </c:pt>
                <c:pt idx="1137">
                  <c:v>#N/A</c:v>
                </c:pt>
                <c:pt idx="1138">
                  <c:v>#N/A</c:v>
                </c:pt>
                <c:pt idx="1139">
                  <c:v>#N/A</c:v>
                </c:pt>
                <c:pt idx="1140">
                  <c:v>#N/A</c:v>
                </c:pt>
                <c:pt idx="1141">
                  <c:v>#N/A</c:v>
                </c:pt>
                <c:pt idx="1142">
                  <c:v>#N/A</c:v>
                </c:pt>
                <c:pt idx="1143">
                  <c:v>#N/A</c:v>
                </c:pt>
                <c:pt idx="1144">
                  <c:v>#N/A</c:v>
                </c:pt>
                <c:pt idx="1145">
                  <c:v>#N/A</c:v>
                </c:pt>
                <c:pt idx="1146">
                  <c:v>#N/A</c:v>
                </c:pt>
                <c:pt idx="1147">
                  <c:v>#N/A</c:v>
                </c:pt>
                <c:pt idx="1148">
                  <c:v>#N/A</c:v>
                </c:pt>
                <c:pt idx="1149">
                  <c:v>#N/A</c:v>
                </c:pt>
                <c:pt idx="1150">
                  <c:v>#N/A</c:v>
                </c:pt>
                <c:pt idx="1151">
                  <c:v>#N/A</c:v>
                </c:pt>
                <c:pt idx="1152">
                  <c:v>#N/A</c:v>
                </c:pt>
                <c:pt idx="1153">
                  <c:v>#N/A</c:v>
                </c:pt>
                <c:pt idx="1154">
                  <c:v>#N/A</c:v>
                </c:pt>
                <c:pt idx="1155">
                  <c:v>#N/A</c:v>
                </c:pt>
                <c:pt idx="1156">
                  <c:v>#N/A</c:v>
                </c:pt>
                <c:pt idx="1157">
                  <c:v>#N/A</c:v>
                </c:pt>
                <c:pt idx="1158">
                  <c:v>#N/A</c:v>
                </c:pt>
                <c:pt idx="1159">
                  <c:v>#N/A</c:v>
                </c:pt>
                <c:pt idx="1160">
                  <c:v>#N/A</c:v>
                </c:pt>
                <c:pt idx="1161">
                  <c:v>#N/A</c:v>
                </c:pt>
                <c:pt idx="1162">
                  <c:v>#N/A</c:v>
                </c:pt>
                <c:pt idx="1163">
                  <c:v>#N/A</c:v>
                </c:pt>
                <c:pt idx="1164">
                  <c:v>#N/A</c:v>
                </c:pt>
                <c:pt idx="1165">
                  <c:v>#N/A</c:v>
                </c:pt>
                <c:pt idx="1166">
                  <c:v>#N/A</c:v>
                </c:pt>
                <c:pt idx="1167">
                  <c:v>#N/A</c:v>
                </c:pt>
                <c:pt idx="1168">
                  <c:v>#N/A</c:v>
                </c:pt>
                <c:pt idx="1169">
                  <c:v>#N/A</c:v>
                </c:pt>
                <c:pt idx="1170">
                  <c:v>#N/A</c:v>
                </c:pt>
                <c:pt idx="1171">
                  <c:v>#N/A</c:v>
                </c:pt>
                <c:pt idx="1172">
                  <c:v>#N/A</c:v>
                </c:pt>
                <c:pt idx="1173">
                  <c:v>#N/A</c:v>
                </c:pt>
                <c:pt idx="1174">
                  <c:v>#N/A</c:v>
                </c:pt>
                <c:pt idx="1175">
                  <c:v>#N/A</c:v>
                </c:pt>
                <c:pt idx="1176">
                  <c:v>#N/A</c:v>
                </c:pt>
                <c:pt idx="1177">
                  <c:v>#N/A</c:v>
                </c:pt>
                <c:pt idx="1178">
                  <c:v>#N/A</c:v>
                </c:pt>
                <c:pt idx="1179">
                  <c:v>#N/A</c:v>
                </c:pt>
                <c:pt idx="1180">
                  <c:v>#N/A</c:v>
                </c:pt>
                <c:pt idx="1181">
                  <c:v>#N/A</c:v>
                </c:pt>
                <c:pt idx="1182">
                  <c:v>#N/A</c:v>
                </c:pt>
                <c:pt idx="1183">
                  <c:v>#N/A</c:v>
                </c:pt>
                <c:pt idx="1184">
                  <c:v>#N/A</c:v>
                </c:pt>
                <c:pt idx="1185">
                  <c:v>#N/A</c:v>
                </c:pt>
                <c:pt idx="1186">
                  <c:v>#N/A</c:v>
                </c:pt>
                <c:pt idx="1187">
                  <c:v>#N/A</c:v>
                </c:pt>
                <c:pt idx="1188">
                  <c:v>#N/A</c:v>
                </c:pt>
                <c:pt idx="1189">
                  <c:v>#N/A</c:v>
                </c:pt>
                <c:pt idx="1190">
                  <c:v>#N/A</c:v>
                </c:pt>
                <c:pt idx="1191">
                  <c:v>#N/A</c:v>
                </c:pt>
                <c:pt idx="1192">
                  <c:v>#N/A</c:v>
                </c:pt>
                <c:pt idx="1193">
                  <c:v>#N/A</c:v>
                </c:pt>
                <c:pt idx="1194">
                  <c:v>#N/A</c:v>
                </c:pt>
                <c:pt idx="1195">
                  <c:v>#N/A</c:v>
                </c:pt>
                <c:pt idx="1196">
                  <c:v>#N/A</c:v>
                </c:pt>
                <c:pt idx="1197">
                  <c:v>#N/A</c:v>
                </c:pt>
                <c:pt idx="1198">
                  <c:v>#N/A</c:v>
                </c:pt>
                <c:pt idx="1199">
                  <c:v>#N/A</c:v>
                </c:pt>
                <c:pt idx="1200">
                  <c:v>#N/A</c:v>
                </c:pt>
                <c:pt idx="1201">
                  <c:v>#N/A</c:v>
                </c:pt>
                <c:pt idx="1202">
                  <c:v>#N/A</c:v>
                </c:pt>
                <c:pt idx="1203">
                  <c:v>#N/A</c:v>
                </c:pt>
                <c:pt idx="1204">
                  <c:v>#N/A</c:v>
                </c:pt>
                <c:pt idx="1205">
                  <c:v>#N/A</c:v>
                </c:pt>
                <c:pt idx="1206">
                  <c:v>#N/A</c:v>
                </c:pt>
                <c:pt idx="1207">
                  <c:v>#N/A</c:v>
                </c:pt>
                <c:pt idx="1208">
                  <c:v>#N/A</c:v>
                </c:pt>
                <c:pt idx="1209">
                  <c:v>#N/A</c:v>
                </c:pt>
                <c:pt idx="1210">
                  <c:v>#N/A</c:v>
                </c:pt>
                <c:pt idx="1211">
                  <c:v>#N/A</c:v>
                </c:pt>
                <c:pt idx="1212">
                  <c:v>#N/A</c:v>
                </c:pt>
                <c:pt idx="1213">
                  <c:v>#N/A</c:v>
                </c:pt>
                <c:pt idx="1214">
                  <c:v>#N/A</c:v>
                </c:pt>
                <c:pt idx="1215">
                  <c:v>#N/A</c:v>
                </c:pt>
                <c:pt idx="1216">
                  <c:v>#N/A</c:v>
                </c:pt>
                <c:pt idx="1217">
                  <c:v>#N/A</c:v>
                </c:pt>
                <c:pt idx="1218">
                  <c:v>#N/A</c:v>
                </c:pt>
                <c:pt idx="1219">
                  <c:v>#N/A</c:v>
                </c:pt>
                <c:pt idx="1220">
                  <c:v>#N/A</c:v>
                </c:pt>
                <c:pt idx="1221">
                  <c:v>#N/A</c:v>
                </c:pt>
                <c:pt idx="1222">
                  <c:v>#N/A</c:v>
                </c:pt>
                <c:pt idx="1223">
                  <c:v>#N/A</c:v>
                </c:pt>
                <c:pt idx="1224">
                  <c:v>#N/A</c:v>
                </c:pt>
                <c:pt idx="1225">
                  <c:v>#N/A</c:v>
                </c:pt>
                <c:pt idx="1226">
                  <c:v>#N/A</c:v>
                </c:pt>
                <c:pt idx="1227">
                  <c:v>#N/A</c:v>
                </c:pt>
                <c:pt idx="1228">
                  <c:v>#N/A</c:v>
                </c:pt>
                <c:pt idx="1229">
                  <c:v>#N/A</c:v>
                </c:pt>
                <c:pt idx="1230">
                  <c:v>#N/A</c:v>
                </c:pt>
                <c:pt idx="1231">
                  <c:v>#N/A</c:v>
                </c:pt>
                <c:pt idx="1232">
                  <c:v>#N/A</c:v>
                </c:pt>
                <c:pt idx="1233">
                  <c:v>#N/A</c:v>
                </c:pt>
                <c:pt idx="1234">
                  <c:v>#N/A</c:v>
                </c:pt>
                <c:pt idx="1235">
                  <c:v>#N/A</c:v>
                </c:pt>
                <c:pt idx="1236">
                  <c:v>#N/A</c:v>
                </c:pt>
                <c:pt idx="1237">
                  <c:v>#N/A</c:v>
                </c:pt>
                <c:pt idx="1238">
                  <c:v>#N/A</c:v>
                </c:pt>
                <c:pt idx="1239">
                  <c:v>#N/A</c:v>
                </c:pt>
                <c:pt idx="1240">
                  <c:v>#N/A</c:v>
                </c:pt>
                <c:pt idx="1241">
                  <c:v>#N/A</c:v>
                </c:pt>
                <c:pt idx="1242">
                  <c:v>#N/A</c:v>
                </c:pt>
                <c:pt idx="1243">
                  <c:v>#N/A</c:v>
                </c:pt>
                <c:pt idx="1244">
                  <c:v>#N/A</c:v>
                </c:pt>
                <c:pt idx="1245">
                  <c:v>#N/A</c:v>
                </c:pt>
                <c:pt idx="1246">
                  <c:v>#N/A</c:v>
                </c:pt>
                <c:pt idx="1247">
                  <c:v>#N/A</c:v>
                </c:pt>
                <c:pt idx="1248">
                  <c:v>#N/A</c:v>
                </c:pt>
                <c:pt idx="1249">
                  <c:v>#N/A</c:v>
                </c:pt>
                <c:pt idx="1250">
                  <c:v>#N/A</c:v>
                </c:pt>
                <c:pt idx="1251">
                  <c:v>#N/A</c:v>
                </c:pt>
                <c:pt idx="1252">
                  <c:v>#N/A</c:v>
                </c:pt>
                <c:pt idx="1253">
                  <c:v>#N/A</c:v>
                </c:pt>
                <c:pt idx="1254">
                  <c:v>#N/A</c:v>
                </c:pt>
                <c:pt idx="1255">
                  <c:v>#N/A</c:v>
                </c:pt>
                <c:pt idx="1256">
                  <c:v>#N/A</c:v>
                </c:pt>
                <c:pt idx="1257">
                  <c:v>#N/A</c:v>
                </c:pt>
                <c:pt idx="1258">
                  <c:v>#N/A</c:v>
                </c:pt>
                <c:pt idx="1259">
                  <c:v>#N/A</c:v>
                </c:pt>
                <c:pt idx="1260">
                  <c:v>#N/A</c:v>
                </c:pt>
                <c:pt idx="1261">
                  <c:v>#N/A</c:v>
                </c:pt>
                <c:pt idx="1262">
                  <c:v>#N/A</c:v>
                </c:pt>
                <c:pt idx="1263">
                  <c:v>#N/A</c:v>
                </c:pt>
                <c:pt idx="1264">
                  <c:v>#N/A</c:v>
                </c:pt>
                <c:pt idx="1265">
                  <c:v>#N/A</c:v>
                </c:pt>
                <c:pt idx="1266">
                  <c:v>#N/A</c:v>
                </c:pt>
                <c:pt idx="1267">
                  <c:v>#N/A</c:v>
                </c:pt>
                <c:pt idx="1268">
                  <c:v>#N/A</c:v>
                </c:pt>
                <c:pt idx="1269">
                  <c:v>#N/A</c:v>
                </c:pt>
                <c:pt idx="1270">
                  <c:v>#N/A</c:v>
                </c:pt>
                <c:pt idx="1271">
                  <c:v>#N/A</c:v>
                </c:pt>
                <c:pt idx="1272">
                  <c:v>#N/A</c:v>
                </c:pt>
                <c:pt idx="1273">
                  <c:v>#N/A</c:v>
                </c:pt>
                <c:pt idx="1274">
                  <c:v>#N/A</c:v>
                </c:pt>
                <c:pt idx="1275">
                  <c:v>#N/A</c:v>
                </c:pt>
                <c:pt idx="1276">
                  <c:v>#N/A</c:v>
                </c:pt>
                <c:pt idx="1277">
                  <c:v>#N/A</c:v>
                </c:pt>
                <c:pt idx="1278">
                  <c:v>#N/A</c:v>
                </c:pt>
                <c:pt idx="1279">
                  <c:v>#N/A</c:v>
                </c:pt>
                <c:pt idx="1280">
                  <c:v>#N/A</c:v>
                </c:pt>
                <c:pt idx="1281">
                  <c:v>#N/A</c:v>
                </c:pt>
                <c:pt idx="1282">
                  <c:v>#N/A</c:v>
                </c:pt>
                <c:pt idx="1283">
                  <c:v>#N/A</c:v>
                </c:pt>
                <c:pt idx="1284">
                  <c:v>#N/A</c:v>
                </c:pt>
                <c:pt idx="1285">
                  <c:v>#N/A</c:v>
                </c:pt>
                <c:pt idx="1286">
                  <c:v>#N/A</c:v>
                </c:pt>
                <c:pt idx="1287">
                  <c:v>#N/A</c:v>
                </c:pt>
                <c:pt idx="1288">
                  <c:v>#N/A</c:v>
                </c:pt>
                <c:pt idx="1289">
                  <c:v>#N/A</c:v>
                </c:pt>
                <c:pt idx="1290">
                  <c:v>#N/A</c:v>
                </c:pt>
                <c:pt idx="1291">
                  <c:v>#N/A</c:v>
                </c:pt>
                <c:pt idx="1292">
                  <c:v>#N/A</c:v>
                </c:pt>
                <c:pt idx="1293">
                  <c:v>#N/A</c:v>
                </c:pt>
                <c:pt idx="1294">
                  <c:v>#N/A</c:v>
                </c:pt>
                <c:pt idx="1295">
                  <c:v>#N/A</c:v>
                </c:pt>
                <c:pt idx="1296">
                  <c:v>#N/A</c:v>
                </c:pt>
                <c:pt idx="1297">
                  <c:v>#N/A</c:v>
                </c:pt>
                <c:pt idx="1298">
                  <c:v>#N/A</c:v>
                </c:pt>
                <c:pt idx="1299">
                  <c:v>#N/A</c:v>
                </c:pt>
                <c:pt idx="1300">
                  <c:v>#N/A</c:v>
                </c:pt>
                <c:pt idx="1301">
                  <c:v>#N/A</c:v>
                </c:pt>
                <c:pt idx="1302">
                  <c:v>#N/A</c:v>
                </c:pt>
                <c:pt idx="1303">
                  <c:v>#N/A</c:v>
                </c:pt>
                <c:pt idx="1304">
                  <c:v>#N/A</c:v>
                </c:pt>
                <c:pt idx="1305">
                  <c:v>#N/A</c:v>
                </c:pt>
                <c:pt idx="1306">
                  <c:v>#N/A</c:v>
                </c:pt>
                <c:pt idx="1307">
                  <c:v>#N/A</c:v>
                </c:pt>
                <c:pt idx="1308">
                  <c:v>#N/A</c:v>
                </c:pt>
                <c:pt idx="1309">
                  <c:v>#N/A</c:v>
                </c:pt>
                <c:pt idx="1310">
                  <c:v>#N/A</c:v>
                </c:pt>
                <c:pt idx="1311">
                  <c:v>#N/A</c:v>
                </c:pt>
                <c:pt idx="1312">
                  <c:v>#N/A</c:v>
                </c:pt>
                <c:pt idx="1313">
                  <c:v>#N/A</c:v>
                </c:pt>
                <c:pt idx="1314">
                  <c:v>#N/A</c:v>
                </c:pt>
                <c:pt idx="1315">
                  <c:v>#N/A</c:v>
                </c:pt>
                <c:pt idx="1316">
                  <c:v>#N/A</c:v>
                </c:pt>
                <c:pt idx="1317">
                  <c:v>#N/A</c:v>
                </c:pt>
                <c:pt idx="1318">
                  <c:v>#N/A</c:v>
                </c:pt>
                <c:pt idx="1319">
                  <c:v>#N/A</c:v>
                </c:pt>
                <c:pt idx="1320">
                  <c:v>#N/A</c:v>
                </c:pt>
                <c:pt idx="1321">
                  <c:v>#N/A</c:v>
                </c:pt>
                <c:pt idx="1322">
                  <c:v>#N/A</c:v>
                </c:pt>
                <c:pt idx="1323">
                  <c:v>#N/A</c:v>
                </c:pt>
                <c:pt idx="1324">
                  <c:v>#N/A</c:v>
                </c:pt>
                <c:pt idx="1325">
                  <c:v>#N/A</c:v>
                </c:pt>
                <c:pt idx="1326">
                  <c:v>#N/A</c:v>
                </c:pt>
                <c:pt idx="1327">
                  <c:v>#N/A</c:v>
                </c:pt>
                <c:pt idx="1328">
                  <c:v>#N/A</c:v>
                </c:pt>
                <c:pt idx="1329">
                  <c:v>#N/A</c:v>
                </c:pt>
                <c:pt idx="1330">
                  <c:v>#N/A</c:v>
                </c:pt>
                <c:pt idx="1331">
                  <c:v>#N/A</c:v>
                </c:pt>
                <c:pt idx="1332">
                  <c:v>#N/A</c:v>
                </c:pt>
                <c:pt idx="1333">
                  <c:v>#N/A</c:v>
                </c:pt>
                <c:pt idx="1334">
                  <c:v>#N/A</c:v>
                </c:pt>
                <c:pt idx="1335">
                  <c:v>#N/A</c:v>
                </c:pt>
                <c:pt idx="1336">
                  <c:v>#N/A</c:v>
                </c:pt>
                <c:pt idx="1337">
                  <c:v>#N/A</c:v>
                </c:pt>
                <c:pt idx="1338">
                  <c:v>#N/A</c:v>
                </c:pt>
                <c:pt idx="1339">
                  <c:v>#N/A</c:v>
                </c:pt>
                <c:pt idx="1340">
                  <c:v>#N/A</c:v>
                </c:pt>
                <c:pt idx="1341">
                  <c:v>#N/A</c:v>
                </c:pt>
                <c:pt idx="1342">
                  <c:v>#N/A</c:v>
                </c:pt>
                <c:pt idx="1343">
                  <c:v>#N/A</c:v>
                </c:pt>
                <c:pt idx="1344">
                  <c:v>#N/A</c:v>
                </c:pt>
                <c:pt idx="1345">
                  <c:v>#N/A</c:v>
                </c:pt>
                <c:pt idx="1346">
                  <c:v>#N/A</c:v>
                </c:pt>
                <c:pt idx="1347">
                  <c:v>#N/A</c:v>
                </c:pt>
                <c:pt idx="1348">
                  <c:v>#N/A</c:v>
                </c:pt>
                <c:pt idx="1349">
                  <c:v>#N/A</c:v>
                </c:pt>
                <c:pt idx="1350">
                  <c:v>#N/A</c:v>
                </c:pt>
                <c:pt idx="1351">
                  <c:v>#N/A</c:v>
                </c:pt>
                <c:pt idx="1352">
                  <c:v>#N/A</c:v>
                </c:pt>
                <c:pt idx="1353">
                  <c:v>#N/A</c:v>
                </c:pt>
                <c:pt idx="1354">
                  <c:v>#N/A</c:v>
                </c:pt>
                <c:pt idx="1355">
                  <c:v>#N/A</c:v>
                </c:pt>
                <c:pt idx="1356">
                  <c:v>#N/A</c:v>
                </c:pt>
                <c:pt idx="1357">
                  <c:v>#N/A</c:v>
                </c:pt>
                <c:pt idx="1358">
                  <c:v>#N/A</c:v>
                </c:pt>
                <c:pt idx="1359">
                  <c:v>#N/A</c:v>
                </c:pt>
                <c:pt idx="1360">
                  <c:v>#N/A</c:v>
                </c:pt>
                <c:pt idx="1361">
                  <c:v>#N/A</c:v>
                </c:pt>
                <c:pt idx="1362">
                  <c:v>#N/A</c:v>
                </c:pt>
                <c:pt idx="1363">
                  <c:v>#N/A</c:v>
                </c:pt>
                <c:pt idx="1364">
                  <c:v>#N/A</c:v>
                </c:pt>
                <c:pt idx="1365">
                  <c:v>#N/A</c:v>
                </c:pt>
                <c:pt idx="1366">
                  <c:v>#N/A</c:v>
                </c:pt>
                <c:pt idx="1367">
                  <c:v>#N/A</c:v>
                </c:pt>
                <c:pt idx="1368">
                  <c:v>#N/A</c:v>
                </c:pt>
                <c:pt idx="1369">
                  <c:v>#N/A</c:v>
                </c:pt>
                <c:pt idx="1370">
                  <c:v>#N/A</c:v>
                </c:pt>
                <c:pt idx="1371">
                  <c:v>#N/A</c:v>
                </c:pt>
                <c:pt idx="1372">
                  <c:v>#N/A</c:v>
                </c:pt>
                <c:pt idx="1373">
                  <c:v>#N/A</c:v>
                </c:pt>
                <c:pt idx="1374">
                  <c:v>#N/A</c:v>
                </c:pt>
                <c:pt idx="1375">
                  <c:v>#N/A</c:v>
                </c:pt>
                <c:pt idx="1376">
                  <c:v>#N/A</c:v>
                </c:pt>
                <c:pt idx="1377">
                  <c:v>#N/A</c:v>
                </c:pt>
                <c:pt idx="1378">
                  <c:v>#N/A</c:v>
                </c:pt>
                <c:pt idx="1379">
                  <c:v>#N/A</c:v>
                </c:pt>
                <c:pt idx="1380">
                  <c:v>#N/A</c:v>
                </c:pt>
                <c:pt idx="1381">
                  <c:v>#N/A</c:v>
                </c:pt>
                <c:pt idx="1382">
                  <c:v>#N/A</c:v>
                </c:pt>
                <c:pt idx="1383">
                  <c:v>#N/A</c:v>
                </c:pt>
                <c:pt idx="1384">
                  <c:v>#N/A</c:v>
                </c:pt>
                <c:pt idx="1385">
                  <c:v>#N/A</c:v>
                </c:pt>
                <c:pt idx="1386">
                  <c:v>#N/A</c:v>
                </c:pt>
                <c:pt idx="1387">
                  <c:v>#N/A</c:v>
                </c:pt>
                <c:pt idx="1388">
                  <c:v>#N/A</c:v>
                </c:pt>
                <c:pt idx="1389">
                  <c:v>#N/A</c:v>
                </c:pt>
                <c:pt idx="1390">
                  <c:v>#N/A</c:v>
                </c:pt>
                <c:pt idx="1391">
                  <c:v>#N/A</c:v>
                </c:pt>
                <c:pt idx="1392">
                  <c:v>#N/A</c:v>
                </c:pt>
                <c:pt idx="1393">
                  <c:v>#N/A</c:v>
                </c:pt>
                <c:pt idx="1394">
                  <c:v>#N/A</c:v>
                </c:pt>
                <c:pt idx="1395">
                  <c:v>#N/A</c:v>
                </c:pt>
                <c:pt idx="1396">
                  <c:v>#N/A</c:v>
                </c:pt>
                <c:pt idx="1397">
                  <c:v>#N/A</c:v>
                </c:pt>
                <c:pt idx="1398">
                  <c:v>#N/A</c:v>
                </c:pt>
                <c:pt idx="1399">
                  <c:v>#N/A</c:v>
                </c:pt>
                <c:pt idx="1400">
                  <c:v>#N/A</c:v>
                </c:pt>
                <c:pt idx="1401">
                  <c:v>#N/A</c:v>
                </c:pt>
                <c:pt idx="1402">
                  <c:v>#N/A</c:v>
                </c:pt>
                <c:pt idx="1403">
                  <c:v>#N/A</c:v>
                </c:pt>
                <c:pt idx="1404">
                  <c:v>#N/A</c:v>
                </c:pt>
                <c:pt idx="1405">
                  <c:v>#N/A</c:v>
                </c:pt>
                <c:pt idx="1406">
                  <c:v>#N/A</c:v>
                </c:pt>
                <c:pt idx="1407">
                  <c:v>#N/A</c:v>
                </c:pt>
                <c:pt idx="1408">
                  <c:v>#N/A</c:v>
                </c:pt>
                <c:pt idx="1409">
                  <c:v>#N/A</c:v>
                </c:pt>
                <c:pt idx="1410">
                  <c:v>#N/A</c:v>
                </c:pt>
                <c:pt idx="1411">
                  <c:v>#N/A</c:v>
                </c:pt>
                <c:pt idx="1412">
                  <c:v>#N/A</c:v>
                </c:pt>
                <c:pt idx="1413">
                  <c:v>#N/A</c:v>
                </c:pt>
                <c:pt idx="1414">
                  <c:v>#N/A</c:v>
                </c:pt>
                <c:pt idx="1415">
                  <c:v>#N/A</c:v>
                </c:pt>
                <c:pt idx="1416">
                  <c:v>#N/A</c:v>
                </c:pt>
                <c:pt idx="1417">
                  <c:v>#N/A</c:v>
                </c:pt>
                <c:pt idx="1418">
                  <c:v>#N/A</c:v>
                </c:pt>
                <c:pt idx="1419">
                  <c:v>#N/A</c:v>
                </c:pt>
                <c:pt idx="1420">
                  <c:v>#N/A</c:v>
                </c:pt>
                <c:pt idx="1421">
                  <c:v>#N/A</c:v>
                </c:pt>
                <c:pt idx="1422">
                  <c:v>#N/A</c:v>
                </c:pt>
                <c:pt idx="1423">
                  <c:v>#N/A</c:v>
                </c:pt>
                <c:pt idx="1424">
                  <c:v>#N/A</c:v>
                </c:pt>
                <c:pt idx="1425">
                  <c:v>#N/A</c:v>
                </c:pt>
                <c:pt idx="1426">
                  <c:v>#N/A</c:v>
                </c:pt>
                <c:pt idx="1427">
                  <c:v>#N/A</c:v>
                </c:pt>
                <c:pt idx="1428">
                  <c:v>#N/A</c:v>
                </c:pt>
                <c:pt idx="1429">
                  <c:v>#N/A</c:v>
                </c:pt>
                <c:pt idx="1430">
                  <c:v>#N/A</c:v>
                </c:pt>
                <c:pt idx="1431">
                  <c:v>#N/A</c:v>
                </c:pt>
                <c:pt idx="1432">
                  <c:v>#N/A</c:v>
                </c:pt>
                <c:pt idx="1433">
                  <c:v>#N/A</c:v>
                </c:pt>
                <c:pt idx="1434">
                  <c:v>#N/A</c:v>
                </c:pt>
                <c:pt idx="1435">
                  <c:v>#N/A</c:v>
                </c:pt>
                <c:pt idx="1436">
                  <c:v>#N/A</c:v>
                </c:pt>
                <c:pt idx="1437">
                  <c:v>#N/A</c:v>
                </c:pt>
                <c:pt idx="1438">
                  <c:v>#N/A</c:v>
                </c:pt>
                <c:pt idx="1439">
                  <c:v>#N/A</c:v>
                </c:pt>
                <c:pt idx="1440">
                  <c:v>#N/A</c:v>
                </c:pt>
                <c:pt idx="1441">
                  <c:v>#N/A</c:v>
                </c:pt>
                <c:pt idx="1442">
                  <c:v>#N/A</c:v>
                </c:pt>
                <c:pt idx="1443">
                  <c:v>#N/A</c:v>
                </c:pt>
                <c:pt idx="1444">
                  <c:v>#N/A</c:v>
                </c:pt>
                <c:pt idx="1445">
                  <c:v>#N/A</c:v>
                </c:pt>
                <c:pt idx="1446">
                  <c:v>#N/A</c:v>
                </c:pt>
                <c:pt idx="1447">
                  <c:v>#N/A</c:v>
                </c:pt>
                <c:pt idx="1448">
                  <c:v>#N/A</c:v>
                </c:pt>
                <c:pt idx="1449">
                  <c:v>#N/A</c:v>
                </c:pt>
                <c:pt idx="1450">
                  <c:v>#N/A</c:v>
                </c:pt>
                <c:pt idx="1451">
                  <c:v>#N/A</c:v>
                </c:pt>
                <c:pt idx="1452">
                  <c:v>#N/A</c:v>
                </c:pt>
                <c:pt idx="1453">
                  <c:v>#N/A</c:v>
                </c:pt>
                <c:pt idx="1454">
                  <c:v>#N/A</c:v>
                </c:pt>
                <c:pt idx="1455">
                  <c:v>#N/A</c:v>
                </c:pt>
                <c:pt idx="1456">
                  <c:v>#N/A</c:v>
                </c:pt>
                <c:pt idx="1457">
                  <c:v>#N/A</c:v>
                </c:pt>
                <c:pt idx="1458">
                  <c:v>#N/A</c:v>
                </c:pt>
                <c:pt idx="1459">
                  <c:v>#N/A</c:v>
                </c:pt>
                <c:pt idx="1460">
                  <c:v>#N/A</c:v>
                </c:pt>
                <c:pt idx="1461">
                  <c:v>#N/A</c:v>
                </c:pt>
                <c:pt idx="1462">
                  <c:v>#N/A</c:v>
                </c:pt>
                <c:pt idx="1463">
                  <c:v>#N/A</c:v>
                </c:pt>
                <c:pt idx="1464">
                  <c:v>#N/A</c:v>
                </c:pt>
                <c:pt idx="1465">
                  <c:v>#N/A</c:v>
                </c:pt>
                <c:pt idx="1466">
                  <c:v>#N/A</c:v>
                </c:pt>
                <c:pt idx="1467">
                  <c:v>#N/A</c:v>
                </c:pt>
                <c:pt idx="1468">
                  <c:v>#N/A</c:v>
                </c:pt>
                <c:pt idx="1469">
                  <c:v>#N/A</c:v>
                </c:pt>
                <c:pt idx="1470">
                  <c:v>#N/A</c:v>
                </c:pt>
                <c:pt idx="1471">
                  <c:v>#N/A</c:v>
                </c:pt>
                <c:pt idx="1472">
                  <c:v>#N/A</c:v>
                </c:pt>
                <c:pt idx="1473">
                  <c:v>#N/A</c:v>
                </c:pt>
                <c:pt idx="1474">
                  <c:v>#N/A</c:v>
                </c:pt>
                <c:pt idx="1475">
                  <c:v>#N/A</c:v>
                </c:pt>
                <c:pt idx="1476">
                  <c:v>#N/A</c:v>
                </c:pt>
                <c:pt idx="1477">
                  <c:v>#N/A</c:v>
                </c:pt>
                <c:pt idx="1478">
                  <c:v>#N/A</c:v>
                </c:pt>
                <c:pt idx="1479">
                  <c:v>#N/A</c:v>
                </c:pt>
                <c:pt idx="1480">
                  <c:v>#N/A</c:v>
                </c:pt>
                <c:pt idx="1481">
                  <c:v>#N/A</c:v>
                </c:pt>
                <c:pt idx="1482">
                  <c:v>#N/A</c:v>
                </c:pt>
                <c:pt idx="1483">
                  <c:v>#N/A</c:v>
                </c:pt>
                <c:pt idx="1484">
                  <c:v>#N/A</c:v>
                </c:pt>
                <c:pt idx="1485">
                  <c:v>#N/A</c:v>
                </c:pt>
                <c:pt idx="1486">
                  <c:v>#N/A</c:v>
                </c:pt>
                <c:pt idx="1487">
                  <c:v>#N/A</c:v>
                </c:pt>
                <c:pt idx="1488">
                  <c:v>#N/A</c:v>
                </c:pt>
                <c:pt idx="1489">
                  <c:v>#N/A</c:v>
                </c:pt>
                <c:pt idx="1490">
                  <c:v>#N/A</c:v>
                </c:pt>
                <c:pt idx="1491">
                  <c:v>#N/A</c:v>
                </c:pt>
                <c:pt idx="1492">
                  <c:v>#N/A</c:v>
                </c:pt>
                <c:pt idx="1493">
                  <c:v>#N/A</c:v>
                </c:pt>
                <c:pt idx="1494">
                  <c:v>#N/A</c:v>
                </c:pt>
                <c:pt idx="1495">
                  <c:v>#N/A</c:v>
                </c:pt>
                <c:pt idx="1496">
                  <c:v>#N/A</c:v>
                </c:pt>
                <c:pt idx="1497">
                  <c:v>#N/A</c:v>
                </c:pt>
                <c:pt idx="1498">
                  <c:v>#N/A</c:v>
                </c:pt>
                <c:pt idx="1499">
                  <c:v>#N/A</c:v>
                </c:pt>
                <c:pt idx="1500">
                  <c:v>#N/A</c:v>
                </c:pt>
                <c:pt idx="1501">
                  <c:v>#N/A</c:v>
                </c:pt>
                <c:pt idx="1502">
                  <c:v>#N/A</c:v>
                </c:pt>
                <c:pt idx="1503">
                  <c:v>#N/A</c:v>
                </c:pt>
                <c:pt idx="1504">
                  <c:v>#N/A</c:v>
                </c:pt>
                <c:pt idx="1505">
                  <c:v>#N/A</c:v>
                </c:pt>
                <c:pt idx="1506">
                  <c:v>#N/A</c:v>
                </c:pt>
                <c:pt idx="1507">
                  <c:v>#N/A</c:v>
                </c:pt>
                <c:pt idx="1508">
                  <c:v>#N/A</c:v>
                </c:pt>
                <c:pt idx="1509">
                  <c:v>#N/A</c:v>
                </c:pt>
                <c:pt idx="1510">
                  <c:v>#N/A</c:v>
                </c:pt>
                <c:pt idx="1511">
                  <c:v>#N/A</c:v>
                </c:pt>
                <c:pt idx="1512">
                  <c:v>#N/A</c:v>
                </c:pt>
                <c:pt idx="1513">
                  <c:v>#N/A</c:v>
                </c:pt>
                <c:pt idx="1514">
                  <c:v>#N/A</c:v>
                </c:pt>
                <c:pt idx="1515">
                  <c:v>#N/A</c:v>
                </c:pt>
                <c:pt idx="1516">
                  <c:v>#N/A</c:v>
                </c:pt>
                <c:pt idx="1517">
                  <c:v>#N/A</c:v>
                </c:pt>
                <c:pt idx="1518">
                  <c:v>#N/A</c:v>
                </c:pt>
                <c:pt idx="1519">
                  <c:v>#N/A</c:v>
                </c:pt>
                <c:pt idx="1520">
                  <c:v>#N/A</c:v>
                </c:pt>
                <c:pt idx="1521">
                  <c:v>#N/A</c:v>
                </c:pt>
                <c:pt idx="1522">
                  <c:v>#N/A</c:v>
                </c:pt>
                <c:pt idx="1523">
                  <c:v>#N/A</c:v>
                </c:pt>
                <c:pt idx="1524">
                  <c:v>#N/A</c:v>
                </c:pt>
                <c:pt idx="1525">
                  <c:v>#N/A</c:v>
                </c:pt>
                <c:pt idx="1526">
                  <c:v>#N/A</c:v>
                </c:pt>
                <c:pt idx="1527">
                  <c:v>#N/A</c:v>
                </c:pt>
                <c:pt idx="1528">
                  <c:v>#N/A</c:v>
                </c:pt>
                <c:pt idx="1529">
                  <c:v>#N/A</c:v>
                </c:pt>
                <c:pt idx="1530">
                  <c:v>#N/A</c:v>
                </c:pt>
                <c:pt idx="1531">
                  <c:v>#N/A</c:v>
                </c:pt>
                <c:pt idx="1532">
                  <c:v>#N/A</c:v>
                </c:pt>
                <c:pt idx="1533">
                  <c:v>#N/A</c:v>
                </c:pt>
                <c:pt idx="1534">
                  <c:v>#N/A</c:v>
                </c:pt>
                <c:pt idx="1535">
                  <c:v>#N/A</c:v>
                </c:pt>
                <c:pt idx="1536">
                  <c:v>#N/A</c:v>
                </c:pt>
                <c:pt idx="1537">
                  <c:v>#N/A</c:v>
                </c:pt>
                <c:pt idx="1538">
                  <c:v>#N/A</c:v>
                </c:pt>
                <c:pt idx="1539">
                  <c:v>#N/A</c:v>
                </c:pt>
                <c:pt idx="1540">
                  <c:v>#N/A</c:v>
                </c:pt>
                <c:pt idx="1541">
                  <c:v>#N/A</c:v>
                </c:pt>
                <c:pt idx="1542">
                  <c:v>#N/A</c:v>
                </c:pt>
                <c:pt idx="1543">
                  <c:v>#N/A</c:v>
                </c:pt>
                <c:pt idx="1544">
                  <c:v>#N/A</c:v>
                </c:pt>
                <c:pt idx="1545">
                  <c:v>#N/A</c:v>
                </c:pt>
                <c:pt idx="1546">
                  <c:v>#N/A</c:v>
                </c:pt>
                <c:pt idx="1547">
                  <c:v>#N/A</c:v>
                </c:pt>
                <c:pt idx="1548">
                  <c:v>#N/A</c:v>
                </c:pt>
                <c:pt idx="1549">
                  <c:v>#N/A</c:v>
                </c:pt>
                <c:pt idx="1550">
                  <c:v>#N/A</c:v>
                </c:pt>
                <c:pt idx="1551">
                  <c:v>#N/A</c:v>
                </c:pt>
                <c:pt idx="1552">
                  <c:v>#N/A</c:v>
                </c:pt>
                <c:pt idx="1553">
                  <c:v>#N/A</c:v>
                </c:pt>
                <c:pt idx="1554">
                  <c:v>#N/A</c:v>
                </c:pt>
                <c:pt idx="1555">
                  <c:v>#N/A</c:v>
                </c:pt>
                <c:pt idx="1556">
                  <c:v>#N/A</c:v>
                </c:pt>
                <c:pt idx="1557">
                  <c:v>#N/A</c:v>
                </c:pt>
                <c:pt idx="1558">
                  <c:v>#N/A</c:v>
                </c:pt>
                <c:pt idx="1559">
                  <c:v>#N/A</c:v>
                </c:pt>
                <c:pt idx="1560">
                  <c:v>#N/A</c:v>
                </c:pt>
                <c:pt idx="1561">
                  <c:v>#N/A</c:v>
                </c:pt>
                <c:pt idx="1562">
                  <c:v>#N/A</c:v>
                </c:pt>
                <c:pt idx="1563">
                  <c:v>#N/A</c:v>
                </c:pt>
                <c:pt idx="1564">
                  <c:v>#N/A</c:v>
                </c:pt>
                <c:pt idx="1565">
                  <c:v>#N/A</c:v>
                </c:pt>
                <c:pt idx="1566">
                  <c:v>#N/A</c:v>
                </c:pt>
                <c:pt idx="1567">
                  <c:v>#N/A</c:v>
                </c:pt>
                <c:pt idx="1568">
                  <c:v>#N/A</c:v>
                </c:pt>
                <c:pt idx="1569">
                  <c:v>#N/A</c:v>
                </c:pt>
                <c:pt idx="1570">
                  <c:v>#N/A</c:v>
                </c:pt>
                <c:pt idx="1571">
                  <c:v>#N/A</c:v>
                </c:pt>
                <c:pt idx="1572">
                  <c:v>#N/A</c:v>
                </c:pt>
                <c:pt idx="1573">
                  <c:v>#N/A</c:v>
                </c:pt>
                <c:pt idx="1574">
                  <c:v>#N/A</c:v>
                </c:pt>
                <c:pt idx="1575">
                  <c:v>#N/A</c:v>
                </c:pt>
                <c:pt idx="1576">
                  <c:v>#N/A</c:v>
                </c:pt>
                <c:pt idx="1577">
                  <c:v>#N/A</c:v>
                </c:pt>
                <c:pt idx="1578">
                  <c:v>#N/A</c:v>
                </c:pt>
                <c:pt idx="1579">
                  <c:v>#N/A</c:v>
                </c:pt>
                <c:pt idx="1580">
                  <c:v>#N/A</c:v>
                </c:pt>
                <c:pt idx="1581">
                  <c:v>#N/A</c:v>
                </c:pt>
                <c:pt idx="1582">
                  <c:v>#N/A</c:v>
                </c:pt>
                <c:pt idx="1583">
                  <c:v>#N/A</c:v>
                </c:pt>
                <c:pt idx="1584">
                  <c:v>#N/A</c:v>
                </c:pt>
                <c:pt idx="1585">
                  <c:v>#N/A</c:v>
                </c:pt>
                <c:pt idx="1586">
                  <c:v>#N/A</c:v>
                </c:pt>
                <c:pt idx="1587">
                  <c:v>#N/A</c:v>
                </c:pt>
                <c:pt idx="1588">
                  <c:v>#N/A</c:v>
                </c:pt>
                <c:pt idx="1589">
                  <c:v>#N/A</c:v>
                </c:pt>
                <c:pt idx="1590">
                  <c:v>#N/A</c:v>
                </c:pt>
                <c:pt idx="1591">
                  <c:v>#N/A</c:v>
                </c:pt>
                <c:pt idx="1592">
                  <c:v>#N/A</c:v>
                </c:pt>
                <c:pt idx="1593">
                  <c:v>#N/A</c:v>
                </c:pt>
                <c:pt idx="1594">
                  <c:v>#N/A</c:v>
                </c:pt>
                <c:pt idx="1595">
                  <c:v>#N/A</c:v>
                </c:pt>
                <c:pt idx="1596">
                  <c:v>#N/A</c:v>
                </c:pt>
                <c:pt idx="1597">
                  <c:v>#N/A</c:v>
                </c:pt>
                <c:pt idx="1598">
                  <c:v>#N/A</c:v>
                </c:pt>
                <c:pt idx="1599">
                  <c:v>#N/A</c:v>
                </c:pt>
                <c:pt idx="1600">
                  <c:v>#N/A</c:v>
                </c:pt>
                <c:pt idx="1601">
                  <c:v>#N/A</c:v>
                </c:pt>
                <c:pt idx="1602">
                  <c:v>#N/A</c:v>
                </c:pt>
                <c:pt idx="1603">
                  <c:v>#N/A</c:v>
                </c:pt>
                <c:pt idx="1604">
                  <c:v>#N/A</c:v>
                </c:pt>
                <c:pt idx="1605">
                  <c:v>#N/A</c:v>
                </c:pt>
                <c:pt idx="1606">
                  <c:v>#N/A</c:v>
                </c:pt>
                <c:pt idx="1607">
                  <c:v>#N/A</c:v>
                </c:pt>
                <c:pt idx="1608">
                  <c:v>#N/A</c:v>
                </c:pt>
                <c:pt idx="1609">
                  <c:v>#N/A</c:v>
                </c:pt>
                <c:pt idx="1610">
                  <c:v>#N/A</c:v>
                </c:pt>
                <c:pt idx="1611">
                  <c:v>#N/A</c:v>
                </c:pt>
                <c:pt idx="1612">
                  <c:v>#N/A</c:v>
                </c:pt>
                <c:pt idx="1613">
                  <c:v>#N/A</c:v>
                </c:pt>
                <c:pt idx="1614">
                  <c:v>#N/A</c:v>
                </c:pt>
                <c:pt idx="1615">
                  <c:v>#N/A</c:v>
                </c:pt>
                <c:pt idx="1616">
                  <c:v>#N/A</c:v>
                </c:pt>
                <c:pt idx="1617">
                  <c:v>#N/A</c:v>
                </c:pt>
                <c:pt idx="1618">
                  <c:v>#N/A</c:v>
                </c:pt>
                <c:pt idx="1619">
                  <c:v>#N/A</c:v>
                </c:pt>
                <c:pt idx="1620">
                  <c:v>#N/A</c:v>
                </c:pt>
                <c:pt idx="1621">
                  <c:v>#N/A</c:v>
                </c:pt>
                <c:pt idx="1622">
                  <c:v>#N/A</c:v>
                </c:pt>
                <c:pt idx="1623">
                  <c:v>#N/A</c:v>
                </c:pt>
                <c:pt idx="1624">
                  <c:v>#N/A</c:v>
                </c:pt>
                <c:pt idx="1625">
                  <c:v>#N/A</c:v>
                </c:pt>
                <c:pt idx="1626">
                  <c:v>#N/A</c:v>
                </c:pt>
                <c:pt idx="1627">
                  <c:v>#N/A</c:v>
                </c:pt>
                <c:pt idx="1628">
                  <c:v>#N/A</c:v>
                </c:pt>
                <c:pt idx="1629">
                  <c:v>#N/A</c:v>
                </c:pt>
                <c:pt idx="1630">
                  <c:v>#N/A</c:v>
                </c:pt>
                <c:pt idx="1631">
                  <c:v>#N/A</c:v>
                </c:pt>
                <c:pt idx="1632">
                  <c:v>#N/A</c:v>
                </c:pt>
                <c:pt idx="1633">
                  <c:v>#N/A</c:v>
                </c:pt>
                <c:pt idx="1634">
                  <c:v>#N/A</c:v>
                </c:pt>
                <c:pt idx="1635">
                  <c:v>#N/A</c:v>
                </c:pt>
                <c:pt idx="1636">
                  <c:v>#N/A</c:v>
                </c:pt>
                <c:pt idx="1637">
                  <c:v>#N/A</c:v>
                </c:pt>
                <c:pt idx="1638">
                  <c:v>#N/A</c:v>
                </c:pt>
                <c:pt idx="1639">
                  <c:v>#N/A</c:v>
                </c:pt>
                <c:pt idx="1640">
                  <c:v>#N/A</c:v>
                </c:pt>
                <c:pt idx="1641">
                  <c:v>#N/A</c:v>
                </c:pt>
                <c:pt idx="1642">
                  <c:v>#N/A</c:v>
                </c:pt>
                <c:pt idx="1643">
                  <c:v>#N/A</c:v>
                </c:pt>
                <c:pt idx="1644">
                  <c:v>#N/A</c:v>
                </c:pt>
                <c:pt idx="1645">
                  <c:v>#N/A</c:v>
                </c:pt>
                <c:pt idx="1646">
                  <c:v>#N/A</c:v>
                </c:pt>
                <c:pt idx="1647">
                  <c:v>#N/A</c:v>
                </c:pt>
                <c:pt idx="1648">
                  <c:v>#N/A</c:v>
                </c:pt>
                <c:pt idx="1649">
                  <c:v>#N/A</c:v>
                </c:pt>
                <c:pt idx="1650">
                  <c:v>#N/A</c:v>
                </c:pt>
                <c:pt idx="1651">
                  <c:v>#N/A</c:v>
                </c:pt>
                <c:pt idx="1652">
                  <c:v>#N/A</c:v>
                </c:pt>
                <c:pt idx="1653">
                  <c:v>#N/A</c:v>
                </c:pt>
                <c:pt idx="1654">
                  <c:v>#N/A</c:v>
                </c:pt>
                <c:pt idx="1655">
                  <c:v>#N/A</c:v>
                </c:pt>
                <c:pt idx="1656">
                  <c:v>#N/A</c:v>
                </c:pt>
                <c:pt idx="1657">
                  <c:v>#N/A</c:v>
                </c:pt>
                <c:pt idx="1658">
                  <c:v>#N/A</c:v>
                </c:pt>
                <c:pt idx="1659">
                  <c:v>#N/A</c:v>
                </c:pt>
                <c:pt idx="1660">
                  <c:v>#N/A</c:v>
                </c:pt>
                <c:pt idx="1661">
                  <c:v>#N/A</c:v>
                </c:pt>
                <c:pt idx="1662">
                  <c:v>#N/A</c:v>
                </c:pt>
                <c:pt idx="1663">
                  <c:v>#N/A</c:v>
                </c:pt>
                <c:pt idx="1664">
                  <c:v>#N/A</c:v>
                </c:pt>
                <c:pt idx="1665">
                  <c:v>#N/A</c:v>
                </c:pt>
                <c:pt idx="1666">
                  <c:v>#N/A</c:v>
                </c:pt>
                <c:pt idx="1667">
                  <c:v>#N/A</c:v>
                </c:pt>
                <c:pt idx="1668">
                  <c:v>#N/A</c:v>
                </c:pt>
                <c:pt idx="1669">
                  <c:v>#N/A</c:v>
                </c:pt>
                <c:pt idx="1670">
                  <c:v>#N/A</c:v>
                </c:pt>
                <c:pt idx="1671">
                  <c:v>#N/A</c:v>
                </c:pt>
                <c:pt idx="1672">
                  <c:v>#N/A</c:v>
                </c:pt>
                <c:pt idx="1673">
                  <c:v>#N/A</c:v>
                </c:pt>
                <c:pt idx="1674">
                  <c:v>#N/A</c:v>
                </c:pt>
                <c:pt idx="1675">
                  <c:v>#N/A</c:v>
                </c:pt>
                <c:pt idx="1676">
                  <c:v>#N/A</c:v>
                </c:pt>
                <c:pt idx="1677">
                  <c:v>#N/A</c:v>
                </c:pt>
                <c:pt idx="1678">
                  <c:v>#N/A</c:v>
                </c:pt>
                <c:pt idx="1679">
                  <c:v>#N/A</c:v>
                </c:pt>
                <c:pt idx="1680">
                  <c:v>#N/A</c:v>
                </c:pt>
                <c:pt idx="1681">
                  <c:v>#N/A</c:v>
                </c:pt>
                <c:pt idx="1682">
                  <c:v>#N/A</c:v>
                </c:pt>
                <c:pt idx="1683">
                  <c:v>#N/A</c:v>
                </c:pt>
                <c:pt idx="1684">
                  <c:v>#N/A</c:v>
                </c:pt>
                <c:pt idx="1685">
                  <c:v>#N/A</c:v>
                </c:pt>
                <c:pt idx="1686">
                  <c:v>#N/A</c:v>
                </c:pt>
                <c:pt idx="1687">
                  <c:v>#N/A</c:v>
                </c:pt>
                <c:pt idx="1688">
                  <c:v>#N/A</c:v>
                </c:pt>
                <c:pt idx="1689">
                  <c:v>#N/A</c:v>
                </c:pt>
                <c:pt idx="1690">
                  <c:v>#N/A</c:v>
                </c:pt>
                <c:pt idx="1691">
                  <c:v>#N/A</c:v>
                </c:pt>
                <c:pt idx="1692">
                  <c:v>#N/A</c:v>
                </c:pt>
                <c:pt idx="1693">
                  <c:v>#N/A</c:v>
                </c:pt>
                <c:pt idx="1694">
                  <c:v>#N/A</c:v>
                </c:pt>
                <c:pt idx="1695">
                  <c:v>#N/A</c:v>
                </c:pt>
                <c:pt idx="1696">
                  <c:v>#N/A</c:v>
                </c:pt>
                <c:pt idx="1697">
                  <c:v>#N/A</c:v>
                </c:pt>
                <c:pt idx="1698">
                  <c:v>#N/A</c:v>
                </c:pt>
                <c:pt idx="1699">
                  <c:v>#N/A</c:v>
                </c:pt>
                <c:pt idx="1700">
                  <c:v>#N/A</c:v>
                </c:pt>
                <c:pt idx="1701">
                  <c:v>#N/A</c:v>
                </c:pt>
                <c:pt idx="1702">
                  <c:v>#N/A</c:v>
                </c:pt>
                <c:pt idx="1703">
                  <c:v>#N/A</c:v>
                </c:pt>
                <c:pt idx="1704">
                  <c:v>#N/A</c:v>
                </c:pt>
                <c:pt idx="1705">
                  <c:v>#N/A</c:v>
                </c:pt>
                <c:pt idx="1706">
                  <c:v>#N/A</c:v>
                </c:pt>
                <c:pt idx="1707">
                  <c:v>#N/A</c:v>
                </c:pt>
                <c:pt idx="1708">
                  <c:v>#N/A</c:v>
                </c:pt>
                <c:pt idx="1709">
                  <c:v>#N/A</c:v>
                </c:pt>
                <c:pt idx="1710">
                  <c:v>#N/A</c:v>
                </c:pt>
                <c:pt idx="1711">
                  <c:v>#N/A</c:v>
                </c:pt>
                <c:pt idx="1712">
                  <c:v>#N/A</c:v>
                </c:pt>
                <c:pt idx="1713">
                  <c:v>#N/A</c:v>
                </c:pt>
                <c:pt idx="1714">
                  <c:v>#N/A</c:v>
                </c:pt>
                <c:pt idx="1715">
                  <c:v>#N/A</c:v>
                </c:pt>
                <c:pt idx="1716">
                  <c:v>#N/A</c:v>
                </c:pt>
                <c:pt idx="1717">
                  <c:v>#N/A</c:v>
                </c:pt>
                <c:pt idx="1718">
                  <c:v>#N/A</c:v>
                </c:pt>
                <c:pt idx="1719">
                  <c:v>#N/A</c:v>
                </c:pt>
                <c:pt idx="1720">
                  <c:v>#N/A</c:v>
                </c:pt>
                <c:pt idx="1721">
                  <c:v>#N/A</c:v>
                </c:pt>
                <c:pt idx="1722">
                  <c:v>#N/A</c:v>
                </c:pt>
                <c:pt idx="1723">
                  <c:v>#N/A</c:v>
                </c:pt>
                <c:pt idx="1724">
                  <c:v>#N/A</c:v>
                </c:pt>
                <c:pt idx="1725">
                  <c:v>#N/A</c:v>
                </c:pt>
                <c:pt idx="1726">
                  <c:v>#N/A</c:v>
                </c:pt>
                <c:pt idx="1727">
                  <c:v>#N/A</c:v>
                </c:pt>
                <c:pt idx="1728">
                  <c:v>#N/A</c:v>
                </c:pt>
                <c:pt idx="1729">
                  <c:v>#N/A</c:v>
                </c:pt>
                <c:pt idx="1730">
                  <c:v>#N/A</c:v>
                </c:pt>
                <c:pt idx="1731">
                  <c:v>#N/A</c:v>
                </c:pt>
                <c:pt idx="1732">
                  <c:v>#N/A</c:v>
                </c:pt>
                <c:pt idx="1733">
                  <c:v>#N/A</c:v>
                </c:pt>
                <c:pt idx="1734">
                  <c:v>#N/A</c:v>
                </c:pt>
                <c:pt idx="1735">
                  <c:v>#N/A</c:v>
                </c:pt>
                <c:pt idx="1736">
                  <c:v>#N/A</c:v>
                </c:pt>
                <c:pt idx="1737">
                  <c:v>#N/A</c:v>
                </c:pt>
                <c:pt idx="1738">
                  <c:v>#N/A</c:v>
                </c:pt>
                <c:pt idx="1739">
                  <c:v>#N/A</c:v>
                </c:pt>
                <c:pt idx="1740">
                  <c:v>#N/A</c:v>
                </c:pt>
                <c:pt idx="1741">
                  <c:v>#N/A</c:v>
                </c:pt>
                <c:pt idx="1742">
                  <c:v>#N/A</c:v>
                </c:pt>
                <c:pt idx="1743">
                  <c:v>#N/A</c:v>
                </c:pt>
                <c:pt idx="1744">
                  <c:v>#N/A</c:v>
                </c:pt>
                <c:pt idx="1745">
                  <c:v>#N/A</c:v>
                </c:pt>
                <c:pt idx="1746">
                  <c:v>#N/A</c:v>
                </c:pt>
                <c:pt idx="1747">
                  <c:v>#N/A</c:v>
                </c:pt>
                <c:pt idx="1748">
                  <c:v>#N/A</c:v>
                </c:pt>
                <c:pt idx="1749">
                  <c:v>#N/A</c:v>
                </c:pt>
                <c:pt idx="1750">
                  <c:v>#N/A</c:v>
                </c:pt>
                <c:pt idx="1751">
                  <c:v>#N/A</c:v>
                </c:pt>
                <c:pt idx="1752">
                  <c:v>#N/A</c:v>
                </c:pt>
                <c:pt idx="1753">
                  <c:v>#N/A</c:v>
                </c:pt>
                <c:pt idx="1754">
                  <c:v>#N/A</c:v>
                </c:pt>
                <c:pt idx="1755">
                  <c:v>#N/A</c:v>
                </c:pt>
                <c:pt idx="1756">
                  <c:v>#N/A</c:v>
                </c:pt>
                <c:pt idx="1757">
                  <c:v>#N/A</c:v>
                </c:pt>
                <c:pt idx="1758">
                  <c:v>#N/A</c:v>
                </c:pt>
                <c:pt idx="1759">
                  <c:v>#N/A</c:v>
                </c:pt>
                <c:pt idx="1760">
                  <c:v>#N/A</c:v>
                </c:pt>
                <c:pt idx="1761">
                  <c:v>#N/A</c:v>
                </c:pt>
                <c:pt idx="1762">
                  <c:v>#N/A</c:v>
                </c:pt>
                <c:pt idx="1763">
                  <c:v>#N/A</c:v>
                </c:pt>
                <c:pt idx="1764">
                  <c:v>#N/A</c:v>
                </c:pt>
                <c:pt idx="1765">
                  <c:v>#N/A</c:v>
                </c:pt>
                <c:pt idx="1766">
                  <c:v>#N/A</c:v>
                </c:pt>
                <c:pt idx="1767">
                  <c:v>#N/A</c:v>
                </c:pt>
                <c:pt idx="1768">
                  <c:v>#N/A</c:v>
                </c:pt>
                <c:pt idx="1769">
                  <c:v>#N/A</c:v>
                </c:pt>
                <c:pt idx="1770">
                  <c:v>#N/A</c:v>
                </c:pt>
                <c:pt idx="1771">
                  <c:v>#N/A</c:v>
                </c:pt>
                <c:pt idx="1772">
                  <c:v>#N/A</c:v>
                </c:pt>
                <c:pt idx="1773">
                  <c:v>#N/A</c:v>
                </c:pt>
                <c:pt idx="1774">
                  <c:v>#N/A</c:v>
                </c:pt>
                <c:pt idx="1775">
                  <c:v>#N/A</c:v>
                </c:pt>
                <c:pt idx="1776">
                  <c:v>#N/A</c:v>
                </c:pt>
                <c:pt idx="1777">
                  <c:v>#N/A</c:v>
                </c:pt>
                <c:pt idx="1778">
                  <c:v>#N/A</c:v>
                </c:pt>
                <c:pt idx="1779">
                  <c:v>#N/A</c:v>
                </c:pt>
                <c:pt idx="1780">
                  <c:v>#N/A</c:v>
                </c:pt>
                <c:pt idx="1781">
                  <c:v>#N/A</c:v>
                </c:pt>
                <c:pt idx="1782">
                  <c:v>#N/A</c:v>
                </c:pt>
                <c:pt idx="1783">
                  <c:v>#N/A</c:v>
                </c:pt>
                <c:pt idx="1784">
                  <c:v>#N/A</c:v>
                </c:pt>
                <c:pt idx="1785">
                  <c:v>#N/A</c:v>
                </c:pt>
                <c:pt idx="1786">
                  <c:v>#N/A</c:v>
                </c:pt>
                <c:pt idx="1787">
                  <c:v>#N/A</c:v>
                </c:pt>
                <c:pt idx="1788">
                  <c:v>#N/A</c:v>
                </c:pt>
                <c:pt idx="1789">
                  <c:v>#N/A</c:v>
                </c:pt>
                <c:pt idx="1790">
                  <c:v>#N/A</c:v>
                </c:pt>
                <c:pt idx="1791">
                  <c:v>#N/A</c:v>
                </c:pt>
                <c:pt idx="1792">
                  <c:v>#N/A</c:v>
                </c:pt>
                <c:pt idx="1793">
                  <c:v>#N/A</c:v>
                </c:pt>
                <c:pt idx="1794">
                  <c:v>#N/A</c:v>
                </c:pt>
                <c:pt idx="1795">
                  <c:v>#N/A</c:v>
                </c:pt>
                <c:pt idx="1796">
                  <c:v>#N/A</c:v>
                </c:pt>
                <c:pt idx="1797">
                  <c:v>#N/A</c:v>
                </c:pt>
                <c:pt idx="1798">
                  <c:v>#N/A</c:v>
                </c:pt>
                <c:pt idx="1799">
                  <c:v>#N/A</c:v>
                </c:pt>
                <c:pt idx="1800">
                  <c:v>#N/A</c:v>
                </c:pt>
                <c:pt idx="1801">
                  <c:v>#N/A</c:v>
                </c:pt>
                <c:pt idx="1802">
                  <c:v>#N/A</c:v>
                </c:pt>
                <c:pt idx="1803">
                  <c:v>#N/A</c:v>
                </c:pt>
                <c:pt idx="1804">
                  <c:v>#N/A</c:v>
                </c:pt>
                <c:pt idx="1805">
                  <c:v>#N/A</c:v>
                </c:pt>
                <c:pt idx="1806">
                  <c:v>#N/A</c:v>
                </c:pt>
                <c:pt idx="1807">
                  <c:v>#N/A</c:v>
                </c:pt>
                <c:pt idx="1808">
                  <c:v>#N/A</c:v>
                </c:pt>
                <c:pt idx="1809">
                  <c:v>#N/A</c:v>
                </c:pt>
                <c:pt idx="1810">
                  <c:v>#N/A</c:v>
                </c:pt>
                <c:pt idx="1811">
                  <c:v>#N/A</c:v>
                </c:pt>
                <c:pt idx="1812">
                  <c:v>#N/A</c:v>
                </c:pt>
                <c:pt idx="1813">
                  <c:v>#N/A</c:v>
                </c:pt>
                <c:pt idx="1814">
                  <c:v>#N/A</c:v>
                </c:pt>
                <c:pt idx="1815">
                  <c:v>#N/A</c:v>
                </c:pt>
                <c:pt idx="1816">
                  <c:v>#N/A</c:v>
                </c:pt>
                <c:pt idx="1817">
                  <c:v>#N/A</c:v>
                </c:pt>
                <c:pt idx="1818">
                  <c:v>#N/A</c:v>
                </c:pt>
                <c:pt idx="1819">
                  <c:v>#N/A</c:v>
                </c:pt>
                <c:pt idx="1820">
                  <c:v>#N/A</c:v>
                </c:pt>
                <c:pt idx="1821">
                  <c:v>#N/A</c:v>
                </c:pt>
                <c:pt idx="1822">
                  <c:v>#N/A</c:v>
                </c:pt>
                <c:pt idx="1823">
                  <c:v>#N/A</c:v>
                </c:pt>
                <c:pt idx="1824">
                  <c:v>#N/A</c:v>
                </c:pt>
                <c:pt idx="1825">
                  <c:v>#N/A</c:v>
                </c:pt>
                <c:pt idx="1826">
                  <c:v>#N/A</c:v>
                </c:pt>
                <c:pt idx="1827">
                  <c:v>#N/A</c:v>
                </c:pt>
                <c:pt idx="1828">
                  <c:v>#N/A</c:v>
                </c:pt>
                <c:pt idx="1829">
                  <c:v>#N/A</c:v>
                </c:pt>
                <c:pt idx="1830">
                  <c:v>#N/A</c:v>
                </c:pt>
                <c:pt idx="1831">
                  <c:v>#N/A</c:v>
                </c:pt>
                <c:pt idx="1832">
                  <c:v>#N/A</c:v>
                </c:pt>
                <c:pt idx="1833">
                  <c:v>#N/A</c:v>
                </c:pt>
                <c:pt idx="1834">
                  <c:v>#N/A</c:v>
                </c:pt>
                <c:pt idx="1835">
                  <c:v>#N/A</c:v>
                </c:pt>
                <c:pt idx="1836">
                  <c:v>#N/A</c:v>
                </c:pt>
                <c:pt idx="1837">
                  <c:v>#N/A</c:v>
                </c:pt>
                <c:pt idx="1838">
                  <c:v>#N/A</c:v>
                </c:pt>
                <c:pt idx="1839">
                  <c:v>#N/A</c:v>
                </c:pt>
                <c:pt idx="1840">
                  <c:v>#N/A</c:v>
                </c:pt>
                <c:pt idx="1841">
                  <c:v>#N/A</c:v>
                </c:pt>
                <c:pt idx="1842">
                  <c:v>#N/A</c:v>
                </c:pt>
                <c:pt idx="1843">
                  <c:v>#N/A</c:v>
                </c:pt>
                <c:pt idx="1844">
                  <c:v>#N/A</c:v>
                </c:pt>
                <c:pt idx="1845">
                  <c:v>#N/A</c:v>
                </c:pt>
                <c:pt idx="1846">
                  <c:v>#N/A</c:v>
                </c:pt>
                <c:pt idx="1847">
                  <c:v>#N/A</c:v>
                </c:pt>
                <c:pt idx="1848">
                  <c:v>#N/A</c:v>
                </c:pt>
                <c:pt idx="1849">
                  <c:v>#N/A</c:v>
                </c:pt>
                <c:pt idx="1850">
                  <c:v>#N/A</c:v>
                </c:pt>
                <c:pt idx="1851">
                  <c:v>#N/A</c:v>
                </c:pt>
                <c:pt idx="1852">
                  <c:v>#N/A</c:v>
                </c:pt>
                <c:pt idx="1853">
                  <c:v>#N/A</c:v>
                </c:pt>
                <c:pt idx="1854">
                  <c:v>#N/A</c:v>
                </c:pt>
                <c:pt idx="1855">
                  <c:v>#N/A</c:v>
                </c:pt>
                <c:pt idx="1856">
                  <c:v>#N/A</c:v>
                </c:pt>
                <c:pt idx="1857">
                  <c:v>#N/A</c:v>
                </c:pt>
                <c:pt idx="1858">
                  <c:v>#N/A</c:v>
                </c:pt>
                <c:pt idx="1859">
                  <c:v>#N/A</c:v>
                </c:pt>
                <c:pt idx="1860">
                  <c:v>#N/A</c:v>
                </c:pt>
                <c:pt idx="1861">
                  <c:v>#N/A</c:v>
                </c:pt>
                <c:pt idx="1862">
                  <c:v>#N/A</c:v>
                </c:pt>
                <c:pt idx="1863">
                  <c:v>#N/A</c:v>
                </c:pt>
                <c:pt idx="1864">
                  <c:v>#N/A</c:v>
                </c:pt>
                <c:pt idx="1865">
                  <c:v>#N/A</c:v>
                </c:pt>
                <c:pt idx="1866">
                  <c:v>#N/A</c:v>
                </c:pt>
                <c:pt idx="1867">
                  <c:v>#N/A</c:v>
                </c:pt>
                <c:pt idx="1868">
                  <c:v>#N/A</c:v>
                </c:pt>
                <c:pt idx="1869">
                  <c:v>#N/A</c:v>
                </c:pt>
                <c:pt idx="1870">
                  <c:v>#N/A</c:v>
                </c:pt>
                <c:pt idx="1871">
                  <c:v>#N/A</c:v>
                </c:pt>
                <c:pt idx="1872">
                  <c:v>#N/A</c:v>
                </c:pt>
                <c:pt idx="1873">
                  <c:v>#N/A</c:v>
                </c:pt>
                <c:pt idx="1874">
                  <c:v>#N/A</c:v>
                </c:pt>
                <c:pt idx="1875">
                  <c:v>#N/A</c:v>
                </c:pt>
                <c:pt idx="1876">
                  <c:v>#N/A</c:v>
                </c:pt>
                <c:pt idx="1877">
                  <c:v>#N/A</c:v>
                </c:pt>
                <c:pt idx="1878">
                  <c:v>#N/A</c:v>
                </c:pt>
                <c:pt idx="1879">
                  <c:v>#N/A</c:v>
                </c:pt>
                <c:pt idx="1880">
                  <c:v>#N/A</c:v>
                </c:pt>
                <c:pt idx="1881">
                  <c:v>#N/A</c:v>
                </c:pt>
                <c:pt idx="1882">
                  <c:v>#N/A</c:v>
                </c:pt>
                <c:pt idx="1883">
                  <c:v>#N/A</c:v>
                </c:pt>
                <c:pt idx="1884">
                  <c:v>#N/A</c:v>
                </c:pt>
                <c:pt idx="1885">
                  <c:v>#N/A</c:v>
                </c:pt>
                <c:pt idx="1886">
                  <c:v>#N/A</c:v>
                </c:pt>
                <c:pt idx="1887">
                  <c:v>#N/A</c:v>
                </c:pt>
                <c:pt idx="1888">
                  <c:v>#N/A</c:v>
                </c:pt>
                <c:pt idx="1889">
                  <c:v>#N/A</c:v>
                </c:pt>
                <c:pt idx="1890">
                  <c:v>#N/A</c:v>
                </c:pt>
                <c:pt idx="1891">
                  <c:v>#N/A</c:v>
                </c:pt>
                <c:pt idx="1892">
                  <c:v>#N/A</c:v>
                </c:pt>
                <c:pt idx="1893">
                  <c:v>#N/A</c:v>
                </c:pt>
                <c:pt idx="1894">
                  <c:v>#N/A</c:v>
                </c:pt>
                <c:pt idx="1895">
                  <c:v>#N/A</c:v>
                </c:pt>
                <c:pt idx="1896">
                  <c:v>#N/A</c:v>
                </c:pt>
                <c:pt idx="1897">
                  <c:v>#N/A</c:v>
                </c:pt>
                <c:pt idx="1898">
                  <c:v>#N/A</c:v>
                </c:pt>
                <c:pt idx="1899">
                  <c:v>#N/A</c:v>
                </c:pt>
                <c:pt idx="1900">
                  <c:v>#N/A</c:v>
                </c:pt>
                <c:pt idx="1901">
                  <c:v>#N/A</c:v>
                </c:pt>
                <c:pt idx="1902">
                  <c:v>#N/A</c:v>
                </c:pt>
                <c:pt idx="1903">
                  <c:v>#N/A</c:v>
                </c:pt>
                <c:pt idx="1904">
                  <c:v>#N/A</c:v>
                </c:pt>
                <c:pt idx="1905">
                  <c:v>#N/A</c:v>
                </c:pt>
                <c:pt idx="1906">
                  <c:v>#N/A</c:v>
                </c:pt>
                <c:pt idx="1907">
                  <c:v>#N/A</c:v>
                </c:pt>
                <c:pt idx="1908">
                  <c:v>#N/A</c:v>
                </c:pt>
                <c:pt idx="1909">
                  <c:v>#N/A</c:v>
                </c:pt>
                <c:pt idx="1910">
                  <c:v>#N/A</c:v>
                </c:pt>
                <c:pt idx="1911">
                  <c:v>#N/A</c:v>
                </c:pt>
                <c:pt idx="1912">
                  <c:v>#N/A</c:v>
                </c:pt>
                <c:pt idx="1913">
                  <c:v>#N/A</c:v>
                </c:pt>
                <c:pt idx="1914">
                  <c:v>#N/A</c:v>
                </c:pt>
                <c:pt idx="1915">
                  <c:v>#N/A</c:v>
                </c:pt>
                <c:pt idx="1916">
                  <c:v>#N/A</c:v>
                </c:pt>
                <c:pt idx="1917">
                  <c:v>#N/A</c:v>
                </c:pt>
                <c:pt idx="1918">
                  <c:v>#N/A</c:v>
                </c:pt>
                <c:pt idx="1919">
                  <c:v>#N/A</c:v>
                </c:pt>
                <c:pt idx="1920">
                  <c:v>#N/A</c:v>
                </c:pt>
                <c:pt idx="1921">
                  <c:v>#N/A</c:v>
                </c:pt>
                <c:pt idx="1922">
                  <c:v>#N/A</c:v>
                </c:pt>
                <c:pt idx="1923">
                  <c:v>#N/A</c:v>
                </c:pt>
                <c:pt idx="1924">
                  <c:v>#N/A</c:v>
                </c:pt>
                <c:pt idx="1925">
                  <c:v>#N/A</c:v>
                </c:pt>
                <c:pt idx="1926">
                  <c:v>#N/A</c:v>
                </c:pt>
                <c:pt idx="1927">
                  <c:v>#N/A</c:v>
                </c:pt>
                <c:pt idx="1928">
                  <c:v>#N/A</c:v>
                </c:pt>
                <c:pt idx="1929">
                  <c:v>#N/A</c:v>
                </c:pt>
                <c:pt idx="1930">
                  <c:v>#N/A</c:v>
                </c:pt>
                <c:pt idx="1931">
                  <c:v>#N/A</c:v>
                </c:pt>
                <c:pt idx="1932">
                  <c:v>#N/A</c:v>
                </c:pt>
                <c:pt idx="1933">
                  <c:v>#N/A</c:v>
                </c:pt>
                <c:pt idx="1934">
                  <c:v>#N/A</c:v>
                </c:pt>
                <c:pt idx="1935">
                  <c:v>#N/A</c:v>
                </c:pt>
                <c:pt idx="1936">
                  <c:v>#N/A</c:v>
                </c:pt>
                <c:pt idx="1937">
                  <c:v>#N/A</c:v>
                </c:pt>
                <c:pt idx="1938">
                  <c:v>#N/A</c:v>
                </c:pt>
                <c:pt idx="1939">
                  <c:v>#N/A</c:v>
                </c:pt>
                <c:pt idx="1940">
                  <c:v>#N/A</c:v>
                </c:pt>
                <c:pt idx="1941">
                  <c:v>#N/A</c:v>
                </c:pt>
                <c:pt idx="1942">
                  <c:v>#N/A</c:v>
                </c:pt>
                <c:pt idx="1943">
                  <c:v>#N/A</c:v>
                </c:pt>
                <c:pt idx="1944">
                  <c:v>#N/A</c:v>
                </c:pt>
                <c:pt idx="1945">
                  <c:v>#N/A</c:v>
                </c:pt>
                <c:pt idx="1946">
                  <c:v>#N/A</c:v>
                </c:pt>
                <c:pt idx="1947">
                  <c:v>#N/A</c:v>
                </c:pt>
                <c:pt idx="1948">
                  <c:v>#N/A</c:v>
                </c:pt>
                <c:pt idx="1949">
                  <c:v>#N/A</c:v>
                </c:pt>
                <c:pt idx="1950">
                  <c:v>#N/A</c:v>
                </c:pt>
                <c:pt idx="1951">
                  <c:v>#N/A</c:v>
                </c:pt>
                <c:pt idx="1952">
                  <c:v>#N/A</c:v>
                </c:pt>
                <c:pt idx="1953">
                  <c:v>#N/A</c:v>
                </c:pt>
                <c:pt idx="1954">
                  <c:v>#N/A</c:v>
                </c:pt>
                <c:pt idx="1955">
                  <c:v>#N/A</c:v>
                </c:pt>
                <c:pt idx="1956">
                  <c:v>#N/A</c:v>
                </c:pt>
                <c:pt idx="1957">
                  <c:v>#N/A</c:v>
                </c:pt>
                <c:pt idx="1958">
                  <c:v>#N/A</c:v>
                </c:pt>
                <c:pt idx="1959">
                  <c:v>#N/A</c:v>
                </c:pt>
                <c:pt idx="1960">
                  <c:v>#N/A</c:v>
                </c:pt>
                <c:pt idx="1961">
                  <c:v>#N/A</c:v>
                </c:pt>
                <c:pt idx="1962">
                  <c:v>#N/A</c:v>
                </c:pt>
                <c:pt idx="1963">
                  <c:v>#N/A</c:v>
                </c:pt>
                <c:pt idx="1964">
                  <c:v>#N/A</c:v>
                </c:pt>
                <c:pt idx="1965">
                  <c:v>#N/A</c:v>
                </c:pt>
                <c:pt idx="1966">
                  <c:v>#N/A</c:v>
                </c:pt>
                <c:pt idx="1967">
                  <c:v>#N/A</c:v>
                </c:pt>
                <c:pt idx="1968">
                  <c:v>#N/A</c:v>
                </c:pt>
                <c:pt idx="1969">
                  <c:v>#N/A</c:v>
                </c:pt>
                <c:pt idx="1970">
                  <c:v>#N/A</c:v>
                </c:pt>
                <c:pt idx="1971">
                  <c:v>#N/A</c:v>
                </c:pt>
                <c:pt idx="1972">
                  <c:v>#N/A</c:v>
                </c:pt>
                <c:pt idx="1973">
                  <c:v>#N/A</c:v>
                </c:pt>
                <c:pt idx="1974">
                  <c:v>#N/A</c:v>
                </c:pt>
                <c:pt idx="1975">
                  <c:v>#N/A</c:v>
                </c:pt>
                <c:pt idx="1976">
                  <c:v>#N/A</c:v>
                </c:pt>
                <c:pt idx="1977">
                  <c:v>#N/A</c:v>
                </c:pt>
                <c:pt idx="1978">
                  <c:v>#N/A</c:v>
                </c:pt>
                <c:pt idx="1979">
                  <c:v>#N/A</c:v>
                </c:pt>
                <c:pt idx="1980">
                  <c:v>#N/A</c:v>
                </c:pt>
                <c:pt idx="1981">
                  <c:v>#N/A</c:v>
                </c:pt>
                <c:pt idx="1982">
                  <c:v>#N/A</c:v>
                </c:pt>
                <c:pt idx="1983">
                  <c:v>#N/A</c:v>
                </c:pt>
                <c:pt idx="1984">
                  <c:v>#N/A</c:v>
                </c:pt>
                <c:pt idx="1985">
                  <c:v>#N/A</c:v>
                </c:pt>
                <c:pt idx="1986">
                  <c:v>#N/A</c:v>
                </c:pt>
                <c:pt idx="1987">
                  <c:v>#N/A</c:v>
                </c:pt>
                <c:pt idx="1988">
                  <c:v>#N/A</c:v>
                </c:pt>
                <c:pt idx="1989">
                  <c:v>#N/A</c:v>
                </c:pt>
                <c:pt idx="1990">
                  <c:v>#N/A</c:v>
                </c:pt>
                <c:pt idx="1991">
                  <c:v>#N/A</c:v>
                </c:pt>
                <c:pt idx="1992">
                  <c:v>#N/A</c:v>
                </c:pt>
                <c:pt idx="1993">
                  <c:v>#N/A</c:v>
                </c:pt>
                <c:pt idx="1994">
                  <c:v>#N/A</c:v>
                </c:pt>
                <c:pt idx="1995">
                  <c:v>#N/A</c:v>
                </c:pt>
                <c:pt idx="1996">
                  <c:v>#N/A</c:v>
                </c:pt>
                <c:pt idx="1997">
                  <c:v>#N/A</c:v>
                </c:pt>
                <c:pt idx="1998">
                  <c:v>#N/A</c:v>
                </c:pt>
                <c:pt idx="1999">
                  <c:v>#N/A</c:v>
                </c:pt>
                <c:pt idx="2000">
                  <c:v>#N/A</c:v>
                </c:pt>
                <c:pt idx="2001">
                  <c:v>#N/A</c:v>
                </c:pt>
                <c:pt idx="2002">
                  <c:v>#N/A</c:v>
                </c:pt>
                <c:pt idx="2003">
                  <c:v>#N/A</c:v>
                </c:pt>
                <c:pt idx="2004">
                  <c:v>#N/A</c:v>
                </c:pt>
                <c:pt idx="2005">
                  <c:v>#N/A</c:v>
                </c:pt>
                <c:pt idx="2006">
                  <c:v>#N/A</c:v>
                </c:pt>
                <c:pt idx="2007">
                  <c:v>#N/A</c:v>
                </c:pt>
                <c:pt idx="2008">
                  <c:v>#N/A</c:v>
                </c:pt>
                <c:pt idx="2009">
                  <c:v>#N/A</c:v>
                </c:pt>
                <c:pt idx="2010">
                  <c:v>#N/A</c:v>
                </c:pt>
                <c:pt idx="2011">
                  <c:v>#N/A</c:v>
                </c:pt>
                <c:pt idx="2012">
                  <c:v>#N/A</c:v>
                </c:pt>
                <c:pt idx="2013">
                  <c:v>#N/A</c:v>
                </c:pt>
                <c:pt idx="2014">
                  <c:v>#N/A</c:v>
                </c:pt>
                <c:pt idx="2015">
                  <c:v>#N/A</c:v>
                </c:pt>
                <c:pt idx="2016">
                  <c:v>#N/A</c:v>
                </c:pt>
                <c:pt idx="2017">
                  <c:v>#N/A</c:v>
                </c:pt>
                <c:pt idx="2018">
                  <c:v>#N/A</c:v>
                </c:pt>
                <c:pt idx="2019">
                  <c:v>#N/A</c:v>
                </c:pt>
                <c:pt idx="2020">
                  <c:v>#N/A</c:v>
                </c:pt>
                <c:pt idx="2021">
                  <c:v>#N/A</c:v>
                </c:pt>
                <c:pt idx="2022">
                  <c:v>#N/A</c:v>
                </c:pt>
                <c:pt idx="2023">
                  <c:v>#N/A</c:v>
                </c:pt>
                <c:pt idx="2024">
                  <c:v>#N/A</c:v>
                </c:pt>
                <c:pt idx="2025">
                  <c:v>#N/A</c:v>
                </c:pt>
                <c:pt idx="2026">
                  <c:v>#N/A</c:v>
                </c:pt>
                <c:pt idx="2027">
                  <c:v>#N/A</c:v>
                </c:pt>
                <c:pt idx="2028">
                  <c:v>#N/A</c:v>
                </c:pt>
                <c:pt idx="2029">
                  <c:v>#N/A</c:v>
                </c:pt>
                <c:pt idx="2030">
                  <c:v>#N/A</c:v>
                </c:pt>
                <c:pt idx="2031">
                  <c:v>#N/A</c:v>
                </c:pt>
                <c:pt idx="2032">
                  <c:v>#N/A</c:v>
                </c:pt>
                <c:pt idx="2033">
                  <c:v>#N/A</c:v>
                </c:pt>
                <c:pt idx="2034">
                  <c:v>#N/A</c:v>
                </c:pt>
                <c:pt idx="2035">
                  <c:v>#N/A</c:v>
                </c:pt>
                <c:pt idx="2036">
                  <c:v>#N/A</c:v>
                </c:pt>
                <c:pt idx="2037">
                  <c:v>#N/A</c:v>
                </c:pt>
                <c:pt idx="2038">
                  <c:v>#N/A</c:v>
                </c:pt>
                <c:pt idx="2039">
                  <c:v>#N/A</c:v>
                </c:pt>
                <c:pt idx="2040">
                  <c:v>#N/A</c:v>
                </c:pt>
                <c:pt idx="2041">
                  <c:v>#N/A</c:v>
                </c:pt>
                <c:pt idx="2042">
                  <c:v>#N/A</c:v>
                </c:pt>
                <c:pt idx="2043">
                  <c:v>#N/A</c:v>
                </c:pt>
                <c:pt idx="2044">
                  <c:v>#N/A</c:v>
                </c:pt>
                <c:pt idx="2045">
                  <c:v>#N/A</c:v>
                </c:pt>
                <c:pt idx="2046">
                  <c:v>#N/A</c:v>
                </c:pt>
                <c:pt idx="2047">
                  <c:v>#N/A</c:v>
                </c:pt>
                <c:pt idx="2048">
                  <c:v>#N/A</c:v>
                </c:pt>
                <c:pt idx="2049">
                  <c:v>#N/A</c:v>
                </c:pt>
                <c:pt idx="2050">
                  <c:v>#N/A</c:v>
                </c:pt>
                <c:pt idx="2051">
                  <c:v>#N/A</c:v>
                </c:pt>
                <c:pt idx="2052">
                  <c:v>#N/A</c:v>
                </c:pt>
                <c:pt idx="2053">
                  <c:v>#N/A</c:v>
                </c:pt>
                <c:pt idx="2054">
                  <c:v>#N/A</c:v>
                </c:pt>
                <c:pt idx="2055">
                  <c:v>#N/A</c:v>
                </c:pt>
                <c:pt idx="2056">
                  <c:v>#N/A</c:v>
                </c:pt>
                <c:pt idx="2057">
                  <c:v>#N/A</c:v>
                </c:pt>
                <c:pt idx="2058">
                  <c:v>#N/A</c:v>
                </c:pt>
                <c:pt idx="2059">
                  <c:v>#N/A</c:v>
                </c:pt>
                <c:pt idx="2060">
                  <c:v>#N/A</c:v>
                </c:pt>
                <c:pt idx="2061">
                  <c:v>#N/A</c:v>
                </c:pt>
                <c:pt idx="2062">
                  <c:v>#N/A</c:v>
                </c:pt>
                <c:pt idx="2063">
                  <c:v>#N/A</c:v>
                </c:pt>
                <c:pt idx="2064">
                  <c:v>#N/A</c:v>
                </c:pt>
                <c:pt idx="2065">
                  <c:v>#N/A</c:v>
                </c:pt>
                <c:pt idx="2066">
                  <c:v>#N/A</c:v>
                </c:pt>
                <c:pt idx="2067">
                  <c:v>#N/A</c:v>
                </c:pt>
                <c:pt idx="2068">
                  <c:v>#N/A</c:v>
                </c:pt>
                <c:pt idx="2069">
                  <c:v>#N/A</c:v>
                </c:pt>
                <c:pt idx="2070">
                  <c:v>#N/A</c:v>
                </c:pt>
                <c:pt idx="2071">
                  <c:v>#N/A</c:v>
                </c:pt>
                <c:pt idx="2072">
                  <c:v>#N/A</c:v>
                </c:pt>
                <c:pt idx="2073">
                  <c:v>#N/A</c:v>
                </c:pt>
                <c:pt idx="2074">
                  <c:v>#N/A</c:v>
                </c:pt>
                <c:pt idx="2075">
                  <c:v>#N/A</c:v>
                </c:pt>
                <c:pt idx="2076">
                  <c:v>#N/A</c:v>
                </c:pt>
                <c:pt idx="2077">
                  <c:v>#N/A</c:v>
                </c:pt>
                <c:pt idx="2078">
                  <c:v>#N/A</c:v>
                </c:pt>
                <c:pt idx="2079">
                  <c:v>#N/A</c:v>
                </c:pt>
                <c:pt idx="2080">
                  <c:v>#N/A</c:v>
                </c:pt>
                <c:pt idx="2081">
                  <c:v>#N/A</c:v>
                </c:pt>
                <c:pt idx="2082">
                  <c:v>#N/A</c:v>
                </c:pt>
                <c:pt idx="2083">
                  <c:v>#N/A</c:v>
                </c:pt>
                <c:pt idx="2084">
                  <c:v>#N/A</c:v>
                </c:pt>
                <c:pt idx="2085">
                  <c:v>#N/A</c:v>
                </c:pt>
                <c:pt idx="2086">
                  <c:v>#N/A</c:v>
                </c:pt>
                <c:pt idx="2087">
                  <c:v>#N/A</c:v>
                </c:pt>
                <c:pt idx="2088">
                  <c:v>#N/A</c:v>
                </c:pt>
                <c:pt idx="2089">
                  <c:v>#N/A</c:v>
                </c:pt>
                <c:pt idx="2090">
                  <c:v>#N/A</c:v>
                </c:pt>
                <c:pt idx="2091">
                  <c:v>#N/A</c:v>
                </c:pt>
                <c:pt idx="2092">
                  <c:v>#N/A</c:v>
                </c:pt>
                <c:pt idx="2093">
                  <c:v>#N/A</c:v>
                </c:pt>
                <c:pt idx="2094">
                  <c:v>#N/A</c:v>
                </c:pt>
                <c:pt idx="2095">
                  <c:v>#N/A</c:v>
                </c:pt>
                <c:pt idx="2096">
                  <c:v>#N/A</c:v>
                </c:pt>
                <c:pt idx="2097">
                  <c:v>#N/A</c:v>
                </c:pt>
                <c:pt idx="2098">
                  <c:v>#N/A</c:v>
                </c:pt>
                <c:pt idx="2099">
                  <c:v>#N/A</c:v>
                </c:pt>
                <c:pt idx="2100">
                  <c:v>#N/A</c:v>
                </c:pt>
                <c:pt idx="2101">
                  <c:v>#N/A</c:v>
                </c:pt>
                <c:pt idx="2102">
                  <c:v>#N/A</c:v>
                </c:pt>
                <c:pt idx="2103">
                  <c:v>#N/A</c:v>
                </c:pt>
                <c:pt idx="2104">
                  <c:v>#N/A</c:v>
                </c:pt>
                <c:pt idx="2105">
                  <c:v>#N/A</c:v>
                </c:pt>
                <c:pt idx="2106">
                  <c:v>#N/A</c:v>
                </c:pt>
                <c:pt idx="2107">
                  <c:v>#N/A</c:v>
                </c:pt>
                <c:pt idx="2108">
                  <c:v>#N/A</c:v>
                </c:pt>
                <c:pt idx="2109">
                  <c:v>#N/A</c:v>
                </c:pt>
                <c:pt idx="2110">
                  <c:v>#N/A</c:v>
                </c:pt>
                <c:pt idx="2111">
                  <c:v>#N/A</c:v>
                </c:pt>
                <c:pt idx="2112">
                  <c:v>#N/A</c:v>
                </c:pt>
                <c:pt idx="2113">
                  <c:v>#N/A</c:v>
                </c:pt>
                <c:pt idx="2114">
                  <c:v>#N/A</c:v>
                </c:pt>
                <c:pt idx="2115">
                  <c:v>#N/A</c:v>
                </c:pt>
                <c:pt idx="2116">
                  <c:v>#N/A</c:v>
                </c:pt>
                <c:pt idx="2117">
                  <c:v>#N/A</c:v>
                </c:pt>
                <c:pt idx="2118">
                  <c:v>#N/A</c:v>
                </c:pt>
                <c:pt idx="2119">
                  <c:v>#N/A</c:v>
                </c:pt>
                <c:pt idx="2120">
                  <c:v>#N/A</c:v>
                </c:pt>
                <c:pt idx="2121">
                  <c:v>#N/A</c:v>
                </c:pt>
                <c:pt idx="2122">
                  <c:v>#N/A</c:v>
                </c:pt>
                <c:pt idx="2123">
                  <c:v>#N/A</c:v>
                </c:pt>
                <c:pt idx="2124">
                  <c:v>#N/A</c:v>
                </c:pt>
                <c:pt idx="2125">
                  <c:v>#N/A</c:v>
                </c:pt>
                <c:pt idx="2126">
                  <c:v>#N/A</c:v>
                </c:pt>
                <c:pt idx="2127">
                  <c:v>#N/A</c:v>
                </c:pt>
                <c:pt idx="2128">
                  <c:v>#N/A</c:v>
                </c:pt>
                <c:pt idx="2129">
                  <c:v>#N/A</c:v>
                </c:pt>
                <c:pt idx="2130">
                  <c:v>#N/A</c:v>
                </c:pt>
                <c:pt idx="2131">
                  <c:v>#N/A</c:v>
                </c:pt>
                <c:pt idx="2132">
                  <c:v>#N/A</c:v>
                </c:pt>
                <c:pt idx="2133">
                  <c:v>#N/A</c:v>
                </c:pt>
                <c:pt idx="2134">
                  <c:v>#N/A</c:v>
                </c:pt>
                <c:pt idx="2135">
                  <c:v>#N/A</c:v>
                </c:pt>
                <c:pt idx="2136">
                  <c:v>#N/A</c:v>
                </c:pt>
                <c:pt idx="2137">
                  <c:v>#N/A</c:v>
                </c:pt>
                <c:pt idx="2138">
                  <c:v>#N/A</c:v>
                </c:pt>
                <c:pt idx="2139">
                  <c:v>#N/A</c:v>
                </c:pt>
                <c:pt idx="2140">
                  <c:v>#N/A</c:v>
                </c:pt>
                <c:pt idx="2141">
                  <c:v>#N/A</c:v>
                </c:pt>
                <c:pt idx="2142">
                  <c:v>#N/A</c:v>
                </c:pt>
                <c:pt idx="2143">
                  <c:v>#N/A</c:v>
                </c:pt>
                <c:pt idx="2144">
                  <c:v>#N/A</c:v>
                </c:pt>
                <c:pt idx="2145">
                  <c:v>#N/A</c:v>
                </c:pt>
                <c:pt idx="2146">
                  <c:v>#N/A</c:v>
                </c:pt>
                <c:pt idx="2147">
                  <c:v>#N/A</c:v>
                </c:pt>
                <c:pt idx="2148">
                  <c:v>#N/A</c:v>
                </c:pt>
                <c:pt idx="2149">
                  <c:v>#N/A</c:v>
                </c:pt>
                <c:pt idx="2150">
                  <c:v>#N/A</c:v>
                </c:pt>
                <c:pt idx="2151">
                  <c:v>#N/A</c:v>
                </c:pt>
                <c:pt idx="2152">
                  <c:v>#N/A</c:v>
                </c:pt>
                <c:pt idx="2153">
                  <c:v>#N/A</c:v>
                </c:pt>
                <c:pt idx="2154">
                  <c:v>#N/A</c:v>
                </c:pt>
                <c:pt idx="2155">
                  <c:v>#N/A</c:v>
                </c:pt>
                <c:pt idx="2156">
                  <c:v>#N/A</c:v>
                </c:pt>
                <c:pt idx="2157">
                  <c:v>#N/A</c:v>
                </c:pt>
                <c:pt idx="2158">
                  <c:v>#N/A</c:v>
                </c:pt>
                <c:pt idx="2159">
                  <c:v>#N/A</c:v>
                </c:pt>
                <c:pt idx="2160">
                  <c:v>#N/A</c:v>
                </c:pt>
                <c:pt idx="2161">
                  <c:v>#N/A</c:v>
                </c:pt>
                <c:pt idx="2162">
                  <c:v>#N/A</c:v>
                </c:pt>
                <c:pt idx="2163">
                  <c:v>#N/A</c:v>
                </c:pt>
                <c:pt idx="2164">
                  <c:v>#N/A</c:v>
                </c:pt>
                <c:pt idx="2165">
                  <c:v>#N/A</c:v>
                </c:pt>
                <c:pt idx="2166">
                  <c:v>#N/A</c:v>
                </c:pt>
                <c:pt idx="2167">
                  <c:v>#N/A</c:v>
                </c:pt>
                <c:pt idx="2168">
                  <c:v>#N/A</c:v>
                </c:pt>
                <c:pt idx="2169">
                  <c:v>#N/A</c:v>
                </c:pt>
                <c:pt idx="2170">
                  <c:v>#N/A</c:v>
                </c:pt>
                <c:pt idx="2171">
                  <c:v>#N/A</c:v>
                </c:pt>
                <c:pt idx="2172">
                  <c:v>#N/A</c:v>
                </c:pt>
                <c:pt idx="2173">
                  <c:v>#N/A</c:v>
                </c:pt>
                <c:pt idx="2174">
                  <c:v>#N/A</c:v>
                </c:pt>
                <c:pt idx="2175">
                  <c:v>#N/A</c:v>
                </c:pt>
                <c:pt idx="2176">
                  <c:v>#N/A</c:v>
                </c:pt>
                <c:pt idx="2177">
                  <c:v>#N/A</c:v>
                </c:pt>
                <c:pt idx="2178">
                  <c:v>#N/A</c:v>
                </c:pt>
                <c:pt idx="2179">
                  <c:v>#N/A</c:v>
                </c:pt>
                <c:pt idx="2180">
                  <c:v>#N/A</c:v>
                </c:pt>
                <c:pt idx="2181">
                  <c:v>#N/A</c:v>
                </c:pt>
                <c:pt idx="2182">
                  <c:v>#N/A</c:v>
                </c:pt>
                <c:pt idx="2183">
                  <c:v>#N/A</c:v>
                </c:pt>
                <c:pt idx="2184">
                  <c:v>#N/A</c:v>
                </c:pt>
                <c:pt idx="2185">
                  <c:v>#N/A</c:v>
                </c:pt>
                <c:pt idx="2186">
                  <c:v>#N/A</c:v>
                </c:pt>
                <c:pt idx="2187">
                  <c:v>#N/A</c:v>
                </c:pt>
                <c:pt idx="2188">
                  <c:v>#N/A</c:v>
                </c:pt>
                <c:pt idx="2189">
                  <c:v>#N/A</c:v>
                </c:pt>
                <c:pt idx="2190">
                  <c:v>#N/A</c:v>
                </c:pt>
                <c:pt idx="2191">
                  <c:v>#N/A</c:v>
                </c:pt>
                <c:pt idx="2192">
                  <c:v>#N/A</c:v>
                </c:pt>
                <c:pt idx="2193">
                  <c:v>#N/A</c:v>
                </c:pt>
                <c:pt idx="2194">
                  <c:v>#N/A</c:v>
                </c:pt>
                <c:pt idx="2195">
                  <c:v>#N/A</c:v>
                </c:pt>
                <c:pt idx="2196">
                  <c:v>#N/A</c:v>
                </c:pt>
                <c:pt idx="2197">
                  <c:v>#N/A</c:v>
                </c:pt>
                <c:pt idx="2198">
                  <c:v>#N/A</c:v>
                </c:pt>
                <c:pt idx="2199">
                  <c:v>#N/A</c:v>
                </c:pt>
                <c:pt idx="2200">
                  <c:v>#N/A</c:v>
                </c:pt>
                <c:pt idx="2201">
                  <c:v>#N/A</c:v>
                </c:pt>
                <c:pt idx="2202">
                  <c:v>#N/A</c:v>
                </c:pt>
                <c:pt idx="2203">
                  <c:v>#N/A</c:v>
                </c:pt>
                <c:pt idx="2204">
                  <c:v>#N/A</c:v>
                </c:pt>
                <c:pt idx="2205">
                  <c:v>#N/A</c:v>
                </c:pt>
                <c:pt idx="2206">
                  <c:v>#N/A</c:v>
                </c:pt>
                <c:pt idx="2207">
                  <c:v>#N/A</c:v>
                </c:pt>
                <c:pt idx="2208">
                  <c:v>#N/A</c:v>
                </c:pt>
                <c:pt idx="2209">
                  <c:v>#N/A</c:v>
                </c:pt>
                <c:pt idx="2210">
                  <c:v>#N/A</c:v>
                </c:pt>
                <c:pt idx="2211">
                  <c:v>#N/A</c:v>
                </c:pt>
                <c:pt idx="2212">
                  <c:v>#N/A</c:v>
                </c:pt>
                <c:pt idx="2213">
                  <c:v>#N/A</c:v>
                </c:pt>
                <c:pt idx="2214">
                  <c:v>#N/A</c:v>
                </c:pt>
                <c:pt idx="2215">
                  <c:v>#N/A</c:v>
                </c:pt>
                <c:pt idx="2216">
                  <c:v>#N/A</c:v>
                </c:pt>
                <c:pt idx="2217">
                  <c:v>#N/A</c:v>
                </c:pt>
                <c:pt idx="2218">
                  <c:v>#N/A</c:v>
                </c:pt>
                <c:pt idx="2219">
                  <c:v>#N/A</c:v>
                </c:pt>
                <c:pt idx="2220">
                  <c:v>#N/A</c:v>
                </c:pt>
                <c:pt idx="2221">
                  <c:v>#N/A</c:v>
                </c:pt>
                <c:pt idx="2222">
                  <c:v>#N/A</c:v>
                </c:pt>
                <c:pt idx="2223">
                  <c:v>#N/A</c:v>
                </c:pt>
                <c:pt idx="2224">
                  <c:v>#N/A</c:v>
                </c:pt>
                <c:pt idx="2225">
                  <c:v>#N/A</c:v>
                </c:pt>
                <c:pt idx="2226">
                  <c:v>#N/A</c:v>
                </c:pt>
                <c:pt idx="2227">
                  <c:v>#N/A</c:v>
                </c:pt>
                <c:pt idx="2228">
                  <c:v>#N/A</c:v>
                </c:pt>
                <c:pt idx="2229">
                  <c:v>#N/A</c:v>
                </c:pt>
                <c:pt idx="2230">
                  <c:v>#N/A</c:v>
                </c:pt>
                <c:pt idx="2231">
                  <c:v>#N/A</c:v>
                </c:pt>
                <c:pt idx="2232">
                  <c:v>#N/A</c:v>
                </c:pt>
                <c:pt idx="2233">
                  <c:v>#N/A</c:v>
                </c:pt>
                <c:pt idx="2234">
                  <c:v>#N/A</c:v>
                </c:pt>
                <c:pt idx="2235">
                  <c:v>#N/A</c:v>
                </c:pt>
                <c:pt idx="2236">
                  <c:v>#N/A</c:v>
                </c:pt>
                <c:pt idx="2237">
                  <c:v>#N/A</c:v>
                </c:pt>
                <c:pt idx="2238">
                  <c:v>#N/A</c:v>
                </c:pt>
                <c:pt idx="2239">
                  <c:v>#N/A</c:v>
                </c:pt>
                <c:pt idx="2240">
                  <c:v>#N/A</c:v>
                </c:pt>
                <c:pt idx="2241">
                  <c:v>#N/A</c:v>
                </c:pt>
                <c:pt idx="2242">
                  <c:v>#N/A</c:v>
                </c:pt>
                <c:pt idx="2243">
                  <c:v>#N/A</c:v>
                </c:pt>
                <c:pt idx="2244">
                  <c:v>#N/A</c:v>
                </c:pt>
                <c:pt idx="2245">
                  <c:v>#N/A</c:v>
                </c:pt>
                <c:pt idx="2246">
                  <c:v>#N/A</c:v>
                </c:pt>
                <c:pt idx="2247">
                  <c:v>#N/A</c:v>
                </c:pt>
                <c:pt idx="2248">
                  <c:v>#N/A</c:v>
                </c:pt>
                <c:pt idx="2249">
                  <c:v>#N/A</c:v>
                </c:pt>
                <c:pt idx="2250">
                  <c:v>#N/A</c:v>
                </c:pt>
                <c:pt idx="2251">
                  <c:v>#N/A</c:v>
                </c:pt>
                <c:pt idx="2252">
                  <c:v>#N/A</c:v>
                </c:pt>
                <c:pt idx="2253">
                  <c:v>#N/A</c:v>
                </c:pt>
                <c:pt idx="2254">
                  <c:v>#N/A</c:v>
                </c:pt>
                <c:pt idx="2255">
                  <c:v>#N/A</c:v>
                </c:pt>
                <c:pt idx="2256">
                  <c:v>#N/A</c:v>
                </c:pt>
                <c:pt idx="2257">
                  <c:v>#N/A</c:v>
                </c:pt>
                <c:pt idx="2258">
                  <c:v>#N/A</c:v>
                </c:pt>
                <c:pt idx="2259">
                  <c:v>#N/A</c:v>
                </c:pt>
                <c:pt idx="2260">
                  <c:v>#N/A</c:v>
                </c:pt>
                <c:pt idx="2261">
                  <c:v>#N/A</c:v>
                </c:pt>
                <c:pt idx="2262">
                  <c:v>#N/A</c:v>
                </c:pt>
                <c:pt idx="2263">
                  <c:v>#N/A</c:v>
                </c:pt>
                <c:pt idx="2264">
                  <c:v>#N/A</c:v>
                </c:pt>
                <c:pt idx="2265">
                  <c:v>#N/A</c:v>
                </c:pt>
                <c:pt idx="2266">
                  <c:v>#N/A</c:v>
                </c:pt>
                <c:pt idx="2267">
                  <c:v>#N/A</c:v>
                </c:pt>
                <c:pt idx="2268">
                  <c:v>#N/A</c:v>
                </c:pt>
                <c:pt idx="2269">
                  <c:v>#N/A</c:v>
                </c:pt>
                <c:pt idx="2270">
                  <c:v>#N/A</c:v>
                </c:pt>
                <c:pt idx="2271">
                  <c:v>#N/A</c:v>
                </c:pt>
                <c:pt idx="2272">
                  <c:v>#N/A</c:v>
                </c:pt>
                <c:pt idx="2273">
                  <c:v>#N/A</c:v>
                </c:pt>
                <c:pt idx="2274">
                  <c:v>#N/A</c:v>
                </c:pt>
                <c:pt idx="2275">
                  <c:v>#N/A</c:v>
                </c:pt>
                <c:pt idx="2276">
                  <c:v>#N/A</c:v>
                </c:pt>
                <c:pt idx="2277">
                  <c:v>#N/A</c:v>
                </c:pt>
                <c:pt idx="2278">
                  <c:v>#N/A</c:v>
                </c:pt>
                <c:pt idx="2279">
                  <c:v>#N/A</c:v>
                </c:pt>
                <c:pt idx="2280">
                  <c:v>#N/A</c:v>
                </c:pt>
                <c:pt idx="2281">
                  <c:v>#N/A</c:v>
                </c:pt>
                <c:pt idx="2282">
                  <c:v>#N/A</c:v>
                </c:pt>
                <c:pt idx="2283">
                  <c:v>#N/A</c:v>
                </c:pt>
                <c:pt idx="2284">
                  <c:v>#N/A</c:v>
                </c:pt>
                <c:pt idx="2285">
                  <c:v>#N/A</c:v>
                </c:pt>
                <c:pt idx="2286">
                  <c:v>#N/A</c:v>
                </c:pt>
                <c:pt idx="2287">
                  <c:v>#N/A</c:v>
                </c:pt>
                <c:pt idx="2288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8F1-C974-49B2-9C17-08E16E5C92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010001"/>
        <c:axId val="50010002"/>
      </c:scatterChart>
      <c:valAx>
        <c:axId val="50010001"/>
        <c:scaling>
          <c:orientation val="minMax"/>
        </c:scaling>
        <c:delete val="0"/>
        <c:axPos val="b"/>
        <c:title>
          <c:tx>
            <c:strRef>
              <c:f>gráficos!$B$1</c:f>
              <c:strCache>
                <c:ptCount val="1"/>
              </c:strCache>
            </c:strRef>
          </c:tx>
          <c:overlay val="0"/>
          <c:txPr>
            <a:bodyPr/>
            <a:lstStyle/>
            <a:p>
              <a:pPr>
                <a:defRPr/>
              </a:pPr>
              <a:endParaRPr lang="pt-BR"/>
            </a:p>
          </c:txPr>
        </c:title>
        <c:numFmt formatCode="General" sourceLinked="1"/>
        <c:majorTickMark val="out"/>
        <c:minorTickMark val="none"/>
        <c:tickLblPos val="nextTo"/>
        <c:crossAx val="50010002"/>
        <c:crosses val="autoZero"/>
        <c:crossBetween val="midCat"/>
      </c:valAx>
      <c:valAx>
        <c:axId val="50010002"/>
        <c:scaling>
          <c:orientation val="minMax"/>
        </c:scaling>
        <c:delete val="0"/>
        <c:axPos val="l"/>
        <c:majorGridlines/>
        <c:title>
          <c:tx>
            <c:strRef>
              <c:f>gráficos!$B$2</c:f>
              <c:strCache>
                <c:ptCount val="1"/>
              </c:strCache>
            </c:strRef>
          </c:tx>
          <c:overlay val="0"/>
          <c:txPr>
            <a:bodyPr rot="-5400000" vert="horz"/>
            <a:lstStyle/>
            <a:p>
              <a:pPr>
                <a:defRPr/>
              </a:pPr>
              <a:endParaRPr lang="pt-BR"/>
            </a:p>
          </c:txPr>
        </c:title>
        <c:numFmt formatCode="General" sourceLinked="1"/>
        <c:majorTickMark val="out"/>
        <c:minorTickMark val="none"/>
        <c:tickLblPos val="nextTo"/>
        <c:crossAx val="50010001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50800</xdr:colOff>
      <xdr:row>3</xdr:row>
      <xdr:rowOff>86360</xdr:rowOff>
    </xdr:from>
    <xdr:to>
      <xdr:col>10</xdr:col>
      <xdr:colOff>254000</xdr:colOff>
      <xdr:row>24</xdr:row>
      <xdr:rowOff>55880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CC3D4841-23E5-6597-0BE2-6F7211088A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E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Z108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100</v>
      </c>
      <c r="C2" t="s">
        <v>26</v>
      </c>
      <c r="D2">
        <v>7.0002000000000004</v>
      </c>
      <c r="E2">
        <v>14.29</v>
      </c>
      <c r="F2">
        <v>8.42</v>
      </c>
      <c r="G2">
        <v>5.88</v>
      </c>
      <c r="H2">
        <v>0.09</v>
      </c>
      <c r="I2">
        <v>86</v>
      </c>
      <c r="J2">
        <v>194.77</v>
      </c>
      <c r="K2">
        <v>54.38</v>
      </c>
      <c r="L2">
        <v>1</v>
      </c>
      <c r="M2">
        <v>84</v>
      </c>
      <c r="N2">
        <v>39.4</v>
      </c>
      <c r="O2">
        <v>24256.19</v>
      </c>
      <c r="P2">
        <v>117.72</v>
      </c>
      <c r="Q2">
        <v>204.24</v>
      </c>
      <c r="R2">
        <v>75.95</v>
      </c>
      <c r="S2">
        <v>17.37</v>
      </c>
      <c r="T2">
        <v>26787.56</v>
      </c>
      <c r="U2">
        <v>0.23</v>
      </c>
      <c r="V2">
        <v>0.61</v>
      </c>
      <c r="W2">
        <v>1.27</v>
      </c>
      <c r="X2">
        <v>1.73</v>
      </c>
      <c r="Y2">
        <v>1</v>
      </c>
      <c r="Z2">
        <v>10</v>
      </c>
    </row>
    <row r="3" spans="1:26" x14ac:dyDescent="0.3">
      <c r="A3">
        <v>1</v>
      </c>
      <c r="B3">
        <v>100</v>
      </c>
      <c r="C3" t="s">
        <v>26</v>
      </c>
      <c r="D3">
        <v>7.6668000000000003</v>
      </c>
      <c r="E3">
        <v>13.04</v>
      </c>
      <c r="F3">
        <v>8</v>
      </c>
      <c r="G3">
        <v>7.38</v>
      </c>
      <c r="H3">
        <v>0.11</v>
      </c>
      <c r="I3">
        <v>65</v>
      </c>
      <c r="J3">
        <v>195.16</v>
      </c>
      <c r="K3">
        <v>54.38</v>
      </c>
      <c r="L3">
        <v>1.25</v>
      </c>
      <c r="M3">
        <v>63</v>
      </c>
      <c r="N3">
        <v>39.53</v>
      </c>
      <c r="O3">
        <v>24303.87</v>
      </c>
      <c r="P3">
        <v>111.61</v>
      </c>
      <c r="Q3">
        <v>204.22</v>
      </c>
      <c r="R3">
        <v>62.56</v>
      </c>
      <c r="S3">
        <v>17.37</v>
      </c>
      <c r="T3">
        <v>20199.45</v>
      </c>
      <c r="U3">
        <v>0.28000000000000003</v>
      </c>
      <c r="V3">
        <v>0.64</v>
      </c>
      <c r="W3">
        <v>1.24</v>
      </c>
      <c r="X3">
        <v>1.31</v>
      </c>
      <c r="Y3">
        <v>1</v>
      </c>
      <c r="Z3">
        <v>10</v>
      </c>
    </row>
    <row r="4" spans="1:26" x14ac:dyDescent="0.3">
      <c r="A4">
        <v>2</v>
      </c>
      <c r="B4">
        <v>100</v>
      </c>
      <c r="C4" t="s">
        <v>26</v>
      </c>
      <c r="D4">
        <v>8.1091999999999995</v>
      </c>
      <c r="E4">
        <v>12.33</v>
      </c>
      <c r="F4">
        <v>7.75</v>
      </c>
      <c r="G4">
        <v>8.7799999999999994</v>
      </c>
      <c r="H4">
        <v>0.14000000000000001</v>
      </c>
      <c r="I4">
        <v>53</v>
      </c>
      <c r="J4">
        <v>195.55</v>
      </c>
      <c r="K4">
        <v>54.38</v>
      </c>
      <c r="L4">
        <v>1.5</v>
      </c>
      <c r="M4">
        <v>51</v>
      </c>
      <c r="N4">
        <v>39.67</v>
      </c>
      <c r="O4">
        <v>24351.61</v>
      </c>
      <c r="P4">
        <v>108.05</v>
      </c>
      <c r="Q4">
        <v>204.18</v>
      </c>
      <c r="R4">
        <v>54.86</v>
      </c>
      <c r="S4">
        <v>17.37</v>
      </c>
      <c r="T4">
        <v>16405.82</v>
      </c>
      <c r="U4">
        <v>0.32</v>
      </c>
      <c r="V4">
        <v>0.66</v>
      </c>
      <c r="W4">
        <v>1.22</v>
      </c>
      <c r="X4">
        <v>1.06</v>
      </c>
      <c r="Y4">
        <v>1</v>
      </c>
      <c r="Z4">
        <v>10</v>
      </c>
    </row>
    <row r="5" spans="1:26" x14ac:dyDescent="0.3">
      <c r="A5">
        <v>3</v>
      </c>
      <c r="B5">
        <v>100</v>
      </c>
      <c r="C5" t="s">
        <v>26</v>
      </c>
      <c r="D5">
        <v>8.4898000000000007</v>
      </c>
      <c r="E5">
        <v>11.78</v>
      </c>
      <c r="F5">
        <v>7.55</v>
      </c>
      <c r="G5">
        <v>10.3</v>
      </c>
      <c r="H5">
        <v>0.16</v>
      </c>
      <c r="I5">
        <v>44</v>
      </c>
      <c r="J5">
        <v>195.93</v>
      </c>
      <c r="K5">
        <v>54.38</v>
      </c>
      <c r="L5">
        <v>1.75</v>
      </c>
      <c r="M5">
        <v>42</v>
      </c>
      <c r="N5">
        <v>39.81</v>
      </c>
      <c r="O5">
        <v>24399.39</v>
      </c>
      <c r="P5">
        <v>105</v>
      </c>
      <c r="Q5">
        <v>204.14</v>
      </c>
      <c r="R5">
        <v>48.73</v>
      </c>
      <c r="S5">
        <v>17.37</v>
      </c>
      <c r="T5">
        <v>13389.48</v>
      </c>
      <c r="U5">
        <v>0.36</v>
      </c>
      <c r="V5">
        <v>0.68</v>
      </c>
      <c r="W5">
        <v>1.2</v>
      </c>
      <c r="X5">
        <v>0.86</v>
      </c>
      <c r="Y5">
        <v>1</v>
      </c>
      <c r="Z5">
        <v>10</v>
      </c>
    </row>
    <row r="6" spans="1:26" x14ac:dyDescent="0.3">
      <c r="A6">
        <v>4</v>
      </c>
      <c r="B6">
        <v>100</v>
      </c>
      <c r="C6" t="s">
        <v>26</v>
      </c>
      <c r="D6">
        <v>8.7418999999999993</v>
      </c>
      <c r="E6">
        <v>11.44</v>
      </c>
      <c r="F6">
        <v>7.44</v>
      </c>
      <c r="G6">
        <v>11.75</v>
      </c>
      <c r="H6">
        <v>0.18</v>
      </c>
      <c r="I6">
        <v>38</v>
      </c>
      <c r="J6">
        <v>196.32</v>
      </c>
      <c r="K6">
        <v>54.38</v>
      </c>
      <c r="L6">
        <v>2</v>
      </c>
      <c r="M6">
        <v>36</v>
      </c>
      <c r="N6">
        <v>39.950000000000003</v>
      </c>
      <c r="O6">
        <v>24447.22</v>
      </c>
      <c r="P6">
        <v>103.38</v>
      </c>
      <c r="Q6">
        <v>204.19</v>
      </c>
      <c r="R6">
        <v>45.25</v>
      </c>
      <c r="S6">
        <v>17.37</v>
      </c>
      <c r="T6">
        <v>11677.18</v>
      </c>
      <c r="U6">
        <v>0.38</v>
      </c>
      <c r="V6">
        <v>0.69</v>
      </c>
      <c r="W6">
        <v>1.2</v>
      </c>
      <c r="X6">
        <v>0.75</v>
      </c>
      <c r="Y6">
        <v>1</v>
      </c>
      <c r="Z6">
        <v>10</v>
      </c>
    </row>
    <row r="7" spans="1:26" x14ac:dyDescent="0.3">
      <c r="A7">
        <v>5</v>
      </c>
      <c r="B7">
        <v>100</v>
      </c>
      <c r="C7" t="s">
        <v>26</v>
      </c>
      <c r="D7">
        <v>8.9337</v>
      </c>
      <c r="E7">
        <v>11.19</v>
      </c>
      <c r="F7">
        <v>7.35</v>
      </c>
      <c r="G7">
        <v>12.98</v>
      </c>
      <c r="H7">
        <v>0.2</v>
      </c>
      <c r="I7">
        <v>34</v>
      </c>
      <c r="J7">
        <v>196.71</v>
      </c>
      <c r="K7">
        <v>54.38</v>
      </c>
      <c r="L7">
        <v>2.25</v>
      </c>
      <c r="M7">
        <v>32</v>
      </c>
      <c r="N7">
        <v>40.08</v>
      </c>
      <c r="O7">
        <v>24495.09</v>
      </c>
      <c r="P7">
        <v>101.97</v>
      </c>
      <c r="Q7">
        <v>204.17</v>
      </c>
      <c r="R7">
        <v>42.64</v>
      </c>
      <c r="S7">
        <v>17.37</v>
      </c>
      <c r="T7">
        <v>10391.299999999999</v>
      </c>
      <c r="U7">
        <v>0.41</v>
      </c>
      <c r="V7">
        <v>0.69</v>
      </c>
      <c r="W7">
        <v>1.19</v>
      </c>
      <c r="X7">
        <v>0.66</v>
      </c>
      <c r="Y7">
        <v>1</v>
      </c>
      <c r="Z7">
        <v>10</v>
      </c>
    </row>
    <row r="8" spans="1:26" x14ac:dyDescent="0.3">
      <c r="A8">
        <v>6</v>
      </c>
      <c r="B8">
        <v>100</v>
      </c>
      <c r="C8" t="s">
        <v>26</v>
      </c>
      <c r="D8">
        <v>9.1173999999999999</v>
      </c>
      <c r="E8">
        <v>10.97</v>
      </c>
      <c r="F8">
        <v>7.28</v>
      </c>
      <c r="G8">
        <v>14.57</v>
      </c>
      <c r="H8">
        <v>0.23</v>
      </c>
      <c r="I8">
        <v>30</v>
      </c>
      <c r="J8">
        <v>197.1</v>
      </c>
      <c r="K8">
        <v>54.38</v>
      </c>
      <c r="L8">
        <v>2.5</v>
      </c>
      <c r="M8">
        <v>28</v>
      </c>
      <c r="N8">
        <v>40.22</v>
      </c>
      <c r="O8">
        <v>24543.01</v>
      </c>
      <c r="P8">
        <v>100.91</v>
      </c>
      <c r="Q8">
        <v>204.17</v>
      </c>
      <c r="R8">
        <v>40.340000000000003</v>
      </c>
      <c r="S8">
        <v>17.37</v>
      </c>
      <c r="T8">
        <v>9260.69</v>
      </c>
      <c r="U8">
        <v>0.43</v>
      </c>
      <c r="V8">
        <v>0.7</v>
      </c>
      <c r="W8">
        <v>1.18</v>
      </c>
      <c r="X8">
        <v>0.59</v>
      </c>
      <c r="Y8">
        <v>1</v>
      </c>
      <c r="Z8">
        <v>10</v>
      </c>
    </row>
    <row r="9" spans="1:26" x14ac:dyDescent="0.3">
      <c r="A9">
        <v>7</v>
      </c>
      <c r="B9">
        <v>100</v>
      </c>
      <c r="C9" t="s">
        <v>26</v>
      </c>
      <c r="D9">
        <v>9.2805</v>
      </c>
      <c r="E9">
        <v>10.78</v>
      </c>
      <c r="F9">
        <v>7.21</v>
      </c>
      <c r="G9">
        <v>16.02</v>
      </c>
      <c r="H9">
        <v>0.25</v>
      </c>
      <c r="I9">
        <v>27</v>
      </c>
      <c r="J9">
        <v>197.49</v>
      </c>
      <c r="K9">
        <v>54.38</v>
      </c>
      <c r="L9">
        <v>2.75</v>
      </c>
      <c r="M9">
        <v>25</v>
      </c>
      <c r="N9">
        <v>40.36</v>
      </c>
      <c r="O9">
        <v>24590.98</v>
      </c>
      <c r="P9">
        <v>99.64</v>
      </c>
      <c r="Q9">
        <v>204.15</v>
      </c>
      <c r="R9">
        <v>37.94</v>
      </c>
      <c r="S9">
        <v>17.37</v>
      </c>
      <c r="T9">
        <v>8078.98</v>
      </c>
      <c r="U9">
        <v>0.46</v>
      </c>
      <c r="V9">
        <v>0.71</v>
      </c>
      <c r="W9">
        <v>1.18</v>
      </c>
      <c r="X9">
        <v>0.52</v>
      </c>
      <c r="Y9">
        <v>1</v>
      </c>
      <c r="Z9">
        <v>10</v>
      </c>
    </row>
    <row r="10" spans="1:26" x14ac:dyDescent="0.3">
      <c r="A10">
        <v>8</v>
      </c>
      <c r="B10">
        <v>100</v>
      </c>
      <c r="C10" t="s">
        <v>26</v>
      </c>
      <c r="D10">
        <v>9.3770000000000007</v>
      </c>
      <c r="E10">
        <v>10.66</v>
      </c>
      <c r="F10">
        <v>7.18</v>
      </c>
      <c r="G10">
        <v>17.22</v>
      </c>
      <c r="H10">
        <v>0.27</v>
      </c>
      <c r="I10">
        <v>25</v>
      </c>
      <c r="J10">
        <v>197.88</v>
      </c>
      <c r="K10">
        <v>54.38</v>
      </c>
      <c r="L10">
        <v>3</v>
      </c>
      <c r="M10">
        <v>23</v>
      </c>
      <c r="N10">
        <v>40.5</v>
      </c>
      <c r="O10">
        <v>24639</v>
      </c>
      <c r="P10">
        <v>99.06</v>
      </c>
      <c r="Q10">
        <v>204.18</v>
      </c>
      <c r="R10">
        <v>36.96</v>
      </c>
      <c r="S10">
        <v>17.37</v>
      </c>
      <c r="T10">
        <v>7598.41</v>
      </c>
      <c r="U10">
        <v>0.47</v>
      </c>
      <c r="V10">
        <v>0.71</v>
      </c>
      <c r="W10">
        <v>1.18</v>
      </c>
      <c r="X10">
        <v>0.48</v>
      </c>
      <c r="Y10">
        <v>1</v>
      </c>
      <c r="Z10">
        <v>10</v>
      </c>
    </row>
    <row r="11" spans="1:26" x14ac:dyDescent="0.3">
      <c r="A11">
        <v>9</v>
      </c>
      <c r="B11">
        <v>100</v>
      </c>
      <c r="C11" t="s">
        <v>26</v>
      </c>
      <c r="D11">
        <v>9.4773999999999994</v>
      </c>
      <c r="E11">
        <v>10.55</v>
      </c>
      <c r="F11">
        <v>7.14</v>
      </c>
      <c r="G11">
        <v>18.63</v>
      </c>
      <c r="H11">
        <v>0.28999999999999998</v>
      </c>
      <c r="I11">
        <v>23</v>
      </c>
      <c r="J11">
        <v>198.27</v>
      </c>
      <c r="K11">
        <v>54.38</v>
      </c>
      <c r="L11">
        <v>3.25</v>
      </c>
      <c r="M11">
        <v>21</v>
      </c>
      <c r="N11">
        <v>40.64</v>
      </c>
      <c r="O11">
        <v>24687.06</v>
      </c>
      <c r="P11">
        <v>98.47</v>
      </c>
      <c r="Q11">
        <v>204.15</v>
      </c>
      <c r="R11">
        <v>35.96</v>
      </c>
      <c r="S11">
        <v>17.37</v>
      </c>
      <c r="T11">
        <v>7108.61</v>
      </c>
      <c r="U11">
        <v>0.48</v>
      </c>
      <c r="V11">
        <v>0.72</v>
      </c>
      <c r="W11">
        <v>1.17</v>
      </c>
      <c r="X11">
        <v>0.45</v>
      </c>
      <c r="Y11">
        <v>1</v>
      </c>
      <c r="Z11">
        <v>10</v>
      </c>
    </row>
    <row r="12" spans="1:26" x14ac:dyDescent="0.3">
      <c r="A12">
        <v>10</v>
      </c>
      <c r="B12">
        <v>100</v>
      </c>
      <c r="C12" t="s">
        <v>26</v>
      </c>
      <c r="D12">
        <v>9.6026000000000007</v>
      </c>
      <c r="E12">
        <v>10.41</v>
      </c>
      <c r="F12">
        <v>7.08</v>
      </c>
      <c r="G12">
        <v>20.23</v>
      </c>
      <c r="H12">
        <v>0.31</v>
      </c>
      <c r="I12">
        <v>21</v>
      </c>
      <c r="J12">
        <v>198.66</v>
      </c>
      <c r="K12">
        <v>54.38</v>
      </c>
      <c r="L12">
        <v>3.5</v>
      </c>
      <c r="M12">
        <v>19</v>
      </c>
      <c r="N12">
        <v>40.78</v>
      </c>
      <c r="O12">
        <v>24735.17</v>
      </c>
      <c r="P12">
        <v>97.39</v>
      </c>
      <c r="Q12">
        <v>204.19</v>
      </c>
      <c r="R12">
        <v>33.97</v>
      </c>
      <c r="S12">
        <v>17.37</v>
      </c>
      <c r="T12">
        <v>6121.31</v>
      </c>
      <c r="U12">
        <v>0.51</v>
      </c>
      <c r="V12">
        <v>0.72</v>
      </c>
      <c r="W12">
        <v>1.17</v>
      </c>
      <c r="X12">
        <v>0.39</v>
      </c>
      <c r="Y12">
        <v>1</v>
      </c>
      <c r="Z12">
        <v>10</v>
      </c>
    </row>
    <row r="13" spans="1:26" x14ac:dyDescent="0.3">
      <c r="A13">
        <v>11</v>
      </c>
      <c r="B13">
        <v>100</v>
      </c>
      <c r="C13" t="s">
        <v>26</v>
      </c>
      <c r="D13">
        <v>9.6386000000000003</v>
      </c>
      <c r="E13">
        <v>10.38</v>
      </c>
      <c r="F13">
        <v>7.08</v>
      </c>
      <c r="G13">
        <v>21.24</v>
      </c>
      <c r="H13">
        <v>0.33</v>
      </c>
      <c r="I13">
        <v>20</v>
      </c>
      <c r="J13">
        <v>199.05</v>
      </c>
      <c r="K13">
        <v>54.38</v>
      </c>
      <c r="L13">
        <v>3.75</v>
      </c>
      <c r="M13">
        <v>18</v>
      </c>
      <c r="N13">
        <v>40.92</v>
      </c>
      <c r="O13">
        <v>24783.33</v>
      </c>
      <c r="P13">
        <v>97.33</v>
      </c>
      <c r="Q13">
        <v>204.14</v>
      </c>
      <c r="R13">
        <v>33.89</v>
      </c>
      <c r="S13">
        <v>17.37</v>
      </c>
      <c r="T13">
        <v>6085.66</v>
      </c>
      <c r="U13">
        <v>0.51</v>
      </c>
      <c r="V13">
        <v>0.72</v>
      </c>
      <c r="W13">
        <v>1.17</v>
      </c>
      <c r="X13">
        <v>0.39</v>
      </c>
      <c r="Y13">
        <v>1</v>
      </c>
      <c r="Z13">
        <v>10</v>
      </c>
    </row>
    <row r="14" spans="1:26" x14ac:dyDescent="0.3">
      <c r="A14">
        <v>12</v>
      </c>
      <c r="B14">
        <v>100</v>
      </c>
      <c r="C14" t="s">
        <v>26</v>
      </c>
      <c r="D14">
        <v>9.6961999999999993</v>
      </c>
      <c r="E14">
        <v>10.31</v>
      </c>
      <c r="F14">
        <v>7.06</v>
      </c>
      <c r="G14">
        <v>22.29</v>
      </c>
      <c r="H14">
        <v>0.36</v>
      </c>
      <c r="I14">
        <v>19</v>
      </c>
      <c r="J14">
        <v>199.44</v>
      </c>
      <c r="K14">
        <v>54.38</v>
      </c>
      <c r="L14">
        <v>4</v>
      </c>
      <c r="M14">
        <v>17</v>
      </c>
      <c r="N14">
        <v>41.06</v>
      </c>
      <c r="O14">
        <v>24831.54</v>
      </c>
      <c r="P14">
        <v>96.88</v>
      </c>
      <c r="Q14">
        <v>204.18</v>
      </c>
      <c r="R14">
        <v>33.17</v>
      </c>
      <c r="S14">
        <v>17.37</v>
      </c>
      <c r="T14">
        <v>5733.43</v>
      </c>
      <c r="U14">
        <v>0.52</v>
      </c>
      <c r="V14">
        <v>0.72</v>
      </c>
      <c r="W14">
        <v>1.17</v>
      </c>
      <c r="X14">
        <v>0.37</v>
      </c>
      <c r="Y14">
        <v>1</v>
      </c>
      <c r="Z14">
        <v>10</v>
      </c>
    </row>
    <row r="15" spans="1:26" x14ac:dyDescent="0.3">
      <c r="A15">
        <v>13</v>
      </c>
      <c r="B15">
        <v>100</v>
      </c>
      <c r="C15" t="s">
        <v>26</v>
      </c>
      <c r="D15">
        <v>9.7639999999999993</v>
      </c>
      <c r="E15">
        <v>10.24</v>
      </c>
      <c r="F15">
        <v>7.03</v>
      </c>
      <c r="G15">
        <v>23.42</v>
      </c>
      <c r="H15">
        <v>0.38</v>
      </c>
      <c r="I15">
        <v>18</v>
      </c>
      <c r="J15">
        <v>199.83</v>
      </c>
      <c r="K15">
        <v>54.38</v>
      </c>
      <c r="L15">
        <v>4.25</v>
      </c>
      <c r="M15">
        <v>16</v>
      </c>
      <c r="N15">
        <v>41.2</v>
      </c>
      <c r="O15">
        <v>24879.79</v>
      </c>
      <c r="P15">
        <v>96.1</v>
      </c>
      <c r="Q15">
        <v>204.17</v>
      </c>
      <c r="R15">
        <v>32.159999999999997</v>
      </c>
      <c r="S15">
        <v>17.37</v>
      </c>
      <c r="T15">
        <v>5233.09</v>
      </c>
      <c r="U15">
        <v>0.54</v>
      </c>
      <c r="V15">
        <v>0.73</v>
      </c>
      <c r="W15">
        <v>1.17</v>
      </c>
      <c r="X15">
        <v>0.33</v>
      </c>
      <c r="Y15">
        <v>1</v>
      </c>
      <c r="Z15">
        <v>10</v>
      </c>
    </row>
    <row r="16" spans="1:26" x14ac:dyDescent="0.3">
      <c r="A16">
        <v>14</v>
      </c>
      <c r="B16">
        <v>100</v>
      </c>
      <c r="C16" t="s">
        <v>26</v>
      </c>
      <c r="D16">
        <v>9.8117000000000001</v>
      </c>
      <c r="E16">
        <v>10.19</v>
      </c>
      <c r="F16">
        <v>7.01</v>
      </c>
      <c r="G16">
        <v>24.76</v>
      </c>
      <c r="H16">
        <v>0.4</v>
      </c>
      <c r="I16">
        <v>17</v>
      </c>
      <c r="J16">
        <v>200.22</v>
      </c>
      <c r="K16">
        <v>54.38</v>
      </c>
      <c r="L16">
        <v>4.5</v>
      </c>
      <c r="M16">
        <v>15</v>
      </c>
      <c r="N16">
        <v>41.35</v>
      </c>
      <c r="O16">
        <v>24928.09</v>
      </c>
      <c r="P16">
        <v>96.03</v>
      </c>
      <c r="Q16">
        <v>204.14</v>
      </c>
      <c r="R16">
        <v>31.77</v>
      </c>
      <c r="S16">
        <v>17.37</v>
      </c>
      <c r="T16">
        <v>5041.0200000000004</v>
      </c>
      <c r="U16">
        <v>0.55000000000000004</v>
      </c>
      <c r="V16">
        <v>0.73</v>
      </c>
      <c r="W16">
        <v>1.17</v>
      </c>
      <c r="X16">
        <v>0.32</v>
      </c>
      <c r="Y16">
        <v>1</v>
      </c>
      <c r="Z16">
        <v>10</v>
      </c>
    </row>
    <row r="17" spans="1:26" x14ac:dyDescent="0.3">
      <c r="A17">
        <v>15</v>
      </c>
      <c r="B17">
        <v>100</v>
      </c>
      <c r="C17" t="s">
        <v>26</v>
      </c>
      <c r="D17">
        <v>9.8611000000000004</v>
      </c>
      <c r="E17">
        <v>10.14</v>
      </c>
      <c r="F17">
        <v>7</v>
      </c>
      <c r="G17">
        <v>26.26</v>
      </c>
      <c r="H17">
        <v>0.42</v>
      </c>
      <c r="I17">
        <v>16</v>
      </c>
      <c r="J17">
        <v>200.61</v>
      </c>
      <c r="K17">
        <v>54.38</v>
      </c>
      <c r="L17">
        <v>4.75</v>
      </c>
      <c r="M17">
        <v>14</v>
      </c>
      <c r="N17">
        <v>41.49</v>
      </c>
      <c r="O17">
        <v>24976.45</v>
      </c>
      <c r="P17">
        <v>95.61</v>
      </c>
      <c r="Q17">
        <v>204.18</v>
      </c>
      <c r="R17">
        <v>31.55</v>
      </c>
      <c r="S17">
        <v>17.37</v>
      </c>
      <c r="T17">
        <v>4935.9399999999996</v>
      </c>
      <c r="U17">
        <v>0.55000000000000004</v>
      </c>
      <c r="V17">
        <v>0.73</v>
      </c>
      <c r="W17">
        <v>1.1599999999999999</v>
      </c>
      <c r="X17">
        <v>0.31</v>
      </c>
      <c r="Y17">
        <v>1</v>
      </c>
      <c r="Z17">
        <v>10</v>
      </c>
    </row>
    <row r="18" spans="1:26" x14ac:dyDescent="0.3">
      <c r="A18">
        <v>16</v>
      </c>
      <c r="B18">
        <v>100</v>
      </c>
      <c r="C18" t="s">
        <v>26</v>
      </c>
      <c r="D18">
        <v>9.9345999999999997</v>
      </c>
      <c r="E18">
        <v>10.07</v>
      </c>
      <c r="F18">
        <v>6.97</v>
      </c>
      <c r="G18">
        <v>27.86</v>
      </c>
      <c r="H18">
        <v>0.44</v>
      </c>
      <c r="I18">
        <v>15</v>
      </c>
      <c r="J18">
        <v>201.01</v>
      </c>
      <c r="K18">
        <v>54.38</v>
      </c>
      <c r="L18">
        <v>5</v>
      </c>
      <c r="M18">
        <v>13</v>
      </c>
      <c r="N18">
        <v>41.63</v>
      </c>
      <c r="O18">
        <v>25024.84</v>
      </c>
      <c r="P18">
        <v>95.05</v>
      </c>
      <c r="Q18">
        <v>204.14</v>
      </c>
      <c r="R18">
        <v>30.31</v>
      </c>
      <c r="S18">
        <v>17.37</v>
      </c>
      <c r="T18">
        <v>4321.62</v>
      </c>
      <c r="U18">
        <v>0.56999999999999995</v>
      </c>
      <c r="V18">
        <v>0.73</v>
      </c>
      <c r="W18">
        <v>1.1599999999999999</v>
      </c>
      <c r="X18">
        <v>0.27</v>
      </c>
      <c r="Y18">
        <v>1</v>
      </c>
      <c r="Z18">
        <v>10</v>
      </c>
    </row>
    <row r="19" spans="1:26" x14ac:dyDescent="0.3">
      <c r="A19">
        <v>17</v>
      </c>
      <c r="B19">
        <v>100</v>
      </c>
      <c r="C19" t="s">
        <v>26</v>
      </c>
      <c r="D19">
        <v>9.9863999999999997</v>
      </c>
      <c r="E19">
        <v>10.01</v>
      </c>
      <c r="F19">
        <v>6.95</v>
      </c>
      <c r="G19">
        <v>29.8</v>
      </c>
      <c r="H19">
        <v>0.46</v>
      </c>
      <c r="I19">
        <v>14</v>
      </c>
      <c r="J19">
        <v>201.4</v>
      </c>
      <c r="K19">
        <v>54.38</v>
      </c>
      <c r="L19">
        <v>5.25</v>
      </c>
      <c r="M19">
        <v>12</v>
      </c>
      <c r="N19">
        <v>41.77</v>
      </c>
      <c r="O19">
        <v>25073.29</v>
      </c>
      <c r="P19">
        <v>94.59</v>
      </c>
      <c r="Q19">
        <v>204.14</v>
      </c>
      <c r="R19">
        <v>30.08</v>
      </c>
      <c r="S19">
        <v>17.37</v>
      </c>
      <c r="T19">
        <v>4211.83</v>
      </c>
      <c r="U19">
        <v>0.57999999999999996</v>
      </c>
      <c r="V19">
        <v>0.73</v>
      </c>
      <c r="W19">
        <v>1.1599999999999999</v>
      </c>
      <c r="X19">
        <v>0.26</v>
      </c>
      <c r="Y19">
        <v>1</v>
      </c>
      <c r="Z19">
        <v>10</v>
      </c>
    </row>
    <row r="20" spans="1:26" x14ac:dyDescent="0.3">
      <c r="A20">
        <v>18</v>
      </c>
      <c r="B20">
        <v>100</v>
      </c>
      <c r="C20" t="s">
        <v>26</v>
      </c>
      <c r="D20">
        <v>9.9863999999999997</v>
      </c>
      <c r="E20">
        <v>10.01</v>
      </c>
      <c r="F20">
        <v>6.95</v>
      </c>
      <c r="G20">
        <v>29.8</v>
      </c>
      <c r="H20">
        <v>0.48</v>
      </c>
      <c r="I20">
        <v>14</v>
      </c>
      <c r="J20">
        <v>201.79</v>
      </c>
      <c r="K20">
        <v>54.38</v>
      </c>
      <c r="L20">
        <v>5.5</v>
      </c>
      <c r="M20">
        <v>12</v>
      </c>
      <c r="N20">
        <v>41.92</v>
      </c>
      <c r="O20">
        <v>25121.79</v>
      </c>
      <c r="P20">
        <v>94.55</v>
      </c>
      <c r="Q20">
        <v>204.14</v>
      </c>
      <c r="R20">
        <v>29.89</v>
      </c>
      <c r="S20">
        <v>17.37</v>
      </c>
      <c r="T20">
        <v>4116.0600000000004</v>
      </c>
      <c r="U20">
        <v>0.57999999999999996</v>
      </c>
      <c r="V20">
        <v>0.73</v>
      </c>
      <c r="W20">
        <v>1.1599999999999999</v>
      </c>
      <c r="X20">
        <v>0.26</v>
      </c>
      <c r="Y20">
        <v>1</v>
      </c>
      <c r="Z20">
        <v>10</v>
      </c>
    </row>
    <row r="21" spans="1:26" x14ac:dyDescent="0.3">
      <c r="A21">
        <v>19</v>
      </c>
      <c r="B21">
        <v>100</v>
      </c>
      <c r="C21" t="s">
        <v>26</v>
      </c>
      <c r="D21">
        <v>10.0505</v>
      </c>
      <c r="E21">
        <v>9.9499999999999993</v>
      </c>
      <c r="F21">
        <v>6.93</v>
      </c>
      <c r="G21">
        <v>31.97</v>
      </c>
      <c r="H21">
        <v>0.51</v>
      </c>
      <c r="I21">
        <v>13</v>
      </c>
      <c r="J21">
        <v>202.19</v>
      </c>
      <c r="K21">
        <v>54.38</v>
      </c>
      <c r="L21">
        <v>5.75</v>
      </c>
      <c r="M21">
        <v>11</v>
      </c>
      <c r="N21">
        <v>42.06</v>
      </c>
      <c r="O21">
        <v>25170.34</v>
      </c>
      <c r="P21">
        <v>94.02</v>
      </c>
      <c r="Q21">
        <v>204.14</v>
      </c>
      <c r="R21">
        <v>29.26</v>
      </c>
      <c r="S21">
        <v>17.37</v>
      </c>
      <c r="T21">
        <v>3805.91</v>
      </c>
      <c r="U21">
        <v>0.59</v>
      </c>
      <c r="V21">
        <v>0.74</v>
      </c>
      <c r="W21">
        <v>1.1599999999999999</v>
      </c>
      <c r="X21">
        <v>0.24</v>
      </c>
      <c r="Y21">
        <v>1</v>
      </c>
      <c r="Z21">
        <v>10</v>
      </c>
    </row>
    <row r="22" spans="1:26" x14ac:dyDescent="0.3">
      <c r="A22">
        <v>20</v>
      </c>
      <c r="B22">
        <v>100</v>
      </c>
      <c r="C22" t="s">
        <v>26</v>
      </c>
      <c r="D22">
        <v>10.044600000000001</v>
      </c>
      <c r="E22">
        <v>9.9600000000000009</v>
      </c>
      <c r="F22">
        <v>6.93</v>
      </c>
      <c r="G22">
        <v>32</v>
      </c>
      <c r="H22">
        <v>0.53</v>
      </c>
      <c r="I22">
        <v>13</v>
      </c>
      <c r="J22">
        <v>202.58</v>
      </c>
      <c r="K22">
        <v>54.38</v>
      </c>
      <c r="L22">
        <v>6</v>
      </c>
      <c r="M22">
        <v>11</v>
      </c>
      <c r="N22">
        <v>42.2</v>
      </c>
      <c r="O22">
        <v>25218.93</v>
      </c>
      <c r="P22">
        <v>93.91</v>
      </c>
      <c r="Q22">
        <v>204.15</v>
      </c>
      <c r="R22">
        <v>29.43</v>
      </c>
      <c r="S22">
        <v>17.37</v>
      </c>
      <c r="T22">
        <v>3893.33</v>
      </c>
      <c r="U22">
        <v>0.59</v>
      </c>
      <c r="V22">
        <v>0.74</v>
      </c>
      <c r="W22">
        <v>1.1599999999999999</v>
      </c>
      <c r="X22">
        <v>0.24</v>
      </c>
      <c r="Y22">
        <v>1</v>
      </c>
      <c r="Z22">
        <v>10</v>
      </c>
    </row>
    <row r="23" spans="1:26" x14ac:dyDescent="0.3">
      <c r="A23">
        <v>21</v>
      </c>
      <c r="B23">
        <v>100</v>
      </c>
      <c r="C23" t="s">
        <v>26</v>
      </c>
      <c r="D23">
        <v>10.103</v>
      </c>
      <c r="E23">
        <v>9.9</v>
      </c>
      <c r="F23">
        <v>6.91</v>
      </c>
      <c r="G23">
        <v>34.57</v>
      </c>
      <c r="H23">
        <v>0.55000000000000004</v>
      </c>
      <c r="I23">
        <v>12</v>
      </c>
      <c r="J23">
        <v>202.98</v>
      </c>
      <c r="K23">
        <v>54.38</v>
      </c>
      <c r="L23">
        <v>6.25</v>
      </c>
      <c r="M23">
        <v>10</v>
      </c>
      <c r="N23">
        <v>42.35</v>
      </c>
      <c r="O23">
        <v>25267.7</v>
      </c>
      <c r="P23">
        <v>93.64</v>
      </c>
      <c r="Q23">
        <v>204.2</v>
      </c>
      <c r="R23">
        <v>28.88</v>
      </c>
      <c r="S23">
        <v>17.37</v>
      </c>
      <c r="T23">
        <v>3622.54</v>
      </c>
      <c r="U23">
        <v>0.6</v>
      </c>
      <c r="V23">
        <v>0.74</v>
      </c>
      <c r="W23">
        <v>1.1499999999999999</v>
      </c>
      <c r="X23">
        <v>0.22</v>
      </c>
      <c r="Y23">
        <v>1</v>
      </c>
      <c r="Z23">
        <v>10</v>
      </c>
    </row>
    <row r="24" spans="1:26" x14ac:dyDescent="0.3">
      <c r="A24">
        <v>22</v>
      </c>
      <c r="B24">
        <v>100</v>
      </c>
      <c r="C24" t="s">
        <v>26</v>
      </c>
      <c r="D24">
        <v>10.110900000000001</v>
      </c>
      <c r="E24">
        <v>9.89</v>
      </c>
      <c r="F24">
        <v>6.91</v>
      </c>
      <c r="G24">
        <v>34.53</v>
      </c>
      <c r="H24">
        <v>0.56999999999999995</v>
      </c>
      <c r="I24">
        <v>12</v>
      </c>
      <c r="J24">
        <v>203.37</v>
      </c>
      <c r="K24">
        <v>54.38</v>
      </c>
      <c r="L24">
        <v>6.5</v>
      </c>
      <c r="M24">
        <v>10</v>
      </c>
      <c r="N24">
        <v>42.49</v>
      </c>
      <c r="O24">
        <v>25316.39</v>
      </c>
      <c r="P24">
        <v>93.32</v>
      </c>
      <c r="Q24">
        <v>204.16</v>
      </c>
      <c r="R24">
        <v>28.73</v>
      </c>
      <c r="S24">
        <v>17.37</v>
      </c>
      <c r="T24">
        <v>3546.59</v>
      </c>
      <c r="U24">
        <v>0.6</v>
      </c>
      <c r="V24">
        <v>0.74</v>
      </c>
      <c r="W24">
        <v>1.1499999999999999</v>
      </c>
      <c r="X24">
        <v>0.22</v>
      </c>
      <c r="Y24">
        <v>1</v>
      </c>
      <c r="Z24">
        <v>10</v>
      </c>
    </row>
    <row r="25" spans="1:26" x14ac:dyDescent="0.3">
      <c r="A25">
        <v>23</v>
      </c>
      <c r="B25">
        <v>100</v>
      </c>
      <c r="C25" t="s">
        <v>26</v>
      </c>
      <c r="D25">
        <v>10.176399999999999</v>
      </c>
      <c r="E25">
        <v>9.83</v>
      </c>
      <c r="F25">
        <v>6.88</v>
      </c>
      <c r="G25">
        <v>37.54</v>
      </c>
      <c r="H25">
        <v>0.59</v>
      </c>
      <c r="I25">
        <v>11</v>
      </c>
      <c r="J25">
        <v>203.77</v>
      </c>
      <c r="K25">
        <v>54.38</v>
      </c>
      <c r="L25">
        <v>6.75</v>
      </c>
      <c r="M25">
        <v>9</v>
      </c>
      <c r="N25">
        <v>42.64</v>
      </c>
      <c r="O25">
        <v>25365.14</v>
      </c>
      <c r="P25">
        <v>92.67</v>
      </c>
      <c r="Q25">
        <v>204.15</v>
      </c>
      <c r="R25">
        <v>27.73</v>
      </c>
      <c r="S25">
        <v>17.37</v>
      </c>
      <c r="T25">
        <v>3053.03</v>
      </c>
      <c r="U25">
        <v>0.63</v>
      </c>
      <c r="V25">
        <v>0.74</v>
      </c>
      <c r="W25">
        <v>1.1499999999999999</v>
      </c>
      <c r="X25">
        <v>0.19</v>
      </c>
      <c r="Y25">
        <v>1</v>
      </c>
      <c r="Z25">
        <v>10</v>
      </c>
    </row>
    <row r="26" spans="1:26" x14ac:dyDescent="0.3">
      <c r="A26">
        <v>24</v>
      </c>
      <c r="B26">
        <v>100</v>
      </c>
      <c r="C26" t="s">
        <v>26</v>
      </c>
      <c r="D26">
        <v>10.171200000000001</v>
      </c>
      <c r="E26">
        <v>9.83</v>
      </c>
      <c r="F26">
        <v>6.89</v>
      </c>
      <c r="G26">
        <v>37.57</v>
      </c>
      <c r="H26">
        <v>0.61</v>
      </c>
      <c r="I26">
        <v>11</v>
      </c>
      <c r="J26">
        <v>204.16</v>
      </c>
      <c r="K26">
        <v>54.38</v>
      </c>
      <c r="L26">
        <v>7</v>
      </c>
      <c r="M26">
        <v>9</v>
      </c>
      <c r="N26">
        <v>42.78</v>
      </c>
      <c r="O26">
        <v>25413.94</v>
      </c>
      <c r="P26">
        <v>92.8</v>
      </c>
      <c r="Q26">
        <v>204.17</v>
      </c>
      <c r="R26">
        <v>27.88</v>
      </c>
      <c r="S26">
        <v>17.37</v>
      </c>
      <c r="T26">
        <v>3124.95</v>
      </c>
      <c r="U26">
        <v>0.62</v>
      </c>
      <c r="V26">
        <v>0.74</v>
      </c>
      <c r="W26">
        <v>1.1499999999999999</v>
      </c>
      <c r="X26">
        <v>0.2</v>
      </c>
      <c r="Y26">
        <v>1</v>
      </c>
      <c r="Z26">
        <v>10</v>
      </c>
    </row>
    <row r="27" spans="1:26" x14ac:dyDescent="0.3">
      <c r="A27">
        <v>25</v>
      </c>
      <c r="B27">
        <v>100</v>
      </c>
      <c r="C27" t="s">
        <v>26</v>
      </c>
      <c r="D27">
        <v>10.1747</v>
      </c>
      <c r="E27">
        <v>9.83</v>
      </c>
      <c r="F27">
        <v>6.88</v>
      </c>
      <c r="G27">
        <v>37.549999999999997</v>
      </c>
      <c r="H27">
        <v>0.63</v>
      </c>
      <c r="I27">
        <v>11</v>
      </c>
      <c r="J27">
        <v>204.56</v>
      </c>
      <c r="K27">
        <v>54.38</v>
      </c>
      <c r="L27">
        <v>7.25</v>
      </c>
      <c r="M27">
        <v>9</v>
      </c>
      <c r="N27">
        <v>42.93</v>
      </c>
      <c r="O27">
        <v>25462.78</v>
      </c>
      <c r="P27">
        <v>92.4</v>
      </c>
      <c r="Q27">
        <v>204.14</v>
      </c>
      <c r="R27">
        <v>27.91</v>
      </c>
      <c r="S27">
        <v>17.37</v>
      </c>
      <c r="T27">
        <v>3142.25</v>
      </c>
      <c r="U27">
        <v>0.62</v>
      </c>
      <c r="V27">
        <v>0.74</v>
      </c>
      <c r="W27">
        <v>1.1499999999999999</v>
      </c>
      <c r="X27">
        <v>0.19</v>
      </c>
      <c r="Y27">
        <v>1</v>
      </c>
      <c r="Z27">
        <v>10</v>
      </c>
    </row>
    <row r="28" spans="1:26" x14ac:dyDescent="0.3">
      <c r="A28">
        <v>26</v>
      </c>
      <c r="B28">
        <v>100</v>
      </c>
      <c r="C28" t="s">
        <v>26</v>
      </c>
      <c r="D28">
        <v>10.2357</v>
      </c>
      <c r="E28">
        <v>9.77</v>
      </c>
      <c r="F28">
        <v>6.86</v>
      </c>
      <c r="G28">
        <v>41.18</v>
      </c>
      <c r="H28">
        <v>0.65</v>
      </c>
      <c r="I28">
        <v>10</v>
      </c>
      <c r="J28">
        <v>204.95</v>
      </c>
      <c r="K28">
        <v>54.38</v>
      </c>
      <c r="L28">
        <v>7.5</v>
      </c>
      <c r="M28">
        <v>8</v>
      </c>
      <c r="N28">
        <v>43.08</v>
      </c>
      <c r="O28">
        <v>25511.67</v>
      </c>
      <c r="P28">
        <v>91.89</v>
      </c>
      <c r="Q28">
        <v>204.15</v>
      </c>
      <c r="R28">
        <v>27.29</v>
      </c>
      <c r="S28">
        <v>17.37</v>
      </c>
      <c r="T28">
        <v>2836.35</v>
      </c>
      <c r="U28">
        <v>0.64</v>
      </c>
      <c r="V28">
        <v>0.74</v>
      </c>
      <c r="W28">
        <v>1.1499999999999999</v>
      </c>
      <c r="X28">
        <v>0.17</v>
      </c>
      <c r="Y28">
        <v>1</v>
      </c>
      <c r="Z28">
        <v>10</v>
      </c>
    </row>
    <row r="29" spans="1:26" x14ac:dyDescent="0.3">
      <c r="A29">
        <v>27</v>
      </c>
      <c r="B29">
        <v>100</v>
      </c>
      <c r="C29" t="s">
        <v>26</v>
      </c>
      <c r="D29">
        <v>10.228400000000001</v>
      </c>
      <c r="E29">
        <v>9.7799999999999994</v>
      </c>
      <c r="F29">
        <v>6.87</v>
      </c>
      <c r="G29">
        <v>41.23</v>
      </c>
      <c r="H29">
        <v>0.67</v>
      </c>
      <c r="I29">
        <v>10</v>
      </c>
      <c r="J29">
        <v>205.35</v>
      </c>
      <c r="K29">
        <v>54.38</v>
      </c>
      <c r="L29">
        <v>7.75</v>
      </c>
      <c r="M29">
        <v>8</v>
      </c>
      <c r="N29">
        <v>43.22</v>
      </c>
      <c r="O29">
        <v>25560.62</v>
      </c>
      <c r="P29">
        <v>91.98</v>
      </c>
      <c r="Q29">
        <v>204.15</v>
      </c>
      <c r="R29">
        <v>27.33</v>
      </c>
      <c r="S29">
        <v>17.37</v>
      </c>
      <c r="T29">
        <v>2859.48</v>
      </c>
      <c r="U29">
        <v>0.64</v>
      </c>
      <c r="V29">
        <v>0.74</v>
      </c>
      <c r="W29">
        <v>1.1499999999999999</v>
      </c>
      <c r="X29">
        <v>0.18</v>
      </c>
      <c r="Y29">
        <v>1</v>
      </c>
      <c r="Z29">
        <v>10</v>
      </c>
    </row>
    <row r="30" spans="1:26" x14ac:dyDescent="0.3">
      <c r="A30">
        <v>28</v>
      </c>
      <c r="B30">
        <v>100</v>
      </c>
      <c r="C30" t="s">
        <v>26</v>
      </c>
      <c r="D30">
        <v>10.2377</v>
      </c>
      <c r="E30">
        <v>9.77</v>
      </c>
      <c r="F30">
        <v>6.86</v>
      </c>
      <c r="G30">
        <v>41.17</v>
      </c>
      <c r="H30">
        <v>0.69</v>
      </c>
      <c r="I30">
        <v>10</v>
      </c>
      <c r="J30">
        <v>205.75</v>
      </c>
      <c r="K30">
        <v>54.38</v>
      </c>
      <c r="L30">
        <v>8</v>
      </c>
      <c r="M30">
        <v>8</v>
      </c>
      <c r="N30">
        <v>43.37</v>
      </c>
      <c r="O30">
        <v>25609.61</v>
      </c>
      <c r="P30">
        <v>91.83</v>
      </c>
      <c r="Q30">
        <v>204.16</v>
      </c>
      <c r="R30">
        <v>27.18</v>
      </c>
      <c r="S30">
        <v>17.37</v>
      </c>
      <c r="T30">
        <v>2784.23</v>
      </c>
      <c r="U30">
        <v>0.64</v>
      </c>
      <c r="V30">
        <v>0.74</v>
      </c>
      <c r="W30">
        <v>1.1499999999999999</v>
      </c>
      <c r="X30">
        <v>0.17</v>
      </c>
      <c r="Y30">
        <v>1</v>
      </c>
      <c r="Z30">
        <v>10</v>
      </c>
    </row>
    <row r="31" spans="1:26" x14ac:dyDescent="0.3">
      <c r="A31">
        <v>29</v>
      </c>
      <c r="B31">
        <v>100</v>
      </c>
      <c r="C31" t="s">
        <v>26</v>
      </c>
      <c r="D31">
        <v>10.292199999999999</v>
      </c>
      <c r="E31">
        <v>9.7200000000000006</v>
      </c>
      <c r="F31">
        <v>6.85</v>
      </c>
      <c r="G31">
        <v>45.66</v>
      </c>
      <c r="H31">
        <v>0.71</v>
      </c>
      <c r="I31">
        <v>9</v>
      </c>
      <c r="J31">
        <v>206.15</v>
      </c>
      <c r="K31">
        <v>54.38</v>
      </c>
      <c r="L31">
        <v>8.25</v>
      </c>
      <c r="M31">
        <v>7</v>
      </c>
      <c r="N31">
        <v>43.52</v>
      </c>
      <c r="O31">
        <v>25658.66</v>
      </c>
      <c r="P31">
        <v>91.31</v>
      </c>
      <c r="Q31">
        <v>204.14</v>
      </c>
      <c r="R31">
        <v>26.76</v>
      </c>
      <c r="S31">
        <v>17.37</v>
      </c>
      <c r="T31">
        <v>2576.6799999999998</v>
      </c>
      <c r="U31">
        <v>0.65</v>
      </c>
      <c r="V31">
        <v>0.75</v>
      </c>
      <c r="W31">
        <v>1.1499999999999999</v>
      </c>
      <c r="X31">
        <v>0.16</v>
      </c>
      <c r="Y31">
        <v>1</v>
      </c>
      <c r="Z31">
        <v>10</v>
      </c>
    </row>
    <row r="32" spans="1:26" x14ac:dyDescent="0.3">
      <c r="A32">
        <v>30</v>
      </c>
      <c r="B32">
        <v>100</v>
      </c>
      <c r="C32" t="s">
        <v>26</v>
      </c>
      <c r="D32">
        <v>10.2819</v>
      </c>
      <c r="E32">
        <v>9.73</v>
      </c>
      <c r="F32">
        <v>6.86</v>
      </c>
      <c r="G32">
        <v>45.73</v>
      </c>
      <c r="H32">
        <v>0.73</v>
      </c>
      <c r="I32">
        <v>9</v>
      </c>
      <c r="J32">
        <v>206.54</v>
      </c>
      <c r="K32">
        <v>54.38</v>
      </c>
      <c r="L32">
        <v>8.5</v>
      </c>
      <c r="M32">
        <v>7</v>
      </c>
      <c r="N32">
        <v>43.67</v>
      </c>
      <c r="O32">
        <v>25707.759999999998</v>
      </c>
      <c r="P32">
        <v>91.69</v>
      </c>
      <c r="Q32">
        <v>204.14</v>
      </c>
      <c r="R32">
        <v>27.15</v>
      </c>
      <c r="S32">
        <v>17.37</v>
      </c>
      <c r="T32">
        <v>2773.84</v>
      </c>
      <c r="U32">
        <v>0.64</v>
      </c>
      <c r="V32">
        <v>0.74</v>
      </c>
      <c r="W32">
        <v>1.1499999999999999</v>
      </c>
      <c r="X32">
        <v>0.17</v>
      </c>
      <c r="Y32">
        <v>1</v>
      </c>
      <c r="Z32">
        <v>10</v>
      </c>
    </row>
    <row r="33" spans="1:26" x14ac:dyDescent="0.3">
      <c r="A33">
        <v>31</v>
      </c>
      <c r="B33">
        <v>100</v>
      </c>
      <c r="C33" t="s">
        <v>26</v>
      </c>
      <c r="D33">
        <v>10.288399999999999</v>
      </c>
      <c r="E33">
        <v>9.7200000000000006</v>
      </c>
      <c r="F33">
        <v>6.85</v>
      </c>
      <c r="G33">
        <v>45.69</v>
      </c>
      <c r="H33">
        <v>0.75</v>
      </c>
      <c r="I33">
        <v>9</v>
      </c>
      <c r="J33">
        <v>206.94</v>
      </c>
      <c r="K33">
        <v>54.38</v>
      </c>
      <c r="L33">
        <v>8.75</v>
      </c>
      <c r="M33">
        <v>7</v>
      </c>
      <c r="N33">
        <v>43.81</v>
      </c>
      <c r="O33">
        <v>25756.9</v>
      </c>
      <c r="P33">
        <v>91.44</v>
      </c>
      <c r="Q33">
        <v>204.14</v>
      </c>
      <c r="R33">
        <v>26.94</v>
      </c>
      <c r="S33">
        <v>17.37</v>
      </c>
      <c r="T33">
        <v>2667.27</v>
      </c>
      <c r="U33">
        <v>0.64</v>
      </c>
      <c r="V33">
        <v>0.75</v>
      </c>
      <c r="W33">
        <v>1.1499999999999999</v>
      </c>
      <c r="X33">
        <v>0.16</v>
      </c>
      <c r="Y33">
        <v>1</v>
      </c>
      <c r="Z33">
        <v>10</v>
      </c>
    </row>
    <row r="34" spans="1:26" x14ac:dyDescent="0.3">
      <c r="A34">
        <v>32</v>
      </c>
      <c r="B34">
        <v>100</v>
      </c>
      <c r="C34" t="s">
        <v>26</v>
      </c>
      <c r="D34">
        <v>10.279500000000001</v>
      </c>
      <c r="E34">
        <v>9.73</v>
      </c>
      <c r="F34">
        <v>6.86</v>
      </c>
      <c r="G34">
        <v>45.74</v>
      </c>
      <c r="H34">
        <v>0.77</v>
      </c>
      <c r="I34">
        <v>9</v>
      </c>
      <c r="J34">
        <v>207.34</v>
      </c>
      <c r="K34">
        <v>54.38</v>
      </c>
      <c r="L34">
        <v>9</v>
      </c>
      <c r="M34">
        <v>7</v>
      </c>
      <c r="N34">
        <v>43.96</v>
      </c>
      <c r="O34">
        <v>25806.1</v>
      </c>
      <c r="P34">
        <v>91.28</v>
      </c>
      <c r="Q34">
        <v>204.14</v>
      </c>
      <c r="R34">
        <v>27.16</v>
      </c>
      <c r="S34">
        <v>17.37</v>
      </c>
      <c r="T34">
        <v>2776.95</v>
      </c>
      <c r="U34">
        <v>0.64</v>
      </c>
      <c r="V34">
        <v>0.74</v>
      </c>
      <c r="W34">
        <v>1.1499999999999999</v>
      </c>
      <c r="X34">
        <v>0.17</v>
      </c>
      <c r="Y34">
        <v>1</v>
      </c>
      <c r="Z34">
        <v>10</v>
      </c>
    </row>
    <row r="35" spans="1:26" x14ac:dyDescent="0.3">
      <c r="A35">
        <v>33</v>
      </c>
      <c r="B35">
        <v>100</v>
      </c>
      <c r="C35" t="s">
        <v>26</v>
      </c>
      <c r="D35">
        <v>10.3523</v>
      </c>
      <c r="E35">
        <v>9.66</v>
      </c>
      <c r="F35">
        <v>6.83</v>
      </c>
      <c r="G35">
        <v>51.24</v>
      </c>
      <c r="H35">
        <v>0.79</v>
      </c>
      <c r="I35">
        <v>8</v>
      </c>
      <c r="J35">
        <v>207.74</v>
      </c>
      <c r="K35">
        <v>54.38</v>
      </c>
      <c r="L35">
        <v>9.25</v>
      </c>
      <c r="M35">
        <v>6</v>
      </c>
      <c r="N35">
        <v>44.11</v>
      </c>
      <c r="O35">
        <v>25855.35</v>
      </c>
      <c r="P35">
        <v>90.46</v>
      </c>
      <c r="Q35">
        <v>204.14</v>
      </c>
      <c r="R35">
        <v>26.27</v>
      </c>
      <c r="S35">
        <v>17.37</v>
      </c>
      <c r="T35">
        <v>2334.96</v>
      </c>
      <c r="U35">
        <v>0.66</v>
      </c>
      <c r="V35">
        <v>0.75</v>
      </c>
      <c r="W35">
        <v>1.1499999999999999</v>
      </c>
      <c r="X35">
        <v>0.14000000000000001</v>
      </c>
      <c r="Y35">
        <v>1</v>
      </c>
      <c r="Z35">
        <v>10</v>
      </c>
    </row>
    <row r="36" spans="1:26" x14ac:dyDescent="0.3">
      <c r="A36">
        <v>34</v>
      </c>
      <c r="B36">
        <v>100</v>
      </c>
      <c r="C36" t="s">
        <v>26</v>
      </c>
      <c r="D36">
        <v>10.3657</v>
      </c>
      <c r="E36">
        <v>9.65</v>
      </c>
      <c r="F36">
        <v>6.82</v>
      </c>
      <c r="G36">
        <v>51.15</v>
      </c>
      <c r="H36">
        <v>0.81</v>
      </c>
      <c r="I36">
        <v>8</v>
      </c>
      <c r="J36">
        <v>208.14</v>
      </c>
      <c r="K36">
        <v>54.38</v>
      </c>
      <c r="L36">
        <v>9.5</v>
      </c>
      <c r="M36">
        <v>6</v>
      </c>
      <c r="N36">
        <v>44.26</v>
      </c>
      <c r="O36">
        <v>25904.65</v>
      </c>
      <c r="P36">
        <v>90.36</v>
      </c>
      <c r="Q36">
        <v>204.15</v>
      </c>
      <c r="R36">
        <v>25.74</v>
      </c>
      <c r="S36">
        <v>17.37</v>
      </c>
      <c r="T36">
        <v>2073.04</v>
      </c>
      <c r="U36">
        <v>0.67</v>
      </c>
      <c r="V36">
        <v>0.75</v>
      </c>
      <c r="W36">
        <v>1.1499999999999999</v>
      </c>
      <c r="X36">
        <v>0.13</v>
      </c>
      <c r="Y36">
        <v>1</v>
      </c>
      <c r="Z36">
        <v>10</v>
      </c>
    </row>
    <row r="37" spans="1:26" x14ac:dyDescent="0.3">
      <c r="A37">
        <v>35</v>
      </c>
      <c r="B37">
        <v>100</v>
      </c>
      <c r="C37" t="s">
        <v>26</v>
      </c>
      <c r="D37">
        <v>10.3582</v>
      </c>
      <c r="E37">
        <v>9.65</v>
      </c>
      <c r="F37">
        <v>6.83</v>
      </c>
      <c r="G37">
        <v>51.2</v>
      </c>
      <c r="H37">
        <v>0.83</v>
      </c>
      <c r="I37">
        <v>8</v>
      </c>
      <c r="J37">
        <v>208.54</v>
      </c>
      <c r="K37">
        <v>54.38</v>
      </c>
      <c r="L37">
        <v>9.75</v>
      </c>
      <c r="M37">
        <v>6</v>
      </c>
      <c r="N37">
        <v>44.41</v>
      </c>
      <c r="O37">
        <v>25954</v>
      </c>
      <c r="P37">
        <v>90.2</v>
      </c>
      <c r="Q37">
        <v>204.14</v>
      </c>
      <c r="R37">
        <v>25.93</v>
      </c>
      <c r="S37">
        <v>17.37</v>
      </c>
      <c r="T37">
        <v>2165.6999999999998</v>
      </c>
      <c r="U37">
        <v>0.67</v>
      </c>
      <c r="V37">
        <v>0.75</v>
      </c>
      <c r="W37">
        <v>1.1499999999999999</v>
      </c>
      <c r="X37">
        <v>0.14000000000000001</v>
      </c>
      <c r="Y37">
        <v>1</v>
      </c>
      <c r="Z37">
        <v>10</v>
      </c>
    </row>
    <row r="38" spans="1:26" x14ac:dyDescent="0.3">
      <c r="A38">
        <v>36</v>
      </c>
      <c r="B38">
        <v>100</v>
      </c>
      <c r="C38" t="s">
        <v>26</v>
      </c>
      <c r="D38">
        <v>10.354900000000001</v>
      </c>
      <c r="E38">
        <v>9.66</v>
      </c>
      <c r="F38">
        <v>6.83</v>
      </c>
      <c r="G38">
        <v>51.22</v>
      </c>
      <c r="H38">
        <v>0.85</v>
      </c>
      <c r="I38">
        <v>8</v>
      </c>
      <c r="J38">
        <v>208.94</v>
      </c>
      <c r="K38">
        <v>54.38</v>
      </c>
      <c r="L38">
        <v>10</v>
      </c>
      <c r="M38">
        <v>6</v>
      </c>
      <c r="N38">
        <v>44.56</v>
      </c>
      <c r="O38">
        <v>26003.41</v>
      </c>
      <c r="P38">
        <v>89.96</v>
      </c>
      <c r="Q38">
        <v>204.16</v>
      </c>
      <c r="R38">
        <v>26.23</v>
      </c>
      <c r="S38">
        <v>17.37</v>
      </c>
      <c r="T38">
        <v>2318.3000000000002</v>
      </c>
      <c r="U38">
        <v>0.66</v>
      </c>
      <c r="V38">
        <v>0.75</v>
      </c>
      <c r="W38">
        <v>1.1499999999999999</v>
      </c>
      <c r="X38">
        <v>0.14000000000000001</v>
      </c>
      <c r="Y38">
        <v>1</v>
      </c>
      <c r="Z38">
        <v>10</v>
      </c>
    </row>
    <row r="39" spans="1:26" x14ac:dyDescent="0.3">
      <c r="A39">
        <v>37</v>
      </c>
      <c r="B39">
        <v>100</v>
      </c>
      <c r="C39" t="s">
        <v>26</v>
      </c>
      <c r="D39">
        <v>10.3582</v>
      </c>
      <c r="E39">
        <v>9.65</v>
      </c>
      <c r="F39">
        <v>6.83</v>
      </c>
      <c r="G39">
        <v>51.2</v>
      </c>
      <c r="H39">
        <v>0.87</v>
      </c>
      <c r="I39">
        <v>8</v>
      </c>
      <c r="J39">
        <v>209.34</v>
      </c>
      <c r="K39">
        <v>54.38</v>
      </c>
      <c r="L39">
        <v>10.25</v>
      </c>
      <c r="M39">
        <v>6</v>
      </c>
      <c r="N39">
        <v>44.71</v>
      </c>
      <c r="O39">
        <v>26052.86</v>
      </c>
      <c r="P39">
        <v>89.94</v>
      </c>
      <c r="Q39">
        <v>204.15</v>
      </c>
      <c r="R39">
        <v>25.99</v>
      </c>
      <c r="S39">
        <v>17.37</v>
      </c>
      <c r="T39">
        <v>2195.63</v>
      </c>
      <c r="U39">
        <v>0.67</v>
      </c>
      <c r="V39">
        <v>0.75</v>
      </c>
      <c r="W39">
        <v>1.1499999999999999</v>
      </c>
      <c r="X39">
        <v>0.13</v>
      </c>
      <c r="Y39">
        <v>1</v>
      </c>
      <c r="Z39">
        <v>10</v>
      </c>
    </row>
    <row r="40" spans="1:26" x14ac:dyDescent="0.3">
      <c r="A40">
        <v>38</v>
      </c>
      <c r="B40">
        <v>100</v>
      </c>
      <c r="C40" t="s">
        <v>26</v>
      </c>
      <c r="D40">
        <v>10.353199999999999</v>
      </c>
      <c r="E40">
        <v>9.66</v>
      </c>
      <c r="F40">
        <v>6.83</v>
      </c>
      <c r="G40">
        <v>51.23</v>
      </c>
      <c r="H40">
        <v>0.89</v>
      </c>
      <c r="I40">
        <v>8</v>
      </c>
      <c r="J40">
        <v>209.74</v>
      </c>
      <c r="K40">
        <v>54.38</v>
      </c>
      <c r="L40">
        <v>10.5</v>
      </c>
      <c r="M40">
        <v>6</v>
      </c>
      <c r="N40">
        <v>44.87</v>
      </c>
      <c r="O40">
        <v>26102.37</v>
      </c>
      <c r="P40">
        <v>89.62</v>
      </c>
      <c r="Q40">
        <v>204.18</v>
      </c>
      <c r="R40">
        <v>26.14</v>
      </c>
      <c r="S40">
        <v>17.37</v>
      </c>
      <c r="T40">
        <v>2274.0300000000002</v>
      </c>
      <c r="U40">
        <v>0.66</v>
      </c>
      <c r="V40">
        <v>0.75</v>
      </c>
      <c r="W40">
        <v>1.1499999999999999</v>
      </c>
      <c r="X40">
        <v>0.14000000000000001</v>
      </c>
      <c r="Y40">
        <v>1</v>
      </c>
      <c r="Z40">
        <v>10</v>
      </c>
    </row>
    <row r="41" spans="1:26" x14ac:dyDescent="0.3">
      <c r="A41">
        <v>39</v>
      </c>
      <c r="B41">
        <v>100</v>
      </c>
      <c r="C41" t="s">
        <v>26</v>
      </c>
      <c r="D41">
        <v>10.425700000000001</v>
      </c>
      <c r="E41">
        <v>9.59</v>
      </c>
      <c r="F41">
        <v>6.8</v>
      </c>
      <c r="G41">
        <v>58.31</v>
      </c>
      <c r="H41">
        <v>0.91</v>
      </c>
      <c r="I41">
        <v>7</v>
      </c>
      <c r="J41">
        <v>210.14</v>
      </c>
      <c r="K41">
        <v>54.38</v>
      </c>
      <c r="L41">
        <v>10.75</v>
      </c>
      <c r="M41">
        <v>5</v>
      </c>
      <c r="N41">
        <v>45.02</v>
      </c>
      <c r="O41">
        <v>26151.93</v>
      </c>
      <c r="P41">
        <v>89.12</v>
      </c>
      <c r="Q41">
        <v>204.18</v>
      </c>
      <c r="R41">
        <v>25.25</v>
      </c>
      <c r="S41">
        <v>17.37</v>
      </c>
      <c r="T41">
        <v>1830.55</v>
      </c>
      <c r="U41">
        <v>0.69</v>
      </c>
      <c r="V41">
        <v>0.75</v>
      </c>
      <c r="W41">
        <v>1.1499999999999999</v>
      </c>
      <c r="X41">
        <v>0.11</v>
      </c>
      <c r="Y41">
        <v>1</v>
      </c>
      <c r="Z41">
        <v>10</v>
      </c>
    </row>
    <row r="42" spans="1:26" x14ac:dyDescent="0.3">
      <c r="A42">
        <v>40</v>
      </c>
      <c r="B42">
        <v>100</v>
      </c>
      <c r="C42" t="s">
        <v>26</v>
      </c>
      <c r="D42">
        <v>10.4176</v>
      </c>
      <c r="E42">
        <v>9.6</v>
      </c>
      <c r="F42">
        <v>6.81</v>
      </c>
      <c r="G42">
        <v>58.37</v>
      </c>
      <c r="H42">
        <v>0.93</v>
      </c>
      <c r="I42">
        <v>7</v>
      </c>
      <c r="J42">
        <v>210.55</v>
      </c>
      <c r="K42">
        <v>54.38</v>
      </c>
      <c r="L42">
        <v>11</v>
      </c>
      <c r="M42">
        <v>5</v>
      </c>
      <c r="N42">
        <v>45.17</v>
      </c>
      <c r="O42">
        <v>26201.54</v>
      </c>
      <c r="P42">
        <v>89.36</v>
      </c>
      <c r="Q42">
        <v>204.15</v>
      </c>
      <c r="R42">
        <v>25.56</v>
      </c>
      <c r="S42">
        <v>17.37</v>
      </c>
      <c r="T42">
        <v>1988.55</v>
      </c>
      <c r="U42">
        <v>0.68</v>
      </c>
      <c r="V42">
        <v>0.75</v>
      </c>
      <c r="W42">
        <v>1.1499999999999999</v>
      </c>
      <c r="X42">
        <v>0.12</v>
      </c>
      <c r="Y42">
        <v>1</v>
      </c>
      <c r="Z42">
        <v>10</v>
      </c>
    </row>
    <row r="43" spans="1:26" x14ac:dyDescent="0.3">
      <c r="A43">
        <v>41</v>
      </c>
      <c r="B43">
        <v>100</v>
      </c>
      <c r="C43" t="s">
        <v>26</v>
      </c>
      <c r="D43">
        <v>10.4251</v>
      </c>
      <c r="E43">
        <v>9.59</v>
      </c>
      <c r="F43">
        <v>6.8</v>
      </c>
      <c r="G43">
        <v>58.31</v>
      </c>
      <c r="H43">
        <v>0.95</v>
      </c>
      <c r="I43">
        <v>7</v>
      </c>
      <c r="J43">
        <v>210.95</v>
      </c>
      <c r="K43">
        <v>54.38</v>
      </c>
      <c r="L43">
        <v>11.25</v>
      </c>
      <c r="M43">
        <v>5</v>
      </c>
      <c r="N43">
        <v>45.32</v>
      </c>
      <c r="O43">
        <v>26251.200000000001</v>
      </c>
      <c r="P43">
        <v>89.42</v>
      </c>
      <c r="Q43">
        <v>204.18</v>
      </c>
      <c r="R43">
        <v>25.23</v>
      </c>
      <c r="S43">
        <v>17.37</v>
      </c>
      <c r="T43">
        <v>1821.1</v>
      </c>
      <c r="U43">
        <v>0.69</v>
      </c>
      <c r="V43">
        <v>0.75</v>
      </c>
      <c r="W43">
        <v>1.1499999999999999</v>
      </c>
      <c r="X43">
        <v>0.11</v>
      </c>
      <c r="Y43">
        <v>1</v>
      </c>
      <c r="Z43">
        <v>10</v>
      </c>
    </row>
    <row r="44" spans="1:26" x14ac:dyDescent="0.3">
      <c r="A44">
        <v>42</v>
      </c>
      <c r="B44">
        <v>100</v>
      </c>
      <c r="C44" t="s">
        <v>26</v>
      </c>
      <c r="D44">
        <v>10.4152</v>
      </c>
      <c r="E44">
        <v>9.6</v>
      </c>
      <c r="F44">
        <v>6.81</v>
      </c>
      <c r="G44">
        <v>58.39</v>
      </c>
      <c r="H44">
        <v>0.97</v>
      </c>
      <c r="I44">
        <v>7</v>
      </c>
      <c r="J44">
        <v>211.35</v>
      </c>
      <c r="K44">
        <v>54.38</v>
      </c>
      <c r="L44">
        <v>11.5</v>
      </c>
      <c r="M44">
        <v>5</v>
      </c>
      <c r="N44">
        <v>45.48</v>
      </c>
      <c r="O44">
        <v>26300.92</v>
      </c>
      <c r="P44">
        <v>89.4</v>
      </c>
      <c r="Q44">
        <v>204.14</v>
      </c>
      <c r="R44">
        <v>25.59</v>
      </c>
      <c r="S44">
        <v>17.37</v>
      </c>
      <c r="T44">
        <v>2003.71</v>
      </c>
      <c r="U44">
        <v>0.68</v>
      </c>
      <c r="V44">
        <v>0.75</v>
      </c>
      <c r="W44">
        <v>1.1499999999999999</v>
      </c>
      <c r="X44">
        <v>0.12</v>
      </c>
      <c r="Y44">
        <v>1</v>
      </c>
      <c r="Z44">
        <v>10</v>
      </c>
    </row>
    <row r="45" spans="1:26" x14ac:dyDescent="0.3">
      <c r="A45">
        <v>43</v>
      </c>
      <c r="B45">
        <v>100</v>
      </c>
      <c r="C45" t="s">
        <v>26</v>
      </c>
      <c r="D45">
        <v>10.413399999999999</v>
      </c>
      <c r="E45">
        <v>9.6</v>
      </c>
      <c r="F45">
        <v>6.81</v>
      </c>
      <c r="G45">
        <v>58.41</v>
      </c>
      <c r="H45">
        <v>0.99</v>
      </c>
      <c r="I45">
        <v>7</v>
      </c>
      <c r="J45">
        <v>211.76</v>
      </c>
      <c r="K45">
        <v>54.38</v>
      </c>
      <c r="L45">
        <v>11.75</v>
      </c>
      <c r="M45">
        <v>5</v>
      </c>
      <c r="N45">
        <v>45.63</v>
      </c>
      <c r="O45">
        <v>26350.68</v>
      </c>
      <c r="P45">
        <v>89.13</v>
      </c>
      <c r="Q45">
        <v>204.14</v>
      </c>
      <c r="R45">
        <v>25.65</v>
      </c>
      <c r="S45">
        <v>17.37</v>
      </c>
      <c r="T45">
        <v>2032.59</v>
      </c>
      <c r="U45">
        <v>0.68</v>
      </c>
      <c r="V45">
        <v>0.75</v>
      </c>
      <c r="W45">
        <v>1.1499999999999999</v>
      </c>
      <c r="X45">
        <v>0.12</v>
      </c>
      <c r="Y45">
        <v>1</v>
      </c>
      <c r="Z45">
        <v>10</v>
      </c>
    </row>
    <row r="46" spans="1:26" x14ac:dyDescent="0.3">
      <c r="A46">
        <v>44</v>
      </c>
      <c r="B46">
        <v>100</v>
      </c>
      <c r="C46" t="s">
        <v>26</v>
      </c>
      <c r="D46">
        <v>10.414300000000001</v>
      </c>
      <c r="E46">
        <v>9.6</v>
      </c>
      <c r="F46">
        <v>6.81</v>
      </c>
      <c r="G46">
        <v>58.4</v>
      </c>
      <c r="H46">
        <v>1</v>
      </c>
      <c r="I46">
        <v>7</v>
      </c>
      <c r="J46">
        <v>212.16</v>
      </c>
      <c r="K46">
        <v>54.38</v>
      </c>
      <c r="L46">
        <v>12</v>
      </c>
      <c r="M46">
        <v>5</v>
      </c>
      <c r="N46">
        <v>45.78</v>
      </c>
      <c r="O46">
        <v>26400.51</v>
      </c>
      <c r="P46">
        <v>88.86</v>
      </c>
      <c r="Q46">
        <v>204.18</v>
      </c>
      <c r="R46">
        <v>25.7</v>
      </c>
      <c r="S46">
        <v>17.37</v>
      </c>
      <c r="T46">
        <v>2056.87</v>
      </c>
      <c r="U46">
        <v>0.68</v>
      </c>
      <c r="V46">
        <v>0.75</v>
      </c>
      <c r="W46">
        <v>1.1499999999999999</v>
      </c>
      <c r="X46">
        <v>0.12</v>
      </c>
      <c r="Y46">
        <v>1</v>
      </c>
      <c r="Z46">
        <v>10</v>
      </c>
    </row>
    <row r="47" spans="1:26" x14ac:dyDescent="0.3">
      <c r="A47">
        <v>45</v>
      </c>
      <c r="B47">
        <v>100</v>
      </c>
      <c r="C47" t="s">
        <v>26</v>
      </c>
      <c r="D47">
        <v>10.411799999999999</v>
      </c>
      <c r="E47">
        <v>9.6</v>
      </c>
      <c r="F47">
        <v>6.82</v>
      </c>
      <c r="G47">
        <v>58.42</v>
      </c>
      <c r="H47">
        <v>1.02</v>
      </c>
      <c r="I47">
        <v>7</v>
      </c>
      <c r="J47">
        <v>212.56</v>
      </c>
      <c r="K47">
        <v>54.38</v>
      </c>
      <c r="L47">
        <v>12.25</v>
      </c>
      <c r="M47">
        <v>5</v>
      </c>
      <c r="N47">
        <v>45.94</v>
      </c>
      <c r="O47">
        <v>26450.38</v>
      </c>
      <c r="P47">
        <v>88.68</v>
      </c>
      <c r="Q47">
        <v>204.14</v>
      </c>
      <c r="R47">
        <v>25.76</v>
      </c>
      <c r="S47">
        <v>17.37</v>
      </c>
      <c r="T47">
        <v>2089.7800000000002</v>
      </c>
      <c r="U47">
        <v>0.67</v>
      </c>
      <c r="V47">
        <v>0.75</v>
      </c>
      <c r="W47">
        <v>1.1499999999999999</v>
      </c>
      <c r="X47">
        <v>0.12</v>
      </c>
      <c r="Y47">
        <v>1</v>
      </c>
      <c r="Z47">
        <v>10</v>
      </c>
    </row>
    <row r="48" spans="1:26" x14ac:dyDescent="0.3">
      <c r="A48">
        <v>46</v>
      </c>
      <c r="B48">
        <v>100</v>
      </c>
      <c r="C48" t="s">
        <v>26</v>
      </c>
      <c r="D48">
        <v>10.4185</v>
      </c>
      <c r="E48">
        <v>9.6</v>
      </c>
      <c r="F48">
        <v>6.81</v>
      </c>
      <c r="G48">
        <v>58.37</v>
      </c>
      <c r="H48">
        <v>1.04</v>
      </c>
      <c r="I48">
        <v>7</v>
      </c>
      <c r="J48">
        <v>212.97</v>
      </c>
      <c r="K48">
        <v>54.38</v>
      </c>
      <c r="L48">
        <v>12.5</v>
      </c>
      <c r="M48">
        <v>5</v>
      </c>
      <c r="N48">
        <v>46.09</v>
      </c>
      <c r="O48">
        <v>26500.31</v>
      </c>
      <c r="P48">
        <v>88.21</v>
      </c>
      <c r="Q48">
        <v>204.16</v>
      </c>
      <c r="R48">
        <v>25.48</v>
      </c>
      <c r="S48">
        <v>17.37</v>
      </c>
      <c r="T48">
        <v>1946.42</v>
      </c>
      <c r="U48">
        <v>0.68</v>
      </c>
      <c r="V48">
        <v>0.75</v>
      </c>
      <c r="W48">
        <v>1.1499999999999999</v>
      </c>
      <c r="X48">
        <v>0.12</v>
      </c>
      <c r="Y48">
        <v>1</v>
      </c>
      <c r="Z48">
        <v>10</v>
      </c>
    </row>
    <row r="49" spans="1:26" x14ac:dyDescent="0.3">
      <c r="A49">
        <v>47</v>
      </c>
      <c r="B49">
        <v>100</v>
      </c>
      <c r="C49" t="s">
        <v>26</v>
      </c>
      <c r="D49">
        <v>10.491300000000001</v>
      </c>
      <c r="E49">
        <v>9.5299999999999994</v>
      </c>
      <c r="F49">
        <v>6.78</v>
      </c>
      <c r="G49">
        <v>67.819999999999993</v>
      </c>
      <c r="H49">
        <v>1.06</v>
      </c>
      <c r="I49">
        <v>6</v>
      </c>
      <c r="J49">
        <v>213.37</v>
      </c>
      <c r="K49">
        <v>54.38</v>
      </c>
      <c r="L49">
        <v>12.75</v>
      </c>
      <c r="M49">
        <v>4</v>
      </c>
      <c r="N49">
        <v>46.25</v>
      </c>
      <c r="O49">
        <v>26550.29</v>
      </c>
      <c r="P49">
        <v>87.72</v>
      </c>
      <c r="Q49">
        <v>204.14</v>
      </c>
      <c r="R49">
        <v>24.62</v>
      </c>
      <c r="S49">
        <v>17.37</v>
      </c>
      <c r="T49">
        <v>1522.25</v>
      </c>
      <c r="U49">
        <v>0.71</v>
      </c>
      <c r="V49">
        <v>0.75</v>
      </c>
      <c r="W49">
        <v>1.1499999999999999</v>
      </c>
      <c r="X49">
        <v>0.09</v>
      </c>
      <c r="Y49">
        <v>1</v>
      </c>
      <c r="Z49">
        <v>10</v>
      </c>
    </row>
    <row r="50" spans="1:26" x14ac:dyDescent="0.3">
      <c r="A50">
        <v>48</v>
      </c>
      <c r="B50">
        <v>100</v>
      </c>
      <c r="C50" t="s">
        <v>26</v>
      </c>
      <c r="D50">
        <v>10.479699999999999</v>
      </c>
      <c r="E50">
        <v>9.5399999999999991</v>
      </c>
      <c r="F50">
        <v>6.79</v>
      </c>
      <c r="G50">
        <v>67.92</v>
      </c>
      <c r="H50">
        <v>1.08</v>
      </c>
      <c r="I50">
        <v>6</v>
      </c>
      <c r="J50">
        <v>213.78</v>
      </c>
      <c r="K50">
        <v>54.38</v>
      </c>
      <c r="L50">
        <v>13</v>
      </c>
      <c r="M50">
        <v>4</v>
      </c>
      <c r="N50">
        <v>46.4</v>
      </c>
      <c r="O50">
        <v>26600.32</v>
      </c>
      <c r="P50">
        <v>87.81</v>
      </c>
      <c r="Q50">
        <v>204.14</v>
      </c>
      <c r="R50">
        <v>24.85</v>
      </c>
      <c r="S50">
        <v>17.37</v>
      </c>
      <c r="T50">
        <v>1638.99</v>
      </c>
      <c r="U50">
        <v>0.7</v>
      </c>
      <c r="V50">
        <v>0.75</v>
      </c>
      <c r="W50">
        <v>1.1499999999999999</v>
      </c>
      <c r="X50">
        <v>0.1</v>
      </c>
      <c r="Y50">
        <v>1</v>
      </c>
      <c r="Z50">
        <v>10</v>
      </c>
    </row>
    <row r="51" spans="1:26" x14ac:dyDescent="0.3">
      <c r="A51">
        <v>49</v>
      </c>
      <c r="B51">
        <v>100</v>
      </c>
      <c r="C51" t="s">
        <v>26</v>
      </c>
      <c r="D51">
        <v>10.4855</v>
      </c>
      <c r="E51">
        <v>9.5399999999999991</v>
      </c>
      <c r="F51">
        <v>6.79</v>
      </c>
      <c r="G51">
        <v>67.87</v>
      </c>
      <c r="H51">
        <v>1.1000000000000001</v>
      </c>
      <c r="I51">
        <v>6</v>
      </c>
      <c r="J51">
        <v>214.19</v>
      </c>
      <c r="K51">
        <v>54.38</v>
      </c>
      <c r="L51">
        <v>13.25</v>
      </c>
      <c r="M51">
        <v>4</v>
      </c>
      <c r="N51">
        <v>46.56</v>
      </c>
      <c r="O51">
        <v>26650.41</v>
      </c>
      <c r="P51">
        <v>87.88</v>
      </c>
      <c r="Q51">
        <v>204.14</v>
      </c>
      <c r="R51">
        <v>24.85</v>
      </c>
      <c r="S51">
        <v>17.37</v>
      </c>
      <c r="T51">
        <v>1635.81</v>
      </c>
      <c r="U51">
        <v>0.7</v>
      </c>
      <c r="V51">
        <v>0.75</v>
      </c>
      <c r="W51">
        <v>1.1499999999999999</v>
      </c>
      <c r="X51">
        <v>0.1</v>
      </c>
      <c r="Y51">
        <v>1</v>
      </c>
      <c r="Z51">
        <v>10</v>
      </c>
    </row>
    <row r="52" spans="1:26" x14ac:dyDescent="0.3">
      <c r="A52">
        <v>50</v>
      </c>
      <c r="B52">
        <v>100</v>
      </c>
      <c r="C52" t="s">
        <v>26</v>
      </c>
      <c r="D52">
        <v>10.484299999999999</v>
      </c>
      <c r="E52">
        <v>9.5399999999999991</v>
      </c>
      <c r="F52">
        <v>6.79</v>
      </c>
      <c r="G52">
        <v>67.88</v>
      </c>
      <c r="H52">
        <v>1.1200000000000001</v>
      </c>
      <c r="I52">
        <v>6</v>
      </c>
      <c r="J52">
        <v>214.59</v>
      </c>
      <c r="K52">
        <v>54.38</v>
      </c>
      <c r="L52">
        <v>13.5</v>
      </c>
      <c r="M52">
        <v>4</v>
      </c>
      <c r="N52">
        <v>46.72</v>
      </c>
      <c r="O52">
        <v>26700.55</v>
      </c>
      <c r="P52">
        <v>87.86</v>
      </c>
      <c r="Q52">
        <v>204.14</v>
      </c>
      <c r="R52">
        <v>24.97</v>
      </c>
      <c r="S52">
        <v>17.37</v>
      </c>
      <c r="T52">
        <v>1696.48</v>
      </c>
      <c r="U52">
        <v>0.7</v>
      </c>
      <c r="V52">
        <v>0.75</v>
      </c>
      <c r="W52">
        <v>1.1399999999999999</v>
      </c>
      <c r="X52">
        <v>0.1</v>
      </c>
      <c r="Y52">
        <v>1</v>
      </c>
      <c r="Z52">
        <v>10</v>
      </c>
    </row>
    <row r="53" spans="1:26" x14ac:dyDescent="0.3">
      <c r="A53">
        <v>51</v>
      </c>
      <c r="B53">
        <v>100</v>
      </c>
      <c r="C53" t="s">
        <v>26</v>
      </c>
      <c r="D53">
        <v>10.491300000000001</v>
      </c>
      <c r="E53">
        <v>9.5299999999999994</v>
      </c>
      <c r="F53">
        <v>6.78</v>
      </c>
      <c r="G53">
        <v>67.819999999999993</v>
      </c>
      <c r="H53">
        <v>1.1399999999999999</v>
      </c>
      <c r="I53">
        <v>6</v>
      </c>
      <c r="J53">
        <v>215</v>
      </c>
      <c r="K53">
        <v>54.38</v>
      </c>
      <c r="L53">
        <v>13.75</v>
      </c>
      <c r="M53">
        <v>4</v>
      </c>
      <c r="N53">
        <v>46.87</v>
      </c>
      <c r="O53">
        <v>26750.75</v>
      </c>
      <c r="P53">
        <v>87.63</v>
      </c>
      <c r="Q53">
        <v>204.15</v>
      </c>
      <c r="R53">
        <v>24.61</v>
      </c>
      <c r="S53">
        <v>17.37</v>
      </c>
      <c r="T53">
        <v>1514.87</v>
      </c>
      <c r="U53">
        <v>0.71</v>
      </c>
      <c r="V53">
        <v>0.75</v>
      </c>
      <c r="W53">
        <v>1.1499999999999999</v>
      </c>
      <c r="X53">
        <v>0.09</v>
      </c>
      <c r="Y53">
        <v>1</v>
      </c>
      <c r="Z53">
        <v>10</v>
      </c>
    </row>
    <row r="54" spans="1:26" x14ac:dyDescent="0.3">
      <c r="A54">
        <v>52</v>
      </c>
      <c r="B54">
        <v>100</v>
      </c>
      <c r="C54" t="s">
        <v>26</v>
      </c>
      <c r="D54">
        <v>10.4861</v>
      </c>
      <c r="E54">
        <v>9.5399999999999991</v>
      </c>
      <c r="F54">
        <v>6.79</v>
      </c>
      <c r="G54">
        <v>67.86</v>
      </c>
      <c r="H54">
        <v>1.1499999999999999</v>
      </c>
      <c r="I54">
        <v>6</v>
      </c>
      <c r="J54">
        <v>215.41</v>
      </c>
      <c r="K54">
        <v>54.38</v>
      </c>
      <c r="L54">
        <v>14</v>
      </c>
      <c r="M54">
        <v>4</v>
      </c>
      <c r="N54">
        <v>47.03</v>
      </c>
      <c r="O54">
        <v>26801</v>
      </c>
      <c r="P54">
        <v>87.39</v>
      </c>
      <c r="Q54">
        <v>204.17</v>
      </c>
      <c r="R54">
        <v>24.81</v>
      </c>
      <c r="S54">
        <v>17.37</v>
      </c>
      <c r="T54">
        <v>1618.66</v>
      </c>
      <c r="U54">
        <v>0.7</v>
      </c>
      <c r="V54">
        <v>0.75</v>
      </c>
      <c r="W54">
        <v>1.1499999999999999</v>
      </c>
      <c r="X54">
        <v>0.1</v>
      </c>
      <c r="Y54">
        <v>1</v>
      </c>
      <c r="Z54">
        <v>10</v>
      </c>
    </row>
    <row r="55" spans="1:26" x14ac:dyDescent="0.3">
      <c r="A55">
        <v>53</v>
      </c>
      <c r="B55">
        <v>100</v>
      </c>
      <c r="C55" t="s">
        <v>26</v>
      </c>
      <c r="D55">
        <v>10.479100000000001</v>
      </c>
      <c r="E55">
        <v>9.5399999999999991</v>
      </c>
      <c r="F55">
        <v>6.79</v>
      </c>
      <c r="G55">
        <v>67.930000000000007</v>
      </c>
      <c r="H55">
        <v>1.17</v>
      </c>
      <c r="I55">
        <v>6</v>
      </c>
      <c r="J55">
        <v>215.82</v>
      </c>
      <c r="K55">
        <v>54.38</v>
      </c>
      <c r="L55">
        <v>14.25</v>
      </c>
      <c r="M55">
        <v>4</v>
      </c>
      <c r="N55">
        <v>47.19</v>
      </c>
      <c r="O55">
        <v>26851.31</v>
      </c>
      <c r="P55">
        <v>87.37</v>
      </c>
      <c r="Q55">
        <v>204.14</v>
      </c>
      <c r="R55">
        <v>25.03</v>
      </c>
      <c r="S55">
        <v>17.37</v>
      </c>
      <c r="T55">
        <v>1728.99</v>
      </c>
      <c r="U55">
        <v>0.69</v>
      </c>
      <c r="V55">
        <v>0.75</v>
      </c>
      <c r="W55">
        <v>1.1499999999999999</v>
      </c>
      <c r="X55">
        <v>0.1</v>
      </c>
      <c r="Y55">
        <v>1</v>
      </c>
      <c r="Z55">
        <v>10</v>
      </c>
    </row>
    <row r="56" spans="1:26" x14ac:dyDescent="0.3">
      <c r="A56">
        <v>54</v>
      </c>
      <c r="B56">
        <v>100</v>
      </c>
      <c r="C56" t="s">
        <v>26</v>
      </c>
      <c r="D56">
        <v>10.486499999999999</v>
      </c>
      <c r="E56">
        <v>9.5399999999999991</v>
      </c>
      <c r="F56">
        <v>6.79</v>
      </c>
      <c r="G56">
        <v>67.86</v>
      </c>
      <c r="H56">
        <v>1.19</v>
      </c>
      <c r="I56">
        <v>6</v>
      </c>
      <c r="J56">
        <v>216.22</v>
      </c>
      <c r="K56">
        <v>54.38</v>
      </c>
      <c r="L56">
        <v>14.5</v>
      </c>
      <c r="M56">
        <v>4</v>
      </c>
      <c r="N56">
        <v>47.35</v>
      </c>
      <c r="O56">
        <v>26901.66</v>
      </c>
      <c r="P56">
        <v>86.96</v>
      </c>
      <c r="Q56">
        <v>204.14</v>
      </c>
      <c r="R56">
        <v>24.75</v>
      </c>
      <c r="S56">
        <v>17.37</v>
      </c>
      <c r="T56">
        <v>1585.61</v>
      </c>
      <c r="U56">
        <v>0.7</v>
      </c>
      <c r="V56">
        <v>0.75</v>
      </c>
      <c r="W56">
        <v>1.1499999999999999</v>
      </c>
      <c r="X56">
        <v>0.1</v>
      </c>
      <c r="Y56">
        <v>1</v>
      </c>
      <c r="Z56">
        <v>10</v>
      </c>
    </row>
    <row r="57" spans="1:26" x14ac:dyDescent="0.3">
      <c r="A57">
        <v>55</v>
      </c>
      <c r="B57">
        <v>100</v>
      </c>
      <c r="C57" t="s">
        <v>26</v>
      </c>
      <c r="D57">
        <v>10.482799999999999</v>
      </c>
      <c r="E57">
        <v>9.5399999999999991</v>
      </c>
      <c r="F57">
        <v>6.79</v>
      </c>
      <c r="G57">
        <v>67.89</v>
      </c>
      <c r="H57">
        <v>1.21</v>
      </c>
      <c r="I57">
        <v>6</v>
      </c>
      <c r="J57">
        <v>216.63</v>
      </c>
      <c r="K57">
        <v>54.38</v>
      </c>
      <c r="L57">
        <v>14.75</v>
      </c>
      <c r="M57">
        <v>4</v>
      </c>
      <c r="N57">
        <v>47.51</v>
      </c>
      <c r="O57">
        <v>26952.080000000002</v>
      </c>
      <c r="P57">
        <v>86.81</v>
      </c>
      <c r="Q57">
        <v>204.14</v>
      </c>
      <c r="R57">
        <v>24.91</v>
      </c>
      <c r="S57">
        <v>17.37</v>
      </c>
      <c r="T57">
        <v>1665.26</v>
      </c>
      <c r="U57">
        <v>0.7</v>
      </c>
      <c r="V57">
        <v>0.75</v>
      </c>
      <c r="W57">
        <v>1.1499999999999999</v>
      </c>
      <c r="X57">
        <v>0.1</v>
      </c>
      <c r="Y57">
        <v>1</v>
      </c>
      <c r="Z57">
        <v>10</v>
      </c>
    </row>
    <row r="58" spans="1:26" x14ac:dyDescent="0.3">
      <c r="A58">
        <v>56</v>
      </c>
      <c r="B58">
        <v>100</v>
      </c>
      <c r="C58" t="s">
        <v>26</v>
      </c>
      <c r="D58">
        <v>10.4846</v>
      </c>
      <c r="E58">
        <v>9.5399999999999991</v>
      </c>
      <c r="F58">
        <v>6.79</v>
      </c>
      <c r="G58">
        <v>67.88</v>
      </c>
      <c r="H58">
        <v>1.23</v>
      </c>
      <c r="I58">
        <v>6</v>
      </c>
      <c r="J58">
        <v>217.04</v>
      </c>
      <c r="K58">
        <v>54.38</v>
      </c>
      <c r="L58">
        <v>15</v>
      </c>
      <c r="M58">
        <v>4</v>
      </c>
      <c r="N58">
        <v>47.66</v>
      </c>
      <c r="O58">
        <v>27002.55</v>
      </c>
      <c r="P58">
        <v>86.64</v>
      </c>
      <c r="Q58">
        <v>204.14</v>
      </c>
      <c r="R58">
        <v>24.78</v>
      </c>
      <c r="S58">
        <v>17.37</v>
      </c>
      <c r="T58">
        <v>1603.08</v>
      </c>
      <c r="U58">
        <v>0.7</v>
      </c>
      <c r="V58">
        <v>0.75</v>
      </c>
      <c r="W58">
        <v>1.1499999999999999</v>
      </c>
      <c r="X58">
        <v>0.1</v>
      </c>
      <c r="Y58">
        <v>1</v>
      </c>
      <c r="Z58">
        <v>10</v>
      </c>
    </row>
    <row r="59" spans="1:26" x14ac:dyDescent="0.3">
      <c r="A59">
        <v>57</v>
      </c>
      <c r="B59">
        <v>100</v>
      </c>
      <c r="C59" t="s">
        <v>26</v>
      </c>
      <c r="D59">
        <v>10.4825</v>
      </c>
      <c r="E59">
        <v>9.5399999999999991</v>
      </c>
      <c r="F59">
        <v>6.79</v>
      </c>
      <c r="G59">
        <v>67.900000000000006</v>
      </c>
      <c r="H59">
        <v>1.25</v>
      </c>
      <c r="I59">
        <v>6</v>
      </c>
      <c r="J59">
        <v>217.45</v>
      </c>
      <c r="K59">
        <v>54.38</v>
      </c>
      <c r="L59">
        <v>15.25</v>
      </c>
      <c r="M59">
        <v>4</v>
      </c>
      <c r="N59">
        <v>47.82</v>
      </c>
      <c r="O59">
        <v>27053.07</v>
      </c>
      <c r="P59">
        <v>86.12</v>
      </c>
      <c r="Q59">
        <v>204.15</v>
      </c>
      <c r="R59">
        <v>25.03</v>
      </c>
      <c r="S59">
        <v>17.37</v>
      </c>
      <c r="T59">
        <v>1726.81</v>
      </c>
      <c r="U59">
        <v>0.69</v>
      </c>
      <c r="V59">
        <v>0.75</v>
      </c>
      <c r="W59">
        <v>1.1399999999999999</v>
      </c>
      <c r="X59">
        <v>0.1</v>
      </c>
      <c r="Y59">
        <v>1</v>
      </c>
      <c r="Z59">
        <v>10</v>
      </c>
    </row>
    <row r="60" spans="1:26" x14ac:dyDescent="0.3">
      <c r="A60">
        <v>58</v>
      </c>
      <c r="B60">
        <v>100</v>
      </c>
      <c r="C60" t="s">
        <v>26</v>
      </c>
      <c r="D60">
        <v>10.544499999999999</v>
      </c>
      <c r="E60">
        <v>9.48</v>
      </c>
      <c r="F60">
        <v>6.77</v>
      </c>
      <c r="G60">
        <v>81.27</v>
      </c>
      <c r="H60">
        <v>1.26</v>
      </c>
      <c r="I60">
        <v>5</v>
      </c>
      <c r="J60">
        <v>217.86</v>
      </c>
      <c r="K60">
        <v>54.38</v>
      </c>
      <c r="L60">
        <v>15.5</v>
      </c>
      <c r="M60">
        <v>3</v>
      </c>
      <c r="N60">
        <v>47.98</v>
      </c>
      <c r="O60">
        <v>27103.65</v>
      </c>
      <c r="P60">
        <v>85.78</v>
      </c>
      <c r="Q60">
        <v>204.23</v>
      </c>
      <c r="R60">
        <v>24.37</v>
      </c>
      <c r="S60">
        <v>17.37</v>
      </c>
      <c r="T60">
        <v>1403.52</v>
      </c>
      <c r="U60">
        <v>0.71</v>
      </c>
      <c r="V60">
        <v>0.75</v>
      </c>
      <c r="W60">
        <v>1.1399999999999999</v>
      </c>
      <c r="X60">
        <v>0.08</v>
      </c>
      <c r="Y60">
        <v>1</v>
      </c>
      <c r="Z60">
        <v>10</v>
      </c>
    </row>
    <row r="61" spans="1:26" x14ac:dyDescent="0.3">
      <c r="A61">
        <v>59</v>
      </c>
      <c r="B61">
        <v>100</v>
      </c>
      <c r="C61" t="s">
        <v>26</v>
      </c>
      <c r="D61">
        <v>10.535600000000001</v>
      </c>
      <c r="E61">
        <v>9.49</v>
      </c>
      <c r="F61">
        <v>6.78</v>
      </c>
      <c r="G61">
        <v>81.37</v>
      </c>
      <c r="H61">
        <v>1.28</v>
      </c>
      <c r="I61">
        <v>5</v>
      </c>
      <c r="J61">
        <v>218.27</v>
      </c>
      <c r="K61">
        <v>54.38</v>
      </c>
      <c r="L61">
        <v>15.75</v>
      </c>
      <c r="M61">
        <v>3</v>
      </c>
      <c r="N61">
        <v>48.15</v>
      </c>
      <c r="O61">
        <v>27154.29</v>
      </c>
      <c r="P61">
        <v>86.08</v>
      </c>
      <c r="Q61">
        <v>204.14</v>
      </c>
      <c r="R61">
        <v>24.63</v>
      </c>
      <c r="S61">
        <v>17.37</v>
      </c>
      <c r="T61">
        <v>1532.64</v>
      </c>
      <c r="U61">
        <v>0.71</v>
      </c>
      <c r="V61">
        <v>0.75</v>
      </c>
      <c r="W61">
        <v>1.1399999999999999</v>
      </c>
      <c r="X61">
        <v>0.09</v>
      </c>
      <c r="Y61">
        <v>1</v>
      </c>
      <c r="Z61">
        <v>10</v>
      </c>
    </row>
    <row r="62" spans="1:26" x14ac:dyDescent="0.3">
      <c r="A62">
        <v>60</v>
      </c>
      <c r="B62">
        <v>100</v>
      </c>
      <c r="C62" t="s">
        <v>26</v>
      </c>
      <c r="D62">
        <v>10.5448</v>
      </c>
      <c r="E62">
        <v>9.48</v>
      </c>
      <c r="F62">
        <v>6.77</v>
      </c>
      <c r="G62">
        <v>81.27</v>
      </c>
      <c r="H62">
        <v>1.3</v>
      </c>
      <c r="I62">
        <v>5</v>
      </c>
      <c r="J62">
        <v>218.68</v>
      </c>
      <c r="K62">
        <v>54.38</v>
      </c>
      <c r="L62">
        <v>16</v>
      </c>
      <c r="M62">
        <v>3</v>
      </c>
      <c r="N62">
        <v>48.31</v>
      </c>
      <c r="O62">
        <v>27204.98</v>
      </c>
      <c r="P62">
        <v>86</v>
      </c>
      <c r="Q62">
        <v>204.14</v>
      </c>
      <c r="R62">
        <v>24.37</v>
      </c>
      <c r="S62">
        <v>17.37</v>
      </c>
      <c r="T62">
        <v>1400.23</v>
      </c>
      <c r="U62">
        <v>0.71</v>
      </c>
      <c r="V62">
        <v>0.75</v>
      </c>
      <c r="W62">
        <v>1.1399999999999999</v>
      </c>
      <c r="X62">
        <v>0.08</v>
      </c>
      <c r="Y62">
        <v>1</v>
      </c>
      <c r="Z62">
        <v>10</v>
      </c>
    </row>
    <row r="63" spans="1:26" x14ac:dyDescent="0.3">
      <c r="A63">
        <v>61</v>
      </c>
      <c r="B63">
        <v>100</v>
      </c>
      <c r="C63" t="s">
        <v>26</v>
      </c>
      <c r="D63">
        <v>10.543900000000001</v>
      </c>
      <c r="E63">
        <v>9.48</v>
      </c>
      <c r="F63">
        <v>6.77</v>
      </c>
      <c r="G63">
        <v>81.28</v>
      </c>
      <c r="H63">
        <v>1.32</v>
      </c>
      <c r="I63">
        <v>5</v>
      </c>
      <c r="J63">
        <v>219.09</v>
      </c>
      <c r="K63">
        <v>54.38</v>
      </c>
      <c r="L63">
        <v>16.25</v>
      </c>
      <c r="M63">
        <v>3</v>
      </c>
      <c r="N63">
        <v>48.47</v>
      </c>
      <c r="O63">
        <v>27255.72</v>
      </c>
      <c r="P63">
        <v>86.27</v>
      </c>
      <c r="Q63">
        <v>204.15</v>
      </c>
      <c r="R63">
        <v>24.41</v>
      </c>
      <c r="S63">
        <v>17.37</v>
      </c>
      <c r="T63">
        <v>1424.81</v>
      </c>
      <c r="U63">
        <v>0.71</v>
      </c>
      <c r="V63">
        <v>0.75</v>
      </c>
      <c r="W63">
        <v>1.1399999999999999</v>
      </c>
      <c r="X63">
        <v>0.08</v>
      </c>
      <c r="Y63">
        <v>1</v>
      </c>
      <c r="Z63">
        <v>10</v>
      </c>
    </row>
    <row r="64" spans="1:26" x14ac:dyDescent="0.3">
      <c r="A64">
        <v>62</v>
      </c>
      <c r="B64">
        <v>100</v>
      </c>
      <c r="C64" t="s">
        <v>26</v>
      </c>
      <c r="D64">
        <v>10.5473</v>
      </c>
      <c r="E64">
        <v>9.48</v>
      </c>
      <c r="F64">
        <v>6.77</v>
      </c>
      <c r="G64">
        <v>81.239999999999995</v>
      </c>
      <c r="H64">
        <v>1.34</v>
      </c>
      <c r="I64">
        <v>5</v>
      </c>
      <c r="J64">
        <v>219.51</v>
      </c>
      <c r="K64">
        <v>54.38</v>
      </c>
      <c r="L64">
        <v>16.5</v>
      </c>
      <c r="M64">
        <v>3</v>
      </c>
      <c r="N64">
        <v>48.63</v>
      </c>
      <c r="O64">
        <v>27306.53</v>
      </c>
      <c r="P64">
        <v>86</v>
      </c>
      <c r="Q64">
        <v>204.14</v>
      </c>
      <c r="R64">
        <v>24.34</v>
      </c>
      <c r="S64">
        <v>17.37</v>
      </c>
      <c r="T64">
        <v>1388</v>
      </c>
      <c r="U64">
        <v>0.71</v>
      </c>
      <c r="V64">
        <v>0.75</v>
      </c>
      <c r="W64">
        <v>1.1399999999999999</v>
      </c>
      <c r="X64">
        <v>0.08</v>
      </c>
      <c r="Y64">
        <v>1</v>
      </c>
      <c r="Z64">
        <v>10</v>
      </c>
    </row>
    <row r="65" spans="1:26" x14ac:dyDescent="0.3">
      <c r="A65">
        <v>63</v>
      </c>
      <c r="B65">
        <v>100</v>
      </c>
      <c r="C65" t="s">
        <v>26</v>
      </c>
      <c r="D65">
        <v>10.5396</v>
      </c>
      <c r="E65">
        <v>9.49</v>
      </c>
      <c r="F65">
        <v>6.78</v>
      </c>
      <c r="G65">
        <v>81.319999999999993</v>
      </c>
      <c r="H65">
        <v>1.35</v>
      </c>
      <c r="I65">
        <v>5</v>
      </c>
      <c r="J65">
        <v>219.92</v>
      </c>
      <c r="K65">
        <v>54.38</v>
      </c>
      <c r="L65">
        <v>16.75</v>
      </c>
      <c r="M65">
        <v>3</v>
      </c>
      <c r="N65">
        <v>48.79</v>
      </c>
      <c r="O65">
        <v>27357.38</v>
      </c>
      <c r="P65">
        <v>85.99</v>
      </c>
      <c r="Q65">
        <v>204.14</v>
      </c>
      <c r="R65">
        <v>24.48</v>
      </c>
      <c r="S65">
        <v>17.37</v>
      </c>
      <c r="T65">
        <v>1458.72</v>
      </c>
      <c r="U65">
        <v>0.71</v>
      </c>
      <c r="V65">
        <v>0.75</v>
      </c>
      <c r="W65">
        <v>1.1499999999999999</v>
      </c>
      <c r="X65">
        <v>0.09</v>
      </c>
      <c r="Y65">
        <v>1</v>
      </c>
      <c r="Z65">
        <v>10</v>
      </c>
    </row>
    <row r="66" spans="1:26" x14ac:dyDescent="0.3">
      <c r="A66">
        <v>64</v>
      </c>
      <c r="B66">
        <v>100</v>
      </c>
      <c r="C66" t="s">
        <v>26</v>
      </c>
      <c r="D66">
        <v>10.539</v>
      </c>
      <c r="E66">
        <v>9.49</v>
      </c>
      <c r="F66">
        <v>6.78</v>
      </c>
      <c r="G66">
        <v>81.33</v>
      </c>
      <c r="H66">
        <v>1.37</v>
      </c>
      <c r="I66">
        <v>5</v>
      </c>
      <c r="J66">
        <v>220.33</v>
      </c>
      <c r="K66">
        <v>54.38</v>
      </c>
      <c r="L66">
        <v>17</v>
      </c>
      <c r="M66">
        <v>3</v>
      </c>
      <c r="N66">
        <v>48.95</v>
      </c>
      <c r="O66">
        <v>27408.3</v>
      </c>
      <c r="P66">
        <v>85.88</v>
      </c>
      <c r="Q66">
        <v>204.14</v>
      </c>
      <c r="R66">
        <v>24.54</v>
      </c>
      <c r="S66">
        <v>17.37</v>
      </c>
      <c r="T66">
        <v>1488.54</v>
      </c>
      <c r="U66">
        <v>0.71</v>
      </c>
      <c r="V66">
        <v>0.75</v>
      </c>
      <c r="W66">
        <v>1.1499999999999999</v>
      </c>
      <c r="X66">
        <v>0.09</v>
      </c>
      <c r="Y66">
        <v>1</v>
      </c>
      <c r="Z66">
        <v>10</v>
      </c>
    </row>
    <row r="67" spans="1:26" x14ac:dyDescent="0.3">
      <c r="A67">
        <v>65</v>
      </c>
      <c r="B67">
        <v>100</v>
      </c>
      <c r="C67" t="s">
        <v>26</v>
      </c>
      <c r="D67">
        <v>10.5442</v>
      </c>
      <c r="E67">
        <v>9.48</v>
      </c>
      <c r="F67">
        <v>6.77</v>
      </c>
      <c r="G67">
        <v>81.27</v>
      </c>
      <c r="H67">
        <v>1.39</v>
      </c>
      <c r="I67">
        <v>5</v>
      </c>
      <c r="J67">
        <v>220.74</v>
      </c>
      <c r="K67">
        <v>54.38</v>
      </c>
      <c r="L67">
        <v>17.25</v>
      </c>
      <c r="M67">
        <v>3</v>
      </c>
      <c r="N67">
        <v>49.12</v>
      </c>
      <c r="O67">
        <v>27459.27</v>
      </c>
      <c r="P67">
        <v>85.57</v>
      </c>
      <c r="Q67">
        <v>204.16</v>
      </c>
      <c r="R67">
        <v>24.41</v>
      </c>
      <c r="S67">
        <v>17.37</v>
      </c>
      <c r="T67">
        <v>1421.46</v>
      </c>
      <c r="U67">
        <v>0.71</v>
      </c>
      <c r="V67">
        <v>0.75</v>
      </c>
      <c r="W67">
        <v>1.1399999999999999</v>
      </c>
      <c r="X67">
        <v>0.08</v>
      </c>
      <c r="Y67">
        <v>1</v>
      </c>
      <c r="Z67">
        <v>10</v>
      </c>
    </row>
    <row r="68" spans="1:26" x14ac:dyDescent="0.3">
      <c r="A68">
        <v>66</v>
      </c>
      <c r="B68">
        <v>100</v>
      </c>
      <c r="C68" t="s">
        <v>26</v>
      </c>
      <c r="D68">
        <v>10.552899999999999</v>
      </c>
      <c r="E68">
        <v>9.48</v>
      </c>
      <c r="F68">
        <v>6.76</v>
      </c>
      <c r="G68">
        <v>81.180000000000007</v>
      </c>
      <c r="H68">
        <v>1.41</v>
      </c>
      <c r="I68">
        <v>5</v>
      </c>
      <c r="J68">
        <v>221.16</v>
      </c>
      <c r="K68">
        <v>54.38</v>
      </c>
      <c r="L68">
        <v>17.5</v>
      </c>
      <c r="M68">
        <v>3</v>
      </c>
      <c r="N68">
        <v>49.28</v>
      </c>
      <c r="O68">
        <v>27510.3</v>
      </c>
      <c r="P68">
        <v>85.33</v>
      </c>
      <c r="Q68">
        <v>204.14</v>
      </c>
      <c r="R68">
        <v>24.23</v>
      </c>
      <c r="S68">
        <v>17.37</v>
      </c>
      <c r="T68">
        <v>1334.12</v>
      </c>
      <c r="U68">
        <v>0.72</v>
      </c>
      <c r="V68">
        <v>0.75</v>
      </c>
      <c r="W68">
        <v>1.1399999999999999</v>
      </c>
      <c r="X68">
        <v>7.0000000000000007E-2</v>
      </c>
      <c r="Y68">
        <v>1</v>
      </c>
      <c r="Z68">
        <v>10</v>
      </c>
    </row>
    <row r="69" spans="1:26" x14ac:dyDescent="0.3">
      <c r="A69">
        <v>67</v>
      </c>
      <c r="B69">
        <v>100</v>
      </c>
      <c r="C69" t="s">
        <v>26</v>
      </c>
      <c r="D69">
        <v>10.5572</v>
      </c>
      <c r="E69">
        <v>9.4700000000000006</v>
      </c>
      <c r="F69">
        <v>6.76</v>
      </c>
      <c r="G69">
        <v>81.13</v>
      </c>
      <c r="H69">
        <v>1.42</v>
      </c>
      <c r="I69">
        <v>5</v>
      </c>
      <c r="J69">
        <v>221.57</v>
      </c>
      <c r="K69">
        <v>54.38</v>
      </c>
      <c r="L69">
        <v>17.75</v>
      </c>
      <c r="M69">
        <v>3</v>
      </c>
      <c r="N69">
        <v>49.45</v>
      </c>
      <c r="O69">
        <v>27561.39</v>
      </c>
      <c r="P69">
        <v>84.88</v>
      </c>
      <c r="Q69">
        <v>204.14</v>
      </c>
      <c r="R69">
        <v>24.07</v>
      </c>
      <c r="S69">
        <v>17.37</v>
      </c>
      <c r="T69">
        <v>1250.78</v>
      </c>
      <c r="U69">
        <v>0.72</v>
      </c>
      <c r="V69">
        <v>0.76</v>
      </c>
      <c r="W69">
        <v>1.1399999999999999</v>
      </c>
      <c r="X69">
        <v>7.0000000000000007E-2</v>
      </c>
      <c r="Y69">
        <v>1</v>
      </c>
      <c r="Z69">
        <v>10</v>
      </c>
    </row>
    <row r="70" spans="1:26" x14ac:dyDescent="0.3">
      <c r="A70">
        <v>68</v>
      </c>
      <c r="B70">
        <v>100</v>
      </c>
      <c r="C70" t="s">
        <v>26</v>
      </c>
      <c r="D70">
        <v>10.5535</v>
      </c>
      <c r="E70">
        <v>9.48</v>
      </c>
      <c r="F70">
        <v>6.76</v>
      </c>
      <c r="G70">
        <v>81.17</v>
      </c>
      <c r="H70">
        <v>1.44</v>
      </c>
      <c r="I70">
        <v>5</v>
      </c>
      <c r="J70">
        <v>221.99</v>
      </c>
      <c r="K70">
        <v>54.38</v>
      </c>
      <c r="L70">
        <v>18</v>
      </c>
      <c r="M70">
        <v>3</v>
      </c>
      <c r="N70">
        <v>49.61</v>
      </c>
      <c r="O70">
        <v>27612.53</v>
      </c>
      <c r="P70">
        <v>84.53</v>
      </c>
      <c r="Q70">
        <v>204.16</v>
      </c>
      <c r="R70">
        <v>24.06</v>
      </c>
      <c r="S70">
        <v>17.37</v>
      </c>
      <c r="T70">
        <v>1247.79</v>
      </c>
      <c r="U70">
        <v>0.72</v>
      </c>
      <c r="V70">
        <v>0.75</v>
      </c>
      <c r="W70">
        <v>1.1499999999999999</v>
      </c>
      <c r="X70">
        <v>7.0000000000000007E-2</v>
      </c>
      <c r="Y70">
        <v>1</v>
      </c>
      <c r="Z70">
        <v>10</v>
      </c>
    </row>
    <row r="71" spans="1:26" x14ac:dyDescent="0.3">
      <c r="A71">
        <v>69</v>
      </c>
      <c r="B71">
        <v>100</v>
      </c>
      <c r="C71" t="s">
        <v>26</v>
      </c>
      <c r="D71">
        <v>10.5473</v>
      </c>
      <c r="E71">
        <v>9.48</v>
      </c>
      <c r="F71">
        <v>6.77</v>
      </c>
      <c r="G71">
        <v>81.239999999999995</v>
      </c>
      <c r="H71">
        <v>1.46</v>
      </c>
      <c r="I71">
        <v>5</v>
      </c>
      <c r="J71">
        <v>222.4</v>
      </c>
      <c r="K71">
        <v>54.38</v>
      </c>
      <c r="L71">
        <v>18.25</v>
      </c>
      <c r="M71">
        <v>3</v>
      </c>
      <c r="N71">
        <v>49.78</v>
      </c>
      <c r="O71">
        <v>27663.85</v>
      </c>
      <c r="P71">
        <v>84.07</v>
      </c>
      <c r="Q71">
        <v>204.14</v>
      </c>
      <c r="R71">
        <v>24.2</v>
      </c>
      <c r="S71">
        <v>17.37</v>
      </c>
      <c r="T71">
        <v>1316.59</v>
      </c>
      <c r="U71">
        <v>0.72</v>
      </c>
      <c r="V71">
        <v>0.75</v>
      </c>
      <c r="W71">
        <v>1.1499999999999999</v>
      </c>
      <c r="X71">
        <v>0.08</v>
      </c>
      <c r="Y71">
        <v>1</v>
      </c>
      <c r="Z71">
        <v>10</v>
      </c>
    </row>
    <row r="72" spans="1:26" x14ac:dyDescent="0.3">
      <c r="A72">
        <v>70</v>
      </c>
      <c r="B72">
        <v>100</v>
      </c>
      <c r="C72" t="s">
        <v>26</v>
      </c>
      <c r="D72">
        <v>10.5504</v>
      </c>
      <c r="E72">
        <v>9.48</v>
      </c>
      <c r="F72">
        <v>6.77</v>
      </c>
      <c r="G72">
        <v>81.209999999999994</v>
      </c>
      <c r="H72">
        <v>1.48</v>
      </c>
      <c r="I72">
        <v>5</v>
      </c>
      <c r="J72">
        <v>222.82</v>
      </c>
      <c r="K72">
        <v>54.38</v>
      </c>
      <c r="L72">
        <v>18.5</v>
      </c>
      <c r="M72">
        <v>3</v>
      </c>
      <c r="N72">
        <v>49.94</v>
      </c>
      <c r="O72">
        <v>27715.11</v>
      </c>
      <c r="P72">
        <v>83.67</v>
      </c>
      <c r="Q72">
        <v>204.14</v>
      </c>
      <c r="R72">
        <v>24.18</v>
      </c>
      <c r="S72">
        <v>17.37</v>
      </c>
      <c r="T72">
        <v>1307.25</v>
      </c>
      <c r="U72">
        <v>0.72</v>
      </c>
      <c r="V72">
        <v>0.75</v>
      </c>
      <c r="W72">
        <v>1.1399999999999999</v>
      </c>
      <c r="X72">
        <v>0.08</v>
      </c>
      <c r="Y72">
        <v>1</v>
      </c>
      <c r="Z72">
        <v>10</v>
      </c>
    </row>
    <row r="73" spans="1:26" x14ac:dyDescent="0.3">
      <c r="A73">
        <v>71</v>
      </c>
      <c r="B73">
        <v>100</v>
      </c>
      <c r="C73" t="s">
        <v>26</v>
      </c>
      <c r="D73">
        <v>10.5495</v>
      </c>
      <c r="E73">
        <v>9.48</v>
      </c>
      <c r="F73">
        <v>6.77</v>
      </c>
      <c r="G73">
        <v>81.22</v>
      </c>
      <c r="H73">
        <v>1.49</v>
      </c>
      <c r="I73">
        <v>5</v>
      </c>
      <c r="J73">
        <v>223.23</v>
      </c>
      <c r="K73">
        <v>54.38</v>
      </c>
      <c r="L73">
        <v>18.75</v>
      </c>
      <c r="M73">
        <v>3</v>
      </c>
      <c r="N73">
        <v>50.11</v>
      </c>
      <c r="O73">
        <v>27766.43</v>
      </c>
      <c r="P73">
        <v>83.66</v>
      </c>
      <c r="Q73">
        <v>204.14</v>
      </c>
      <c r="R73">
        <v>24.2</v>
      </c>
      <c r="S73">
        <v>17.37</v>
      </c>
      <c r="T73">
        <v>1317.69</v>
      </c>
      <c r="U73">
        <v>0.72</v>
      </c>
      <c r="V73">
        <v>0.75</v>
      </c>
      <c r="W73">
        <v>1.1399999999999999</v>
      </c>
      <c r="X73">
        <v>0.08</v>
      </c>
      <c r="Y73">
        <v>1</v>
      </c>
      <c r="Z73">
        <v>10</v>
      </c>
    </row>
    <row r="74" spans="1:26" x14ac:dyDescent="0.3">
      <c r="A74">
        <v>72</v>
      </c>
      <c r="B74">
        <v>100</v>
      </c>
      <c r="C74" t="s">
        <v>26</v>
      </c>
      <c r="D74">
        <v>10.5442</v>
      </c>
      <c r="E74">
        <v>9.48</v>
      </c>
      <c r="F74">
        <v>6.77</v>
      </c>
      <c r="G74">
        <v>81.27</v>
      </c>
      <c r="H74">
        <v>1.51</v>
      </c>
      <c r="I74">
        <v>5</v>
      </c>
      <c r="J74">
        <v>223.65</v>
      </c>
      <c r="K74">
        <v>54.38</v>
      </c>
      <c r="L74">
        <v>19</v>
      </c>
      <c r="M74">
        <v>3</v>
      </c>
      <c r="N74">
        <v>50.27</v>
      </c>
      <c r="O74">
        <v>27817.81</v>
      </c>
      <c r="P74">
        <v>83.46</v>
      </c>
      <c r="Q74">
        <v>204.14</v>
      </c>
      <c r="R74">
        <v>24.4</v>
      </c>
      <c r="S74">
        <v>17.37</v>
      </c>
      <c r="T74">
        <v>1416.51</v>
      </c>
      <c r="U74">
        <v>0.71</v>
      </c>
      <c r="V74">
        <v>0.75</v>
      </c>
      <c r="W74">
        <v>1.1399999999999999</v>
      </c>
      <c r="X74">
        <v>0.08</v>
      </c>
      <c r="Y74">
        <v>1</v>
      </c>
      <c r="Z74">
        <v>10</v>
      </c>
    </row>
    <row r="75" spans="1:26" x14ac:dyDescent="0.3">
      <c r="A75">
        <v>73</v>
      </c>
      <c r="B75">
        <v>100</v>
      </c>
      <c r="C75" t="s">
        <v>26</v>
      </c>
      <c r="D75">
        <v>10.5467</v>
      </c>
      <c r="E75">
        <v>9.48</v>
      </c>
      <c r="F75">
        <v>6.77</v>
      </c>
      <c r="G75">
        <v>81.25</v>
      </c>
      <c r="H75">
        <v>1.53</v>
      </c>
      <c r="I75">
        <v>5</v>
      </c>
      <c r="J75">
        <v>224.07</v>
      </c>
      <c r="K75">
        <v>54.38</v>
      </c>
      <c r="L75">
        <v>19.25</v>
      </c>
      <c r="M75">
        <v>3</v>
      </c>
      <c r="N75">
        <v>50.44</v>
      </c>
      <c r="O75">
        <v>27869.24</v>
      </c>
      <c r="P75">
        <v>83.01</v>
      </c>
      <c r="Q75">
        <v>204.15</v>
      </c>
      <c r="R75">
        <v>24.33</v>
      </c>
      <c r="S75">
        <v>17.37</v>
      </c>
      <c r="T75">
        <v>1383.29</v>
      </c>
      <c r="U75">
        <v>0.71</v>
      </c>
      <c r="V75">
        <v>0.75</v>
      </c>
      <c r="W75">
        <v>1.1399999999999999</v>
      </c>
      <c r="X75">
        <v>0.08</v>
      </c>
      <c r="Y75">
        <v>1</v>
      </c>
      <c r="Z75">
        <v>10</v>
      </c>
    </row>
    <row r="76" spans="1:26" x14ac:dyDescent="0.3">
      <c r="A76">
        <v>74</v>
      </c>
      <c r="B76">
        <v>100</v>
      </c>
      <c r="C76" t="s">
        <v>26</v>
      </c>
      <c r="D76">
        <v>10.551</v>
      </c>
      <c r="E76">
        <v>9.48</v>
      </c>
      <c r="F76">
        <v>6.77</v>
      </c>
      <c r="G76">
        <v>81.2</v>
      </c>
      <c r="H76">
        <v>1.54</v>
      </c>
      <c r="I76">
        <v>5</v>
      </c>
      <c r="J76">
        <v>224.49</v>
      </c>
      <c r="K76">
        <v>54.38</v>
      </c>
      <c r="L76">
        <v>19.5</v>
      </c>
      <c r="M76">
        <v>3</v>
      </c>
      <c r="N76">
        <v>50.61</v>
      </c>
      <c r="O76">
        <v>27920.73</v>
      </c>
      <c r="P76">
        <v>82.53</v>
      </c>
      <c r="Q76">
        <v>204.15</v>
      </c>
      <c r="R76">
        <v>24.12</v>
      </c>
      <c r="S76">
        <v>17.37</v>
      </c>
      <c r="T76">
        <v>1278.58</v>
      </c>
      <c r="U76">
        <v>0.72</v>
      </c>
      <c r="V76">
        <v>0.75</v>
      </c>
      <c r="W76">
        <v>1.1499999999999999</v>
      </c>
      <c r="X76">
        <v>0.08</v>
      </c>
      <c r="Y76">
        <v>1</v>
      </c>
      <c r="Z76">
        <v>10</v>
      </c>
    </row>
    <row r="77" spans="1:26" x14ac:dyDescent="0.3">
      <c r="A77">
        <v>75</v>
      </c>
      <c r="B77">
        <v>100</v>
      </c>
      <c r="C77" t="s">
        <v>26</v>
      </c>
      <c r="D77">
        <v>10.6195</v>
      </c>
      <c r="E77">
        <v>9.42</v>
      </c>
      <c r="F77">
        <v>6.74</v>
      </c>
      <c r="G77">
        <v>101.17</v>
      </c>
      <c r="H77">
        <v>1.56</v>
      </c>
      <c r="I77">
        <v>4</v>
      </c>
      <c r="J77">
        <v>224.9</v>
      </c>
      <c r="K77">
        <v>54.38</v>
      </c>
      <c r="L77">
        <v>19.75</v>
      </c>
      <c r="M77">
        <v>2</v>
      </c>
      <c r="N77">
        <v>50.78</v>
      </c>
      <c r="O77">
        <v>27972.28</v>
      </c>
      <c r="P77">
        <v>82</v>
      </c>
      <c r="Q77">
        <v>204.14</v>
      </c>
      <c r="R77">
        <v>23.46</v>
      </c>
      <c r="S77">
        <v>17.37</v>
      </c>
      <c r="T77">
        <v>953.07</v>
      </c>
      <c r="U77">
        <v>0.74</v>
      </c>
      <c r="V77">
        <v>0.76</v>
      </c>
      <c r="W77">
        <v>1.1399999999999999</v>
      </c>
      <c r="X77">
        <v>0.05</v>
      </c>
      <c r="Y77">
        <v>1</v>
      </c>
      <c r="Z77">
        <v>10</v>
      </c>
    </row>
    <row r="78" spans="1:26" x14ac:dyDescent="0.3">
      <c r="A78">
        <v>76</v>
      </c>
      <c r="B78">
        <v>100</v>
      </c>
      <c r="C78" t="s">
        <v>26</v>
      </c>
      <c r="D78">
        <v>10.618499999999999</v>
      </c>
      <c r="E78">
        <v>9.42</v>
      </c>
      <c r="F78">
        <v>6.75</v>
      </c>
      <c r="G78">
        <v>101.18</v>
      </c>
      <c r="H78">
        <v>1.58</v>
      </c>
      <c r="I78">
        <v>4</v>
      </c>
      <c r="J78">
        <v>225.32</v>
      </c>
      <c r="K78">
        <v>54.38</v>
      </c>
      <c r="L78">
        <v>20</v>
      </c>
      <c r="M78">
        <v>2</v>
      </c>
      <c r="N78">
        <v>50.95</v>
      </c>
      <c r="O78">
        <v>28023.89</v>
      </c>
      <c r="P78">
        <v>82.07</v>
      </c>
      <c r="Q78">
        <v>204.15</v>
      </c>
      <c r="R78">
        <v>23.51</v>
      </c>
      <c r="S78">
        <v>17.37</v>
      </c>
      <c r="T78">
        <v>974.87</v>
      </c>
      <c r="U78">
        <v>0.74</v>
      </c>
      <c r="V78">
        <v>0.76</v>
      </c>
      <c r="W78">
        <v>1.1399999999999999</v>
      </c>
      <c r="X78">
        <v>0.05</v>
      </c>
      <c r="Y78">
        <v>1</v>
      </c>
      <c r="Z78">
        <v>10</v>
      </c>
    </row>
    <row r="79" spans="1:26" x14ac:dyDescent="0.3">
      <c r="A79">
        <v>77</v>
      </c>
      <c r="B79">
        <v>100</v>
      </c>
      <c r="C79" t="s">
        <v>26</v>
      </c>
      <c r="D79">
        <v>10.6151</v>
      </c>
      <c r="E79">
        <v>9.42</v>
      </c>
      <c r="F79">
        <v>6.75</v>
      </c>
      <c r="G79">
        <v>101.22</v>
      </c>
      <c r="H79">
        <v>1.59</v>
      </c>
      <c r="I79">
        <v>4</v>
      </c>
      <c r="J79">
        <v>225.74</v>
      </c>
      <c r="K79">
        <v>54.38</v>
      </c>
      <c r="L79">
        <v>20.25</v>
      </c>
      <c r="M79">
        <v>2</v>
      </c>
      <c r="N79">
        <v>51.11</v>
      </c>
      <c r="O79">
        <v>28075.56</v>
      </c>
      <c r="P79">
        <v>82.38</v>
      </c>
      <c r="Q79">
        <v>204.14</v>
      </c>
      <c r="R79">
        <v>23.64</v>
      </c>
      <c r="S79">
        <v>17.37</v>
      </c>
      <c r="T79">
        <v>1041.23</v>
      </c>
      <c r="U79">
        <v>0.73</v>
      </c>
      <c r="V79">
        <v>0.76</v>
      </c>
      <c r="W79">
        <v>1.1399999999999999</v>
      </c>
      <c r="X79">
        <v>0.06</v>
      </c>
      <c r="Y79">
        <v>1</v>
      </c>
      <c r="Z79">
        <v>10</v>
      </c>
    </row>
    <row r="80" spans="1:26" x14ac:dyDescent="0.3">
      <c r="A80">
        <v>78</v>
      </c>
      <c r="B80">
        <v>100</v>
      </c>
      <c r="C80" t="s">
        <v>26</v>
      </c>
      <c r="D80">
        <v>10.6157</v>
      </c>
      <c r="E80">
        <v>9.42</v>
      </c>
      <c r="F80">
        <v>6.75</v>
      </c>
      <c r="G80">
        <v>101.22</v>
      </c>
      <c r="H80">
        <v>1.61</v>
      </c>
      <c r="I80">
        <v>4</v>
      </c>
      <c r="J80">
        <v>226.16</v>
      </c>
      <c r="K80">
        <v>54.38</v>
      </c>
      <c r="L80">
        <v>20.5</v>
      </c>
      <c r="M80">
        <v>2</v>
      </c>
      <c r="N80">
        <v>51.28</v>
      </c>
      <c r="O80">
        <v>28127.29</v>
      </c>
      <c r="P80">
        <v>82.44</v>
      </c>
      <c r="Q80">
        <v>204.14</v>
      </c>
      <c r="R80">
        <v>23.62</v>
      </c>
      <c r="S80">
        <v>17.37</v>
      </c>
      <c r="T80">
        <v>1032.3900000000001</v>
      </c>
      <c r="U80">
        <v>0.74</v>
      </c>
      <c r="V80">
        <v>0.76</v>
      </c>
      <c r="W80">
        <v>1.1399999999999999</v>
      </c>
      <c r="X80">
        <v>0.06</v>
      </c>
      <c r="Y80">
        <v>1</v>
      </c>
      <c r="Z80">
        <v>10</v>
      </c>
    </row>
    <row r="81" spans="1:26" x14ac:dyDescent="0.3">
      <c r="A81">
        <v>79</v>
      </c>
      <c r="B81">
        <v>100</v>
      </c>
      <c r="C81" t="s">
        <v>26</v>
      </c>
      <c r="D81">
        <v>10.6135</v>
      </c>
      <c r="E81">
        <v>9.42</v>
      </c>
      <c r="F81">
        <v>6.75</v>
      </c>
      <c r="G81">
        <v>101.25</v>
      </c>
      <c r="H81">
        <v>1.63</v>
      </c>
      <c r="I81">
        <v>4</v>
      </c>
      <c r="J81">
        <v>226.58</v>
      </c>
      <c r="K81">
        <v>54.38</v>
      </c>
      <c r="L81">
        <v>20.75</v>
      </c>
      <c r="M81">
        <v>2</v>
      </c>
      <c r="N81">
        <v>51.45</v>
      </c>
      <c r="O81">
        <v>28179.08</v>
      </c>
      <c r="P81">
        <v>82.57</v>
      </c>
      <c r="Q81">
        <v>204.14</v>
      </c>
      <c r="R81">
        <v>23.7</v>
      </c>
      <c r="S81">
        <v>17.37</v>
      </c>
      <c r="T81">
        <v>1070.18</v>
      </c>
      <c r="U81">
        <v>0.73</v>
      </c>
      <c r="V81">
        <v>0.76</v>
      </c>
      <c r="W81">
        <v>1.1399999999999999</v>
      </c>
      <c r="X81">
        <v>0.06</v>
      </c>
      <c r="Y81">
        <v>1</v>
      </c>
      <c r="Z81">
        <v>10</v>
      </c>
    </row>
    <row r="82" spans="1:26" x14ac:dyDescent="0.3">
      <c r="A82">
        <v>80</v>
      </c>
      <c r="B82">
        <v>100</v>
      </c>
      <c r="C82" t="s">
        <v>26</v>
      </c>
      <c r="D82">
        <v>10.6182</v>
      </c>
      <c r="E82">
        <v>9.42</v>
      </c>
      <c r="F82">
        <v>6.75</v>
      </c>
      <c r="G82">
        <v>101.18</v>
      </c>
      <c r="H82">
        <v>1.64</v>
      </c>
      <c r="I82">
        <v>4</v>
      </c>
      <c r="J82">
        <v>227</v>
      </c>
      <c r="K82">
        <v>54.38</v>
      </c>
      <c r="L82">
        <v>21</v>
      </c>
      <c r="M82">
        <v>2</v>
      </c>
      <c r="N82">
        <v>51.62</v>
      </c>
      <c r="O82">
        <v>28230.92</v>
      </c>
      <c r="P82">
        <v>82.6</v>
      </c>
      <c r="Q82">
        <v>204.14</v>
      </c>
      <c r="R82">
        <v>23.59</v>
      </c>
      <c r="S82">
        <v>17.37</v>
      </c>
      <c r="T82">
        <v>1019.12</v>
      </c>
      <c r="U82">
        <v>0.74</v>
      </c>
      <c r="V82">
        <v>0.76</v>
      </c>
      <c r="W82">
        <v>1.1399999999999999</v>
      </c>
      <c r="X82">
        <v>0.05</v>
      </c>
      <c r="Y82">
        <v>1</v>
      </c>
      <c r="Z82">
        <v>10</v>
      </c>
    </row>
    <row r="83" spans="1:26" x14ac:dyDescent="0.3">
      <c r="A83">
        <v>81</v>
      </c>
      <c r="B83">
        <v>100</v>
      </c>
      <c r="C83" t="s">
        <v>26</v>
      </c>
      <c r="D83">
        <v>10.6229</v>
      </c>
      <c r="E83">
        <v>9.41</v>
      </c>
      <c r="F83">
        <v>6.74</v>
      </c>
      <c r="G83">
        <v>101.12</v>
      </c>
      <c r="H83">
        <v>1.66</v>
      </c>
      <c r="I83">
        <v>4</v>
      </c>
      <c r="J83">
        <v>227.42</v>
      </c>
      <c r="K83">
        <v>54.38</v>
      </c>
      <c r="L83">
        <v>21.25</v>
      </c>
      <c r="M83">
        <v>2</v>
      </c>
      <c r="N83">
        <v>51.8</v>
      </c>
      <c r="O83">
        <v>28282.83</v>
      </c>
      <c r="P83">
        <v>82.58</v>
      </c>
      <c r="Q83">
        <v>204.16</v>
      </c>
      <c r="R83">
        <v>23.42</v>
      </c>
      <c r="S83">
        <v>17.37</v>
      </c>
      <c r="T83">
        <v>932.53</v>
      </c>
      <c r="U83">
        <v>0.74</v>
      </c>
      <c r="V83">
        <v>0.76</v>
      </c>
      <c r="W83">
        <v>1.1399999999999999</v>
      </c>
      <c r="X83">
        <v>0.05</v>
      </c>
      <c r="Y83">
        <v>1</v>
      </c>
      <c r="Z83">
        <v>10</v>
      </c>
    </row>
    <row r="84" spans="1:26" x14ac:dyDescent="0.3">
      <c r="A84">
        <v>82</v>
      </c>
      <c r="B84">
        <v>100</v>
      </c>
      <c r="C84" t="s">
        <v>26</v>
      </c>
      <c r="D84">
        <v>10.6195</v>
      </c>
      <c r="E84">
        <v>9.42</v>
      </c>
      <c r="F84">
        <v>6.74</v>
      </c>
      <c r="G84">
        <v>101.17</v>
      </c>
      <c r="H84">
        <v>1.68</v>
      </c>
      <c r="I84">
        <v>4</v>
      </c>
      <c r="J84">
        <v>227.84</v>
      </c>
      <c r="K84">
        <v>54.38</v>
      </c>
      <c r="L84">
        <v>21.5</v>
      </c>
      <c r="M84">
        <v>2</v>
      </c>
      <c r="N84">
        <v>51.97</v>
      </c>
      <c r="O84">
        <v>28334.799999999999</v>
      </c>
      <c r="P84">
        <v>82.54</v>
      </c>
      <c r="Q84">
        <v>204.14</v>
      </c>
      <c r="R84">
        <v>23.5</v>
      </c>
      <c r="S84">
        <v>17.37</v>
      </c>
      <c r="T84">
        <v>970.25</v>
      </c>
      <c r="U84">
        <v>0.74</v>
      </c>
      <c r="V84">
        <v>0.76</v>
      </c>
      <c r="W84">
        <v>1.1399999999999999</v>
      </c>
      <c r="X84">
        <v>0.05</v>
      </c>
      <c r="Y84">
        <v>1</v>
      </c>
      <c r="Z84">
        <v>10</v>
      </c>
    </row>
    <row r="85" spans="1:26" x14ac:dyDescent="0.3">
      <c r="A85">
        <v>83</v>
      </c>
      <c r="B85">
        <v>100</v>
      </c>
      <c r="C85" t="s">
        <v>26</v>
      </c>
      <c r="D85">
        <v>10.6126</v>
      </c>
      <c r="E85">
        <v>9.42</v>
      </c>
      <c r="F85">
        <v>6.75</v>
      </c>
      <c r="G85">
        <v>101.26</v>
      </c>
      <c r="H85">
        <v>1.69</v>
      </c>
      <c r="I85">
        <v>4</v>
      </c>
      <c r="J85">
        <v>228.27</v>
      </c>
      <c r="K85">
        <v>54.38</v>
      </c>
      <c r="L85">
        <v>21.75</v>
      </c>
      <c r="M85">
        <v>2</v>
      </c>
      <c r="N85">
        <v>52.14</v>
      </c>
      <c r="O85">
        <v>28386.82</v>
      </c>
      <c r="P85">
        <v>82.52</v>
      </c>
      <c r="Q85">
        <v>204.14</v>
      </c>
      <c r="R85">
        <v>23.7</v>
      </c>
      <c r="S85">
        <v>17.37</v>
      </c>
      <c r="T85">
        <v>1073.54</v>
      </c>
      <c r="U85">
        <v>0.73</v>
      </c>
      <c r="V85">
        <v>0.76</v>
      </c>
      <c r="W85">
        <v>1.1399999999999999</v>
      </c>
      <c r="X85">
        <v>0.06</v>
      </c>
      <c r="Y85">
        <v>1</v>
      </c>
      <c r="Z85">
        <v>10</v>
      </c>
    </row>
    <row r="86" spans="1:26" x14ac:dyDescent="0.3">
      <c r="A86">
        <v>84</v>
      </c>
      <c r="B86">
        <v>100</v>
      </c>
      <c r="C86" t="s">
        <v>26</v>
      </c>
      <c r="D86">
        <v>10.6151</v>
      </c>
      <c r="E86">
        <v>9.42</v>
      </c>
      <c r="F86">
        <v>6.75</v>
      </c>
      <c r="G86">
        <v>101.22</v>
      </c>
      <c r="H86">
        <v>1.71</v>
      </c>
      <c r="I86">
        <v>4</v>
      </c>
      <c r="J86">
        <v>228.69</v>
      </c>
      <c r="K86">
        <v>54.38</v>
      </c>
      <c r="L86">
        <v>22</v>
      </c>
      <c r="M86">
        <v>2</v>
      </c>
      <c r="N86">
        <v>52.31</v>
      </c>
      <c r="O86">
        <v>28438.91</v>
      </c>
      <c r="P86">
        <v>82.4</v>
      </c>
      <c r="Q86">
        <v>204.14</v>
      </c>
      <c r="R86">
        <v>23.68</v>
      </c>
      <c r="S86">
        <v>17.37</v>
      </c>
      <c r="T86">
        <v>1061.6300000000001</v>
      </c>
      <c r="U86">
        <v>0.73</v>
      </c>
      <c r="V86">
        <v>0.76</v>
      </c>
      <c r="W86">
        <v>1.1399999999999999</v>
      </c>
      <c r="X86">
        <v>0.06</v>
      </c>
      <c r="Y86">
        <v>1</v>
      </c>
      <c r="Z86">
        <v>10</v>
      </c>
    </row>
    <row r="87" spans="1:26" x14ac:dyDescent="0.3">
      <c r="A87">
        <v>85</v>
      </c>
      <c r="B87">
        <v>100</v>
      </c>
      <c r="C87" t="s">
        <v>26</v>
      </c>
      <c r="D87">
        <v>10.6145</v>
      </c>
      <c r="E87">
        <v>9.42</v>
      </c>
      <c r="F87">
        <v>6.75</v>
      </c>
      <c r="G87">
        <v>101.23</v>
      </c>
      <c r="H87">
        <v>1.73</v>
      </c>
      <c r="I87">
        <v>4</v>
      </c>
      <c r="J87">
        <v>229.11</v>
      </c>
      <c r="K87">
        <v>54.38</v>
      </c>
      <c r="L87">
        <v>22.25</v>
      </c>
      <c r="M87">
        <v>2</v>
      </c>
      <c r="N87">
        <v>52.48</v>
      </c>
      <c r="O87">
        <v>28491.06</v>
      </c>
      <c r="P87">
        <v>82.31</v>
      </c>
      <c r="Q87">
        <v>204.14</v>
      </c>
      <c r="R87">
        <v>23.65</v>
      </c>
      <c r="S87">
        <v>17.37</v>
      </c>
      <c r="T87">
        <v>1047.8900000000001</v>
      </c>
      <c r="U87">
        <v>0.73</v>
      </c>
      <c r="V87">
        <v>0.76</v>
      </c>
      <c r="W87">
        <v>1.1399999999999999</v>
      </c>
      <c r="X87">
        <v>0.06</v>
      </c>
      <c r="Y87">
        <v>1</v>
      </c>
      <c r="Z87">
        <v>10</v>
      </c>
    </row>
    <row r="88" spans="1:26" x14ac:dyDescent="0.3">
      <c r="A88">
        <v>86</v>
      </c>
      <c r="B88">
        <v>100</v>
      </c>
      <c r="C88" t="s">
        <v>26</v>
      </c>
      <c r="D88">
        <v>10.6157</v>
      </c>
      <c r="E88">
        <v>9.42</v>
      </c>
      <c r="F88">
        <v>6.75</v>
      </c>
      <c r="G88">
        <v>101.22</v>
      </c>
      <c r="H88">
        <v>1.74</v>
      </c>
      <c r="I88">
        <v>4</v>
      </c>
      <c r="J88">
        <v>229.53</v>
      </c>
      <c r="K88">
        <v>54.38</v>
      </c>
      <c r="L88">
        <v>22.5</v>
      </c>
      <c r="M88">
        <v>2</v>
      </c>
      <c r="N88">
        <v>52.66</v>
      </c>
      <c r="O88">
        <v>28543.27</v>
      </c>
      <c r="P88">
        <v>82.15</v>
      </c>
      <c r="Q88">
        <v>204.14</v>
      </c>
      <c r="R88">
        <v>23.57</v>
      </c>
      <c r="S88">
        <v>17.37</v>
      </c>
      <c r="T88">
        <v>1005.32</v>
      </c>
      <c r="U88">
        <v>0.74</v>
      </c>
      <c r="V88">
        <v>0.76</v>
      </c>
      <c r="W88">
        <v>1.1399999999999999</v>
      </c>
      <c r="X88">
        <v>0.06</v>
      </c>
      <c r="Y88">
        <v>1</v>
      </c>
      <c r="Z88">
        <v>10</v>
      </c>
    </row>
    <row r="89" spans="1:26" x14ac:dyDescent="0.3">
      <c r="A89">
        <v>87</v>
      </c>
      <c r="B89">
        <v>100</v>
      </c>
      <c r="C89" t="s">
        <v>26</v>
      </c>
      <c r="D89">
        <v>10.6167</v>
      </c>
      <c r="E89">
        <v>9.42</v>
      </c>
      <c r="F89">
        <v>6.75</v>
      </c>
      <c r="G89">
        <v>101.2</v>
      </c>
      <c r="H89">
        <v>1.76</v>
      </c>
      <c r="I89">
        <v>4</v>
      </c>
      <c r="J89">
        <v>229.96</v>
      </c>
      <c r="K89">
        <v>54.38</v>
      </c>
      <c r="L89">
        <v>22.75</v>
      </c>
      <c r="M89">
        <v>2</v>
      </c>
      <c r="N89">
        <v>52.83</v>
      </c>
      <c r="O89">
        <v>28595.54</v>
      </c>
      <c r="P89">
        <v>82.01</v>
      </c>
      <c r="Q89">
        <v>204.14</v>
      </c>
      <c r="R89">
        <v>23.58</v>
      </c>
      <c r="S89">
        <v>17.37</v>
      </c>
      <c r="T89">
        <v>1010.37</v>
      </c>
      <c r="U89">
        <v>0.74</v>
      </c>
      <c r="V89">
        <v>0.76</v>
      </c>
      <c r="W89">
        <v>1.1399999999999999</v>
      </c>
      <c r="X89">
        <v>0.06</v>
      </c>
      <c r="Y89">
        <v>1</v>
      </c>
      <c r="Z89">
        <v>10</v>
      </c>
    </row>
    <row r="90" spans="1:26" x14ac:dyDescent="0.3">
      <c r="A90">
        <v>88</v>
      </c>
      <c r="B90">
        <v>100</v>
      </c>
      <c r="C90" t="s">
        <v>26</v>
      </c>
      <c r="D90">
        <v>10.6235</v>
      </c>
      <c r="E90">
        <v>9.41</v>
      </c>
      <c r="F90">
        <v>6.74</v>
      </c>
      <c r="G90">
        <v>101.11</v>
      </c>
      <c r="H90">
        <v>1.77</v>
      </c>
      <c r="I90">
        <v>4</v>
      </c>
      <c r="J90">
        <v>230.38</v>
      </c>
      <c r="K90">
        <v>54.38</v>
      </c>
      <c r="L90">
        <v>23</v>
      </c>
      <c r="M90">
        <v>2</v>
      </c>
      <c r="N90">
        <v>53</v>
      </c>
      <c r="O90">
        <v>28647.87</v>
      </c>
      <c r="P90">
        <v>81.66</v>
      </c>
      <c r="Q90">
        <v>204.15</v>
      </c>
      <c r="R90">
        <v>23.32</v>
      </c>
      <c r="S90">
        <v>17.37</v>
      </c>
      <c r="T90">
        <v>879.94</v>
      </c>
      <c r="U90">
        <v>0.75</v>
      </c>
      <c r="V90">
        <v>0.76</v>
      </c>
      <c r="W90">
        <v>1.1399999999999999</v>
      </c>
      <c r="X90">
        <v>0.05</v>
      </c>
      <c r="Y90">
        <v>1</v>
      </c>
      <c r="Z90">
        <v>10</v>
      </c>
    </row>
    <row r="91" spans="1:26" x14ac:dyDescent="0.3">
      <c r="A91">
        <v>89</v>
      </c>
      <c r="B91">
        <v>100</v>
      </c>
      <c r="C91" t="s">
        <v>26</v>
      </c>
      <c r="D91">
        <v>10.620100000000001</v>
      </c>
      <c r="E91">
        <v>9.42</v>
      </c>
      <c r="F91">
        <v>6.74</v>
      </c>
      <c r="G91">
        <v>101.16</v>
      </c>
      <c r="H91">
        <v>1.79</v>
      </c>
      <c r="I91">
        <v>4</v>
      </c>
      <c r="J91">
        <v>230.81</v>
      </c>
      <c r="K91">
        <v>54.38</v>
      </c>
      <c r="L91">
        <v>23.25</v>
      </c>
      <c r="M91">
        <v>2</v>
      </c>
      <c r="N91">
        <v>53.18</v>
      </c>
      <c r="O91">
        <v>28700.26</v>
      </c>
      <c r="P91">
        <v>81.44</v>
      </c>
      <c r="Q91">
        <v>204.14</v>
      </c>
      <c r="R91">
        <v>23.43</v>
      </c>
      <c r="S91">
        <v>17.37</v>
      </c>
      <c r="T91">
        <v>938.31</v>
      </c>
      <c r="U91">
        <v>0.74</v>
      </c>
      <c r="V91">
        <v>0.76</v>
      </c>
      <c r="W91">
        <v>1.1399999999999999</v>
      </c>
      <c r="X91">
        <v>0.05</v>
      </c>
      <c r="Y91">
        <v>1</v>
      </c>
      <c r="Z91">
        <v>10</v>
      </c>
    </row>
    <row r="92" spans="1:26" x14ac:dyDescent="0.3">
      <c r="A92">
        <v>90</v>
      </c>
      <c r="B92">
        <v>100</v>
      </c>
      <c r="C92" t="s">
        <v>26</v>
      </c>
      <c r="D92">
        <v>10.622299999999999</v>
      </c>
      <c r="E92">
        <v>9.41</v>
      </c>
      <c r="F92">
        <v>6.74</v>
      </c>
      <c r="G92">
        <v>101.13</v>
      </c>
      <c r="H92">
        <v>1.81</v>
      </c>
      <c r="I92">
        <v>4</v>
      </c>
      <c r="J92">
        <v>231.23</v>
      </c>
      <c r="K92">
        <v>54.38</v>
      </c>
      <c r="L92">
        <v>23.5</v>
      </c>
      <c r="M92">
        <v>2</v>
      </c>
      <c r="N92">
        <v>53.36</v>
      </c>
      <c r="O92">
        <v>28752.71</v>
      </c>
      <c r="P92">
        <v>81.099999999999994</v>
      </c>
      <c r="Q92">
        <v>204.14</v>
      </c>
      <c r="R92">
        <v>23.42</v>
      </c>
      <c r="S92">
        <v>17.37</v>
      </c>
      <c r="T92">
        <v>931.52</v>
      </c>
      <c r="U92">
        <v>0.74</v>
      </c>
      <c r="V92">
        <v>0.76</v>
      </c>
      <c r="W92">
        <v>1.1399999999999999</v>
      </c>
      <c r="X92">
        <v>0.05</v>
      </c>
      <c r="Y92">
        <v>1</v>
      </c>
      <c r="Z92">
        <v>10</v>
      </c>
    </row>
    <row r="93" spans="1:26" x14ac:dyDescent="0.3">
      <c r="A93">
        <v>91</v>
      </c>
      <c r="B93">
        <v>100</v>
      </c>
      <c r="C93" t="s">
        <v>26</v>
      </c>
      <c r="D93">
        <v>10.6257</v>
      </c>
      <c r="E93">
        <v>9.41</v>
      </c>
      <c r="F93">
        <v>6.74</v>
      </c>
      <c r="G93">
        <v>101.08</v>
      </c>
      <c r="H93">
        <v>1.82</v>
      </c>
      <c r="I93">
        <v>4</v>
      </c>
      <c r="J93">
        <v>231.66</v>
      </c>
      <c r="K93">
        <v>54.38</v>
      </c>
      <c r="L93">
        <v>23.75</v>
      </c>
      <c r="M93">
        <v>2</v>
      </c>
      <c r="N93">
        <v>53.53</v>
      </c>
      <c r="O93">
        <v>28805.23</v>
      </c>
      <c r="P93">
        <v>80.72</v>
      </c>
      <c r="Q93">
        <v>204.14</v>
      </c>
      <c r="R93">
        <v>23.33</v>
      </c>
      <c r="S93">
        <v>17.37</v>
      </c>
      <c r="T93">
        <v>889.59</v>
      </c>
      <c r="U93">
        <v>0.74</v>
      </c>
      <c r="V93">
        <v>0.76</v>
      </c>
      <c r="W93">
        <v>1.1399999999999999</v>
      </c>
      <c r="X93">
        <v>0.05</v>
      </c>
      <c r="Y93">
        <v>1</v>
      </c>
      <c r="Z93">
        <v>10</v>
      </c>
    </row>
    <row r="94" spans="1:26" x14ac:dyDescent="0.3">
      <c r="A94">
        <v>92</v>
      </c>
      <c r="B94">
        <v>100</v>
      </c>
      <c r="C94" t="s">
        <v>26</v>
      </c>
      <c r="D94">
        <v>10.6235</v>
      </c>
      <c r="E94">
        <v>9.41</v>
      </c>
      <c r="F94">
        <v>6.74</v>
      </c>
      <c r="G94">
        <v>101.11</v>
      </c>
      <c r="H94">
        <v>1.84</v>
      </c>
      <c r="I94">
        <v>4</v>
      </c>
      <c r="J94">
        <v>232.08</v>
      </c>
      <c r="K94">
        <v>54.38</v>
      </c>
      <c r="L94">
        <v>24</v>
      </c>
      <c r="M94">
        <v>2</v>
      </c>
      <c r="N94">
        <v>53.71</v>
      </c>
      <c r="O94">
        <v>28857.81</v>
      </c>
      <c r="P94">
        <v>80.39</v>
      </c>
      <c r="Q94">
        <v>204.14</v>
      </c>
      <c r="R94">
        <v>23.39</v>
      </c>
      <c r="S94">
        <v>17.37</v>
      </c>
      <c r="T94">
        <v>915.92</v>
      </c>
      <c r="U94">
        <v>0.74</v>
      </c>
      <c r="V94">
        <v>0.76</v>
      </c>
      <c r="W94">
        <v>1.1399999999999999</v>
      </c>
      <c r="X94">
        <v>0.05</v>
      </c>
      <c r="Y94">
        <v>1</v>
      </c>
      <c r="Z94">
        <v>10</v>
      </c>
    </row>
    <row r="95" spans="1:26" x14ac:dyDescent="0.3">
      <c r="A95">
        <v>93</v>
      </c>
      <c r="B95">
        <v>100</v>
      </c>
      <c r="C95" t="s">
        <v>26</v>
      </c>
      <c r="D95">
        <v>10.6295</v>
      </c>
      <c r="E95">
        <v>9.41</v>
      </c>
      <c r="F95">
        <v>6.74</v>
      </c>
      <c r="G95">
        <v>101.03</v>
      </c>
      <c r="H95">
        <v>1.85</v>
      </c>
      <c r="I95">
        <v>4</v>
      </c>
      <c r="J95">
        <v>232.51</v>
      </c>
      <c r="K95">
        <v>54.38</v>
      </c>
      <c r="L95">
        <v>24.25</v>
      </c>
      <c r="M95">
        <v>2</v>
      </c>
      <c r="N95">
        <v>53.88</v>
      </c>
      <c r="O95">
        <v>28910.45</v>
      </c>
      <c r="P95">
        <v>80.05</v>
      </c>
      <c r="Q95">
        <v>204.14</v>
      </c>
      <c r="R95">
        <v>23.17</v>
      </c>
      <c r="S95">
        <v>17.37</v>
      </c>
      <c r="T95">
        <v>807.22</v>
      </c>
      <c r="U95">
        <v>0.75</v>
      </c>
      <c r="V95">
        <v>0.76</v>
      </c>
      <c r="W95">
        <v>1.1399999999999999</v>
      </c>
      <c r="X95">
        <v>0.04</v>
      </c>
      <c r="Y95">
        <v>1</v>
      </c>
      <c r="Z95">
        <v>10</v>
      </c>
    </row>
    <row r="96" spans="1:26" x14ac:dyDescent="0.3">
      <c r="A96">
        <v>94</v>
      </c>
      <c r="B96">
        <v>100</v>
      </c>
      <c r="C96" t="s">
        <v>26</v>
      </c>
      <c r="D96">
        <v>10.6282</v>
      </c>
      <c r="E96">
        <v>9.41</v>
      </c>
      <c r="F96">
        <v>6.74</v>
      </c>
      <c r="G96">
        <v>101.05</v>
      </c>
      <c r="H96">
        <v>1.87</v>
      </c>
      <c r="I96">
        <v>4</v>
      </c>
      <c r="J96">
        <v>232.94</v>
      </c>
      <c r="K96">
        <v>54.38</v>
      </c>
      <c r="L96">
        <v>24.5</v>
      </c>
      <c r="M96">
        <v>2</v>
      </c>
      <c r="N96">
        <v>54.06</v>
      </c>
      <c r="O96">
        <v>28963.15</v>
      </c>
      <c r="P96">
        <v>79.739999999999995</v>
      </c>
      <c r="Q96">
        <v>204.14</v>
      </c>
      <c r="R96">
        <v>23.13</v>
      </c>
      <c r="S96">
        <v>17.37</v>
      </c>
      <c r="T96">
        <v>785.74</v>
      </c>
      <c r="U96">
        <v>0.75</v>
      </c>
      <c r="V96">
        <v>0.76</v>
      </c>
      <c r="W96">
        <v>1.1399999999999999</v>
      </c>
      <c r="X96">
        <v>0.05</v>
      </c>
      <c r="Y96">
        <v>1</v>
      </c>
      <c r="Z96">
        <v>10</v>
      </c>
    </row>
    <row r="97" spans="1:26" x14ac:dyDescent="0.3">
      <c r="A97">
        <v>95</v>
      </c>
      <c r="B97">
        <v>100</v>
      </c>
      <c r="C97" t="s">
        <v>26</v>
      </c>
      <c r="D97">
        <v>10.630100000000001</v>
      </c>
      <c r="E97">
        <v>9.41</v>
      </c>
      <c r="F97">
        <v>6.74</v>
      </c>
      <c r="G97">
        <v>101.03</v>
      </c>
      <c r="H97">
        <v>1.89</v>
      </c>
      <c r="I97">
        <v>4</v>
      </c>
      <c r="J97">
        <v>233.37</v>
      </c>
      <c r="K97">
        <v>54.38</v>
      </c>
      <c r="L97">
        <v>24.75</v>
      </c>
      <c r="M97">
        <v>2</v>
      </c>
      <c r="N97">
        <v>54.24</v>
      </c>
      <c r="O97">
        <v>29015.91</v>
      </c>
      <c r="P97">
        <v>79.34</v>
      </c>
      <c r="Q97">
        <v>204.14</v>
      </c>
      <c r="R97">
        <v>23.21</v>
      </c>
      <c r="S97">
        <v>17.37</v>
      </c>
      <c r="T97">
        <v>825.43</v>
      </c>
      <c r="U97">
        <v>0.75</v>
      </c>
      <c r="V97">
        <v>0.76</v>
      </c>
      <c r="W97">
        <v>1.1399999999999999</v>
      </c>
      <c r="X97">
        <v>0.04</v>
      </c>
      <c r="Y97">
        <v>1</v>
      </c>
      <c r="Z97">
        <v>10</v>
      </c>
    </row>
    <row r="98" spans="1:26" x14ac:dyDescent="0.3">
      <c r="A98">
        <v>96</v>
      </c>
      <c r="B98">
        <v>100</v>
      </c>
      <c r="C98" t="s">
        <v>26</v>
      </c>
      <c r="D98">
        <v>10.6279</v>
      </c>
      <c r="E98">
        <v>9.41</v>
      </c>
      <c r="F98">
        <v>6.74</v>
      </c>
      <c r="G98">
        <v>101.05</v>
      </c>
      <c r="H98">
        <v>1.9</v>
      </c>
      <c r="I98">
        <v>4</v>
      </c>
      <c r="J98">
        <v>233.79</v>
      </c>
      <c r="K98">
        <v>54.38</v>
      </c>
      <c r="L98">
        <v>25</v>
      </c>
      <c r="M98">
        <v>2</v>
      </c>
      <c r="N98">
        <v>54.42</v>
      </c>
      <c r="O98">
        <v>29068.74</v>
      </c>
      <c r="P98">
        <v>79.14</v>
      </c>
      <c r="Q98">
        <v>204.14</v>
      </c>
      <c r="R98">
        <v>23.23</v>
      </c>
      <c r="S98">
        <v>17.37</v>
      </c>
      <c r="T98">
        <v>839.27</v>
      </c>
      <c r="U98">
        <v>0.75</v>
      </c>
      <c r="V98">
        <v>0.76</v>
      </c>
      <c r="W98">
        <v>1.1399999999999999</v>
      </c>
      <c r="X98">
        <v>0.05</v>
      </c>
      <c r="Y98">
        <v>1</v>
      </c>
      <c r="Z98">
        <v>10</v>
      </c>
    </row>
    <row r="99" spans="1:26" x14ac:dyDescent="0.3">
      <c r="A99">
        <v>97</v>
      </c>
      <c r="B99">
        <v>100</v>
      </c>
      <c r="C99" t="s">
        <v>26</v>
      </c>
      <c r="D99">
        <v>10.624499999999999</v>
      </c>
      <c r="E99">
        <v>9.41</v>
      </c>
      <c r="F99">
        <v>6.74</v>
      </c>
      <c r="G99">
        <v>101.1</v>
      </c>
      <c r="H99">
        <v>1.92</v>
      </c>
      <c r="I99">
        <v>4</v>
      </c>
      <c r="J99">
        <v>234.22</v>
      </c>
      <c r="K99">
        <v>54.38</v>
      </c>
      <c r="L99">
        <v>25.25</v>
      </c>
      <c r="M99">
        <v>2</v>
      </c>
      <c r="N99">
        <v>54.6</v>
      </c>
      <c r="O99">
        <v>29121.63</v>
      </c>
      <c r="P99">
        <v>78.78</v>
      </c>
      <c r="Q99">
        <v>204.14</v>
      </c>
      <c r="R99">
        <v>23.39</v>
      </c>
      <c r="S99">
        <v>17.37</v>
      </c>
      <c r="T99">
        <v>915.39</v>
      </c>
      <c r="U99">
        <v>0.74</v>
      </c>
      <c r="V99">
        <v>0.76</v>
      </c>
      <c r="W99">
        <v>1.1399999999999999</v>
      </c>
      <c r="X99">
        <v>0.05</v>
      </c>
      <c r="Y99">
        <v>1</v>
      </c>
      <c r="Z99">
        <v>10</v>
      </c>
    </row>
    <row r="100" spans="1:26" x14ac:dyDescent="0.3">
      <c r="A100">
        <v>98</v>
      </c>
      <c r="B100">
        <v>100</v>
      </c>
      <c r="C100" t="s">
        <v>26</v>
      </c>
      <c r="D100">
        <v>10.624499999999999</v>
      </c>
      <c r="E100">
        <v>9.41</v>
      </c>
      <c r="F100">
        <v>6.74</v>
      </c>
      <c r="G100">
        <v>101.1</v>
      </c>
      <c r="H100">
        <v>1.93</v>
      </c>
      <c r="I100">
        <v>4</v>
      </c>
      <c r="J100">
        <v>234.65</v>
      </c>
      <c r="K100">
        <v>54.38</v>
      </c>
      <c r="L100">
        <v>25.5</v>
      </c>
      <c r="M100">
        <v>2</v>
      </c>
      <c r="N100">
        <v>54.78</v>
      </c>
      <c r="O100">
        <v>29174.59</v>
      </c>
      <c r="P100">
        <v>78.28</v>
      </c>
      <c r="Q100">
        <v>204.14</v>
      </c>
      <c r="R100">
        <v>23.38</v>
      </c>
      <c r="S100">
        <v>17.37</v>
      </c>
      <c r="T100">
        <v>910.89</v>
      </c>
      <c r="U100">
        <v>0.74</v>
      </c>
      <c r="V100">
        <v>0.76</v>
      </c>
      <c r="W100">
        <v>1.1399999999999999</v>
      </c>
      <c r="X100">
        <v>0.05</v>
      </c>
      <c r="Y100">
        <v>1</v>
      </c>
      <c r="Z100">
        <v>10</v>
      </c>
    </row>
    <row r="101" spans="1:26" x14ac:dyDescent="0.3">
      <c r="A101">
        <v>99</v>
      </c>
      <c r="B101">
        <v>100</v>
      </c>
      <c r="C101" t="s">
        <v>26</v>
      </c>
      <c r="D101">
        <v>10.6264</v>
      </c>
      <c r="E101">
        <v>9.41</v>
      </c>
      <c r="F101">
        <v>6.74</v>
      </c>
      <c r="G101">
        <v>101.08</v>
      </c>
      <c r="H101">
        <v>1.95</v>
      </c>
      <c r="I101">
        <v>4</v>
      </c>
      <c r="J101">
        <v>235.08</v>
      </c>
      <c r="K101">
        <v>54.38</v>
      </c>
      <c r="L101">
        <v>25.75</v>
      </c>
      <c r="M101">
        <v>1</v>
      </c>
      <c r="N101">
        <v>54.96</v>
      </c>
      <c r="O101">
        <v>29227.61</v>
      </c>
      <c r="P101">
        <v>78.13</v>
      </c>
      <c r="Q101">
        <v>204.14</v>
      </c>
      <c r="R101">
        <v>23.26</v>
      </c>
      <c r="S101">
        <v>17.37</v>
      </c>
      <c r="T101">
        <v>853.56</v>
      </c>
      <c r="U101">
        <v>0.75</v>
      </c>
      <c r="V101">
        <v>0.76</v>
      </c>
      <c r="W101">
        <v>1.1399999999999999</v>
      </c>
      <c r="X101">
        <v>0.05</v>
      </c>
      <c r="Y101">
        <v>1</v>
      </c>
      <c r="Z101">
        <v>10</v>
      </c>
    </row>
    <row r="102" spans="1:26" x14ac:dyDescent="0.3">
      <c r="A102">
        <v>100</v>
      </c>
      <c r="B102">
        <v>100</v>
      </c>
      <c r="C102" t="s">
        <v>26</v>
      </c>
      <c r="D102">
        <v>10.625400000000001</v>
      </c>
      <c r="E102">
        <v>9.41</v>
      </c>
      <c r="F102">
        <v>6.74</v>
      </c>
      <c r="G102">
        <v>101.09</v>
      </c>
      <c r="H102">
        <v>1.96</v>
      </c>
      <c r="I102">
        <v>4</v>
      </c>
      <c r="J102">
        <v>235.51</v>
      </c>
      <c r="K102">
        <v>54.38</v>
      </c>
      <c r="L102">
        <v>26</v>
      </c>
      <c r="M102">
        <v>1</v>
      </c>
      <c r="N102">
        <v>55.14</v>
      </c>
      <c r="O102">
        <v>29280.69</v>
      </c>
      <c r="P102">
        <v>77.98</v>
      </c>
      <c r="Q102">
        <v>204.14</v>
      </c>
      <c r="R102">
        <v>23.29</v>
      </c>
      <c r="S102">
        <v>17.37</v>
      </c>
      <c r="T102">
        <v>867.06</v>
      </c>
      <c r="U102">
        <v>0.75</v>
      </c>
      <c r="V102">
        <v>0.76</v>
      </c>
      <c r="W102">
        <v>1.1399999999999999</v>
      </c>
      <c r="X102">
        <v>0.05</v>
      </c>
      <c r="Y102">
        <v>1</v>
      </c>
      <c r="Z102">
        <v>10</v>
      </c>
    </row>
    <row r="103" spans="1:26" x14ac:dyDescent="0.3">
      <c r="A103">
        <v>101</v>
      </c>
      <c r="B103">
        <v>100</v>
      </c>
      <c r="C103" t="s">
        <v>26</v>
      </c>
      <c r="D103">
        <v>10.6229</v>
      </c>
      <c r="E103">
        <v>9.41</v>
      </c>
      <c r="F103">
        <v>6.74</v>
      </c>
      <c r="G103">
        <v>101.12</v>
      </c>
      <c r="H103">
        <v>1.98</v>
      </c>
      <c r="I103">
        <v>4</v>
      </c>
      <c r="J103">
        <v>235.94</v>
      </c>
      <c r="K103">
        <v>54.38</v>
      </c>
      <c r="L103">
        <v>26.25</v>
      </c>
      <c r="M103">
        <v>1</v>
      </c>
      <c r="N103">
        <v>55.32</v>
      </c>
      <c r="O103">
        <v>29333.84</v>
      </c>
      <c r="P103">
        <v>77.87</v>
      </c>
      <c r="Q103">
        <v>204.14</v>
      </c>
      <c r="R103">
        <v>23.35</v>
      </c>
      <c r="S103">
        <v>17.37</v>
      </c>
      <c r="T103">
        <v>897.56</v>
      </c>
      <c r="U103">
        <v>0.74</v>
      </c>
      <c r="V103">
        <v>0.76</v>
      </c>
      <c r="W103">
        <v>1.1399999999999999</v>
      </c>
      <c r="X103">
        <v>0.05</v>
      </c>
      <c r="Y103">
        <v>1</v>
      </c>
      <c r="Z103">
        <v>10</v>
      </c>
    </row>
    <row r="104" spans="1:26" x14ac:dyDescent="0.3">
      <c r="A104">
        <v>102</v>
      </c>
      <c r="B104">
        <v>100</v>
      </c>
      <c r="C104" t="s">
        <v>26</v>
      </c>
      <c r="D104">
        <v>10.621700000000001</v>
      </c>
      <c r="E104">
        <v>9.41</v>
      </c>
      <c r="F104">
        <v>6.74</v>
      </c>
      <c r="G104">
        <v>101.14</v>
      </c>
      <c r="H104">
        <v>1.99</v>
      </c>
      <c r="I104">
        <v>4</v>
      </c>
      <c r="J104">
        <v>236.37</v>
      </c>
      <c r="K104">
        <v>54.38</v>
      </c>
      <c r="L104">
        <v>26.5</v>
      </c>
      <c r="M104">
        <v>1</v>
      </c>
      <c r="N104">
        <v>55.5</v>
      </c>
      <c r="O104">
        <v>29387.05</v>
      </c>
      <c r="P104">
        <v>77.72</v>
      </c>
      <c r="Q104">
        <v>204.14</v>
      </c>
      <c r="R104">
        <v>23.39</v>
      </c>
      <c r="S104">
        <v>17.37</v>
      </c>
      <c r="T104">
        <v>914.84</v>
      </c>
      <c r="U104">
        <v>0.74</v>
      </c>
      <c r="V104">
        <v>0.76</v>
      </c>
      <c r="W104">
        <v>1.1399999999999999</v>
      </c>
      <c r="X104">
        <v>0.05</v>
      </c>
      <c r="Y104">
        <v>1</v>
      </c>
      <c r="Z104">
        <v>10</v>
      </c>
    </row>
    <row r="105" spans="1:26" x14ac:dyDescent="0.3">
      <c r="A105">
        <v>103</v>
      </c>
      <c r="B105">
        <v>100</v>
      </c>
      <c r="C105" t="s">
        <v>26</v>
      </c>
      <c r="D105">
        <v>10.6235</v>
      </c>
      <c r="E105">
        <v>9.41</v>
      </c>
      <c r="F105">
        <v>6.74</v>
      </c>
      <c r="G105">
        <v>101.11</v>
      </c>
      <c r="H105">
        <v>2.0099999999999998</v>
      </c>
      <c r="I105">
        <v>4</v>
      </c>
      <c r="J105">
        <v>236.81</v>
      </c>
      <c r="K105">
        <v>54.38</v>
      </c>
      <c r="L105">
        <v>26.75</v>
      </c>
      <c r="M105">
        <v>1</v>
      </c>
      <c r="N105">
        <v>55.68</v>
      </c>
      <c r="O105">
        <v>29440.33</v>
      </c>
      <c r="P105">
        <v>77.53</v>
      </c>
      <c r="Q105">
        <v>204.14</v>
      </c>
      <c r="R105">
        <v>23.32</v>
      </c>
      <c r="S105">
        <v>17.37</v>
      </c>
      <c r="T105">
        <v>881.52</v>
      </c>
      <c r="U105">
        <v>0.75</v>
      </c>
      <c r="V105">
        <v>0.76</v>
      </c>
      <c r="W105">
        <v>1.1399999999999999</v>
      </c>
      <c r="X105">
        <v>0.05</v>
      </c>
      <c r="Y105">
        <v>1</v>
      </c>
      <c r="Z105">
        <v>10</v>
      </c>
    </row>
    <row r="106" spans="1:26" x14ac:dyDescent="0.3">
      <c r="A106">
        <v>104</v>
      </c>
      <c r="B106">
        <v>100</v>
      </c>
      <c r="C106" t="s">
        <v>26</v>
      </c>
      <c r="D106">
        <v>10.6248</v>
      </c>
      <c r="E106">
        <v>9.41</v>
      </c>
      <c r="F106">
        <v>6.74</v>
      </c>
      <c r="G106">
        <v>101.1</v>
      </c>
      <c r="H106">
        <v>2.02</v>
      </c>
      <c r="I106">
        <v>4</v>
      </c>
      <c r="J106">
        <v>237.24</v>
      </c>
      <c r="K106">
        <v>54.38</v>
      </c>
      <c r="L106">
        <v>27</v>
      </c>
      <c r="M106">
        <v>1</v>
      </c>
      <c r="N106">
        <v>55.86</v>
      </c>
      <c r="O106">
        <v>29493.67</v>
      </c>
      <c r="P106">
        <v>77.33</v>
      </c>
      <c r="Q106">
        <v>204.14</v>
      </c>
      <c r="R106">
        <v>23.33</v>
      </c>
      <c r="S106">
        <v>17.37</v>
      </c>
      <c r="T106">
        <v>887.57</v>
      </c>
      <c r="U106">
        <v>0.74</v>
      </c>
      <c r="V106">
        <v>0.76</v>
      </c>
      <c r="W106">
        <v>1.1399999999999999</v>
      </c>
      <c r="X106">
        <v>0.05</v>
      </c>
      <c r="Y106">
        <v>1</v>
      </c>
      <c r="Z106">
        <v>10</v>
      </c>
    </row>
    <row r="107" spans="1:26" x14ac:dyDescent="0.3">
      <c r="A107">
        <v>105</v>
      </c>
      <c r="B107">
        <v>100</v>
      </c>
      <c r="C107" t="s">
        <v>26</v>
      </c>
      <c r="D107">
        <v>10.6264</v>
      </c>
      <c r="E107">
        <v>9.41</v>
      </c>
      <c r="F107">
        <v>6.74</v>
      </c>
      <c r="G107">
        <v>101.08</v>
      </c>
      <c r="H107">
        <v>2.04</v>
      </c>
      <c r="I107">
        <v>4</v>
      </c>
      <c r="J107">
        <v>237.67</v>
      </c>
      <c r="K107">
        <v>54.38</v>
      </c>
      <c r="L107">
        <v>27.25</v>
      </c>
      <c r="M107">
        <v>1</v>
      </c>
      <c r="N107">
        <v>56.05</v>
      </c>
      <c r="O107">
        <v>29547.07</v>
      </c>
      <c r="P107">
        <v>77.12</v>
      </c>
      <c r="Q107">
        <v>204.14</v>
      </c>
      <c r="R107">
        <v>23.24</v>
      </c>
      <c r="S107">
        <v>17.37</v>
      </c>
      <c r="T107">
        <v>841.29</v>
      </c>
      <c r="U107">
        <v>0.75</v>
      </c>
      <c r="V107">
        <v>0.76</v>
      </c>
      <c r="W107">
        <v>1.1399999999999999</v>
      </c>
      <c r="X107">
        <v>0.05</v>
      </c>
      <c r="Y107">
        <v>1</v>
      </c>
      <c r="Z107">
        <v>10</v>
      </c>
    </row>
    <row r="108" spans="1:26" x14ac:dyDescent="0.3">
      <c r="A108">
        <v>106</v>
      </c>
      <c r="B108">
        <v>100</v>
      </c>
      <c r="C108" t="s">
        <v>26</v>
      </c>
      <c r="D108">
        <v>10.6248</v>
      </c>
      <c r="E108">
        <v>9.41</v>
      </c>
      <c r="F108">
        <v>6.74</v>
      </c>
      <c r="G108">
        <v>101.1</v>
      </c>
      <c r="H108">
        <v>2.0499999999999998</v>
      </c>
      <c r="I108">
        <v>4</v>
      </c>
      <c r="J108">
        <v>238.11</v>
      </c>
      <c r="K108">
        <v>54.38</v>
      </c>
      <c r="L108">
        <v>27.5</v>
      </c>
      <c r="M108">
        <v>0</v>
      </c>
      <c r="N108">
        <v>56.23</v>
      </c>
      <c r="O108">
        <v>29600.54</v>
      </c>
      <c r="P108">
        <v>77.13</v>
      </c>
      <c r="Q108">
        <v>204.14</v>
      </c>
      <c r="R108">
        <v>23.27</v>
      </c>
      <c r="S108">
        <v>17.37</v>
      </c>
      <c r="T108">
        <v>859.03</v>
      </c>
      <c r="U108">
        <v>0.75</v>
      </c>
      <c r="V108">
        <v>0.76</v>
      </c>
      <c r="W108">
        <v>1.1399999999999999</v>
      </c>
      <c r="X108">
        <v>0.05</v>
      </c>
      <c r="Y108">
        <v>1</v>
      </c>
      <c r="Z108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ilha2"/>
  <dimension ref="A1:Z158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140</v>
      </c>
      <c r="C2" t="s">
        <v>26</v>
      </c>
      <c r="D2">
        <v>5.5914999999999999</v>
      </c>
      <c r="E2">
        <v>17.88</v>
      </c>
      <c r="F2">
        <v>9.0299999999999994</v>
      </c>
      <c r="G2">
        <v>4.75</v>
      </c>
      <c r="H2">
        <v>0.06</v>
      </c>
      <c r="I2">
        <v>114</v>
      </c>
      <c r="J2">
        <v>274.08999999999997</v>
      </c>
      <c r="K2">
        <v>60.56</v>
      </c>
      <c r="L2">
        <v>1</v>
      </c>
      <c r="M2">
        <v>112</v>
      </c>
      <c r="N2">
        <v>72.53</v>
      </c>
      <c r="O2">
        <v>34038.11</v>
      </c>
      <c r="P2">
        <v>156.72</v>
      </c>
      <c r="Q2">
        <v>204.27</v>
      </c>
      <c r="R2">
        <v>94.81</v>
      </c>
      <c r="S2">
        <v>17.37</v>
      </c>
      <c r="T2">
        <v>36076.39</v>
      </c>
      <c r="U2">
        <v>0.18</v>
      </c>
      <c r="V2">
        <v>0.56999999999999995</v>
      </c>
      <c r="W2">
        <v>1.32</v>
      </c>
      <c r="X2">
        <v>2.33</v>
      </c>
      <c r="Y2">
        <v>1</v>
      </c>
      <c r="Z2">
        <v>10</v>
      </c>
    </row>
    <row r="3" spans="1:26" x14ac:dyDescent="0.3">
      <c r="A3">
        <v>1</v>
      </c>
      <c r="B3">
        <v>140</v>
      </c>
      <c r="C3" t="s">
        <v>26</v>
      </c>
      <c r="D3">
        <v>6.3494000000000002</v>
      </c>
      <c r="E3">
        <v>15.75</v>
      </c>
      <c r="F3">
        <v>8.41</v>
      </c>
      <c r="G3">
        <v>5.94</v>
      </c>
      <c r="H3">
        <v>0.08</v>
      </c>
      <c r="I3">
        <v>85</v>
      </c>
      <c r="J3">
        <v>274.57</v>
      </c>
      <c r="K3">
        <v>60.56</v>
      </c>
      <c r="L3">
        <v>1.25</v>
      </c>
      <c r="M3">
        <v>83</v>
      </c>
      <c r="N3">
        <v>72.760000000000005</v>
      </c>
      <c r="O3">
        <v>34097.72</v>
      </c>
      <c r="P3">
        <v>145.87</v>
      </c>
      <c r="Q3">
        <v>204.24</v>
      </c>
      <c r="R3">
        <v>75.66</v>
      </c>
      <c r="S3">
        <v>17.37</v>
      </c>
      <c r="T3">
        <v>26649.27</v>
      </c>
      <c r="U3">
        <v>0.23</v>
      </c>
      <c r="V3">
        <v>0.61</v>
      </c>
      <c r="W3">
        <v>1.27</v>
      </c>
      <c r="X3">
        <v>1.72</v>
      </c>
      <c r="Y3">
        <v>1</v>
      </c>
      <c r="Z3">
        <v>10</v>
      </c>
    </row>
    <row r="4" spans="1:26" x14ac:dyDescent="0.3">
      <c r="A4">
        <v>2</v>
      </c>
      <c r="B4">
        <v>140</v>
      </c>
      <c r="C4" t="s">
        <v>26</v>
      </c>
      <c r="D4">
        <v>6.8967999999999998</v>
      </c>
      <c r="E4">
        <v>14.5</v>
      </c>
      <c r="F4">
        <v>8.0500000000000007</v>
      </c>
      <c r="G4">
        <v>7.1</v>
      </c>
      <c r="H4">
        <v>0.1</v>
      </c>
      <c r="I4">
        <v>68</v>
      </c>
      <c r="J4">
        <v>275.05</v>
      </c>
      <c r="K4">
        <v>60.56</v>
      </c>
      <c r="L4">
        <v>1.5</v>
      </c>
      <c r="M4">
        <v>66</v>
      </c>
      <c r="N4">
        <v>73</v>
      </c>
      <c r="O4">
        <v>34157.42</v>
      </c>
      <c r="P4">
        <v>139.52000000000001</v>
      </c>
      <c r="Q4">
        <v>204.15</v>
      </c>
      <c r="R4">
        <v>64.08</v>
      </c>
      <c r="S4">
        <v>17.37</v>
      </c>
      <c r="T4">
        <v>20942.39</v>
      </c>
      <c r="U4">
        <v>0.27</v>
      </c>
      <c r="V4">
        <v>0.63</v>
      </c>
      <c r="W4">
        <v>1.25</v>
      </c>
      <c r="X4">
        <v>1.35</v>
      </c>
      <c r="Y4">
        <v>1</v>
      </c>
      <c r="Z4">
        <v>10</v>
      </c>
    </row>
    <row r="5" spans="1:26" x14ac:dyDescent="0.3">
      <c r="A5">
        <v>3</v>
      </c>
      <c r="B5">
        <v>140</v>
      </c>
      <c r="C5" t="s">
        <v>26</v>
      </c>
      <c r="D5">
        <v>7.2927999999999997</v>
      </c>
      <c r="E5">
        <v>13.71</v>
      </c>
      <c r="F5">
        <v>7.83</v>
      </c>
      <c r="G5">
        <v>8.25</v>
      </c>
      <c r="H5">
        <v>0.11</v>
      </c>
      <c r="I5">
        <v>57</v>
      </c>
      <c r="J5">
        <v>275.54000000000002</v>
      </c>
      <c r="K5">
        <v>60.56</v>
      </c>
      <c r="L5">
        <v>1.75</v>
      </c>
      <c r="M5">
        <v>55</v>
      </c>
      <c r="N5">
        <v>73.23</v>
      </c>
      <c r="O5">
        <v>34217.22</v>
      </c>
      <c r="P5">
        <v>135.75</v>
      </c>
      <c r="Q5">
        <v>204.21</v>
      </c>
      <c r="R5">
        <v>57.37</v>
      </c>
      <c r="S5">
        <v>17.37</v>
      </c>
      <c r="T5">
        <v>17642.060000000001</v>
      </c>
      <c r="U5">
        <v>0.3</v>
      </c>
      <c r="V5">
        <v>0.65</v>
      </c>
      <c r="W5">
        <v>1.23</v>
      </c>
      <c r="X5">
        <v>1.1399999999999999</v>
      </c>
      <c r="Y5">
        <v>1</v>
      </c>
      <c r="Z5">
        <v>10</v>
      </c>
    </row>
    <row r="6" spans="1:26" x14ac:dyDescent="0.3">
      <c r="A6">
        <v>4</v>
      </c>
      <c r="B6">
        <v>140</v>
      </c>
      <c r="C6" t="s">
        <v>26</v>
      </c>
      <c r="D6">
        <v>7.6101999999999999</v>
      </c>
      <c r="E6">
        <v>13.14</v>
      </c>
      <c r="F6">
        <v>7.68</v>
      </c>
      <c r="G6">
        <v>9.4</v>
      </c>
      <c r="H6">
        <v>0.13</v>
      </c>
      <c r="I6">
        <v>49</v>
      </c>
      <c r="J6">
        <v>276.02</v>
      </c>
      <c r="K6">
        <v>60.56</v>
      </c>
      <c r="L6">
        <v>2</v>
      </c>
      <c r="M6">
        <v>47</v>
      </c>
      <c r="N6">
        <v>73.47</v>
      </c>
      <c r="O6">
        <v>34277.1</v>
      </c>
      <c r="P6">
        <v>133</v>
      </c>
      <c r="Q6">
        <v>204.18</v>
      </c>
      <c r="R6">
        <v>52.5</v>
      </c>
      <c r="S6">
        <v>17.37</v>
      </c>
      <c r="T6">
        <v>15245.3</v>
      </c>
      <c r="U6">
        <v>0.33</v>
      </c>
      <c r="V6">
        <v>0.67</v>
      </c>
      <c r="W6">
        <v>1.22</v>
      </c>
      <c r="X6">
        <v>0.99</v>
      </c>
      <c r="Y6">
        <v>1</v>
      </c>
      <c r="Z6">
        <v>10</v>
      </c>
    </row>
    <row r="7" spans="1:26" x14ac:dyDescent="0.3">
      <c r="A7">
        <v>5</v>
      </c>
      <c r="B7">
        <v>140</v>
      </c>
      <c r="C7" t="s">
        <v>26</v>
      </c>
      <c r="D7">
        <v>7.8788</v>
      </c>
      <c r="E7">
        <v>12.69</v>
      </c>
      <c r="F7">
        <v>7.55</v>
      </c>
      <c r="G7">
        <v>10.53</v>
      </c>
      <c r="H7">
        <v>0.14000000000000001</v>
      </c>
      <c r="I7">
        <v>43</v>
      </c>
      <c r="J7">
        <v>276.51</v>
      </c>
      <c r="K7">
        <v>60.56</v>
      </c>
      <c r="L7">
        <v>2.25</v>
      </c>
      <c r="M7">
        <v>41</v>
      </c>
      <c r="N7">
        <v>73.709999999999994</v>
      </c>
      <c r="O7">
        <v>34337.08</v>
      </c>
      <c r="P7">
        <v>130.61000000000001</v>
      </c>
      <c r="Q7">
        <v>204.22</v>
      </c>
      <c r="R7">
        <v>48.34</v>
      </c>
      <c r="S7">
        <v>17.37</v>
      </c>
      <c r="T7">
        <v>13194.87</v>
      </c>
      <c r="U7">
        <v>0.36</v>
      </c>
      <c r="V7">
        <v>0.68</v>
      </c>
      <c r="W7">
        <v>1.21</v>
      </c>
      <c r="X7">
        <v>0.85</v>
      </c>
      <c r="Y7">
        <v>1</v>
      </c>
      <c r="Z7">
        <v>10</v>
      </c>
    </row>
    <row r="8" spans="1:26" x14ac:dyDescent="0.3">
      <c r="A8">
        <v>6</v>
      </c>
      <c r="B8">
        <v>140</v>
      </c>
      <c r="C8" t="s">
        <v>26</v>
      </c>
      <c r="D8">
        <v>8.1056000000000008</v>
      </c>
      <c r="E8">
        <v>12.34</v>
      </c>
      <c r="F8">
        <v>7.45</v>
      </c>
      <c r="G8">
        <v>11.77</v>
      </c>
      <c r="H8">
        <v>0.16</v>
      </c>
      <c r="I8">
        <v>38</v>
      </c>
      <c r="J8">
        <v>277</v>
      </c>
      <c r="K8">
        <v>60.56</v>
      </c>
      <c r="L8">
        <v>2.5</v>
      </c>
      <c r="M8">
        <v>36</v>
      </c>
      <c r="N8">
        <v>73.94</v>
      </c>
      <c r="O8">
        <v>34397.15</v>
      </c>
      <c r="P8">
        <v>128.87</v>
      </c>
      <c r="Q8">
        <v>204.14</v>
      </c>
      <c r="R8">
        <v>45.39</v>
      </c>
      <c r="S8">
        <v>17.37</v>
      </c>
      <c r="T8">
        <v>11747.8</v>
      </c>
      <c r="U8">
        <v>0.38</v>
      </c>
      <c r="V8">
        <v>0.69</v>
      </c>
      <c r="W8">
        <v>1.2</v>
      </c>
      <c r="X8">
        <v>0.76</v>
      </c>
      <c r="Y8">
        <v>1</v>
      </c>
      <c r="Z8">
        <v>10</v>
      </c>
    </row>
    <row r="9" spans="1:26" x14ac:dyDescent="0.3">
      <c r="A9">
        <v>7</v>
      </c>
      <c r="B9">
        <v>140</v>
      </c>
      <c r="C9" t="s">
        <v>26</v>
      </c>
      <c r="D9">
        <v>8.2547999999999995</v>
      </c>
      <c r="E9">
        <v>12.11</v>
      </c>
      <c r="F9">
        <v>7.39</v>
      </c>
      <c r="G9">
        <v>12.66</v>
      </c>
      <c r="H9">
        <v>0.18</v>
      </c>
      <c r="I9">
        <v>35</v>
      </c>
      <c r="J9">
        <v>277.48</v>
      </c>
      <c r="K9">
        <v>60.56</v>
      </c>
      <c r="L9">
        <v>2.75</v>
      </c>
      <c r="M9">
        <v>33</v>
      </c>
      <c r="N9">
        <v>74.180000000000007</v>
      </c>
      <c r="O9">
        <v>34457.31</v>
      </c>
      <c r="P9">
        <v>127.66</v>
      </c>
      <c r="Q9">
        <v>204.23</v>
      </c>
      <c r="R9">
        <v>43.19</v>
      </c>
      <c r="S9">
        <v>17.37</v>
      </c>
      <c r="T9">
        <v>10663.81</v>
      </c>
      <c r="U9">
        <v>0.4</v>
      </c>
      <c r="V9">
        <v>0.69</v>
      </c>
      <c r="W9">
        <v>1.2</v>
      </c>
      <c r="X9">
        <v>0.69</v>
      </c>
      <c r="Y9">
        <v>1</v>
      </c>
      <c r="Z9">
        <v>10</v>
      </c>
    </row>
    <row r="10" spans="1:26" x14ac:dyDescent="0.3">
      <c r="A10">
        <v>8</v>
      </c>
      <c r="B10">
        <v>140</v>
      </c>
      <c r="C10" t="s">
        <v>26</v>
      </c>
      <c r="D10">
        <v>8.4103999999999992</v>
      </c>
      <c r="E10">
        <v>11.89</v>
      </c>
      <c r="F10">
        <v>7.32</v>
      </c>
      <c r="G10">
        <v>13.72</v>
      </c>
      <c r="H10">
        <v>0.19</v>
      </c>
      <c r="I10">
        <v>32</v>
      </c>
      <c r="J10">
        <v>277.97000000000003</v>
      </c>
      <c r="K10">
        <v>60.56</v>
      </c>
      <c r="L10">
        <v>3</v>
      </c>
      <c r="M10">
        <v>30</v>
      </c>
      <c r="N10">
        <v>74.42</v>
      </c>
      <c r="O10">
        <v>34517.57</v>
      </c>
      <c r="P10">
        <v>126.4</v>
      </c>
      <c r="Q10">
        <v>204.18</v>
      </c>
      <c r="R10">
        <v>41.32</v>
      </c>
      <c r="S10">
        <v>17.37</v>
      </c>
      <c r="T10">
        <v>9741.82</v>
      </c>
      <c r="U10">
        <v>0.42</v>
      </c>
      <c r="V10">
        <v>0.7</v>
      </c>
      <c r="W10">
        <v>1.19</v>
      </c>
      <c r="X10">
        <v>0.63</v>
      </c>
      <c r="Y10">
        <v>1</v>
      </c>
      <c r="Z10">
        <v>10</v>
      </c>
    </row>
    <row r="11" spans="1:26" x14ac:dyDescent="0.3">
      <c r="A11">
        <v>9</v>
      </c>
      <c r="B11">
        <v>140</v>
      </c>
      <c r="C11" t="s">
        <v>26</v>
      </c>
      <c r="D11">
        <v>8.5656999999999996</v>
      </c>
      <c r="E11">
        <v>11.67</v>
      </c>
      <c r="F11">
        <v>7.26</v>
      </c>
      <c r="G11">
        <v>15.02</v>
      </c>
      <c r="H11">
        <v>0.21</v>
      </c>
      <c r="I11">
        <v>29</v>
      </c>
      <c r="J11">
        <v>278.45999999999998</v>
      </c>
      <c r="K11">
        <v>60.56</v>
      </c>
      <c r="L11">
        <v>3.25</v>
      </c>
      <c r="M11">
        <v>27</v>
      </c>
      <c r="N11">
        <v>74.66</v>
      </c>
      <c r="O11">
        <v>34577.919999999998</v>
      </c>
      <c r="P11">
        <v>125.35</v>
      </c>
      <c r="Q11">
        <v>204.15</v>
      </c>
      <c r="R11">
        <v>39.51</v>
      </c>
      <c r="S11">
        <v>17.37</v>
      </c>
      <c r="T11">
        <v>8850.7800000000007</v>
      </c>
      <c r="U11">
        <v>0.44</v>
      </c>
      <c r="V11">
        <v>0.7</v>
      </c>
      <c r="W11">
        <v>1.18</v>
      </c>
      <c r="X11">
        <v>0.56999999999999995</v>
      </c>
      <c r="Y11">
        <v>1</v>
      </c>
      <c r="Z11">
        <v>10</v>
      </c>
    </row>
    <row r="12" spans="1:26" x14ac:dyDescent="0.3">
      <c r="A12">
        <v>10</v>
      </c>
      <c r="B12">
        <v>140</v>
      </c>
      <c r="C12" t="s">
        <v>26</v>
      </c>
      <c r="D12">
        <v>8.6829000000000001</v>
      </c>
      <c r="E12">
        <v>11.52</v>
      </c>
      <c r="F12">
        <v>7.21</v>
      </c>
      <c r="G12">
        <v>16.010000000000002</v>
      </c>
      <c r="H12">
        <v>0.22</v>
      </c>
      <c r="I12">
        <v>27</v>
      </c>
      <c r="J12">
        <v>278.95</v>
      </c>
      <c r="K12">
        <v>60.56</v>
      </c>
      <c r="L12">
        <v>3.5</v>
      </c>
      <c r="M12">
        <v>25</v>
      </c>
      <c r="N12">
        <v>74.900000000000006</v>
      </c>
      <c r="O12">
        <v>34638.36</v>
      </c>
      <c r="P12">
        <v>124.32</v>
      </c>
      <c r="Q12">
        <v>204.18</v>
      </c>
      <c r="R12">
        <v>37.86</v>
      </c>
      <c r="S12">
        <v>17.37</v>
      </c>
      <c r="T12">
        <v>8038.84</v>
      </c>
      <c r="U12">
        <v>0.46</v>
      </c>
      <c r="V12">
        <v>0.71</v>
      </c>
      <c r="W12">
        <v>1.18</v>
      </c>
      <c r="X12">
        <v>0.51</v>
      </c>
      <c r="Y12">
        <v>1</v>
      </c>
      <c r="Z12">
        <v>10</v>
      </c>
    </row>
    <row r="13" spans="1:26" x14ac:dyDescent="0.3">
      <c r="A13">
        <v>11</v>
      </c>
      <c r="B13">
        <v>140</v>
      </c>
      <c r="C13" t="s">
        <v>26</v>
      </c>
      <c r="D13">
        <v>8.7850000000000001</v>
      </c>
      <c r="E13">
        <v>11.38</v>
      </c>
      <c r="F13">
        <v>7.18</v>
      </c>
      <c r="G13">
        <v>17.22</v>
      </c>
      <c r="H13">
        <v>0.24</v>
      </c>
      <c r="I13">
        <v>25</v>
      </c>
      <c r="J13">
        <v>279.44</v>
      </c>
      <c r="K13">
        <v>60.56</v>
      </c>
      <c r="L13">
        <v>3.75</v>
      </c>
      <c r="M13">
        <v>23</v>
      </c>
      <c r="N13">
        <v>75.14</v>
      </c>
      <c r="O13">
        <v>34698.9</v>
      </c>
      <c r="P13">
        <v>123.77</v>
      </c>
      <c r="Q13">
        <v>204.18</v>
      </c>
      <c r="R13">
        <v>36.9</v>
      </c>
      <c r="S13">
        <v>17.37</v>
      </c>
      <c r="T13">
        <v>7567.79</v>
      </c>
      <c r="U13">
        <v>0.47</v>
      </c>
      <c r="V13">
        <v>0.71</v>
      </c>
      <c r="W13">
        <v>1.18</v>
      </c>
      <c r="X13">
        <v>0.48</v>
      </c>
      <c r="Y13">
        <v>1</v>
      </c>
      <c r="Z13">
        <v>10</v>
      </c>
    </row>
    <row r="14" spans="1:26" x14ac:dyDescent="0.3">
      <c r="A14">
        <v>12</v>
      </c>
      <c r="B14">
        <v>140</v>
      </c>
      <c r="C14" t="s">
        <v>26</v>
      </c>
      <c r="D14">
        <v>8.8978999999999999</v>
      </c>
      <c r="E14">
        <v>11.24</v>
      </c>
      <c r="F14">
        <v>7.14</v>
      </c>
      <c r="G14">
        <v>18.62</v>
      </c>
      <c r="H14">
        <v>0.25</v>
      </c>
      <c r="I14">
        <v>23</v>
      </c>
      <c r="J14">
        <v>279.94</v>
      </c>
      <c r="K14">
        <v>60.56</v>
      </c>
      <c r="L14">
        <v>4</v>
      </c>
      <c r="M14">
        <v>21</v>
      </c>
      <c r="N14">
        <v>75.38</v>
      </c>
      <c r="O14">
        <v>34759.54</v>
      </c>
      <c r="P14">
        <v>122.96</v>
      </c>
      <c r="Q14">
        <v>204.19</v>
      </c>
      <c r="R14">
        <v>35.67</v>
      </c>
      <c r="S14">
        <v>17.37</v>
      </c>
      <c r="T14">
        <v>6961.52</v>
      </c>
      <c r="U14">
        <v>0.49</v>
      </c>
      <c r="V14">
        <v>0.72</v>
      </c>
      <c r="W14">
        <v>1.17</v>
      </c>
      <c r="X14">
        <v>0.44</v>
      </c>
      <c r="Y14">
        <v>1</v>
      </c>
      <c r="Z14">
        <v>10</v>
      </c>
    </row>
    <row r="15" spans="1:26" x14ac:dyDescent="0.3">
      <c r="A15">
        <v>13</v>
      </c>
      <c r="B15">
        <v>140</v>
      </c>
      <c r="C15" t="s">
        <v>26</v>
      </c>
      <c r="D15">
        <v>8.9603999999999999</v>
      </c>
      <c r="E15">
        <v>11.16</v>
      </c>
      <c r="F15">
        <v>7.11</v>
      </c>
      <c r="G15">
        <v>19.39</v>
      </c>
      <c r="H15">
        <v>0.27</v>
      </c>
      <c r="I15">
        <v>22</v>
      </c>
      <c r="J15">
        <v>280.43</v>
      </c>
      <c r="K15">
        <v>60.56</v>
      </c>
      <c r="L15">
        <v>4.25</v>
      </c>
      <c r="M15">
        <v>20</v>
      </c>
      <c r="N15">
        <v>75.62</v>
      </c>
      <c r="O15">
        <v>34820.269999999997</v>
      </c>
      <c r="P15">
        <v>122.52</v>
      </c>
      <c r="Q15">
        <v>204.17</v>
      </c>
      <c r="R15">
        <v>34.979999999999997</v>
      </c>
      <c r="S15">
        <v>17.37</v>
      </c>
      <c r="T15">
        <v>6623.97</v>
      </c>
      <c r="U15">
        <v>0.5</v>
      </c>
      <c r="V15">
        <v>0.72</v>
      </c>
      <c r="W15">
        <v>1.17</v>
      </c>
      <c r="X15">
        <v>0.42</v>
      </c>
      <c r="Y15">
        <v>1</v>
      </c>
      <c r="Z15">
        <v>10</v>
      </c>
    </row>
    <row r="16" spans="1:26" x14ac:dyDescent="0.3">
      <c r="A16">
        <v>14</v>
      </c>
      <c r="B16">
        <v>140</v>
      </c>
      <c r="C16" t="s">
        <v>26</v>
      </c>
      <c r="D16">
        <v>9.0128000000000004</v>
      </c>
      <c r="E16">
        <v>11.1</v>
      </c>
      <c r="F16">
        <v>7.1</v>
      </c>
      <c r="G16">
        <v>20.28</v>
      </c>
      <c r="H16">
        <v>0.28999999999999998</v>
      </c>
      <c r="I16">
        <v>21</v>
      </c>
      <c r="J16">
        <v>280.92</v>
      </c>
      <c r="K16">
        <v>60.56</v>
      </c>
      <c r="L16">
        <v>4.5</v>
      </c>
      <c r="M16">
        <v>19</v>
      </c>
      <c r="N16">
        <v>75.87</v>
      </c>
      <c r="O16">
        <v>34881.089999999997</v>
      </c>
      <c r="P16">
        <v>122.18</v>
      </c>
      <c r="Q16">
        <v>204.19</v>
      </c>
      <c r="R16">
        <v>34.340000000000003</v>
      </c>
      <c r="S16">
        <v>17.37</v>
      </c>
      <c r="T16">
        <v>6309.07</v>
      </c>
      <c r="U16">
        <v>0.51</v>
      </c>
      <c r="V16">
        <v>0.72</v>
      </c>
      <c r="W16">
        <v>1.18</v>
      </c>
      <c r="X16">
        <v>0.41</v>
      </c>
      <c r="Y16">
        <v>1</v>
      </c>
      <c r="Z16">
        <v>10</v>
      </c>
    </row>
    <row r="17" spans="1:26" x14ac:dyDescent="0.3">
      <c r="A17">
        <v>15</v>
      </c>
      <c r="B17">
        <v>140</v>
      </c>
      <c r="C17" t="s">
        <v>26</v>
      </c>
      <c r="D17">
        <v>9.0780999999999992</v>
      </c>
      <c r="E17">
        <v>11.02</v>
      </c>
      <c r="F17">
        <v>7.07</v>
      </c>
      <c r="G17">
        <v>21.21</v>
      </c>
      <c r="H17">
        <v>0.3</v>
      </c>
      <c r="I17">
        <v>20</v>
      </c>
      <c r="J17">
        <v>281.41000000000003</v>
      </c>
      <c r="K17">
        <v>60.56</v>
      </c>
      <c r="L17">
        <v>4.75</v>
      </c>
      <c r="M17">
        <v>18</v>
      </c>
      <c r="N17">
        <v>76.11</v>
      </c>
      <c r="O17">
        <v>34942.019999999997</v>
      </c>
      <c r="P17">
        <v>121.63</v>
      </c>
      <c r="Q17">
        <v>204.17</v>
      </c>
      <c r="R17">
        <v>33.72</v>
      </c>
      <c r="S17">
        <v>17.37</v>
      </c>
      <c r="T17">
        <v>6002.67</v>
      </c>
      <c r="U17">
        <v>0.52</v>
      </c>
      <c r="V17">
        <v>0.72</v>
      </c>
      <c r="W17">
        <v>1.17</v>
      </c>
      <c r="X17">
        <v>0.38</v>
      </c>
      <c r="Y17">
        <v>1</v>
      </c>
      <c r="Z17">
        <v>10</v>
      </c>
    </row>
    <row r="18" spans="1:26" x14ac:dyDescent="0.3">
      <c r="A18">
        <v>16</v>
      </c>
      <c r="B18">
        <v>140</v>
      </c>
      <c r="C18" t="s">
        <v>26</v>
      </c>
      <c r="D18">
        <v>9.1324000000000005</v>
      </c>
      <c r="E18">
        <v>10.95</v>
      </c>
      <c r="F18">
        <v>7.06</v>
      </c>
      <c r="G18">
        <v>22.28</v>
      </c>
      <c r="H18">
        <v>0.32</v>
      </c>
      <c r="I18">
        <v>19</v>
      </c>
      <c r="J18">
        <v>281.91000000000003</v>
      </c>
      <c r="K18">
        <v>60.56</v>
      </c>
      <c r="L18">
        <v>5</v>
      </c>
      <c r="M18">
        <v>17</v>
      </c>
      <c r="N18">
        <v>76.349999999999994</v>
      </c>
      <c r="O18">
        <v>35003.040000000001</v>
      </c>
      <c r="P18">
        <v>121.38</v>
      </c>
      <c r="Q18">
        <v>204.14</v>
      </c>
      <c r="R18">
        <v>33.31</v>
      </c>
      <c r="S18">
        <v>17.37</v>
      </c>
      <c r="T18">
        <v>5803.54</v>
      </c>
      <c r="U18">
        <v>0.52</v>
      </c>
      <c r="V18">
        <v>0.72</v>
      </c>
      <c r="W18">
        <v>1.1599999999999999</v>
      </c>
      <c r="X18">
        <v>0.36</v>
      </c>
      <c r="Y18">
        <v>1</v>
      </c>
      <c r="Z18">
        <v>10</v>
      </c>
    </row>
    <row r="19" spans="1:26" x14ac:dyDescent="0.3">
      <c r="A19">
        <v>17</v>
      </c>
      <c r="B19">
        <v>140</v>
      </c>
      <c r="C19" t="s">
        <v>26</v>
      </c>
      <c r="D19">
        <v>9.2007999999999992</v>
      </c>
      <c r="E19">
        <v>10.87</v>
      </c>
      <c r="F19">
        <v>7.03</v>
      </c>
      <c r="G19">
        <v>23.43</v>
      </c>
      <c r="H19">
        <v>0.33</v>
      </c>
      <c r="I19">
        <v>18</v>
      </c>
      <c r="J19">
        <v>282.39999999999998</v>
      </c>
      <c r="K19">
        <v>60.56</v>
      </c>
      <c r="L19">
        <v>5.25</v>
      </c>
      <c r="M19">
        <v>16</v>
      </c>
      <c r="N19">
        <v>76.599999999999994</v>
      </c>
      <c r="O19">
        <v>35064.15</v>
      </c>
      <c r="P19">
        <v>120.81</v>
      </c>
      <c r="Q19">
        <v>204.15</v>
      </c>
      <c r="R19">
        <v>32.119999999999997</v>
      </c>
      <c r="S19">
        <v>17.37</v>
      </c>
      <c r="T19">
        <v>5211.66</v>
      </c>
      <c r="U19">
        <v>0.54</v>
      </c>
      <c r="V19">
        <v>0.73</v>
      </c>
      <c r="W19">
        <v>1.17</v>
      </c>
      <c r="X19">
        <v>0.34</v>
      </c>
      <c r="Y19">
        <v>1</v>
      </c>
      <c r="Z19">
        <v>10</v>
      </c>
    </row>
    <row r="20" spans="1:26" x14ac:dyDescent="0.3">
      <c r="A20">
        <v>18</v>
      </c>
      <c r="B20">
        <v>140</v>
      </c>
      <c r="C20" t="s">
        <v>26</v>
      </c>
      <c r="D20">
        <v>9.2470999999999997</v>
      </c>
      <c r="E20">
        <v>10.81</v>
      </c>
      <c r="F20">
        <v>7.03</v>
      </c>
      <c r="G20">
        <v>24.8</v>
      </c>
      <c r="H20">
        <v>0.35</v>
      </c>
      <c r="I20">
        <v>17</v>
      </c>
      <c r="J20">
        <v>282.89999999999998</v>
      </c>
      <c r="K20">
        <v>60.56</v>
      </c>
      <c r="L20">
        <v>5.5</v>
      </c>
      <c r="M20">
        <v>15</v>
      </c>
      <c r="N20">
        <v>76.849999999999994</v>
      </c>
      <c r="O20">
        <v>35125.370000000003</v>
      </c>
      <c r="P20">
        <v>120.68</v>
      </c>
      <c r="Q20">
        <v>204.14</v>
      </c>
      <c r="R20">
        <v>32.01</v>
      </c>
      <c r="S20">
        <v>17.37</v>
      </c>
      <c r="T20">
        <v>5160.95</v>
      </c>
      <c r="U20">
        <v>0.54</v>
      </c>
      <c r="V20">
        <v>0.73</v>
      </c>
      <c r="W20">
        <v>1.17</v>
      </c>
      <c r="X20">
        <v>0.33</v>
      </c>
      <c r="Y20">
        <v>1</v>
      </c>
      <c r="Z20">
        <v>10</v>
      </c>
    </row>
    <row r="21" spans="1:26" x14ac:dyDescent="0.3">
      <c r="A21">
        <v>19</v>
      </c>
      <c r="B21">
        <v>140</v>
      </c>
      <c r="C21" t="s">
        <v>26</v>
      </c>
      <c r="D21">
        <v>9.3249999999999993</v>
      </c>
      <c r="E21">
        <v>10.72</v>
      </c>
      <c r="F21">
        <v>6.99</v>
      </c>
      <c r="G21">
        <v>26.2</v>
      </c>
      <c r="H21">
        <v>0.36</v>
      </c>
      <c r="I21">
        <v>16</v>
      </c>
      <c r="J21">
        <v>283.39999999999998</v>
      </c>
      <c r="K21">
        <v>60.56</v>
      </c>
      <c r="L21">
        <v>5.75</v>
      </c>
      <c r="M21">
        <v>14</v>
      </c>
      <c r="N21">
        <v>77.09</v>
      </c>
      <c r="O21">
        <v>35186.68</v>
      </c>
      <c r="P21">
        <v>119.99</v>
      </c>
      <c r="Q21">
        <v>204.16</v>
      </c>
      <c r="R21">
        <v>31.2</v>
      </c>
      <c r="S21">
        <v>17.37</v>
      </c>
      <c r="T21">
        <v>4761.16</v>
      </c>
      <c r="U21">
        <v>0.56000000000000005</v>
      </c>
      <c r="V21">
        <v>0.73</v>
      </c>
      <c r="W21">
        <v>1.1599999999999999</v>
      </c>
      <c r="X21">
        <v>0.3</v>
      </c>
      <c r="Y21">
        <v>1</v>
      </c>
      <c r="Z21">
        <v>10</v>
      </c>
    </row>
    <row r="22" spans="1:26" x14ac:dyDescent="0.3">
      <c r="A22">
        <v>20</v>
      </c>
      <c r="B22">
        <v>140</v>
      </c>
      <c r="C22" t="s">
        <v>26</v>
      </c>
      <c r="D22">
        <v>9.3064</v>
      </c>
      <c r="E22">
        <v>10.75</v>
      </c>
      <c r="F22">
        <v>7.01</v>
      </c>
      <c r="G22">
        <v>26.28</v>
      </c>
      <c r="H22">
        <v>0.38</v>
      </c>
      <c r="I22">
        <v>16</v>
      </c>
      <c r="J22">
        <v>283.89999999999998</v>
      </c>
      <c r="K22">
        <v>60.56</v>
      </c>
      <c r="L22">
        <v>6</v>
      </c>
      <c r="M22">
        <v>14</v>
      </c>
      <c r="N22">
        <v>77.34</v>
      </c>
      <c r="O22">
        <v>35248.1</v>
      </c>
      <c r="P22">
        <v>120.29</v>
      </c>
      <c r="Q22">
        <v>204.14</v>
      </c>
      <c r="R22">
        <v>31.71</v>
      </c>
      <c r="S22">
        <v>17.37</v>
      </c>
      <c r="T22">
        <v>5018.93</v>
      </c>
      <c r="U22">
        <v>0.55000000000000004</v>
      </c>
      <c r="V22">
        <v>0.73</v>
      </c>
      <c r="W22">
        <v>1.17</v>
      </c>
      <c r="X22">
        <v>0.32</v>
      </c>
      <c r="Y22">
        <v>1</v>
      </c>
      <c r="Z22">
        <v>10</v>
      </c>
    </row>
    <row r="23" spans="1:26" x14ac:dyDescent="0.3">
      <c r="A23">
        <v>21</v>
      </c>
      <c r="B23">
        <v>140</v>
      </c>
      <c r="C23" t="s">
        <v>26</v>
      </c>
      <c r="D23">
        <v>9.3874999999999993</v>
      </c>
      <c r="E23">
        <v>10.65</v>
      </c>
      <c r="F23">
        <v>6.97</v>
      </c>
      <c r="G23">
        <v>27.87</v>
      </c>
      <c r="H23">
        <v>0.39</v>
      </c>
      <c r="I23">
        <v>15</v>
      </c>
      <c r="J23">
        <v>284.39999999999998</v>
      </c>
      <c r="K23">
        <v>60.56</v>
      </c>
      <c r="L23">
        <v>6.25</v>
      </c>
      <c r="M23">
        <v>13</v>
      </c>
      <c r="N23">
        <v>77.59</v>
      </c>
      <c r="O23">
        <v>35309.61</v>
      </c>
      <c r="P23">
        <v>119.6</v>
      </c>
      <c r="Q23">
        <v>204.14</v>
      </c>
      <c r="R23">
        <v>30.5</v>
      </c>
      <c r="S23">
        <v>17.37</v>
      </c>
      <c r="T23">
        <v>4418.05</v>
      </c>
      <c r="U23">
        <v>0.56999999999999995</v>
      </c>
      <c r="V23">
        <v>0.73</v>
      </c>
      <c r="W23">
        <v>1.1599999999999999</v>
      </c>
      <c r="X23">
        <v>0.28000000000000003</v>
      </c>
      <c r="Y23">
        <v>1</v>
      </c>
      <c r="Z23">
        <v>10</v>
      </c>
    </row>
    <row r="24" spans="1:26" x14ac:dyDescent="0.3">
      <c r="A24">
        <v>22</v>
      </c>
      <c r="B24">
        <v>140</v>
      </c>
      <c r="C24" t="s">
        <v>26</v>
      </c>
      <c r="D24">
        <v>9.3813999999999993</v>
      </c>
      <c r="E24">
        <v>10.66</v>
      </c>
      <c r="F24">
        <v>6.97</v>
      </c>
      <c r="G24">
        <v>27.9</v>
      </c>
      <c r="H24">
        <v>0.41</v>
      </c>
      <c r="I24">
        <v>15</v>
      </c>
      <c r="J24">
        <v>284.89</v>
      </c>
      <c r="K24">
        <v>60.56</v>
      </c>
      <c r="L24">
        <v>6.5</v>
      </c>
      <c r="M24">
        <v>13</v>
      </c>
      <c r="N24">
        <v>77.84</v>
      </c>
      <c r="O24">
        <v>35371.22</v>
      </c>
      <c r="P24">
        <v>119.55</v>
      </c>
      <c r="Q24">
        <v>204.14</v>
      </c>
      <c r="R24">
        <v>30.54</v>
      </c>
      <c r="S24">
        <v>17.37</v>
      </c>
      <c r="T24">
        <v>4435.95</v>
      </c>
      <c r="U24">
        <v>0.56999999999999995</v>
      </c>
      <c r="V24">
        <v>0.73</v>
      </c>
      <c r="W24">
        <v>1.1599999999999999</v>
      </c>
      <c r="X24">
        <v>0.28000000000000003</v>
      </c>
      <c r="Y24">
        <v>1</v>
      </c>
      <c r="Z24">
        <v>10</v>
      </c>
    </row>
    <row r="25" spans="1:26" x14ac:dyDescent="0.3">
      <c r="A25">
        <v>23</v>
      </c>
      <c r="B25">
        <v>140</v>
      </c>
      <c r="C25" t="s">
        <v>26</v>
      </c>
      <c r="D25">
        <v>9.4522999999999993</v>
      </c>
      <c r="E25">
        <v>10.58</v>
      </c>
      <c r="F25">
        <v>6.95</v>
      </c>
      <c r="G25">
        <v>29.77</v>
      </c>
      <c r="H25">
        <v>0.42</v>
      </c>
      <c r="I25">
        <v>14</v>
      </c>
      <c r="J25">
        <v>285.39</v>
      </c>
      <c r="K25">
        <v>60.56</v>
      </c>
      <c r="L25">
        <v>6.75</v>
      </c>
      <c r="M25">
        <v>12</v>
      </c>
      <c r="N25">
        <v>78.09</v>
      </c>
      <c r="O25">
        <v>35432.93</v>
      </c>
      <c r="P25">
        <v>119.06</v>
      </c>
      <c r="Q25">
        <v>204.17</v>
      </c>
      <c r="R25">
        <v>29.81</v>
      </c>
      <c r="S25">
        <v>17.37</v>
      </c>
      <c r="T25">
        <v>4079.2</v>
      </c>
      <c r="U25">
        <v>0.57999999999999996</v>
      </c>
      <c r="V25">
        <v>0.74</v>
      </c>
      <c r="W25">
        <v>1.1599999999999999</v>
      </c>
      <c r="X25">
        <v>0.26</v>
      </c>
      <c r="Y25">
        <v>1</v>
      </c>
      <c r="Z25">
        <v>10</v>
      </c>
    </row>
    <row r="26" spans="1:26" x14ac:dyDescent="0.3">
      <c r="A26">
        <v>24</v>
      </c>
      <c r="B26">
        <v>140</v>
      </c>
      <c r="C26" t="s">
        <v>26</v>
      </c>
      <c r="D26">
        <v>9.4445999999999994</v>
      </c>
      <c r="E26">
        <v>10.59</v>
      </c>
      <c r="F26">
        <v>6.96</v>
      </c>
      <c r="G26">
        <v>29.81</v>
      </c>
      <c r="H26">
        <v>0.44</v>
      </c>
      <c r="I26">
        <v>14</v>
      </c>
      <c r="J26">
        <v>285.89999999999998</v>
      </c>
      <c r="K26">
        <v>60.56</v>
      </c>
      <c r="L26">
        <v>7</v>
      </c>
      <c r="M26">
        <v>12</v>
      </c>
      <c r="N26">
        <v>78.34</v>
      </c>
      <c r="O26">
        <v>35494.74</v>
      </c>
      <c r="P26">
        <v>119.12</v>
      </c>
      <c r="Q26">
        <v>204.14</v>
      </c>
      <c r="R26">
        <v>30.03</v>
      </c>
      <c r="S26">
        <v>17.37</v>
      </c>
      <c r="T26">
        <v>4185.6099999999997</v>
      </c>
      <c r="U26">
        <v>0.57999999999999996</v>
      </c>
      <c r="V26">
        <v>0.73</v>
      </c>
      <c r="W26">
        <v>1.1599999999999999</v>
      </c>
      <c r="X26">
        <v>0.26</v>
      </c>
      <c r="Y26">
        <v>1</v>
      </c>
      <c r="Z26">
        <v>10</v>
      </c>
    </row>
    <row r="27" spans="1:26" x14ac:dyDescent="0.3">
      <c r="A27">
        <v>25</v>
      </c>
      <c r="B27">
        <v>140</v>
      </c>
      <c r="C27" t="s">
        <v>26</v>
      </c>
      <c r="D27">
        <v>9.5173000000000005</v>
      </c>
      <c r="E27">
        <v>10.51</v>
      </c>
      <c r="F27">
        <v>6.93</v>
      </c>
      <c r="G27">
        <v>31.97</v>
      </c>
      <c r="H27">
        <v>0.45</v>
      </c>
      <c r="I27">
        <v>13</v>
      </c>
      <c r="J27">
        <v>286.39999999999998</v>
      </c>
      <c r="K27">
        <v>60.56</v>
      </c>
      <c r="L27">
        <v>7.25</v>
      </c>
      <c r="M27">
        <v>11</v>
      </c>
      <c r="N27">
        <v>78.59</v>
      </c>
      <c r="O27">
        <v>35556.78</v>
      </c>
      <c r="P27">
        <v>118.58</v>
      </c>
      <c r="Q27">
        <v>204.18</v>
      </c>
      <c r="R27">
        <v>29.21</v>
      </c>
      <c r="S27">
        <v>17.37</v>
      </c>
      <c r="T27">
        <v>3782.98</v>
      </c>
      <c r="U27">
        <v>0.59</v>
      </c>
      <c r="V27">
        <v>0.74</v>
      </c>
      <c r="W27">
        <v>1.1499999999999999</v>
      </c>
      <c r="X27">
        <v>0.24</v>
      </c>
      <c r="Y27">
        <v>1</v>
      </c>
      <c r="Z27">
        <v>10</v>
      </c>
    </row>
    <row r="28" spans="1:26" x14ac:dyDescent="0.3">
      <c r="A28">
        <v>26</v>
      </c>
      <c r="B28">
        <v>140</v>
      </c>
      <c r="C28" t="s">
        <v>26</v>
      </c>
      <c r="D28">
        <v>9.5177999999999994</v>
      </c>
      <c r="E28">
        <v>10.51</v>
      </c>
      <c r="F28">
        <v>6.93</v>
      </c>
      <c r="G28">
        <v>31.97</v>
      </c>
      <c r="H28">
        <v>0.47</v>
      </c>
      <c r="I28">
        <v>13</v>
      </c>
      <c r="J28">
        <v>286.89999999999998</v>
      </c>
      <c r="K28">
        <v>60.56</v>
      </c>
      <c r="L28">
        <v>7.5</v>
      </c>
      <c r="M28">
        <v>11</v>
      </c>
      <c r="N28">
        <v>78.849999999999994</v>
      </c>
      <c r="O28">
        <v>35618.800000000003</v>
      </c>
      <c r="P28">
        <v>118.56</v>
      </c>
      <c r="Q28">
        <v>204.14</v>
      </c>
      <c r="R28">
        <v>29.05</v>
      </c>
      <c r="S28">
        <v>17.37</v>
      </c>
      <c r="T28">
        <v>3700.96</v>
      </c>
      <c r="U28">
        <v>0.6</v>
      </c>
      <c r="V28">
        <v>0.74</v>
      </c>
      <c r="W28">
        <v>1.1599999999999999</v>
      </c>
      <c r="X28">
        <v>0.24</v>
      </c>
      <c r="Y28">
        <v>1</v>
      </c>
      <c r="Z28">
        <v>10</v>
      </c>
    </row>
    <row r="29" spans="1:26" x14ac:dyDescent="0.3">
      <c r="A29">
        <v>27</v>
      </c>
      <c r="B29">
        <v>140</v>
      </c>
      <c r="C29" t="s">
        <v>26</v>
      </c>
      <c r="D29">
        <v>9.5795999999999992</v>
      </c>
      <c r="E29">
        <v>10.44</v>
      </c>
      <c r="F29">
        <v>6.91</v>
      </c>
      <c r="G29">
        <v>34.56</v>
      </c>
      <c r="H29">
        <v>0.48</v>
      </c>
      <c r="I29">
        <v>12</v>
      </c>
      <c r="J29">
        <v>287.41000000000003</v>
      </c>
      <c r="K29">
        <v>60.56</v>
      </c>
      <c r="L29">
        <v>7.75</v>
      </c>
      <c r="M29">
        <v>10</v>
      </c>
      <c r="N29">
        <v>79.099999999999994</v>
      </c>
      <c r="O29">
        <v>35680.92</v>
      </c>
      <c r="P29">
        <v>118.18</v>
      </c>
      <c r="Q29">
        <v>204.14</v>
      </c>
      <c r="R29">
        <v>28.75</v>
      </c>
      <c r="S29">
        <v>17.37</v>
      </c>
      <c r="T29">
        <v>3558.14</v>
      </c>
      <c r="U29">
        <v>0.6</v>
      </c>
      <c r="V29">
        <v>0.74</v>
      </c>
      <c r="W29">
        <v>1.1499999999999999</v>
      </c>
      <c r="X29">
        <v>0.22</v>
      </c>
      <c r="Y29">
        <v>1</v>
      </c>
      <c r="Z29">
        <v>10</v>
      </c>
    </row>
    <row r="30" spans="1:26" x14ac:dyDescent="0.3">
      <c r="A30">
        <v>28</v>
      </c>
      <c r="B30">
        <v>140</v>
      </c>
      <c r="C30" t="s">
        <v>26</v>
      </c>
      <c r="D30">
        <v>9.5756999999999994</v>
      </c>
      <c r="E30">
        <v>10.44</v>
      </c>
      <c r="F30">
        <v>6.92</v>
      </c>
      <c r="G30">
        <v>34.58</v>
      </c>
      <c r="H30">
        <v>0.49</v>
      </c>
      <c r="I30">
        <v>12</v>
      </c>
      <c r="J30">
        <v>287.91000000000003</v>
      </c>
      <c r="K30">
        <v>60.56</v>
      </c>
      <c r="L30">
        <v>8</v>
      </c>
      <c r="M30">
        <v>10</v>
      </c>
      <c r="N30">
        <v>79.36</v>
      </c>
      <c r="O30">
        <v>35743.15</v>
      </c>
      <c r="P30">
        <v>118.26</v>
      </c>
      <c r="Q30">
        <v>204.16</v>
      </c>
      <c r="R30">
        <v>28.67</v>
      </c>
      <c r="S30">
        <v>17.37</v>
      </c>
      <c r="T30">
        <v>3519.15</v>
      </c>
      <c r="U30">
        <v>0.61</v>
      </c>
      <c r="V30">
        <v>0.74</v>
      </c>
      <c r="W30">
        <v>1.1599999999999999</v>
      </c>
      <c r="X30">
        <v>0.22</v>
      </c>
      <c r="Y30">
        <v>1</v>
      </c>
      <c r="Z30">
        <v>10</v>
      </c>
    </row>
    <row r="31" spans="1:26" x14ac:dyDescent="0.3">
      <c r="A31">
        <v>29</v>
      </c>
      <c r="B31">
        <v>140</v>
      </c>
      <c r="C31" t="s">
        <v>26</v>
      </c>
      <c r="D31">
        <v>9.5806000000000004</v>
      </c>
      <c r="E31">
        <v>10.44</v>
      </c>
      <c r="F31">
        <v>6.91</v>
      </c>
      <c r="G31">
        <v>34.549999999999997</v>
      </c>
      <c r="H31">
        <v>0.51</v>
      </c>
      <c r="I31">
        <v>12</v>
      </c>
      <c r="J31">
        <v>288.42</v>
      </c>
      <c r="K31">
        <v>60.56</v>
      </c>
      <c r="L31">
        <v>8.25</v>
      </c>
      <c r="M31">
        <v>10</v>
      </c>
      <c r="N31">
        <v>79.61</v>
      </c>
      <c r="O31">
        <v>35805.480000000003</v>
      </c>
      <c r="P31">
        <v>118.04</v>
      </c>
      <c r="Q31">
        <v>204.16</v>
      </c>
      <c r="R31">
        <v>28.79</v>
      </c>
      <c r="S31">
        <v>17.37</v>
      </c>
      <c r="T31">
        <v>3576.88</v>
      </c>
      <c r="U31">
        <v>0.6</v>
      </c>
      <c r="V31">
        <v>0.74</v>
      </c>
      <c r="W31">
        <v>1.1499999999999999</v>
      </c>
      <c r="X31">
        <v>0.22</v>
      </c>
      <c r="Y31">
        <v>1</v>
      </c>
      <c r="Z31">
        <v>10</v>
      </c>
    </row>
    <row r="32" spans="1:26" x14ac:dyDescent="0.3">
      <c r="A32">
        <v>30</v>
      </c>
      <c r="B32">
        <v>140</v>
      </c>
      <c r="C32" t="s">
        <v>26</v>
      </c>
      <c r="D32">
        <v>9.6538000000000004</v>
      </c>
      <c r="E32">
        <v>10.36</v>
      </c>
      <c r="F32">
        <v>6.88</v>
      </c>
      <c r="G32">
        <v>37.54</v>
      </c>
      <c r="H32">
        <v>0.52</v>
      </c>
      <c r="I32">
        <v>11</v>
      </c>
      <c r="J32">
        <v>288.92</v>
      </c>
      <c r="K32">
        <v>60.56</v>
      </c>
      <c r="L32">
        <v>8.5</v>
      </c>
      <c r="M32">
        <v>9</v>
      </c>
      <c r="N32">
        <v>79.87</v>
      </c>
      <c r="O32">
        <v>35867.910000000003</v>
      </c>
      <c r="P32">
        <v>117.4</v>
      </c>
      <c r="Q32">
        <v>204.14</v>
      </c>
      <c r="R32">
        <v>27.66</v>
      </c>
      <c r="S32">
        <v>17.37</v>
      </c>
      <c r="T32">
        <v>3019.72</v>
      </c>
      <c r="U32">
        <v>0.63</v>
      </c>
      <c r="V32">
        <v>0.74</v>
      </c>
      <c r="W32">
        <v>1.1599999999999999</v>
      </c>
      <c r="X32">
        <v>0.19</v>
      </c>
      <c r="Y32">
        <v>1</v>
      </c>
      <c r="Z32">
        <v>10</v>
      </c>
    </row>
    <row r="33" spans="1:26" x14ac:dyDescent="0.3">
      <c r="A33">
        <v>31</v>
      </c>
      <c r="B33">
        <v>140</v>
      </c>
      <c r="C33" t="s">
        <v>26</v>
      </c>
      <c r="D33">
        <v>9.6569000000000003</v>
      </c>
      <c r="E33">
        <v>10.36</v>
      </c>
      <c r="F33">
        <v>6.88</v>
      </c>
      <c r="G33">
        <v>37.53</v>
      </c>
      <c r="H33">
        <v>0.54</v>
      </c>
      <c r="I33">
        <v>11</v>
      </c>
      <c r="J33">
        <v>289.43</v>
      </c>
      <c r="K33">
        <v>60.56</v>
      </c>
      <c r="L33">
        <v>8.75</v>
      </c>
      <c r="M33">
        <v>9</v>
      </c>
      <c r="N33">
        <v>80.12</v>
      </c>
      <c r="O33">
        <v>35930.44</v>
      </c>
      <c r="P33">
        <v>117.31</v>
      </c>
      <c r="Q33">
        <v>204.17</v>
      </c>
      <c r="R33">
        <v>27.73</v>
      </c>
      <c r="S33">
        <v>17.37</v>
      </c>
      <c r="T33">
        <v>3053.26</v>
      </c>
      <c r="U33">
        <v>0.63</v>
      </c>
      <c r="V33">
        <v>0.74</v>
      </c>
      <c r="W33">
        <v>1.1499999999999999</v>
      </c>
      <c r="X33">
        <v>0.19</v>
      </c>
      <c r="Y33">
        <v>1</v>
      </c>
      <c r="Z33">
        <v>10</v>
      </c>
    </row>
    <row r="34" spans="1:26" x14ac:dyDescent="0.3">
      <c r="A34">
        <v>32</v>
      </c>
      <c r="B34">
        <v>140</v>
      </c>
      <c r="C34" t="s">
        <v>26</v>
      </c>
      <c r="D34">
        <v>9.6441999999999997</v>
      </c>
      <c r="E34">
        <v>10.37</v>
      </c>
      <c r="F34">
        <v>6.89</v>
      </c>
      <c r="G34">
        <v>37.6</v>
      </c>
      <c r="H34">
        <v>0.55000000000000004</v>
      </c>
      <c r="I34">
        <v>11</v>
      </c>
      <c r="J34">
        <v>289.94</v>
      </c>
      <c r="K34">
        <v>60.56</v>
      </c>
      <c r="L34">
        <v>9</v>
      </c>
      <c r="M34">
        <v>9</v>
      </c>
      <c r="N34">
        <v>80.38</v>
      </c>
      <c r="O34">
        <v>35993.08</v>
      </c>
      <c r="P34">
        <v>117.54</v>
      </c>
      <c r="Q34">
        <v>204.15</v>
      </c>
      <c r="R34">
        <v>28.19</v>
      </c>
      <c r="S34">
        <v>17.37</v>
      </c>
      <c r="T34">
        <v>3280.92</v>
      </c>
      <c r="U34">
        <v>0.62</v>
      </c>
      <c r="V34">
        <v>0.74</v>
      </c>
      <c r="W34">
        <v>1.1499999999999999</v>
      </c>
      <c r="X34">
        <v>0.2</v>
      </c>
      <c r="Y34">
        <v>1</v>
      </c>
      <c r="Z34">
        <v>10</v>
      </c>
    </row>
    <row r="35" spans="1:26" x14ac:dyDescent="0.3">
      <c r="A35">
        <v>33</v>
      </c>
      <c r="B35">
        <v>140</v>
      </c>
      <c r="C35" t="s">
        <v>26</v>
      </c>
      <c r="D35">
        <v>9.6480999999999995</v>
      </c>
      <c r="E35">
        <v>10.36</v>
      </c>
      <c r="F35">
        <v>6.89</v>
      </c>
      <c r="G35">
        <v>37.58</v>
      </c>
      <c r="H35">
        <v>0.56999999999999995</v>
      </c>
      <c r="I35">
        <v>11</v>
      </c>
      <c r="J35">
        <v>290.45</v>
      </c>
      <c r="K35">
        <v>60.56</v>
      </c>
      <c r="L35">
        <v>9.25</v>
      </c>
      <c r="M35">
        <v>9</v>
      </c>
      <c r="N35">
        <v>80.64</v>
      </c>
      <c r="O35">
        <v>36055.83</v>
      </c>
      <c r="P35">
        <v>117.25</v>
      </c>
      <c r="Q35">
        <v>204.14</v>
      </c>
      <c r="R35">
        <v>27.87</v>
      </c>
      <c r="S35">
        <v>17.37</v>
      </c>
      <c r="T35">
        <v>3122.18</v>
      </c>
      <c r="U35">
        <v>0.62</v>
      </c>
      <c r="V35">
        <v>0.74</v>
      </c>
      <c r="W35">
        <v>1.1599999999999999</v>
      </c>
      <c r="X35">
        <v>0.2</v>
      </c>
      <c r="Y35">
        <v>1</v>
      </c>
      <c r="Z35">
        <v>10</v>
      </c>
    </row>
    <row r="36" spans="1:26" x14ac:dyDescent="0.3">
      <c r="A36">
        <v>34</v>
      </c>
      <c r="B36">
        <v>140</v>
      </c>
      <c r="C36" t="s">
        <v>26</v>
      </c>
      <c r="D36">
        <v>9.7202999999999999</v>
      </c>
      <c r="E36">
        <v>10.29</v>
      </c>
      <c r="F36">
        <v>6.86</v>
      </c>
      <c r="G36">
        <v>41.19</v>
      </c>
      <c r="H36">
        <v>0.57999999999999996</v>
      </c>
      <c r="I36">
        <v>10</v>
      </c>
      <c r="J36">
        <v>290.95999999999998</v>
      </c>
      <c r="K36">
        <v>60.56</v>
      </c>
      <c r="L36">
        <v>9.5</v>
      </c>
      <c r="M36">
        <v>8</v>
      </c>
      <c r="N36">
        <v>80.900000000000006</v>
      </c>
      <c r="O36">
        <v>36118.68</v>
      </c>
      <c r="P36">
        <v>116.75</v>
      </c>
      <c r="Q36">
        <v>204.14</v>
      </c>
      <c r="R36">
        <v>27.13</v>
      </c>
      <c r="S36">
        <v>17.37</v>
      </c>
      <c r="T36">
        <v>2757.31</v>
      </c>
      <c r="U36">
        <v>0.64</v>
      </c>
      <c r="V36">
        <v>0.74</v>
      </c>
      <c r="W36">
        <v>1.1499999999999999</v>
      </c>
      <c r="X36">
        <v>0.17</v>
      </c>
      <c r="Y36">
        <v>1</v>
      </c>
      <c r="Z36">
        <v>10</v>
      </c>
    </row>
    <row r="37" spans="1:26" x14ac:dyDescent="0.3">
      <c r="A37">
        <v>35</v>
      </c>
      <c r="B37">
        <v>140</v>
      </c>
      <c r="C37" t="s">
        <v>26</v>
      </c>
      <c r="D37">
        <v>9.7175999999999991</v>
      </c>
      <c r="E37">
        <v>10.29</v>
      </c>
      <c r="F37">
        <v>6.87</v>
      </c>
      <c r="G37">
        <v>41.2</v>
      </c>
      <c r="H37">
        <v>0.6</v>
      </c>
      <c r="I37">
        <v>10</v>
      </c>
      <c r="J37">
        <v>291.47000000000003</v>
      </c>
      <c r="K37">
        <v>60.56</v>
      </c>
      <c r="L37">
        <v>9.75</v>
      </c>
      <c r="M37">
        <v>8</v>
      </c>
      <c r="N37">
        <v>81.16</v>
      </c>
      <c r="O37">
        <v>36181.64</v>
      </c>
      <c r="P37">
        <v>116.8</v>
      </c>
      <c r="Q37">
        <v>204.14</v>
      </c>
      <c r="R37">
        <v>27.41</v>
      </c>
      <c r="S37">
        <v>17.37</v>
      </c>
      <c r="T37">
        <v>2895.46</v>
      </c>
      <c r="U37">
        <v>0.63</v>
      </c>
      <c r="V37">
        <v>0.74</v>
      </c>
      <c r="W37">
        <v>1.1499999999999999</v>
      </c>
      <c r="X37">
        <v>0.18</v>
      </c>
      <c r="Y37">
        <v>1</v>
      </c>
      <c r="Z37">
        <v>10</v>
      </c>
    </row>
    <row r="38" spans="1:26" x14ac:dyDescent="0.3">
      <c r="A38">
        <v>36</v>
      </c>
      <c r="B38">
        <v>140</v>
      </c>
      <c r="C38" t="s">
        <v>26</v>
      </c>
      <c r="D38">
        <v>9.7200000000000006</v>
      </c>
      <c r="E38">
        <v>10.29</v>
      </c>
      <c r="F38">
        <v>6.86</v>
      </c>
      <c r="G38">
        <v>41.19</v>
      </c>
      <c r="H38">
        <v>0.61</v>
      </c>
      <c r="I38">
        <v>10</v>
      </c>
      <c r="J38">
        <v>291.98</v>
      </c>
      <c r="K38">
        <v>60.56</v>
      </c>
      <c r="L38">
        <v>10</v>
      </c>
      <c r="M38">
        <v>8</v>
      </c>
      <c r="N38">
        <v>81.42</v>
      </c>
      <c r="O38">
        <v>36244.71</v>
      </c>
      <c r="P38">
        <v>116.86</v>
      </c>
      <c r="Q38">
        <v>204.14</v>
      </c>
      <c r="R38">
        <v>27.21</v>
      </c>
      <c r="S38">
        <v>17.37</v>
      </c>
      <c r="T38">
        <v>2798.95</v>
      </c>
      <c r="U38">
        <v>0.64</v>
      </c>
      <c r="V38">
        <v>0.74</v>
      </c>
      <c r="W38">
        <v>1.1499999999999999</v>
      </c>
      <c r="X38">
        <v>0.17</v>
      </c>
      <c r="Y38">
        <v>1</v>
      </c>
      <c r="Z38">
        <v>10</v>
      </c>
    </row>
    <row r="39" spans="1:26" x14ac:dyDescent="0.3">
      <c r="A39">
        <v>37</v>
      </c>
      <c r="B39">
        <v>140</v>
      </c>
      <c r="C39" t="s">
        <v>26</v>
      </c>
      <c r="D39">
        <v>9.7141999999999999</v>
      </c>
      <c r="E39">
        <v>10.29</v>
      </c>
      <c r="F39">
        <v>6.87</v>
      </c>
      <c r="G39">
        <v>41.23</v>
      </c>
      <c r="H39">
        <v>0.62</v>
      </c>
      <c r="I39">
        <v>10</v>
      </c>
      <c r="J39">
        <v>292.49</v>
      </c>
      <c r="K39">
        <v>60.56</v>
      </c>
      <c r="L39">
        <v>10.25</v>
      </c>
      <c r="M39">
        <v>8</v>
      </c>
      <c r="N39">
        <v>81.680000000000007</v>
      </c>
      <c r="O39">
        <v>36307.879999999997</v>
      </c>
      <c r="P39">
        <v>116.77</v>
      </c>
      <c r="Q39">
        <v>204.14</v>
      </c>
      <c r="R39">
        <v>27.38</v>
      </c>
      <c r="S39">
        <v>17.37</v>
      </c>
      <c r="T39">
        <v>2882.32</v>
      </c>
      <c r="U39">
        <v>0.63</v>
      </c>
      <c r="V39">
        <v>0.74</v>
      </c>
      <c r="W39">
        <v>1.1499999999999999</v>
      </c>
      <c r="X39">
        <v>0.18</v>
      </c>
      <c r="Y39">
        <v>1</v>
      </c>
      <c r="Z39">
        <v>10</v>
      </c>
    </row>
    <row r="40" spans="1:26" x14ac:dyDescent="0.3">
      <c r="A40">
        <v>38</v>
      </c>
      <c r="B40">
        <v>140</v>
      </c>
      <c r="C40" t="s">
        <v>26</v>
      </c>
      <c r="D40">
        <v>9.7855000000000008</v>
      </c>
      <c r="E40">
        <v>10.220000000000001</v>
      </c>
      <c r="F40">
        <v>6.85</v>
      </c>
      <c r="G40">
        <v>45.65</v>
      </c>
      <c r="H40">
        <v>0.64</v>
      </c>
      <c r="I40">
        <v>9</v>
      </c>
      <c r="J40">
        <v>293</v>
      </c>
      <c r="K40">
        <v>60.56</v>
      </c>
      <c r="L40">
        <v>10.5</v>
      </c>
      <c r="M40">
        <v>7</v>
      </c>
      <c r="N40">
        <v>81.95</v>
      </c>
      <c r="O40">
        <v>36371.17</v>
      </c>
      <c r="P40">
        <v>116.22</v>
      </c>
      <c r="Q40">
        <v>204.19</v>
      </c>
      <c r="R40">
        <v>26.72</v>
      </c>
      <c r="S40">
        <v>17.37</v>
      </c>
      <c r="T40">
        <v>2554.92</v>
      </c>
      <c r="U40">
        <v>0.65</v>
      </c>
      <c r="V40">
        <v>0.75</v>
      </c>
      <c r="W40">
        <v>1.1499999999999999</v>
      </c>
      <c r="X40">
        <v>0.16</v>
      </c>
      <c r="Y40">
        <v>1</v>
      </c>
      <c r="Z40">
        <v>10</v>
      </c>
    </row>
    <row r="41" spans="1:26" x14ac:dyDescent="0.3">
      <c r="A41">
        <v>39</v>
      </c>
      <c r="B41">
        <v>140</v>
      </c>
      <c r="C41" t="s">
        <v>26</v>
      </c>
      <c r="D41">
        <v>9.7744</v>
      </c>
      <c r="E41">
        <v>10.23</v>
      </c>
      <c r="F41">
        <v>6.86</v>
      </c>
      <c r="G41">
        <v>45.73</v>
      </c>
      <c r="H41">
        <v>0.65</v>
      </c>
      <c r="I41">
        <v>9</v>
      </c>
      <c r="J41">
        <v>293.52</v>
      </c>
      <c r="K41">
        <v>60.56</v>
      </c>
      <c r="L41">
        <v>10.75</v>
      </c>
      <c r="M41">
        <v>7</v>
      </c>
      <c r="N41">
        <v>82.21</v>
      </c>
      <c r="O41">
        <v>36434.559999999998</v>
      </c>
      <c r="P41">
        <v>116.67</v>
      </c>
      <c r="Q41">
        <v>204.14</v>
      </c>
      <c r="R41">
        <v>27.12</v>
      </c>
      <c r="S41">
        <v>17.37</v>
      </c>
      <c r="T41">
        <v>2759.64</v>
      </c>
      <c r="U41">
        <v>0.64</v>
      </c>
      <c r="V41">
        <v>0.74</v>
      </c>
      <c r="W41">
        <v>1.1499999999999999</v>
      </c>
      <c r="X41">
        <v>0.17</v>
      </c>
      <c r="Y41">
        <v>1</v>
      </c>
      <c r="Z41">
        <v>10</v>
      </c>
    </row>
    <row r="42" spans="1:26" x14ac:dyDescent="0.3">
      <c r="A42">
        <v>40</v>
      </c>
      <c r="B42">
        <v>140</v>
      </c>
      <c r="C42" t="s">
        <v>26</v>
      </c>
      <c r="D42">
        <v>9.7789000000000001</v>
      </c>
      <c r="E42">
        <v>10.23</v>
      </c>
      <c r="F42">
        <v>6.86</v>
      </c>
      <c r="G42">
        <v>45.7</v>
      </c>
      <c r="H42">
        <v>0.67</v>
      </c>
      <c r="I42">
        <v>9</v>
      </c>
      <c r="J42">
        <v>294.02999999999997</v>
      </c>
      <c r="K42">
        <v>60.56</v>
      </c>
      <c r="L42">
        <v>11</v>
      </c>
      <c r="M42">
        <v>7</v>
      </c>
      <c r="N42">
        <v>82.48</v>
      </c>
      <c r="O42">
        <v>36498.06</v>
      </c>
      <c r="P42">
        <v>116.7</v>
      </c>
      <c r="Q42">
        <v>204.18</v>
      </c>
      <c r="R42">
        <v>26.89</v>
      </c>
      <c r="S42">
        <v>17.37</v>
      </c>
      <c r="T42">
        <v>2644.24</v>
      </c>
      <c r="U42">
        <v>0.65</v>
      </c>
      <c r="V42">
        <v>0.75</v>
      </c>
      <c r="W42">
        <v>1.1499999999999999</v>
      </c>
      <c r="X42">
        <v>0.16</v>
      </c>
      <c r="Y42">
        <v>1</v>
      </c>
      <c r="Z42">
        <v>10</v>
      </c>
    </row>
    <row r="43" spans="1:26" x14ac:dyDescent="0.3">
      <c r="A43">
        <v>41</v>
      </c>
      <c r="B43">
        <v>140</v>
      </c>
      <c r="C43" t="s">
        <v>26</v>
      </c>
      <c r="D43">
        <v>9.7799999999999994</v>
      </c>
      <c r="E43">
        <v>10.220000000000001</v>
      </c>
      <c r="F43">
        <v>6.85</v>
      </c>
      <c r="G43">
        <v>45.69</v>
      </c>
      <c r="H43">
        <v>0.68</v>
      </c>
      <c r="I43">
        <v>9</v>
      </c>
      <c r="J43">
        <v>294.55</v>
      </c>
      <c r="K43">
        <v>60.56</v>
      </c>
      <c r="L43">
        <v>11.25</v>
      </c>
      <c r="M43">
        <v>7</v>
      </c>
      <c r="N43">
        <v>82.74</v>
      </c>
      <c r="O43">
        <v>36561.67</v>
      </c>
      <c r="P43">
        <v>116.46</v>
      </c>
      <c r="Q43">
        <v>204.14</v>
      </c>
      <c r="R43">
        <v>26.94</v>
      </c>
      <c r="S43">
        <v>17.37</v>
      </c>
      <c r="T43">
        <v>2668.09</v>
      </c>
      <c r="U43">
        <v>0.64</v>
      </c>
      <c r="V43">
        <v>0.75</v>
      </c>
      <c r="W43">
        <v>1.1499999999999999</v>
      </c>
      <c r="X43">
        <v>0.16</v>
      </c>
      <c r="Y43">
        <v>1</v>
      </c>
      <c r="Z43">
        <v>10</v>
      </c>
    </row>
    <row r="44" spans="1:26" x14ac:dyDescent="0.3">
      <c r="A44">
        <v>42</v>
      </c>
      <c r="B44">
        <v>140</v>
      </c>
      <c r="C44" t="s">
        <v>26</v>
      </c>
      <c r="D44">
        <v>9.7722999999999995</v>
      </c>
      <c r="E44">
        <v>10.23</v>
      </c>
      <c r="F44">
        <v>6.86</v>
      </c>
      <c r="G44">
        <v>45.75</v>
      </c>
      <c r="H44">
        <v>0.69</v>
      </c>
      <c r="I44">
        <v>9</v>
      </c>
      <c r="J44">
        <v>295.06</v>
      </c>
      <c r="K44">
        <v>60.56</v>
      </c>
      <c r="L44">
        <v>11.5</v>
      </c>
      <c r="M44">
        <v>7</v>
      </c>
      <c r="N44">
        <v>83.01</v>
      </c>
      <c r="O44">
        <v>36625.39</v>
      </c>
      <c r="P44">
        <v>116.53</v>
      </c>
      <c r="Q44">
        <v>204.15</v>
      </c>
      <c r="R44">
        <v>27.19</v>
      </c>
      <c r="S44">
        <v>17.37</v>
      </c>
      <c r="T44">
        <v>2793.61</v>
      </c>
      <c r="U44">
        <v>0.64</v>
      </c>
      <c r="V44">
        <v>0.74</v>
      </c>
      <c r="W44">
        <v>1.1499999999999999</v>
      </c>
      <c r="X44">
        <v>0.17</v>
      </c>
      <c r="Y44">
        <v>1</v>
      </c>
      <c r="Z44">
        <v>10</v>
      </c>
    </row>
    <row r="45" spans="1:26" x14ac:dyDescent="0.3">
      <c r="A45">
        <v>43</v>
      </c>
      <c r="B45">
        <v>140</v>
      </c>
      <c r="C45" t="s">
        <v>26</v>
      </c>
      <c r="D45">
        <v>9.7802000000000007</v>
      </c>
      <c r="E45">
        <v>10.220000000000001</v>
      </c>
      <c r="F45">
        <v>6.85</v>
      </c>
      <c r="G45">
        <v>45.69</v>
      </c>
      <c r="H45">
        <v>0.71</v>
      </c>
      <c r="I45">
        <v>9</v>
      </c>
      <c r="J45">
        <v>295.58</v>
      </c>
      <c r="K45">
        <v>60.56</v>
      </c>
      <c r="L45">
        <v>11.75</v>
      </c>
      <c r="M45">
        <v>7</v>
      </c>
      <c r="N45">
        <v>83.28</v>
      </c>
      <c r="O45">
        <v>36689.22</v>
      </c>
      <c r="P45">
        <v>116.18</v>
      </c>
      <c r="Q45">
        <v>204.14</v>
      </c>
      <c r="R45">
        <v>26.86</v>
      </c>
      <c r="S45">
        <v>17.37</v>
      </c>
      <c r="T45">
        <v>2628.47</v>
      </c>
      <c r="U45">
        <v>0.65</v>
      </c>
      <c r="V45">
        <v>0.75</v>
      </c>
      <c r="W45">
        <v>1.1499999999999999</v>
      </c>
      <c r="X45">
        <v>0.16</v>
      </c>
      <c r="Y45">
        <v>1</v>
      </c>
      <c r="Z45">
        <v>10</v>
      </c>
    </row>
    <row r="46" spans="1:26" x14ac:dyDescent="0.3">
      <c r="A46">
        <v>44</v>
      </c>
      <c r="B46">
        <v>140</v>
      </c>
      <c r="C46" t="s">
        <v>26</v>
      </c>
      <c r="D46">
        <v>9.8529999999999998</v>
      </c>
      <c r="E46">
        <v>10.15</v>
      </c>
      <c r="F46">
        <v>6.83</v>
      </c>
      <c r="G46">
        <v>51.23</v>
      </c>
      <c r="H46">
        <v>0.72</v>
      </c>
      <c r="I46">
        <v>8</v>
      </c>
      <c r="J46">
        <v>296.10000000000002</v>
      </c>
      <c r="K46">
        <v>60.56</v>
      </c>
      <c r="L46">
        <v>12</v>
      </c>
      <c r="M46">
        <v>6</v>
      </c>
      <c r="N46">
        <v>83.54</v>
      </c>
      <c r="O46">
        <v>36753.160000000003</v>
      </c>
      <c r="P46">
        <v>115.79</v>
      </c>
      <c r="Q46">
        <v>204.2</v>
      </c>
      <c r="R46">
        <v>26.17</v>
      </c>
      <c r="S46">
        <v>17.37</v>
      </c>
      <c r="T46">
        <v>2287.27</v>
      </c>
      <c r="U46">
        <v>0.66</v>
      </c>
      <c r="V46">
        <v>0.75</v>
      </c>
      <c r="W46">
        <v>1.1499999999999999</v>
      </c>
      <c r="X46">
        <v>0.14000000000000001</v>
      </c>
      <c r="Y46">
        <v>1</v>
      </c>
      <c r="Z46">
        <v>10</v>
      </c>
    </row>
    <row r="47" spans="1:26" x14ac:dyDescent="0.3">
      <c r="A47">
        <v>45</v>
      </c>
      <c r="B47">
        <v>140</v>
      </c>
      <c r="C47" t="s">
        <v>26</v>
      </c>
      <c r="D47">
        <v>9.8633000000000006</v>
      </c>
      <c r="E47">
        <v>10.14</v>
      </c>
      <c r="F47">
        <v>6.82</v>
      </c>
      <c r="G47">
        <v>51.15</v>
      </c>
      <c r="H47">
        <v>0.74</v>
      </c>
      <c r="I47">
        <v>8</v>
      </c>
      <c r="J47">
        <v>296.62</v>
      </c>
      <c r="K47">
        <v>60.56</v>
      </c>
      <c r="L47">
        <v>12.25</v>
      </c>
      <c r="M47">
        <v>6</v>
      </c>
      <c r="N47">
        <v>83.81</v>
      </c>
      <c r="O47">
        <v>36817.22</v>
      </c>
      <c r="P47">
        <v>115.53</v>
      </c>
      <c r="Q47">
        <v>204.14</v>
      </c>
      <c r="R47">
        <v>25.89</v>
      </c>
      <c r="S47">
        <v>17.37</v>
      </c>
      <c r="T47">
        <v>2147.2399999999998</v>
      </c>
      <c r="U47">
        <v>0.67</v>
      </c>
      <c r="V47">
        <v>0.75</v>
      </c>
      <c r="W47">
        <v>1.1499999999999999</v>
      </c>
      <c r="X47">
        <v>0.13</v>
      </c>
      <c r="Y47">
        <v>1</v>
      </c>
      <c r="Z47">
        <v>10</v>
      </c>
    </row>
    <row r="48" spans="1:26" x14ac:dyDescent="0.3">
      <c r="A48">
        <v>46</v>
      </c>
      <c r="B48">
        <v>140</v>
      </c>
      <c r="C48" t="s">
        <v>26</v>
      </c>
      <c r="D48">
        <v>9.8583999999999996</v>
      </c>
      <c r="E48">
        <v>10.14</v>
      </c>
      <c r="F48">
        <v>6.82</v>
      </c>
      <c r="G48">
        <v>51.19</v>
      </c>
      <c r="H48">
        <v>0.75</v>
      </c>
      <c r="I48">
        <v>8</v>
      </c>
      <c r="J48">
        <v>297.14</v>
      </c>
      <c r="K48">
        <v>60.56</v>
      </c>
      <c r="L48">
        <v>12.5</v>
      </c>
      <c r="M48">
        <v>6</v>
      </c>
      <c r="N48">
        <v>84.08</v>
      </c>
      <c r="O48">
        <v>36881.39</v>
      </c>
      <c r="P48">
        <v>115.51</v>
      </c>
      <c r="Q48">
        <v>204.15</v>
      </c>
      <c r="R48">
        <v>25.89</v>
      </c>
      <c r="S48">
        <v>17.37</v>
      </c>
      <c r="T48">
        <v>2149.06</v>
      </c>
      <c r="U48">
        <v>0.67</v>
      </c>
      <c r="V48">
        <v>0.75</v>
      </c>
      <c r="W48">
        <v>1.1499999999999999</v>
      </c>
      <c r="X48">
        <v>0.13</v>
      </c>
      <c r="Y48">
        <v>1</v>
      </c>
      <c r="Z48">
        <v>10</v>
      </c>
    </row>
    <row r="49" spans="1:26" x14ac:dyDescent="0.3">
      <c r="A49">
        <v>47</v>
      </c>
      <c r="B49">
        <v>140</v>
      </c>
      <c r="C49" t="s">
        <v>26</v>
      </c>
      <c r="D49">
        <v>9.8503000000000007</v>
      </c>
      <c r="E49">
        <v>10.15</v>
      </c>
      <c r="F49">
        <v>6.83</v>
      </c>
      <c r="G49">
        <v>51.25</v>
      </c>
      <c r="H49">
        <v>0.76</v>
      </c>
      <c r="I49">
        <v>8</v>
      </c>
      <c r="J49">
        <v>297.66000000000003</v>
      </c>
      <c r="K49">
        <v>60.56</v>
      </c>
      <c r="L49">
        <v>12.75</v>
      </c>
      <c r="M49">
        <v>6</v>
      </c>
      <c r="N49">
        <v>84.36</v>
      </c>
      <c r="O49">
        <v>36945.67</v>
      </c>
      <c r="P49">
        <v>115.52</v>
      </c>
      <c r="Q49">
        <v>204.14</v>
      </c>
      <c r="R49">
        <v>26.34</v>
      </c>
      <c r="S49">
        <v>17.37</v>
      </c>
      <c r="T49">
        <v>2370.77</v>
      </c>
      <c r="U49">
        <v>0.66</v>
      </c>
      <c r="V49">
        <v>0.75</v>
      </c>
      <c r="W49">
        <v>1.1499999999999999</v>
      </c>
      <c r="X49">
        <v>0.14000000000000001</v>
      </c>
      <c r="Y49">
        <v>1</v>
      </c>
      <c r="Z49">
        <v>10</v>
      </c>
    </row>
    <row r="50" spans="1:26" x14ac:dyDescent="0.3">
      <c r="A50">
        <v>48</v>
      </c>
      <c r="B50">
        <v>140</v>
      </c>
      <c r="C50" t="s">
        <v>26</v>
      </c>
      <c r="D50">
        <v>9.8565000000000005</v>
      </c>
      <c r="E50">
        <v>10.15</v>
      </c>
      <c r="F50">
        <v>6.83</v>
      </c>
      <c r="G50">
        <v>51.2</v>
      </c>
      <c r="H50">
        <v>0.78</v>
      </c>
      <c r="I50">
        <v>8</v>
      </c>
      <c r="J50">
        <v>298.18</v>
      </c>
      <c r="K50">
        <v>60.56</v>
      </c>
      <c r="L50">
        <v>13</v>
      </c>
      <c r="M50">
        <v>6</v>
      </c>
      <c r="N50">
        <v>84.63</v>
      </c>
      <c r="O50">
        <v>37010.06</v>
      </c>
      <c r="P50">
        <v>115.37</v>
      </c>
      <c r="Q50">
        <v>204.14</v>
      </c>
      <c r="R50">
        <v>26.14</v>
      </c>
      <c r="S50">
        <v>17.37</v>
      </c>
      <c r="T50">
        <v>2271.29</v>
      </c>
      <c r="U50">
        <v>0.66</v>
      </c>
      <c r="V50">
        <v>0.75</v>
      </c>
      <c r="W50">
        <v>1.1499999999999999</v>
      </c>
      <c r="X50">
        <v>0.14000000000000001</v>
      </c>
      <c r="Y50">
        <v>1</v>
      </c>
      <c r="Z50">
        <v>10</v>
      </c>
    </row>
    <row r="51" spans="1:26" x14ac:dyDescent="0.3">
      <c r="A51">
        <v>49</v>
      </c>
      <c r="B51">
        <v>140</v>
      </c>
      <c r="C51" t="s">
        <v>26</v>
      </c>
      <c r="D51">
        <v>9.8595000000000006</v>
      </c>
      <c r="E51">
        <v>10.14</v>
      </c>
      <c r="F51">
        <v>6.82</v>
      </c>
      <c r="G51">
        <v>51.18</v>
      </c>
      <c r="H51">
        <v>0.79</v>
      </c>
      <c r="I51">
        <v>8</v>
      </c>
      <c r="J51">
        <v>298.70999999999998</v>
      </c>
      <c r="K51">
        <v>60.56</v>
      </c>
      <c r="L51">
        <v>13.25</v>
      </c>
      <c r="M51">
        <v>6</v>
      </c>
      <c r="N51">
        <v>84.9</v>
      </c>
      <c r="O51">
        <v>37074.57</v>
      </c>
      <c r="P51">
        <v>115.28</v>
      </c>
      <c r="Q51">
        <v>204.14</v>
      </c>
      <c r="R51">
        <v>25.96</v>
      </c>
      <c r="S51">
        <v>17.37</v>
      </c>
      <c r="T51">
        <v>2184.6999999999998</v>
      </c>
      <c r="U51">
        <v>0.67</v>
      </c>
      <c r="V51">
        <v>0.75</v>
      </c>
      <c r="W51">
        <v>1.1499999999999999</v>
      </c>
      <c r="X51">
        <v>0.13</v>
      </c>
      <c r="Y51">
        <v>1</v>
      </c>
      <c r="Z51">
        <v>10</v>
      </c>
    </row>
    <row r="52" spans="1:26" x14ac:dyDescent="0.3">
      <c r="A52">
        <v>50</v>
      </c>
      <c r="B52">
        <v>140</v>
      </c>
      <c r="C52" t="s">
        <v>26</v>
      </c>
      <c r="D52">
        <v>9.8536000000000001</v>
      </c>
      <c r="E52">
        <v>10.15</v>
      </c>
      <c r="F52">
        <v>6.83</v>
      </c>
      <c r="G52">
        <v>51.22</v>
      </c>
      <c r="H52">
        <v>0.8</v>
      </c>
      <c r="I52">
        <v>8</v>
      </c>
      <c r="J52">
        <v>299.23</v>
      </c>
      <c r="K52">
        <v>60.56</v>
      </c>
      <c r="L52">
        <v>13.5</v>
      </c>
      <c r="M52">
        <v>6</v>
      </c>
      <c r="N52">
        <v>85.18</v>
      </c>
      <c r="O52">
        <v>37139.199999999997</v>
      </c>
      <c r="P52">
        <v>115.17</v>
      </c>
      <c r="Q52">
        <v>204.14</v>
      </c>
      <c r="R52">
        <v>26.16</v>
      </c>
      <c r="S52">
        <v>17.37</v>
      </c>
      <c r="T52">
        <v>2281.91</v>
      </c>
      <c r="U52">
        <v>0.66</v>
      </c>
      <c r="V52">
        <v>0.75</v>
      </c>
      <c r="W52">
        <v>1.1499999999999999</v>
      </c>
      <c r="X52">
        <v>0.14000000000000001</v>
      </c>
      <c r="Y52">
        <v>1</v>
      </c>
      <c r="Z52">
        <v>10</v>
      </c>
    </row>
    <row r="53" spans="1:26" x14ac:dyDescent="0.3">
      <c r="A53">
        <v>51</v>
      </c>
      <c r="B53">
        <v>140</v>
      </c>
      <c r="C53" t="s">
        <v>26</v>
      </c>
      <c r="D53">
        <v>9.9305000000000003</v>
      </c>
      <c r="E53">
        <v>10.07</v>
      </c>
      <c r="F53">
        <v>6.8</v>
      </c>
      <c r="G53">
        <v>58.31</v>
      </c>
      <c r="H53">
        <v>0.82</v>
      </c>
      <c r="I53">
        <v>7</v>
      </c>
      <c r="J53">
        <v>299.76</v>
      </c>
      <c r="K53">
        <v>60.56</v>
      </c>
      <c r="L53">
        <v>13.75</v>
      </c>
      <c r="M53">
        <v>5</v>
      </c>
      <c r="N53">
        <v>85.45</v>
      </c>
      <c r="O53">
        <v>37204.07</v>
      </c>
      <c r="P53">
        <v>114.6</v>
      </c>
      <c r="Q53">
        <v>204.14</v>
      </c>
      <c r="R53">
        <v>25.28</v>
      </c>
      <c r="S53">
        <v>17.37</v>
      </c>
      <c r="T53">
        <v>1845.12</v>
      </c>
      <c r="U53">
        <v>0.69</v>
      </c>
      <c r="V53">
        <v>0.75</v>
      </c>
      <c r="W53">
        <v>1.1499999999999999</v>
      </c>
      <c r="X53">
        <v>0.11</v>
      </c>
      <c r="Y53">
        <v>1</v>
      </c>
      <c r="Z53">
        <v>10</v>
      </c>
    </row>
    <row r="54" spans="1:26" x14ac:dyDescent="0.3">
      <c r="A54">
        <v>52</v>
      </c>
      <c r="B54">
        <v>140</v>
      </c>
      <c r="C54" t="s">
        <v>26</v>
      </c>
      <c r="D54">
        <v>9.9309999999999992</v>
      </c>
      <c r="E54">
        <v>10.07</v>
      </c>
      <c r="F54">
        <v>6.8</v>
      </c>
      <c r="G54">
        <v>58.31</v>
      </c>
      <c r="H54">
        <v>0.83</v>
      </c>
      <c r="I54">
        <v>7</v>
      </c>
      <c r="J54">
        <v>300.27999999999997</v>
      </c>
      <c r="K54">
        <v>60.56</v>
      </c>
      <c r="L54">
        <v>14</v>
      </c>
      <c r="M54">
        <v>5</v>
      </c>
      <c r="N54">
        <v>85.73</v>
      </c>
      <c r="O54">
        <v>37268.93</v>
      </c>
      <c r="P54">
        <v>114.81</v>
      </c>
      <c r="Q54">
        <v>204.15</v>
      </c>
      <c r="R54">
        <v>25.29</v>
      </c>
      <c r="S54">
        <v>17.37</v>
      </c>
      <c r="T54">
        <v>1851.66</v>
      </c>
      <c r="U54">
        <v>0.69</v>
      </c>
      <c r="V54">
        <v>0.75</v>
      </c>
      <c r="W54">
        <v>1.1499999999999999</v>
      </c>
      <c r="X54">
        <v>0.11</v>
      </c>
      <c r="Y54">
        <v>1</v>
      </c>
      <c r="Z54">
        <v>10</v>
      </c>
    </row>
    <row r="55" spans="1:26" x14ac:dyDescent="0.3">
      <c r="A55">
        <v>53</v>
      </c>
      <c r="B55">
        <v>140</v>
      </c>
      <c r="C55" t="s">
        <v>26</v>
      </c>
      <c r="D55">
        <v>9.9275000000000002</v>
      </c>
      <c r="E55">
        <v>10.07</v>
      </c>
      <c r="F55">
        <v>6.81</v>
      </c>
      <c r="G55">
        <v>58.34</v>
      </c>
      <c r="H55">
        <v>0.84</v>
      </c>
      <c r="I55">
        <v>7</v>
      </c>
      <c r="J55">
        <v>300.81</v>
      </c>
      <c r="K55">
        <v>60.56</v>
      </c>
      <c r="L55">
        <v>14.25</v>
      </c>
      <c r="M55">
        <v>5</v>
      </c>
      <c r="N55">
        <v>86</v>
      </c>
      <c r="O55">
        <v>37333.9</v>
      </c>
      <c r="P55">
        <v>114.98</v>
      </c>
      <c r="Q55">
        <v>204.15</v>
      </c>
      <c r="R55">
        <v>25.41</v>
      </c>
      <c r="S55">
        <v>17.37</v>
      </c>
      <c r="T55">
        <v>1914.2</v>
      </c>
      <c r="U55">
        <v>0.68</v>
      </c>
      <c r="V55">
        <v>0.75</v>
      </c>
      <c r="W55">
        <v>1.1499999999999999</v>
      </c>
      <c r="X55">
        <v>0.12</v>
      </c>
      <c r="Y55">
        <v>1</v>
      </c>
      <c r="Z55">
        <v>10</v>
      </c>
    </row>
    <row r="56" spans="1:26" x14ac:dyDescent="0.3">
      <c r="A56">
        <v>54</v>
      </c>
      <c r="B56">
        <v>140</v>
      </c>
      <c r="C56" t="s">
        <v>26</v>
      </c>
      <c r="D56">
        <v>9.9329999999999998</v>
      </c>
      <c r="E56">
        <v>10.07</v>
      </c>
      <c r="F56">
        <v>6.8</v>
      </c>
      <c r="G56">
        <v>58.29</v>
      </c>
      <c r="H56">
        <v>0.86</v>
      </c>
      <c r="I56">
        <v>7</v>
      </c>
      <c r="J56">
        <v>301.33999999999997</v>
      </c>
      <c r="K56">
        <v>60.56</v>
      </c>
      <c r="L56">
        <v>14.5</v>
      </c>
      <c r="M56">
        <v>5</v>
      </c>
      <c r="N56">
        <v>86.28</v>
      </c>
      <c r="O56">
        <v>37399</v>
      </c>
      <c r="P56">
        <v>115.05</v>
      </c>
      <c r="Q56">
        <v>204.14</v>
      </c>
      <c r="R56">
        <v>25.23</v>
      </c>
      <c r="S56">
        <v>17.37</v>
      </c>
      <c r="T56">
        <v>1822.18</v>
      </c>
      <c r="U56">
        <v>0.69</v>
      </c>
      <c r="V56">
        <v>0.75</v>
      </c>
      <c r="W56">
        <v>1.1499999999999999</v>
      </c>
      <c r="X56">
        <v>0.11</v>
      </c>
      <c r="Y56">
        <v>1</v>
      </c>
      <c r="Z56">
        <v>10</v>
      </c>
    </row>
    <row r="57" spans="1:26" x14ac:dyDescent="0.3">
      <c r="A57">
        <v>55</v>
      </c>
      <c r="B57">
        <v>140</v>
      </c>
      <c r="C57" t="s">
        <v>26</v>
      </c>
      <c r="D57">
        <v>9.9212000000000007</v>
      </c>
      <c r="E57">
        <v>10.08</v>
      </c>
      <c r="F57">
        <v>6.81</v>
      </c>
      <c r="G57">
        <v>58.4</v>
      </c>
      <c r="H57">
        <v>0.87</v>
      </c>
      <c r="I57">
        <v>7</v>
      </c>
      <c r="J57">
        <v>301.86</v>
      </c>
      <c r="K57">
        <v>60.56</v>
      </c>
      <c r="L57">
        <v>14.75</v>
      </c>
      <c r="M57">
        <v>5</v>
      </c>
      <c r="N57">
        <v>86.56</v>
      </c>
      <c r="O57">
        <v>37464.21</v>
      </c>
      <c r="P57">
        <v>115.17</v>
      </c>
      <c r="Q57">
        <v>204.18</v>
      </c>
      <c r="R57">
        <v>25.66</v>
      </c>
      <c r="S57">
        <v>17.37</v>
      </c>
      <c r="T57">
        <v>2039.55</v>
      </c>
      <c r="U57">
        <v>0.68</v>
      </c>
      <c r="V57">
        <v>0.75</v>
      </c>
      <c r="W57">
        <v>1.1499999999999999</v>
      </c>
      <c r="X57">
        <v>0.12</v>
      </c>
      <c r="Y57">
        <v>1</v>
      </c>
      <c r="Z57">
        <v>10</v>
      </c>
    </row>
    <row r="58" spans="1:26" x14ac:dyDescent="0.3">
      <c r="A58">
        <v>56</v>
      </c>
      <c r="B58">
        <v>140</v>
      </c>
      <c r="C58" t="s">
        <v>26</v>
      </c>
      <c r="D58">
        <v>9.9228000000000005</v>
      </c>
      <c r="E58">
        <v>10.08</v>
      </c>
      <c r="F58">
        <v>6.81</v>
      </c>
      <c r="G58">
        <v>58.38</v>
      </c>
      <c r="H58">
        <v>0.88</v>
      </c>
      <c r="I58">
        <v>7</v>
      </c>
      <c r="J58">
        <v>302.39</v>
      </c>
      <c r="K58">
        <v>60.56</v>
      </c>
      <c r="L58">
        <v>15</v>
      </c>
      <c r="M58">
        <v>5</v>
      </c>
      <c r="N58">
        <v>86.84</v>
      </c>
      <c r="O58">
        <v>37529.550000000003</v>
      </c>
      <c r="P58">
        <v>115.12</v>
      </c>
      <c r="Q58">
        <v>204.14</v>
      </c>
      <c r="R58">
        <v>25.57</v>
      </c>
      <c r="S58">
        <v>17.37</v>
      </c>
      <c r="T58">
        <v>1990.28</v>
      </c>
      <c r="U58">
        <v>0.68</v>
      </c>
      <c r="V58">
        <v>0.75</v>
      </c>
      <c r="W58">
        <v>1.1499999999999999</v>
      </c>
      <c r="X58">
        <v>0.12</v>
      </c>
      <c r="Y58">
        <v>1</v>
      </c>
      <c r="Z58">
        <v>10</v>
      </c>
    </row>
    <row r="59" spans="1:26" x14ac:dyDescent="0.3">
      <c r="A59">
        <v>57</v>
      </c>
      <c r="B59">
        <v>140</v>
      </c>
      <c r="C59" t="s">
        <v>26</v>
      </c>
      <c r="D59">
        <v>9.9192999999999998</v>
      </c>
      <c r="E59">
        <v>10.08</v>
      </c>
      <c r="F59">
        <v>6.81</v>
      </c>
      <c r="G59">
        <v>58.41</v>
      </c>
      <c r="H59">
        <v>0.9</v>
      </c>
      <c r="I59">
        <v>7</v>
      </c>
      <c r="J59">
        <v>302.92</v>
      </c>
      <c r="K59">
        <v>60.56</v>
      </c>
      <c r="L59">
        <v>15.25</v>
      </c>
      <c r="M59">
        <v>5</v>
      </c>
      <c r="N59">
        <v>87.12</v>
      </c>
      <c r="O59">
        <v>37595</v>
      </c>
      <c r="P59">
        <v>115.02</v>
      </c>
      <c r="Q59">
        <v>204.16</v>
      </c>
      <c r="R59">
        <v>25.63</v>
      </c>
      <c r="S59">
        <v>17.37</v>
      </c>
      <c r="T59">
        <v>2021.1</v>
      </c>
      <c r="U59">
        <v>0.68</v>
      </c>
      <c r="V59">
        <v>0.75</v>
      </c>
      <c r="W59">
        <v>1.1499999999999999</v>
      </c>
      <c r="X59">
        <v>0.12</v>
      </c>
      <c r="Y59">
        <v>1</v>
      </c>
      <c r="Z59">
        <v>10</v>
      </c>
    </row>
    <row r="60" spans="1:26" x14ac:dyDescent="0.3">
      <c r="A60">
        <v>58</v>
      </c>
      <c r="B60">
        <v>140</v>
      </c>
      <c r="C60" t="s">
        <v>26</v>
      </c>
      <c r="D60">
        <v>9.9176000000000002</v>
      </c>
      <c r="E60">
        <v>10.08</v>
      </c>
      <c r="F60">
        <v>6.82</v>
      </c>
      <c r="G60">
        <v>58.43</v>
      </c>
      <c r="H60">
        <v>0.91</v>
      </c>
      <c r="I60">
        <v>7</v>
      </c>
      <c r="J60">
        <v>303.45999999999998</v>
      </c>
      <c r="K60">
        <v>60.56</v>
      </c>
      <c r="L60">
        <v>15.5</v>
      </c>
      <c r="M60">
        <v>5</v>
      </c>
      <c r="N60">
        <v>87.4</v>
      </c>
      <c r="O60">
        <v>37660.57</v>
      </c>
      <c r="P60">
        <v>114.87</v>
      </c>
      <c r="Q60">
        <v>204.14</v>
      </c>
      <c r="R60">
        <v>25.66</v>
      </c>
      <c r="S60">
        <v>17.37</v>
      </c>
      <c r="T60">
        <v>2035.34</v>
      </c>
      <c r="U60">
        <v>0.68</v>
      </c>
      <c r="V60">
        <v>0.75</v>
      </c>
      <c r="W60">
        <v>1.1499999999999999</v>
      </c>
      <c r="X60">
        <v>0.12</v>
      </c>
      <c r="Y60">
        <v>1</v>
      </c>
      <c r="Z60">
        <v>10</v>
      </c>
    </row>
    <row r="61" spans="1:26" x14ac:dyDescent="0.3">
      <c r="A61">
        <v>59</v>
      </c>
      <c r="B61">
        <v>140</v>
      </c>
      <c r="C61" t="s">
        <v>26</v>
      </c>
      <c r="D61">
        <v>9.9192999999999998</v>
      </c>
      <c r="E61">
        <v>10.08</v>
      </c>
      <c r="F61">
        <v>6.81</v>
      </c>
      <c r="G61">
        <v>58.41</v>
      </c>
      <c r="H61">
        <v>0.92</v>
      </c>
      <c r="I61">
        <v>7</v>
      </c>
      <c r="J61">
        <v>303.99</v>
      </c>
      <c r="K61">
        <v>60.56</v>
      </c>
      <c r="L61">
        <v>15.75</v>
      </c>
      <c r="M61">
        <v>5</v>
      </c>
      <c r="N61">
        <v>87.68</v>
      </c>
      <c r="O61">
        <v>37726.269999999997</v>
      </c>
      <c r="P61">
        <v>114.73</v>
      </c>
      <c r="Q61">
        <v>204.14</v>
      </c>
      <c r="R61">
        <v>25.77</v>
      </c>
      <c r="S61">
        <v>17.37</v>
      </c>
      <c r="T61">
        <v>2094.14</v>
      </c>
      <c r="U61">
        <v>0.67</v>
      </c>
      <c r="V61">
        <v>0.75</v>
      </c>
      <c r="W61">
        <v>1.1499999999999999</v>
      </c>
      <c r="X61">
        <v>0.12</v>
      </c>
      <c r="Y61">
        <v>1</v>
      </c>
      <c r="Z61">
        <v>10</v>
      </c>
    </row>
    <row r="62" spans="1:26" x14ac:dyDescent="0.3">
      <c r="A62">
        <v>60</v>
      </c>
      <c r="B62">
        <v>140</v>
      </c>
      <c r="C62" t="s">
        <v>26</v>
      </c>
      <c r="D62">
        <v>9.9212000000000007</v>
      </c>
      <c r="E62">
        <v>10.08</v>
      </c>
      <c r="F62">
        <v>6.81</v>
      </c>
      <c r="G62">
        <v>58.4</v>
      </c>
      <c r="H62">
        <v>0.94</v>
      </c>
      <c r="I62">
        <v>7</v>
      </c>
      <c r="J62">
        <v>304.52</v>
      </c>
      <c r="K62">
        <v>60.56</v>
      </c>
      <c r="L62">
        <v>16</v>
      </c>
      <c r="M62">
        <v>5</v>
      </c>
      <c r="N62">
        <v>87.97</v>
      </c>
      <c r="O62">
        <v>37792.080000000002</v>
      </c>
      <c r="P62">
        <v>114.56</v>
      </c>
      <c r="Q62">
        <v>204.16</v>
      </c>
      <c r="R62">
        <v>25.67</v>
      </c>
      <c r="S62">
        <v>17.37</v>
      </c>
      <c r="T62">
        <v>2044.74</v>
      </c>
      <c r="U62">
        <v>0.68</v>
      </c>
      <c r="V62">
        <v>0.75</v>
      </c>
      <c r="W62">
        <v>1.1499999999999999</v>
      </c>
      <c r="X62">
        <v>0.12</v>
      </c>
      <c r="Y62">
        <v>1</v>
      </c>
      <c r="Z62">
        <v>10</v>
      </c>
    </row>
    <row r="63" spans="1:26" x14ac:dyDescent="0.3">
      <c r="A63">
        <v>61</v>
      </c>
      <c r="B63">
        <v>140</v>
      </c>
      <c r="C63" t="s">
        <v>26</v>
      </c>
      <c r="D63">
        <v>9.9285999999999994</v>
      </c>
      <c r="E63">
        <v>10.07</v>
      </c>
      <c r="F63">
        <v>6.81</v>
      </c>
      <c r="G63">
        <v>58.33</v>
      </c>
      <c r="H63">
        <v>0.95</v>
      </c>
      <c r="I63">
        <v>7</v>
      </c>
      <c r="J63">
        <v>305.06</v>
      </c>
      <c r="K63">
        <v>60.56</v>
      </c>
      <c r="L63">
        <v>16.25</v>
      </c>
      <c r="M63">
        <v>5</v>
      </c>
      <c r="N63">
        <v>88.25</v>
      </c>
      <c r="O63">
        <v>37858.019999999997</v>
      </c>
      <c r="P63">
        <v>114.23</v>
      </c>
      <c r="Q63">
        <v>204.17</v>
      </c>
      <c r="R63">
        <v>25.42</v>
      </c>
      <c r="S63">
        <v>17.37</v>
      </c>
      <c r="T63">
        <v>1915</v>
      </c>
      <c r="U63">
        <v>0.68</v>
      </c>
      <c r="V63">
        <v>0.75</v>
      </c>
      <c r="W63">
        <v>1.1499999999999999</v>
      </c>
      <c r="X63">
        <v>0.11</v>
      </c>
      <c r="Y63">
        <v>1</v>
      </c>
      <c r="Z63">
        <v>10</v>
      </c>
    </row>
    <row r="64" spans="1:26" x14ac:dyDescent="0.3">
      <c r="A64">
        <v>62</v>
      </c>
      <c r="B64">
        <v>140</v>
      </c>
      <c r="C64" t="s">
        <v>26</v>
      </c>
      <c r="D64">
        <v>10.0017</v>
      </c>
      <c r="E64">
        <v>10</v>
      </c>
      <c r="F64">
        <v>6.78</v>
      </c>
      <c r="G64">
        <v>67.84</v>
      </c>
      <c r="H64">
        <v>0.96</v>
      </c>
      <c r="I64">
        <v>6</v>
      </c>
      <c r="J64">
        <v>305.58999999999997</v>
      </c>
      <c r="K64">
        <v>60.56</v>
      </c>
      <c r="L64">
        <v>16.5</v>
      </c>
      <c r="M64">
        <v>4</v>
      </c>
      <c r="N64">
        <v>88.54</v>
      </c>
      <c r="O64">
        <v>37924.080000000002</v>
      </c>
      <c r="P64">
        <v>113.84</v>
      </c>
      <c r="Q64">
        <v>204.14</v>
      </c>
      <c r="R64">
        <v>24.7</v>
      </c>
      <c r="S64">
        <v>17.37</v>
      </c>
      <c r="T64">
        <v>1562.12</v>
      </c>
      <c r="U64">
        <v>0.7</v>
      </c>
      <c r="V64">
        <v>0.75</v>
      </c>
      <c r="W64">
        <v>1.1499999999999999</v>
      </c>
      <c r="X64">
        <v>0.09</v>
      </c>
      <c r="Y64">
        <v>1</v>
      </c>
      <c r="Z64">
        <v>10</v>
      </c>
    </row>
    <row r="65" spans="1:26" x14ac:dyDescent="0.3">
      <c r="A65">
        <v>63</v>
      </c>
      <c r="B65">
        <v>140</v>
      </c>
      <c r="C65" t="s">
        <v>26</v>
      </c>
      <c r="D65">
        <v>9.9975000000000005</v>
      </c>
      <c r="E65">
        <v>10</v>
      </c>
      <c r="F65">
        <v>6.79</v>
      </c>
      <c r="G65">
        <v>67.88</v>
      </c>
      <c r="H65">
        <v>0.97</v>
      </c>
      <c r="I65">
        <v>6</v>
      </c>
      <c r="J65">
        <v>306.13</v>
      </c>
      <c r="K65">
        <v>60.56</v>
      </c>
      <c r="L65">
        <v>16.75</v>
      </c>
      <c r="M65">
        <v>4</v>
      </c>
      <c r="N65">
        <v>88.83</v>
      </c>
      <c r="O65">
        <v>37990.269999999997</v>
      </c>
      <c r="P65">
        <v>113.99</v>
      </c>
      <c r="Q65">
        <v>204.14</v>
      </c>
      <c r="R65">
        <v>24.79</v>
      </c>
      <c r="S65">
        <v>17.37</v>
      </c>
      <c r="T65">
        <v>1605.45</v>
      </c>
      <c r="U65">
        <v>0.7</v>
      </c>
      <c r="V65">
        <v>0.75</v>
      </c>
      <c r="W65">
        <v>1.1499999999999999</v>
      </c>
      <c r="X65">
        <v>0.1</v>
      </c>
      <c r="Y65">
        <v>1</v>
      </c>
      <c r="Z65">
        <v>10</v>
      </c>
    </row>
    <row r="66" spans="1:26" x14ac:dyDescent="0.3">
      <c r="A66">
        <v>64</v>
      </c>
      <c r="B66">
        <v>140</v>
      </c>
      <c r="C66" t="s">
        <v>26</v>
      </c>
      <c r="D66">
        <v>9.9992000000000001</v>
      </c>
      <c r="E66">
        <v>10</v>
      </c>
      <c r="F66">
        <v>6.79</v>
      </c>
      <c r="G66">
        <v>67.86</v>
      </c>
      <c r="H66">
        <v>0.99</v>
      </c>
      <c r="I66">
        <v>6</v>
      </c>
      <c r="J66">
        <v>306.67</v>
      </c>
      <c r="K66">
        <v>60.56</v>
      </c>
      <c r="L66">
        <v>17</v>
      </c>
      <c r="M66">
        <v>4</v>
      </c>
      <c r="N66">
        <v>89.11</v>
      </c>
      <c r="O66">
        <v>38056.58</v>
      </c>
      <c r="P66">
        <v>113.97</v>
      </c>
      <c r="Q66">
        <v>204.14</v>
      </c>
      <c r="R66">
        <v>24.87</v>
      </c>
      <c r="S66">
        <v>17.37</v>
      </c>
      <c r="T66">
        <v>1649.13</v>
      </c>
      <c r="U66">
        <v>0.7</v>
      </c>
      <c r="V66">
        <v>0.75</v>
      </c>
      <c r="W66">
        <v>1.1399999999999999</v>
      </c>
      <c r="X66">
        <v>0.1</v>
      </c>
      <c r="Y66">
        <v>1</v>
      </c>
      <c r="Z66">
        <v>10</v>
      </c>
    </row>
    <row r="67" spans="1:26" x14ac:dyDescent="0.3">
      <c r="A67">
        <v>65</v>
      </c>
      <c r="B67">
        <v>140</v>
      </c>
      <c r="C67" t="s">
        <v>26</v>
      </c>
      <c r="D67">
        <v>9.9971999999999994</v>
      </c>
      <c r="E67">
        <v>10</v>
      </c>
      <c r="F67">
        <v>6.79</v>
      </c>
      <c r="G67">
        <v>67.88</v>
      </c>
      <c r="H67">
        <v>1</v>
      </c>
      <c r="I67">
        <v>6</v>
      </c>
      <c r="J67">
        <v>307.20999999999998</v>
      </c>
      <c r="K67">
        <v>60.56</v>
      </c>
      <c r="L67">
        <v>17.25</v>
      </c>
      <c r="M67">
        <v>4</v>
      </c>
      <c r="N67">
        <v>89.4</v>
      </c>
      <c r="O67">
        <v>38123.01</v>
      </c>
      <c r="P67">
        <v>114.2</v>
      </c>
      <c r="Q67">
        <v>204.14</v>
      </c>
      <c r="R67">
        <v>24.83</v>
      </c>
      <c r="S67">
        <v>17.37</v>
      </c>
      <c r="T67">
        <v>1627.72</v>
      </c>
      <c r="U67">
        <v>0.7</v>
      </c>
      <c r="V67">
        <v>0.75</v>
      </c>
      <c r="W67">
        <v>1.1499999999999999</v>
      </c>
      <c r="X67">
        <v>0.1</v>
      </c>
      <c r="Y67">
        <v>1</v>
      </c>
      <c r="Z67">
        <v>10</v>
      </c>
    </row>
    <row r="68" spans="1:26" x14ac:dyDescent="0.3">
      <c r="A68">
        <v>66</v>
      </c>
      <c r="B68">
        <v>140</v>
      </c>
      <c r="C68" t="s">
        <v>26</v>
      </c>
      <c r="D68">
        <v>9.9922000000000004</v>
      </c>
      <c r="E68">
        <v>10.01</v>
      </c>
      <c r="F68">
        <v>6.79</v>
      </c>
      <c r="G68">
        <v>67.930000000000007</v>
      </c>
      <c r="H68">
        <v>1.01</v>
      </c>
      <c r="I68">
        <v>6</v>
      </c>
      <c r="J68">
        <v>307.75</v>
      </c>
      <c r="K68">
        <v>60.56</v>
      </c>
      <c r="L68">
        <v>17.5</v>
      </c>
      <c r="M68">
        <v>4</v>
      </c>
      <c r="N68">
        <v>89.69</v>
      </c>
      <c r="O68">
        <v>38189.58</v>
      </c>
      <c r="P68">
        <v>114.31</v>
      </c>
      <c r="Q68">
        <v>204.14</v>
      </c>
      <c r="R68">
        <v>25.06</v>
      </c>
      <c r="S68">
        <v>17.37</v>
      </c>
      <c r="T68">
        <v>1742.46</v>
      </c>
      <c r="U68">
        <v>0.69</v>
      </c>
      <c r="V68">
        <v>0.75</v>
      </c>
      <c r="W68">
        <v>1.1499999999999999</v>
      </c>
      <c r="X68">
        <v>0.1</v>
      </c>
      <c r="Y68">
        <v>1</v>
      </c>
      <c r="Z68">
        <v>10</v>
      </c>
    </row>
    <row r="69" spans="1:26" x14ac:dyDescent="0.3">
      <c r="A69">
        <v>67</v>
      </c>
      <c r="B69">
        <v>140</v>
      </c>
      <c r="C69" t="s">
        <v>26</v>
      </c>
      <c r="D69">
        <v>10.0022</v>
      </c>
      <c r="E69">
        <v>10</v>
      </c>
      <c r="F69">
        <v>6.78</v>
      </c>
      <c r="G69">
        <v>67.83</v>
      </c>
      <c r="H69">
        <v>1.03</v>
      </c>
      <c r="I69">
        <v>6</v>
      </c>
      <c r="J69">
        <v>308.29000000000002</v>
      </c>
      <c r="K69">
        <v>60.56</v>
      </c>
      <c r="L69">
        <v>17.75</v>
      </c>
      <c r="M69">
        <v>4</v>
      </c>
      <c r="N69">
        <v>89.98</v>
      </c>
      <c r="O69">
        <v>38256.26</v>
      </c>
      <c r="P69">
        <v>114.12</v>
      </c>
      <c r="Q69">
        <v>204.15</v>
      </c>
      <c r="R69">
        <v>24.68</v>
      </c>
      <c r="S69">
        <v>17.37</v>
      </c>
      <c r="T69">
        <v>1550.63</v>
      </c>
      <c r="U69">
        <v>0.7</v>
      </c>
      <c r="V69">
        <v>0.75</v>
      </c>
      <c r="W69">
        <v>1.1499999999999999</v>
      </c>
      <c r="X69">
        <v>0.09</v>
      </c>
      <c r="Y69">
        <v>1</v>
      </c>
      <c r="Z69">
        <v>10</v>
      </c>
    </row>
    <row r="70" spans="1:26" x14ac:dyDescent="0.3">
      <c r="A70">
        <v>68</v>
      </c>
      <c r="B70">
        <v>140</v>
      </c>
      <c r="C70" t="s">
        <v>26</v>
      </c>
      <c r="D70">
        <v>10.0017</v>
      </c>
      <c r="E70">
        <v>10</v>
      </c>
      <c r="F70">
        <v>6.78</v>
      </c>
      <c r="G70">
        <v>67.84</v>
      </c>
      <c r="H70">
        <v>1.04</v>
      </c>
      <c r="I70">
        <v>6</v>
      </c>
      <c r="J70">
        <v>308.83</v>
      </c>
      <c r="K70">
        <v>60.56</v>
      </c>
      <c r="L70">
        <v>18</v>
      </c>
      <c r="M70">
        <v>4</v>
      </c>
      <c r="N70">
        <v>90.27</v>
      </c>
      <c r="O70">
        <v>38323.08</v>
      </c>
      <c r="P70">
        <v>114.05</v>
      </c>
      <c r="Q70">
        <v>204.14</v>
      </c>
      <c r="R70">
        <v>24.63</v>
      </c>
      <c r="S70">
        <v>17.37</v>
      </c>
      <c r="T70">
        <v>1526.11</v>
      </c>
      <c r="U70">
        <v>0.71</v>
      </c>
      <c r="V70">
        <v>0.75</v>
      </c>
      <c r="W70">
        <v>1.1499999999999999</v>
      </c>
      <c r="X70">
        <v>0.09</v>
      </c>
      <c r="Y70">
        <v>1</v>
      </c>
      <c r="Z70">
        <v>10</v>
      </c>
    </row>
    <row r="71" spans="1:26" x14ac:dyDescent="0.3">
      <c r="A71">
        <v>69</v>
      </c>
      <c r="B71">
        <v>140</v>
      </c>
      <c r="C71" t="s">
        <v>26</v>
      </c>
      <c r="D71">
        <v>9.9997000000000007</v>
      </c>
      <c r="E71">
        <v>10</v>
      </c>
      <c r="F71">
        <v>6.79</v>
      </c>
      <c r="G71">
        <v>67.86</v>
      </c>
      <c r="H71">
        <v>1.05</v>
      </c>
      <c r="I71">
        <v>6</v>
      </c>
      <c r="J71">
        <v>309.37</v>
      </c>
      <c r="K71">
        <v>60.56</v>
      </c>
      <c r="L71">
        <v>18.25</v>
      </c>
      <c r="M71">
        <v>4</v>
      </c>
      <c r="N71">
        <v>90.57</v>
      </c>
      <c r="O71">
        <v>38390.019999999997</v>
      </c>
      <c r="P71">
        <v>113.91</v>
      </c>
      <c r="Q71">
        <v>204.14</v>
      </c>
      <c r="R71">
        <v>24.73</v>
      </c>
      <c r="S71">
        <v>17.37</v>
      </c>
      <c r="T71">
        <v>1575.26</v>
      </c>
      <c r="U71">
        <v>0.7</v>
      </c>
      <c r="V71">
        <v>0.75</v>
      </c>
      <c r="W71">
        <v>1.1499999999999999</v>
      </c>
      <c r="X71">
        <v>0.09</v>
      </c>
      <c r="Y71">
        <v>1</v>
      </c>
      <c r="Z71">
        <v>10</v>
      </c>
    </row>
    <row r="72" spans="1:26" x14ac:dyDescent="0.3">
      <c r="A72">
        <v>70</v>
      </c>
      <c r="B72">
        <v>140</v>
      </c>
      <c r="C72" t="s">
        <v>26</v>
      </c>
      <c r="D72">
        <v>9.9997000000000007</v>
      </c>
      <c r="E72">
        <v>10</v>
      </c>
      <c r="F72">
        <v>6.79</v>
      </c>
      <c r="G72">
        <v>67.86</v>
      </c>
      <c r="H72">
        <v>1.06</v>
      </c>
      <c r="I72">
        <v>6</v>
      </c>
      <c r="J72">
        <v>309.91000000000003</v>
      </c>
      <c r="K72">
        <v>60.56</v>
      </c>
      <c r="L72">
        <v>18.5</v>
      </c>
      <c r="M72">
        <v>4</v>
      </c>
      <c r="N72">
        <v>90.86</v>
      </c>
      <c r="O72">
        <v>38457.089999999997</v>
      </c>
      <c r="P72">
        <v>113.84</v>
      </c>
      <c r="Q72">
        <v>204.14</v>
      </c>
      <c r="R72">
        <v>24.8</v>
      </c>
      <c r="S72">
        <v>17.37</v>
      </c>
      <c r="T72">
        <v>1612.87</v>
      </c>
      <c r="U72">
        <v>0.7</v>
      </c>
      <c r="V72">
        <v>0.75</v>
      </c>
      <c r="W72">
        <v>1.1499999999999999</v>
      </c>
      <c r="X72">
        <v>0.09</v>
      </c>
      <c r="Y72">
        <v>1</v>
      </c>
      <c r="Z72">
        <v>10</v>
      </c>
    </row>
    <row r="73" spans="1:26" x14ac:dyDescent="0.3">
      <c r="A73">
        <v>71</v>
      </c>
      <c r="B73">
        <v>140</v>
      </c>
      <c r="C73" t="s">
        <v>26</v>
      </c>
      <c r="D73">
        <v>9.9910999999999994</v>
      </c>
      <c r="E73">
        <v>10.01</v>
      </c>
      <c r="F73">
        <v>6.79</v>
      </c>
      <c r="G73">
        <v>67.94</v>
      </c>
      <c r="H73">
        <v>1.08</v>
      </c>
      <c r="I73">
        <v>6</v>
      </c>
      <c r="J73">
        <v>310.45999999999998</v>
      </c>
      <c r="K73">
        <v>60.56</v>
      </c>
      <c r="L73">
        <v>18.75</v>
      </c>
      <c r="M73">
        <v>4</v>
      </c>
      <c r="N73">
        <v>91.16</v>
      </c>
      <c r="O73">
        <v>38524.29</v>
      </c>
      <c r="P73">
        <v>113.98</v>
      </c>
      <c r="Q73">
        <v>204.14</v>
      </c>
      <c r="R73">
        <v>25.05</v>
      </c>
      <c r="S73">
        <v>17.37</v>
      </c>
      <c r="T73">
        <v>1737.75</v>
      </c>
      <c r="U73">
        <v>0.69</v>
      </c>
      <c r="V73">
        <v>0.75</v>
      </c>
      <c r="W73">
        <v>1.1499999999999999</v>
      </c>
      <c r="X73">
        <v>0.1</v>
      </c>
      <c r="Y73">
        <v>1</v>
      </c>
      <c r="Z73">
        <v>10</v>
      </c>
    </row>
    <row r="74" spans="1:26" x14ac:dyDescent="0.3">
      <c r="A74">
        <v>72</v>
      </c>
      <c r="B74">
        <v>140</v>
      </c>
      <c r="C74" t="s">
        <v>26</v>
      </c>
      <c r="D74">
        <v>9.9993999999999996</v>
      </c>
      <c r="E74">
        <v>10</v>
      </c>
      <c r="F74">
        <v>6.79</v>
      </c>
      <c r="G74">
        <v>67.86</v>
      </c>
      <c r="H74">
        <v>1.0900000000000001</v>
      </c>
      <c r="I74">
        <v>6</v>
      </c>
      <c r="J74">
        <v>311.01</v>
      </c>
      <c r="K74">
        <v>60.56</v>
      </c>
      <c r="L74">
        <v>19</v>
      </c>
      <c r="M74">
        <v>4</v>
      </c>
      <c r="N74">
        <v>91.45</v>
      </c>
      <c r="O74">
        <v>38591.620000000003</v>
      </c>
      <c r="P74">
        <v>113.67</v>
      </c>
      <c r="Q74">
        <v>204.15</v>
      </c>
      <c r="R74">
        <v>24.79</v>
      </c>
      <c r="S74">
        <v>17.37</v>
      </c>
      <c r="T74">
        <v>1608.48</v>
      </c>
      <c r="U74">
        <v>0.7</v>
      </c>
      <c r="V74">
        <v>0.75</v>
      </c>
      <c r="W74">
        <v>1.1499999999999999</v>
      </c>
      <c r="X74">
        <v>0.09</v>
      </c>
      <c r="Y74">
        <v>1</v>
      </c>
      <c r="Z74">
        <v>10</v>
      </c>
    </row>
    <row r="75" spans="1:26" x14ac:dyDescent="0.3">
      <c r="A75">
        <v>73</v>
      </c>
      <c r="B75">
        <v>140</v>
      </c>
      <c r="C75" t="s">
        <v>26</v>
      </c>
      <c r="D75">
        <v>9.9975000000000005</v>
      </c>
      <c r="E75">
        <v>10</v>
      </c>
      <c r="F75">
        <v>6.79</v>
      </c>
      <c r="G75">
        <v>67.88</v>
      </c>
      <c r="H75">
        <v>1.1000000000000001</v>
      </c>
      <c r="I75">
        <v>6</v>
      </c>
      <c r="J75">
        <v>311.55</v>
      </c>
      <c r="K75">
        <v>60.56</v>
      </c>
      <c r="L75">
        <v>19.25</v>
      </c>
      <c r="M75">
        <v>4</v>
      </c>
      <c r="N75">
        <v>91.75</v>
      </c>
      <c r="O75">
        <v>38659.08</v>
      </c>
      <c r="P75">
        <v>113.59</v>
      </c>
      <c r="Q75">
        <v>204.14</v>
      </c>
      <c r="R75">
        <v>24.91</v>
      </c>
      <c r="S75">
        <v>17.37</v>
      </c>
      <c r="T75">
        <v>1668.73</v>
      </c>
      <c r="U75">
        <v>0.7</v>
      </c>
      <c r="V75">
        <v>0.75</v>
      </c>
      <c r="W75">
        <v>1.1399999999999999</v>
      </c>
      <c r="X75">
        <v>0.1</v>
      </c>
      <c r="Y75">
        <v>1</v>
      </c>
      <c r="Z75">
        <v>10</v>
      </c>
    </row>
    <row r="76" spans="1:26" x14ac:dyDescent="0.3">
      <c r="A76">
        <v>74</v>
      </c>
      <c r="B76">
        <v>140</v>
      </c>
      <c r="C76" t="s">
        <v>26</v>
      </c>
      <c r="D76">
        <v>9.9963999999999995</v>
      </c>
      <c r="E76">
        <v>10</v>
      </c>
      <c r="F76">
        <v>6.79</v>
      </c>
      <c r="G76">
        <v>67.89</v>
      </c>
      <c r="H76">
        <v>1.1100000000000001</v>
      </c>
      <c r="I76">
        <v>6</v>
      </c>
      <c r="J76">
        <v>312.10000000000002</v>
      </c>
      <c r="K76">
        <v>60.56</v>
      </c>
      <c r="L76">
        <v>19.5</v>
      </c>
      <c r="M76">
        <v>4</v>
      </c>
      <c r="N76">
        <v>92.05</v>
      </c>
      <c r="O76">
        <v>38726.800000000003</v>
      </c>
      <c r="P76">
        <v>113.69</v>
      </c>
      <c r="Q76">
        <v>204.14</v>
      </c>
      <c r="R76">
        <v>24.8</v>
      </c>
      <c r="S76">
        <v>17.37</v>
      </c>
      <c r="T76">
        <v>1613.86</v>
      </c>
      <c r="U76">
        <v>0.7</v>
      </c>
      <c r="V76">
        <v>0.75</v>
      </c>
      <c r="W76">
        <v>1.1499999999999999</v>
      </c>
      <c r="X76">
        <v>0.1</v>
      </c>
      <c r="Y76">
        <v>1</v>
      </c>
      <c r="Z76">
        <v>10</v>
      </c>
    </row>
    <row r="77" spans="1:26" x14ac:dyDescent="0.3">
      <c r="A77">
        <v>75</v>
      </c>
      <c r="B77">
        <v>140</v>
      </c>
      <c r="C77" t="s">
        <v>26</v>
      </c>
      <c r="D77">
        <v>10</v>
      </c>
      <c r="E77">
        <v>10</v>
      </c>
      <c r="F77">
        <v>6.79</v>
      </c>
      <c r="G77">
        <v>67.86</v>
      </c>
      <c r="H77">
        <v>1.1299999999999999</v>
      </c>
      <c r="I77">
        <v>6</v>
      </c>
      <c r="J77">
        <v>312.64999999999998</v>
      </c>
      <c r="K77">
        <v>60.56</v>
      </c>
      <c r="L77">
        <v>19.75</v>
      </c>
      <c r="M77">
        <v>4</v>
      </c>
      <c r="N77">
        <v>92.35</v>
      </c>
      <c r="O77">
        <v>38794.53</v>
      </c>
      <c r="P77">
        <v>113.5</v>
      </c>
      <c r="Q77">
        <v>204.14</v>
      </c>
      <c r="R77">
        <v>24.82</v>
      </c>
      <c r="S77">
        <v>17.37</v>
      </c>
      <c r="T77">
        <v>1623.07</v>
      </c>
      <c r="U77">
        <v>0.7</v>
      </c>
      <c r="V77">
        <v>0.75</v>
      </c>
      <c r="W77">
        <v>1.1399999999999999</v>
      </c>
      <c r="X77">
        <v>0.09</v>
      </c>
      <c r="Y77">
        <v>1</v>
      </c>
      <c r="Z77">
        <v>10</v>
      </c>
    </row>
    <row r="78" spans="1:26" x14ac:dyDescent="0.3">
      <c r="A78">
        <v>76</v>
      </c>
      <c r="B78">
        <v>140</v>
      </c>
      <c r="C78" t="s">
        <v>26</v>
      </c>
      <c r="D78">
        <v>9.9906000000000006</v>
      </c>
      <c r="E78">
        <v>10.01</v>
      </c>
      <c r="F78">
        <v>6.79</v>
      </c>
      <c r="G78">
        <v>67.95</v>
      </c>
      <c r="H78">
        <v>1.1399999999999999</v>
      </c>
      <c r="I78">
        <v>6</v>
      </c>
      <c r="J78">
        <v>313.2</v>
      </c>
      <c r="K78">
        <v>60.56</v>
      </c>
      <c r="L78">
        <v>20</v>
      </c>
      <c r="M78">
        <v>4</v>
      </c>
      <c r="N78">
        <v>92.65</v>
      </c>
      <c r="O78">
        <v>38862.400000000001</v>
      </c>
      <c r="P78">
        <v>113.33</v>
      </c>
      <c r="Q78">
        <v>204.15</v>
      </c>
      <c r="R78">
        <v>25.1</v>
      </c>
      <c r="S78">
        <v>17.37</v>
      </c>
      <c r="T78">
        <v>1761.12</v>
      </c>
      <c r="U78">
        <v>0.69</v>
      </c>
      <c r="V78">
        <v>0.75</v>
      </c>
      <c r="W78">
        <v>1.1499999999999999</v>
      </c>
      <c r="X78">
        <v>0.1</v>
      </c>
      <c r="Y78">
        <v>1</v>
      </c>
      <c r="Z78">
        <v>10</v>
      </c>
    </row>
    <row r="79" spans="1:26" x14ac:dyDescent="0.3">
      <c r="A79">
        <v>77</v>
      </c>
      <c r="B79">
        <v>140</v>
      </c>
      <c r="C79" t="s">
        <v>26</v>
      </c>
      <c r="D79">
        <v>10.0708</v>
      </c>
      <c r="E79">
        <v>9.93</v>
      </c>
      <c r="F79">
        <v>6.77</v>
      </c>
      <c r="G79">
        <v>81.209999999999994</v>
      </c>
      <c r="H79">
        <v>1.1499999999999999</v>
      </c>
      <c r="I79">
        <v>5</v>
      </c>
      <c r="J79">
        <v>313.75</v>
      </c>
      <c r="K79">
        <v>60.56</v>
      </c>
      <c r="L79">
        <v>20.25</v>
      </c>
      <c r="M79">
        <v>3</v>
      </c>
      <c r="N79">
        <v>92.95</v>
      </c>
      <c r="O79">
        <v>38930.39</v>
      </c>
      <c r="P79">
        <v>112.58</v>
      </c>
      <c r="Q79">
        <v>204.15</v>
      </c>
      <c r="R79">
        <v>24.24</v>
      </c>
      <c r="S79">
        <v>17.37</v>
      </c>
      <c r="T79">
        <v>1335.82</v>
      </c>
      <c r="U79">
        <v>0.72</v>
      </c>
      <c r="V79">
        <v>0.75</v>
      </c>
      <c r="W79">
        <v>1.1399999999999999</v>
      </c>
      <c r="X79">
        <v>0.08</v>
      </c>
      <c r="Y79">
        <v>1</v>
      </c>
      <c r="Z79">
        <v>10</v>
      </c>
    </row>
    <row r="80" spans="1:26" x14ac:dyDescent="0.3">
      <c r="A80">
        <v>78</v>
      </c>
      <c r="B80">
        <v>140</v>
      </c>
      <c r="C80" t="s">
        <v>26</v>
      </c>
      <c r="D80">
        <v>10.0646</v>
      </c>
      <c r="E80">
        <v>9.94</v>
      </c>
      <c r="F80">
        <v>6.77</v>
      </c>
      <c r="G80">
        <v>81.28</v>
      </c>
      <c r="H80">
        <v>1.1599999999999999</v>
      </c>
      <c r="I80">
        <v>5</v>
      </c>
      <c r="J80">
        <v>314.3</v>
      </c>
      <c r="K80">
        <v>60.56</v>
      </c>
      <c r="L80">
        <v>20.5</v>
      </c>
      <c r="M80">
        <v>3</v>
      </c>
      <c r="N80">
        <v>93.25</v>
      </c>
      <c r="O80">
        <v>38998.53</v>
      </c>
      <c r="P80">
        <v>112.98</v>
      </c>
      <c r="Q80">
        <v>204.14</v>
      </c>
      <c r="R80">
        <v>24.43</v>
      </c>
      <c r="S80">
        <v>17.37</v>
      </c>
      <c r="T80">
        <v>1434.4</v>
      </c>
      <c r="U80">
        <v>0.71</v>
      </c>
      <c r="V80">
        <v>0.75</v>
      </c>
      <c r="W80">
        <v>1.1399999999999999</v>
      </c>
      <c r="X80">
        <v>0.08</v>
      </c>
      <c r="Y80">
        <v>1</v>
      </c>
      <c r="Z80">
        <v>10</v>
      </c>
    </row>
    <row r="81" spans="1:26" x14ac:dyDescent="0.3">
      <c r="A81">
        <v>79</v>
      </c>
      <c r="B81">
        <v>140</v>
      </c>
      <c r="C81" t="s">
        <v>26</v>
      </c>
      <c r="D81">
        <v>10.0609</v>
      </c>
      <c r="E81">
        <v>9.94</v>
      </c>
      <c r="F81">
        <v>6.78</v>
      </c>
      <c r="G81">
        <v>81.33</v>
      </c>
      <c r="H81">
        <v>1.17</v>
      </c>
      <c r="I81">
        <v>5</v>
      </c>
      <c r="J81">
        <v>314.86</v>
      </c>
      <c r="K81">
        <v>60.56</v>
      </c>
      <c r="L81">
        <v>20.75</v>
      </c>
      <c r="M81">
        <v>3</v>
      </c>
      <c r="N81">
        <v>93.55</v>
      </c>
      <c r="O81">
        <v>39066.800000000003</v>
      </c>
      <c r="P81">
        <v>113.18</v>
      </c>
      <c r="Q81">
        <v>204.14</v>
      </c>
      <c r="R81">
        <v>24.58</v>
      </c>
      <c r="S81">
        <v>17.37</v>
      </c>
      <c r="T81">
        <v>1507.56</v>
      </c>
      <c r="U81">
        <v>0.71</v>
      </c>
      <c r="V81">
        <v>0.75</v>
      </c>
      <c r="W81">
        <v>1.1399999999999999</v>
      </c>
      <c r="X81">
        <v>0.09</v>
      </c>
      <c r="Y81">
        <v>1</v>
      </c>
      <c r="Z81">
        <v>10</v>
      </c>
    </row>
    <row r="82" spans="1:26" x14ac:dyDescent="0.3">
      <c r="A82">
        <v>80</v>
      </c>
      <c r="B82">
        <v>140</v>
      </c>
      <c r="C82" t="s">
        <v>26</v>
      </c>
      <c r="D82">
        <v>10.060600000000001</v>
      </c>
      <c r="E82">
        <v>9.94</v>
      </c>
      <c r="F82">
        <v>6.78</v>
      </c>
      <c r="G82">
        <v>81.33</v>
      </c>
      <c r="H82">
        <v>1.19</v>
      </c>
      <c r="I82">
        <v>5</v>
      </c>
      <c r="J82">
        <v>315.41000000000003</v>
      </c>
      <c r="K82">
        <v>60.56</v>
      </c>
      <c r="L82">
        <v>21</v>
      </c>
      <c r="M82">
        <v>3</v>
      </c>
      <c r="N82">
        <v>93.86</v>
      </c>
      <c r="O82">
        <v>39135.199999999997</v>
      </c>
      <c r="P82">
        <v>113.33</v>
      </c>
      <c r="Q82">
        <v>204.14</v>
      </c>
      <c r="R82">
        <v>24.51</v>
      </c>
      <c r="S82">
        <v>17.37</v>
      </c>
      <c r="T82">
        <v>1470.32</v>
      </c>
      <c r="U82">
        <v>0.71</v>
      </c>
      <c r="V82">
        <v>0.75</v>
      </c>
      <c r="W82">
        <v>1.1499999999999999</v>
      </c>
      <c r="X82">
        <v>0.09</v>
      </c>
      <c r="Y82">
        <v>1</v>
      </c>
      <c r="Z82">
        <v>10</v>
      </c>
    </row>
    <row r="83" spans="1:26" x14ac:dyDescent="0.3">
      <c r="A83">
        <v>81</v>
      </c>
      <c r="B83">
        <v>140</v>
      </c>
      <c r="C83" t="s">
        <v>26</v>
      </c>
      <c r="D83">
        <v>10.068</v>
      </c>
      <c r="E83">
        <v>9.93</v>
      </c>
      <c r="F83">
        <v>6.77</v>
      </c>
      <c r="G83">
        <v>81.239999999999995</v>
      </c>
      <c r="H83">
        <v>1.2</v>
      </c>
      <c r="I83">
        <v>5</v>
      </c>
      <c r="J83">
        <v>315.97000000000003</v>
      </c>
      <c r="K83">
        <v>60.56</v>
      </c>
      <c r="L83">
        <v>21.25</v>
      </c>
      <c r="M83">
        <v>3</v>
      </c>
      <c r="N83">
        <v>94.16</v>
      </c>
      <c r="O83">
        <v>39203.74</v>
      </c>
      <c r="P83">
        <v>113.37</v>
      </c>
      <c r="Q83">
        <v>204.14</v>
      </c>
      <c r="R83">
        <v>24.3</v>
      </c>
      <c r="S83">
        <v>17.37</v>
      </c>
      <c r="T83">
        <v>1367.38</v>
      </c>
      <c r="U83">
        <v>0.71</v>
      </c>
      <c r="V83">
        <v>0.75</v>
      </c>
      <c r="W83">
        <v>1.1399999999999999</v>
      </c>
      <c r="X83">
        <v>0.08</v>
      </c>
      <c r="Y83">
        <v>1</v>
      </c>
      <c r="Z83">
        <v>10</v>
      </c>
    </row>
    <row r="84" spans="1:26" x14ac:dyDescent="0.3">
      <c r="A84">
        <v>82</v>
      </c>
      <c r="B84">
        <v>140</v>
      </c>
      <c r="C84" t="s">
        <v>26</v>
      </c>
      <c r="D84">
        <v>10.062900000000001</v>
      </c>
      <c r="E84">
        <v>9.94</v>
      </c>
      <c r="F84">
        <v>6.78</v>
      </c>
      <c r="G84">
        <v>81.3</v>
      </c>
      <c r="H84">
        <v>1.21</v>
      </c>
      <c r="I84">
        <v>5</v>
      </c>
      <c r="J84">
        <v>316.52999999999997</v>
      </c>
      <c r="K84">
        <v>60.56</v>
      </c>
      <c r="L84">
        <v>21.5</v>
      </c>
      <c r="M84">
        <v>3</v>
      </c>
      <c r="N84">
        <v>94.47</v>
      </c>
      <c r="O84">
        <v>39272.42</v>
      </c>
      <c r="P84">
        <v>113.55</v>
      </c>
      <c r="Q84">
        <v>204.15</v>
      </c>
      <c r="R84">
        <v>24.46</v>
      </c>
      <c r="S84">
        <v>17.37</v>
      </c>
      <c r="T84">
        <v>1447.75</v>
      </c>
      <c r="U84">
        <v>0.71</v>
      </c>
      <c r="V84">
        <v>0.75</v>
      </c>
      <c r="W84">
        <v>1.1399999999999999</v>
      </c>
      <c r="X84">
        <v>0.08</v>
      </c>
      <c r="Y84">
        <v>1</v>
      </c>
      <c r="Z84">
        <v>10</v>
      </c>
    </row>
    <row r="85" spans="1:26" x14ac:dyDescent="0.3">
      <c r="A85">
        <v>83</v>
      </c>
      <c r="B85">
        <v>140</v>
      </c>
      <c r="C85" t="s">
        <v>26</v>
      </c>
      <c r="D85">
        <v>10.0601</v>
      </c>
      <c r="E85">
        <v>9.94</v>
      </c>
      <c r="F85">
        <v>6.78</v>
      </c>
      <c r="G85">
        <v>81.34</v>
      </c>
      <c r="H85">
        <v>1.22</v>
      </c>
      <c r="I85">
        <v>5</v>
      </c>
      <c r="J85">
        <v>317.08</v>
      </c>
      <c r="K85">
        <v>60.56</v>
      </c>
      <c r="L85">
        <v>21.75</v>
      </c>
      <c r="M85">
        <v>3</v>
      </c>
      <c r="N85">
        <v>94.78</v>
      </c>
      <c r="O85">
        <v>39341.24</v>
      </c>
      <c r="P85">
        <v>113.55</v>
      </c>
      <c r="Q85">
        <v>204.16</v>
      </c>
      <c r="R85">
        <v>24.47</v>
      </c>
      <c r="S85">
        <v>17.37</v>
      </c>
      <c r="T85">
        <v>1452.11</v>
      </c>
      <c r="U85">
        <v>0.71</v>
      </c>
      <c r="V85">
        <v>0.75</v>
      </c>
      <c r="W85">
        <v>1.1499999999999999</v>
      </c>
      <c r="X85">
        <v>0.09</v>
      </c>
      <c r="Y85">
        <v>1</v>
      </c>
      <c r="Z85">
        <v>10</v>
      </c>
    </row>
    <row r="86" spans="1:26" x14ac:dyDescent="0.3">
      <c r="A86">
        <v>84</v>
      </c>
      <c r="B86">
        <v>140</v>
      </c>
      <c r="C86" t="s">
        <v>26</v>
      </c>
      <c r="D86">
        <v>10.066000000000001</v>
      </c>
      <c r="E86">
        <v>9.93</v>
      </c>
      <c r="F86">
        <v>6.77</v>
      </c>
      <c r="G86">
        <v>81.27</v>
      </c>
      <c r="H86">
        <v>1.23</v>
      </c>
      <c r="I86">
        <v>5</v>
      </c>
      <c r="J86">
        <v>317.64</v>
      </c>
      <c r="K86">
        <v>60.56</v>
      </c>
      <c r="L86">
        <v>22</v>
      </c>
      <c r="M86">
        <v>3</v>
      </c>
      <c r="N86">
        <v>95.09</v>
      </c>
      <c r="O86">
        <v>39410.199999999997</v>
      </c>
      <c r="P86">
        <v>113.42</v>
      </c>
      <c r="Q86">
        <v>204.14</v>
      </c>
      <c r="R86">
        <v>24.39</v>
      </c>
      <c r="S86">
        <v>17.37</v>
      </c>
      <c r="T86">
        <v>1413.45</v>
      </c>
      <c r="U86">
        <v>0.71</v>
      </c>
      <c r="V86">
        <v>0.75</v>
      </c>
      <c r="W86">
        <v>1.1399999999999999</v>
      </c>
      <c r="X86">
        <v>0.08</v>
      </c>
      <c r="Y86">
        <v>1</v>
      </c>
      <c r="Z86">
        <v>10</v>
      </c>
    </row>
    <row r="87" spans="1:26" x14ac:dyDescent="0.3">
      <c r="A87">
        <v>85</v>
      </c>
      <c r="B87">
        <v>140</v>
      </c>
      <c r="C87" t="s">
        <v>26</v>
      </c>
      <c r="D87">
        <v>10.0646</v>
      </c>
      <c r="E87">
        <v>9.94</v>
      </c>
      <c r="F87">
        <v>6.77</v>
      </c>
      <c r="G87">
        <v>81.28</v>
      </c>
      <c r="H87">
        <v>1.25</v>
      </c>
      <c r="I87">
        <v>5</v>
      </c>
      <c r="J87">
        <v>318.2</v>
      </c>
      <c r="K87">
        <v>60.56</v>
      </c>
      <c r="L87">
        <v>22.25</v>
      </c>
      <c r="M87">
        <v>3</v>
      </c>
      <c r="N87">
        <v>95.4</v>
      </c>
      <c r="O87">
        <v>39479.300000000003</v>
      </c>
      <c r="P87">
        <v>113.46</v>
      </c>
      <c r="Q87">
        <v>204.14</v>
      </c>
      <c r="R87">
        <v>24.5</v>
      </c>
      <c r="S87">
        <v>17.37</v>
      </c>
      <c r="T87">
        <v>1466.72</v>
      </c>
      <c r="U87">
        <v>0.71</v>
      </c>
      <c r="V87">
        <v>0.75</v>
      </c>
      <c r="W87">
        <v>1.1399999999999999</v>
      </c>
      <c r="X87">
        <v>0.08</v>
      </c>
      <c r="Y87">
        <v>1</v>
      </c>
      <c r="Z87">
        <v>10</v>
      </c>
    </row>
    <row r="88" spans="1:26" x14ac:dyDescent="0.3">
      <c r="A88">
        <v>86</v>
      </c>
      <c r="B88">
        <v>140</v>
      </c>
      <c r="C88" t="s">
        <v>26</v>
      </c>
      <c r="D88">
        <v>10.061500000000001</v>
      </c>
      <c r="E88">
        <v>9.94</v>
      </c>
      <c r="F88">
        <v>6.78</v>
      </c>
      <c r="G88">
        <v>81.319999999999993</v>
      </c>
      <c r="H88">
        <v>1.26</v>
      </c>
      <c r="I88">
        <v>5</v>
      </c>
      <c r="J88">
        <v>318.76</v>
      </c>
      <c r="K88">
        <v>60.56</v>
      </c>
      <c r="L88">
        <v>22.5</v>
      </c>
      <c r="M88">
        <v>3</v>
      </c>
      <c r="N88">
        <v>95.71</v>
      </c>
      <c r="O88">
        <v>39548.54</v>
      </c>
      <c r="P88">
        <v>113.5</v>
      </c>
      <c r="Q88">
        <v>204.14</v>
      </c>
      <c r="R88">
        <v>24.54</v>
      </c>
      <c r="S88">
        <v>17.37</v>
      </c>
      <c r="T88">
        <v>1484.9</v>
      </c>
      <c r="U88">
        <v>0.71</v>
      </c>
      <c r="V88">
        <v>0.75</v>
      </c>
      <c r="W88">
        <v>1.1399999999999999</v>
      </c>
      <c r="X88">
        <v>0.09</v>
      </c>
      <c r="Y88">
        <v>1</v>
      </c>
      <c r="Z88">
        <v>10</v>
      </c>
    </row>
    <row r="89" spans="1:26" x14ac:dyDescent="0.3">
      <c r="A89">
        <v>87</v>
      </c>
      <c r="B89">
        <v>140</v>
      </c>
      <c r="C89" t="s">
        <v>26</v>
      </c>
      <c r="D89">
        <v>10.065099999999999</v>
      </c>
      <c r="E89">
        <v>9.94</v>
      </c>
      <c r="F89">
        <v>6.77</v>
      </c>
      <c r="G89">
        <v>81.28</v>
      </c>
      <c r="H89">
        <v>1.27</v>
      </c>
      <c r="I89">
        <v>5</v>
      </c>
      <c r="J89">
        <v>319.33</v>
      </c>
      <c r="K89">
        <v>60.56</v>
      </c>
      <c r="L89">
        <v>22.75</v>
      </c>
      <c r="M89">
        <v>3</v>
      </c>
      <c r="N89">
        <v>96.02</v>
      </c>
      <c r="O89">
        <v>39617.93</v>
      </c>
      <c r="P89">
        <v>113.42</v>
      </c>
      <c r="Q89">
        <v>204.14</v>
      </c>
      <c r="R89">
        <v>24.46</v>
      </c>
      <c r="S89">
        <v>17.37</v>
      </c>
      <c r="T89">
        <v>1444.87</v>
      </c>
      <c r="U89">
        <v>0.71</v>
      </c>
      <c r="V89">
        <v>0.75</v>
      </c>
      <c r="W89">
        <v>1.1399999999999999</v>
      </c>
      <c r="X89">
        <v>0.08</v>
      </c>
      <c r="Y89">
        <v>1</v>
      </c>
      <c r="Z89">
        <v>10</v>
      </c>
    </row>
    <row r="90" spans="1:26" x14ac:dyDescent="0.3">
      <c r="A90">
        <v>88</v>
      </c>
      <c r="B90">
        <v>140</v>
      </c>
      <c r="C90" t="s">
        <v>26</v>
      </c>
      <c r="D90">
        <v>10.0646</v>
      </c>
      <c r="E90">
        <v>9.94</v>
      </c>
      <c r="F90">
        <v>6.77</v>
      </c>
      <c r="G90">
        <v>81.28</v>
      </c>
      <c r="H90">
        <v>1.28</v>
      </c>
      <c r="I90">
        <v>5</v>
      </c>
      <c r="J90">
        <v>319.89</v>
      </c>
      <c r="K90">
        <v>60.56</v>
      </c>
      <c r="L90">
        <v>23</v>
      </c>
      <c r="M90">
        <v>3</v>
      </c>
      <c r="N90">
        <v>96.34</v>
      </c>
      <c r="O90">
        <v>39687.46</v>
      </c>
      <c r="P90">
        <v>113.31</v>
      </c>
      <c r="Q90">
        <v>204.14</v>
      </c>
      <c r="R90">
        <v>24.47</v>
      </c>
      <c r="S90">
        <v>17.37</v>
      </c>
      <c r="T90">
        <v>1453.28</v>
      </c>
      <c r="U90">
        <v>0.71</v>
      </c>
      <c r="V90">
        <v>0.75</v>
      </c>
      <c r="W90">
        <v>1.1399999999999999</v>
      </c>
      <c r="X90">
        <v>0.08</v>
      </c>
      <c r="Y90">
        <v>1</v>
      </c>
      <c r="Z90">
        <v>10</v>
      </c>
    </row>
    <row r="91" spans="1:26" x14ac:dyDescent="0.3">
      <c r="A91">
        <v>89</v>
      </c>
      <c r="B91">
        <v>140</v>
      </c>
      <c r="C91" t="s">
        <v>26</v>
      </c>
      <c r="D91">
        <v>10.0649</v>
      </c>
      <c r="E91">
        <v>9.94</v>
      </c>
      <c r="F91">
        <v>6.77</v>
      </c>
      <c r="G91">
        <v>81.28</v>
      </c>
      <c r="H91">
        <v>1.29</v>
      </c>
      <c r="I91">
        <v>5</v>
      </c>
      <c r="J91">
        <v>320.45999999999998</v>
      </c>
      <c r="K91">
        <v>60.56</v>
      </c>
      <c r="L91">
        <v>23.25</v>
      </c>
      <c r="M91">
        <v>3</v>
      </c>
      <c r="N91">
        <v>96.65</v>
      </c>
      <c r="O91">
        <v>39757.129999999997</v>
      </c>
      <c r="P91">
        <v>113.27</v>
      </c>
      <c r="Q91">
        <v>204.14</v>
      </c>
      <c r="R91">
        <v>24.37</v>
      </c>
      <c r="S91">
        <v>17.37</v>
      </c>
      <c r="T91">
        <v>1402.19</v>
      </c>
      <c r="U91">
        <v>0.71</v>
      </c>
      <c r="V91">
        <v>0.75</v>
      </c>
      <c r="W91">
        <v>1.1499999999999999</v>
      </c>
      <c r="X91">
        <v>0.08</v>
      </c>
      <c r="Y91">
        <v>1</v>
      </c>
      <c r="Z91">
        <v>10</v>
      </c>
    </row>
    <row r="92" spans="1:26" x14ac:dyDescent="0.3">
      <c r="A92">
        <v>90</v>
      </c>
      <c r="B92">
        <v>140</v>
      </c>
      <c r="C92" t="s">
        <v>26</v>
      </c>
      <c r="D92">
        <v>10.071300000000001</v>
      </c>
      <c r="E92">
        <v>9.93</v>
      </c>
      <c r="F92">
        <v>6.77</v>
      </c>
      <c r="G92">
        <v>81.2</v>
      </c>
      <c r="H92">
        <v>1.3</v>
      </c>
      <c r="I92">
        <v>5</v>
      </c>
      <c r="J92">
        <v>321.02</v>
      </c>
      <c r="K92">
        <v>60.56</v>
      </c>
      <c r="L92">
        <v>23.5</v>
      </c>
      <c r="M92">
        <v>3</v>
      </c>
      <c r="N92">
        <v>96.97</v>
      </c>
      <c r="O92">
        <v>39826.949999999997</v>
      </c>
      <c r="P92">
        <v>113.02</v>
      </c>
      <c r="Q92">
        <v>204.14</v>
      </c>
      <c r="R92">
        <v>24.18</v>
      </c>
      <c r="S92">
        <v>17.37</v>
      </c>
      <c r="T92">
        <v>1307.29</v>
      </c>
      <c r="U92">
        <v>0.72</v>
      </c>
      <c r="V92">
        <v>0.75</v>
      </c>
      <c r="W92">
        <v>1.1399999999999999</v>
      </c>
      <c r="X92">
        <v>0.08</v>
      </c>
      <c r="Y92">
        <v>1</v>
      </c>
      <c r="Z92">
        <v>10</v>
      </c>
    </row>
    <row r="93" spans="1:26" x14ac:dyDescent="0.3">
      <c r="A93">
        <v>91</v>
      </c>
      <c r="B93">
        <v>140</v>
      </c>
      <c r="C93" t="s">
        <v>26</v>
      </c>
      <c r="D93">
        <v>10.074199999999999</v>
      </c>
      <c r="E93">
        <v>9.93</v>
      </c>
      <c r="F93">
        <v>6.76</v>
      </c>
      <c r="G93">
        <v>81.17</v>
      </c>
      <c r="H93">
        <v>1.32</v>
      </c>
      <c r="I93">
        <v>5</v>
      </c>
      <c r="J93">
        <v>321.58999999999997</v>
      </c>
      <c r="K93">
        <v>60.56</v>
      </c>
      <c r="L93">
        <v>23.75</v>
      </c>
      <c r="M93">
        <v>3</v>
      </c>
      <c r="N93">
        <v>97.28</v>
      </c>
      <c r="O93">
        <v>39896.910000000003</v>
      </c>
      <c r="P93">
        <v>112.81</v>
      </c>
      <c r="Q93">
        <v>204.14</v>
      </c>
      <c r="R93">
        <v>24.11</v>
      </c>
      <c r="S93">
        <v>17.37</v>
      </c>
      <c r="T93">
        <v>1273.0899999999999</v>
      </c>
      <c r="U93">
        <v>0.72</v>
      </c>
      <c r="V93">
        <v>0.75</v>
      </c>
      <c r="W93">
        <v>1.1399999999999999</v>
      </c>
      <c r="X93">
        <v>7.0000000000000007E-2</v>
      </c>
      <c r="Y93">
        <v>1</v>
      </c>
      <c r="Z93">
        <v>10</v>
      </c>
    </row>
    <row r="94" spans="1:26" x14ac:dyDescent="0.3">
      <c r="A94">
        <v>92</v>
      </c>
      <c r="B94">
        <v>140</v>
      </c>
      <c r="C94" t="s">
        <v>26</v>
      </c>
      <c r="D94">
        <v>10.077299999999999</v>
      </c>
      <c r="E94">
        <v>9.92</v>
      </c>
      <c r="F94">
        <v>6.76</v>
      </c>
      <c r="G94">
        <v>81.13</v>
      </c>
      <c r="H94">
        <v>1.33</v>
      </c>
      <c r="I94">
        <v>5</v>
      </c>
      <c r="J94">
        <v>322.16000000000003</v>
      </c>
      <c r="K94">
        <v>60.56</v>
      </c>
      <c r="L94">
        <v>24</v>
      </c>
      <c r="M94">
        <v>3</v>
      </c>
      <c r="N94">
        <v>97.6</v>
      </c>
      <c r="O94">
        <v>39967.019999999997</v>
      </c>
      <c r="P94">
        <v>112.54</v>
      </c>
      <c r="Q94">
        <v>204.14</v>
      </c>
      <c r="R94">
        <v>24.05</v>
      </c>
      <c r="S94">
        <v>17.37</v>
      </c>
      <c r="T94">
        <v>1242.3900000000001</v>
      </c>
      <c r="U94">
        <v>0.72</v>
      </c>
      <c r="V94">
        <v>0.76</v>
      </c>
      <c r="W94">
        <v>1.1399999999999999</v>
      </c>
      <c r="X94">
        <v>7.0000000000000007E-2</v>
      </c>
      <c r="Y94">
        <v>1</v>
      </c>
      <c r="Z94">
        <v>10</v>
      </c>
    </row>
    <row r="95" spans="1:26" x14ac:dyDescent="0.3">
      <c r="A95">
        <v>93</v>
      </c>
      <c r="B95">
        <v>140</v>
      </c>
      <c r="C95" t="s">
        <v>26</v>
      </c>
      <c r="D95">
        <v>10.0739</v>
      </c>
      <c r="E95">
        <v>9.93</v>
      </c>
      <c r="F95">
        <v>6.76</v>
      </c>
      <c r="G95">
        <v>81.17</v>
      </c>
      <c r="H95">
        <v>1.34</v>
      </c>
      <c r="I95">
        <v>5</v>
      </c>
      <c r="J95">
        <v>322.73</v>
      </c>
      <c r="K95">
        <v>60.56</v>
      </c>
      <c r="L95">
        <v>24.25</v>
      </c>
      <c r="M95">
        <v>3</v>
      </c>
      <c r="N95">
        <v>97.92</v>
      </c>
      <c r="O95">
        <v>40037.279999999999</v>
      </c>
      <c r="P95">
        <v>112.44</v>
      </c>
      <c r="Q95">
        <v>204.14</v>
      </c>
      <c r="R95">
        <v>24.02</v>
      </c>
      <c r="S95">
        <v>17.37</v>
      </c>
      <c r="T95">
        <v>1229.79</v>
      </c>
      <c r="U95">
        <v>0.72</v>
      </c>
      <c r="V95">
        <v>0.75</v>
      </c>
      <c r="W95">
        <v>1.1499999999999999</v>
      </c>
      <c r="X95">
        <v>7.0000000000000007E-2</v>
      </c>
      <c r="Y95">
        <v>1</v>
      </c>
      <c r="Z95">
        <v>10</v>
      </c>
    </row>
    <row r="96" spans="1:26" x14ac:dyDescent="0.3">
      <c r="A96">
        <v>94</v>
      </c>
      <c r="B96">
        <v>140</v>
      </c>
      <c r="C96" t="s">
        <v>26</v>
      </c>
      <c r="D96">
        <v>10.0733</v>
      </c>
      <c r="E96">
        <v>9.93</v>
      </c>
      <c r="F96">
        <v>6.76</v>
      </c>
      <c r="G96">
        <v>81.180000000000007</v>
      </c>
      <c r="H96">
        <v>1.35</v>
      </c>
      <c r="I96">
        <v>5</v>
      </c>
      <c r="J96">
        <v>323.3</v>
      </c>
      <c r="K96">
        <v>60.56</v>
      </c>
      <c r="L96">
        <v>24.5</v>
      </c>
      <c r="M96">
        <v>3</v>
      </c>
      <c r="N96">
        <v>98.24</v>
      </c>
      <c r="O96">
        <v>40107.81</v>
      </c>
      <c r="P96">
        <v>112.19</v>
      </c>
      <c r="Q96">
        <v>204.14</v>
      </c>
      <c r="R96">
        <v>24.14</v>
      </c>
      <c r="S96">
        <v>17.37</v>
      </c>
      <c r="T96">
        <v>1289.4100000000001</v>
      </c>
      <c r="U96">
        <v>0.72</v>
      </c>
      <c r="V96">
        <v>0.75</v>
      </c>
      <c r="W96">
        <v>1.1399999999999999</v>
      </c>
      <c r="X96">
        <v>7.0000000000000007E-2</v>
      </c>
      <c r="Y96">
        <v>1</v>
      </c>
      <c r="Z96">
        <v>10</v>
      </c>
    </row>
    <row r="97" spans="1:26" x14ac:dyDescent="0.3">
      <c r="A97">
        <v>95</v>
      </c>
      <c r="B97">
        <v>140</v>
      </c>
      <c r="C97" t="s">
        <v>26</v>
      </c>
      <c r="D97">
        <v>10.071899999999999</v>
      </c>
      <c r="E97">
        <v>9.93</v>
      </c>
      <c r="F97">
        <v>6.77</v>
      </c>
      <c r="G97">
        <v>81.2</v>
      </c>
      <c r="H97">
        <v>1.36</v>
      </c>
      <c r="I97">
        <v>5</v>
      </c>
      <c r="J97">
        <v>323.87</v>
      </c>
      <c r="K97">
        <v>60.56</v>
      </c>
      <c r="L97">
        <v>24.75</v>
      </c>
      <c r="M97">
        <v>3</v>
      </c>
      <c r="N97">
        <v>98.57</v>
      </c>
      <c r="O97">
        <v>40178.370000000003</v>
      </c>
      <c r="P97">
        <v>111.99</v>
      </c>
      <c r="Q97">
        <v>204.14</v>
      </c>
      <c r="R97">
        <v>24.19</v>
      </c>
      <c r="S97">
        <v>17.37</v>
      </c>
      <c r="T97">
        <v>1312.8</v>
      </c>
      <c r="U97">
        <v>0.72</v>
      </c>
      <c r="V97">
        <v>0.75</v>
      </c>
      <c r="W97">
        <v>1.1399999999999999</v>
      </c>
      <c r="X97">
        <v>7.0000000000000007E-2</v>
      </c>
      <c r="Y97">
        <v>1</v>
      </c>
      <c r="Z97">
        <v>10</v>
      </c>
    </row>
    <row r="98" spans="1:26" x14ac:dyDescent="0.3">
      <c r="A98">
        <v>96</v>
      </c>
      <c r="B98">
        <v>140</v>
      </c>
      <c r="C98" t="s">
        <v>26</v>
      </c>
      <c r="D98">
        <v>10.069599999999999</v>
      </c>
      <c r="E98">
        <v>9.93</v>
      </c>
      <c r="F98">
        <v>6.77</v>
      </c>
      <c r="G98">
        <v>81.22</v>
      </c>
      <c r="H98">
        <v>1.37</v>
      </c>
      <c r="I98">
        <v>5</v>
      </c>
      <c r="J98">
        <v>324.44</v>
      </c>
      <c r="K98">
        <v>60.56</v>
      </c>
      <c r="L98">
        <v>25</v>
      </c>
      <c r="M98">
        <v>3</v>
      </c>
      <c r="N98">
        <v>98.89</v>
      </c>
      <c r="O98">
        <v>40249.08</v>
      </c>
      <c r="P98">
        <v>111.98</v>
      </c>
      <c r="Q98">
        <v>204.14</v>
      </c>
      <c r="R98">
        <v>24.24</v>
      </c>
      <c r="S98">
        <v>17.37</v>
      </c>
      <c r="T98">
        <v>1336.25</v>
      </c>
      <c r="U98">
        <v>0.72</v>
      </c>
      <c r="V98">
        <v>0.75</v>
      </c>
      <c r="W98">
        <v>1.1499999999999999</v>
      </c>
      <c r="X98">
        <v>0.08</v>
      </c>
      <c r="Y98">
        <v>1</v>
      </c>
      <c r="Z98">
        <v>10</v>
      </c>
    </row>
    <row r="99" spans="1:26" x14ac:dyDescent="0.3">
      <c r="A99">
        <v>97</v>
      </c>
      <c r="B99">
        <v>140</v>
      </c>
      <c r="C99" t="s">
        <v>26</v>
      </c>
      <c r="D99">
        <v>10.070499999999999</v>
      </c>
      <c r="E99">
        <v>9.93</v>
      </c>
      <c r="F99">
        <v>6.77</v>
      </c>
      <c r="G99">
        <v>81.209999999999994</v>
      </c>
      <c r="H99">
        <v>1.38</v>
      </c>
      <c r="I99">
        <v>5</v>
      </c>
      <c r="J99">
        <v>325.02</v>
      </c>
      <c r="K99">
        <v>60.56</v>
      </c>
      <c r="L99">
        <v>25.25</v>
      </c>
      <c r="M99">
        <v>3</v>
      </c>
      <c r="N99">
        <v>99.21</v>
      </c>
      <c r="O99">
        <v>40319.949999999997</v>
      </c>
      <c r="P99">
        <v>111.97</v>
      </c>
      <c r="Q99">
        <v>204.15</v>
      </c>
      <c r="R99">
        <v>24.22</v>
      </c>
      <c r="S99">
        <v>17.37</v>
      </c>
      <c r="T99">
        <v>1329.55</v>
      </c>
      <c r="U99">
        <v>0.72</v>
      </c>
      <c r="V99">
        <v>0.75</v>
      </c>
      <c r="W99">
        <v>1.1399999999999999</v>
      </c>
      <c r="X99">
        <v>0.08</v>
      </c>
      <c r="Y99">
        <v>1</v>
      </c>
      <c r="Z99">
        <v>10</v>
      </c>
    </row>
    <row r="100" spans="1:26" x14ac:dyDescent="0.3">
      <c r="A100">
        <v>98</v>
      </c>
      <c r="B100">
        <v>140</v>
      </c>
      <c r="C100" t="s">
        <v>26</v>
      </c>
      <c r="D100">
        <v>10.0671</v>
      </c>
      <c r="E100">
        <v>9.93</v>
      </c>
      <c r="F100">
        <v>6.77</v>
      </c>
      <c r="G100">
        <v>81.25</v>
      </c>
      <c r="H100">
        <v>1.4</v>
      </c>
      <c r="I100">
        <v>5</v>
      </c>
      <c r="J100">
        <v>325.58999999999997</v>
      </c>
      <c r="K100">
        <v>60.56</v>
      </c>
      <c r="L100">
        <v>25.5</v>
      </c>
      <c r="M100">
        <v>3</v>
      </c>
      <c r="N100">
        <v>99.54</v>
      </c>
      <c r="O100">
        <v>40390.959999999999</v>
      </c>
      <c r="P100">
        <v>111.91</v>
      </c>
      <c r="Q100">
        <v>204.16</v>
      </c>
      <c r="R100">
        <v>24.3</v>
      </c>
      <c r="S100">
        <v>17.37</v>
      </c>
      <c r="T100">
        <v>1365.2</v>
      </c>
      <c r="U100">
        <v>0.72</v>
      </c>
      <c r="V100">
        <v>0.75</v>
      </c>
      <c r="W100">
        <v>1.1399999999999999</v>
      </c>
      <c r="X100">
        <v>0.08</v>
      </c>
      <c r="Y100">
        <v>1</v>
      </c>
      <c r="Z100">
        <v>10</v>
      </c>
    </row>
    <row r="101" spans="1:26" x14ac:dyDescent="0.3">
      <c r="A101">
        <v>99</v>
      </c>
      <c r="B101">
        <v>140</v>
      </c>
      <c r="C101" t="s">
        <v>26</v>
      </c>
      <c r="D101">
        <v>10.0649</v>
      </c>
      <c r="E101">
        <v>9.94</v>
      </c>
      <c r="F101">
        <v>6.77</v>
      </c>
      <c r="G101">
        <v>81.28</v>
      </c>
      <c r="H101">
        <v>1.41</v>
      </c>
      <c r="I101">
        <v>5</v>
      </c>
      <c r="J101">
        <v>326.17</v>
      </c>
      <c r="K101">
        <v>60.56</v>
      </c>
      <c r="L101">
        <v>25.75</v>
      </c>
      <c r="M101">
        <v>3</v>
      </c>
      <c r="N101">
        <v>99.87</v>
      </c>
      <c r="O101">
        <v>40462.129999999997</v>
      </c>
      <c r="P101">
        <v>111.86</v>
      </c>
      <c r="Q101">
        <v>204.14</v>
      </c>
      <c r="R101">
        <v>24.38</v>
      </c>
      <c r="S101">
        <v>17.37</v>
      </c>
      <c r="T101">
        <v>1408.67</v>
      </c>
      <c r="U101">
        <v>0.71</v>
      </c>
      <c r="V101">
        <v>0.75</v>
      </c>
      <c r="W101">
        <v>1.1499999999999999</v>
      </c>
      <c r="X101">
        <v>0.08</v>
      </c>
      <c r="Y101">
        <v>1</v>
      </c>
      <c r="Z101">
        <v>10</v>
      </c>
    </row>
    <row r="102" spans="1:26" x14ac:dyDescent="0.3">
      <c r="A102">
        <v>100</v>
      </c>
      <c r="B102">
        <v>140</v>
      </c>
      <c r="C102" t="s">
        <v>26</v>
      </c>
      <c r="D102">
        <v>10.0663</v>
      </c>
      <c r="E102">
        <v>9.93</v>
      </c>
      <c r="F102">
        <v>6.77</v>
      </c>
      <c r="G102">
        <v>81.260000000000005</v>
      </c>
      <c r="H102">
        <v>1.42</v>
      </c>
      <c r="I102">
        <v>5</v>
      </c>
      <c r="J102">
        <v>326.75</v>
      </c>
      <c r="K102">
        <v>60.56</v>
      </c>
      <c r="L102">
        <v>26</v>
      </c>
      <c r="M102">
        <v>3</v>
      </c>
      <c r="N102">
        <v>100.2</v>
      </c>
      <c r="O102">
        <v>40533.46</v>
      </c>
      <c r="P102">
        <v>111.62</v>
      </c>
      <c r="Q102">
        <v>204.14</v>
      </c>
      <c r="R102">
        <v>24.29</v>
      </c>
      <c r="S102">
        <v>17.37</v>
      </c>
      <c r="T102">
        <v>1360.8</v>
      </c>
      <c r="U102">
        <v>0.72</v>
      </c>
      <c r="V102">
        <v>0.75</v>
      </c>
      <c r="W102">
        <v>1.1499999999999999</v>
      </c>
      <c r="X102">
        <v>0.08</v>
      </c>
      <c r="Y102">
        <v>1</v>
      </c>
      <c r="Z102">
        <v>10</v>
      </c>
    </row>
    <row r="103" spans="1:26" x14ac:dyDescent="0.3">
      <c r="A103">
        <v>101</v>
      </c>
      <c r="B103">
        <v>140</v>
      </c>
      <c r="C103" t="s">
        <v>26</v>
      </c>
      <c r="D103">
        <v>10.071300000000001</v>
      </c>
      <c r="E103">
        <v>9.93</v>
      </c>
      <c r="F103">
        <v>6.77</v>
      </c>
      <c r="G103">
        <v>81.2</v>
      </c>
      <c r="H103">
        <v>1.43</v>
      </c>
      <c r="I103">
        <v>5</v>
      </c>
      <c r="J103">
        <v>327.33</v>
      </c>
      <c r="K103">
        <v>60.56</v>
      </c>
      <c r="L103">
        <v>26.25</v>
      </c>
      <c r="M103">
        <v>3</v>
      </c>
      <c r="N103">
        <v>100.52</v>
      </c>
      <c r="O103">
        <v>40604.94</v>
      </c>
      <c r="P103">
        <v>111.34</v>
      </c>
      <c r="Q103">
        <v>204.14</v>
      </c>
      <c r="R103">
        <v>24.2</v>
      </c>
      <c r="S103">
        <v>17.37</v>
      </c>
      <c r="T103">
        <v>1314.86</v>
      </c>
      <c r="U103">
        <v>0.72</v>
      </c>
      <c r="V103">
        <v>0.75</v>
      </c>
      <c r="W103">
        <v>1.1399999999999999</v>
      </c>
      <c r="X103">
        <v>0.08</v>
      </c>
      <c r="Y103">
        <v>1</v>
      </c>
      <c r="Z103">
        <v>10</v>
      </c>
    </row>
    <row r="104" spans="1:26" x14ac:dyDescent="0.3">
      <c r="A104">
        <v>102</v>
      </c>
      <c r="B104">
        <v>140</v>
      </c>
      <c r="C104" t="s">
        <v>26</v>
      </c>
      <c r="D104">
        <v>10.150600000000001</v>
      </c>
      <c r="E104">
        <v>9.85</v>
      </c>
      <c r="F104">
        <v>6.74</v>
      </c>
      <c r="G104">
        <v>101.12</v>
      </c>
      <c r="H104">
        <v>1.44</v>
      </c>
      <c r="I104">
        <v>4</v>
      </c>
      <c r="J104">
        <v>327.91</v>
      </c>
      <c r="K104">
        <v>60.56</v>
      </c>
      <c r="L104">
        <v>26.5</v>
      </c>
      <c r="M104">
        <v>2</v>
      </c>
      <c r="N104">
        <v>100.86</v>
      </c>
      <c r="O104">
        <v>40676.58</v>
      </c>
      <c r="P104">
        <v>110.73</v>
      </c>
      <c r="Q104">
        <v>204.14</v>
      </c>
      <c r="R104">
        <v>23.47</v>
      </c>
      <c r="S104">
        <v>17.37</v>
      </c>
      <c r="T104">
        <v>955.05</v>
      </c>
      <c r="U104">
        <v>0.74</v>
      </c>
      <c r="V104">
        <v>0.76</v>
      </c>
      <c r="W104">
        <v>1.1399999999999999</v>
      </c>
      <c r="X104">
        <v>0.05</v>
      </c>
      <c r="Y104">
        <v>1</v>
      </c>
      <c r="Z104">
        <v>10</v>
      </c>
    </row>
    <row r="105" spans="1:26" x14ac:dyDescent="0.3">
      <c r="A105">
        <v>103</v>
      </c>
      <c r="B105">
        <v>140</v>
      </c>
      <c r="C105" t="s">
        <v>26</v>
      </c>
      <c r="D105">
        <v>10.149699999999999</v>
      </c>
      <c r="E105">
        <v>9.85</v>
      </c>
      <c r="F105">
        <v>6.74</v>
      </c>
      <c r="G105">
        <v>101.14</v>
      </c>
      <c r="H105">
        <v>1.45</v>
      </c>
      <c r="I105">
        <v>4</v>
      </c>
      <c r="J105">
        <v>328.49</v>
      </c>
      <c r="K105">
        <v>60.56</v>
      </c>
      <c r="L105">
        <v>26.75</v>
      </c>
      <c r="M105">
        <v>2</v>
      </c>
      <c r="N105">
        <v>101.19</v>
      </c>
      <c r="O105">
        <v>40748.370000000003</v>
      </c>
      <c r="P105">
        <v>110.75</v>
      </c>
      <c r="Q105">
        <v>204.14</v>
      </c>
      <c r="R105">
        <v>23.45</v>
      </c>
      <c r="S105">
        <v>17.37</v>
      </c>
      <c r="T105">
        <v>949.77</v>
      </c>
      <c r="U105">
        <v>0.74</v>
      </c>
      <c r="V105">
        <v>0.76</v>
      </c>
      <c r="W105">
        <v>1.1399999999999999</v>
      </c>
      <c r="X105">
        <v>0.05</v>
      </c>
      <c r="Y105">
        <v>1</v>
      </c>
      <c r="Z105">
        <v>10</v>
      </c>
    </row>
    <row r="106" spans="1:26" x14ac:dyDescent="0.3">
      <c r="A106">
        <v>104</v>
      </c>
      <c r="B106">
        <v>140</v>
      </c>
      <c r="C106" t="s">
        <v>26</v>
      </c>
      <c r="D106">
        <v>10.1509</v>
      </c>
      <c r="E106">
        <v>9.85</v>
      </c>
      <c r="F106">
        <v>6.74</v>
      </c>
      <c r="G106">
        <v>101.12</v>
      </c>
      <c r="H106">
        <v>1.46</v>
      </c>
      <c r="I106">
        <v>4</v>
      </c>
      <c r="J106">
        <v>329.08</v>
      </c>
      <c r="K106">
        <v>60.56</v>
      </c>
      <c r="L106">
        <v>27</v>
      </c>
      <c r="M106">
        <v>2</v>
      </c>
      <c r="N106">
        <v>101.52</v>
      </c>
      <c r="O106">
        <v>40820.32</v>
      </c>
      <c r="P106">
        <v>110.91</v>
      </c>
      <c r="Q106">
        <v>204.15</v>
      </c>
      <c r="R106">
        <v>23.45</v>
      </c>
      <c r="S106">
        <v>17.37</v>
      </c>
      <c r="T106">
        <v>946.43</v>
      </c>
      <c r="U106">
        <v>0.74</v>
      </c>
      <c r="V106">
        <v>0.76</v>
      </c>
      <c r="W106">
        <v>1.1399999999999999</v>
      </c>
      <c r="X106">
        <v>0.05</v>
      </c>
      <c r="Y106">
        <v>1</v>
      </c>
      <c r="Z106">
        <v>10</v>
      </c>
    </row>
    <row r="107" spans="1:26" x14ac:dyDescent="0.3">
      <c r="A107">
        <v>105</v>
      </c>
      <c r="B107">
        <v>140</v>
      </c>
      <c r="C107" t="s">
        <v>26</v>
      </c>
      <c r="D107">
        <v>10.1434</v>
      </c>
      <c r="E107">
        <v>9.86</v>
      </c>
      <c r="F107">
        <v>6.75</v>
      </c>
      <c r="G107">
        <v>101.23</v>
      </c>
      <c r="H107">
        <v>1.47</v>
      </c>
      <c r="I107">
        <v>4</v>
      </c>
      <c r="J107">
        <v>329.66</v>
      </c>
      <c r="K107">
        <v>60.56</v>
      </c>
      <c r="L107">
        <v>27.25</v>
      </c>
      <c r="M107">
        <v>2</v>
      </c>
      <c r="N107">
        <v>101.86</v>
      </c>
      <c r="O107">
        <v>40892.44</v>
      </c>
      <c r="P107">
        <v>111.12</v>
      </c>
      <c r="Q107">
        <v>204.14</v>
      </c>
      <c r="R107">
        <v>23.58</v>
      </c>
      <c r="S107">
        <v>17.37</v>
      </c>
      <c r="T107">
        <v>1010.98</v>
      </c>
      <c r="U107">
        <v>0.74</v>
      </c>
      <c r="V107">
        <v>0.76</v>
      </c>
      <c r="W107">
        <v>1.1399999999999999</v>
      </c>
      <c r="X107">
        <v>0.06</v>
      </c>
      <c r="Y107">
        <v>1</v>
      </c>
      <c r="Z107">
        <v>10</v>
      </c>
    </row>
    <row r="108" spans="1:26" x14ac:dyDescent="0.3">
      <c r="A108">
        <v>106</v>
      </c>
      <c r="B108">
        <v>140</v>
      </c>
      <c r="C108" t="s">
        <v>26</v>
      </c>
      <c r="D108">
        <v>10.142799999999999</v>
      </c>
      <c r="E108">
        <v>9.86</v>
      </c>
      <c r="F108">
        <v>6.75</v>
      </c>
      <c r="G108">
        <v>101.24</v>
      </c>
      <c r="H108">
        <v>1.48</v>
      </c>
      <c r="I108">
        <v>4</v>
      </c>
      <c r="J108">
        <v>330.25</v>
      </c>
      <c r="K108">
        <v>60.56</v>
      </c>
      <c r="L108">
        <v>27.5</v>
      </c>
      <c r="M108">
        <v>2</v>
      </c>
      <c r="N108">
        <v>102.19</v>
      </c>
      <c r="O108">
        <v>40964.71</v>
      </c>
      <c r="P108">
        <v>111.34</v>
      </c>
      <c r="Q108">
        <v>204.14</v>
      </c>
      <c r="R108">
        <v>23.66</v>
      </c>
      <c r="S108">
        <v>17.37</v>
      </c>
      <c r="T108">
        <v>1052.2</v>
      </c>
      <c r="U108">
        <v>0.73</v>
      </c>
      <c r="V108">
        <v>0.76</v>
      </c>
      <c r="W108">
        <v>1.1399999999999999</v>
      </c>
      <c r="X108">
        <v>0.06</v>
      </c>
      <c r="Y108">
        <v>1</v>
      </c>
      <c r="Z108">
        <v>10</v>
      </c>
    </row>
    <row r="109" spans="1:26" x14ac:dyDescent="0.3">
      <c r="A109">
        <v>107</v>
      </c>
      <c r="B109">
        <v>140</v>
      </c>
      <c r="C109" t="s">
        <v>26</v>
      </c>
      <c r="D109">
        <v>10.144299999999999</v>
      </c>
      <c r="E109">
        <v>9.86</v>
      </c>
      <c r="F109">
        <v>6.75</v>
      </c>
      <c r="G109">
        <v>101.22</v>
      </c>
      <c r="H109">
        <v>1.49</v>
      </c>
      <c r="I109">
        <v>4</v>
      </c>
      <c r="J109">
        <v>330.83</v>
      </c>
      <c r="K109">
        <v>60.56</v>
      </c>
      <c r="L109">
        <v>27.75</v>
      </c>
      <c r="M109">
        <v>2</v>
      </c>
      <c r="N109">
        <v>102.53</v>
      </c>
      <c r="O109">
        <v>41037.15</v>
      </c>
      <c r="P109">
        <v>111.41</v>
      </c>
      <c r="Q109">
        <v>204.14</v>
      </c>
      <c r="R109">
        <v>23.65</v>
      </c>
      <c r="S109">
        <v>17.37</v>
      </c>
      <c r="T109">
        <v>1047.95</v>
      </c>
      <c r="U109">
        <v>0.73</v>
      </c>
      <c r="V109">
        <v>0.76</v>
      </c>
      <c r="W109">
        <v>1.1399999999999999</v>
      </c>
      <c r="X109">
        <v>0.06</v>
      </c>
      <c r="Y109">
        <v>1</v>
      </c>
      <c r="Z109">
        <v>10</v>
      </c>
    </row>
    <row r="110" spans="1:26" x14ac:dyDescent="0.3">
      <c r="A110">
        <v>108</v>
      </c>
      <c r="B110">
        <v>140</v>
      </c>
      <c r="C110" t="s">
        <v>26</v>
      </c>
      <c r="D110">
        <v>10.1411</v>
      </c>
      <c r="E110">
        <v>9.86</v>
      </c>
      <c r="F110">
        <v>6.75</v>
      </c>
      <c r="G110">
        <v>101.26</v>
      </c>
      <c r="H110">
        <v>1.51</v>
      </c>
      <c r="I110">
        <v>4</v>
      </c>
      <c r="J110">
        <v>331.42</v>
      </c>
      <c r="K110">
        <v>60.56</v>
      </c>
      <c r="L110">
        <v>28</v>
      </c>
      <c r="M110">
        <v>2</v>
      </c>
      <c r="N110">
        <v>102.87</v>
      </c>
      <c r="O110">
        <v>41109.75</v>
      </c>
      <c r="P110">
        <v>111.6</v>
      </c>
      <c r="Q110">
        <v>204.14</v>
      </c>
      <c r="R110">
        <v>23.67</v>
      </c>
      <c r="S110">
        <v>17.37</v>
      </c>
      <c r="T110">
        <v>1058.3499999999999</v>
      </c>
      <c r="U110">
        <v>0.73</v>
      </c>
      <c r="V110">
        <v>0.76</v>
      </c>
      <c r="W110">
        <v>1.1399999999999999</v>
      </c>
      <c r="X110">
        <v>0.06</v>
      </c>
      <c r="Y110">
        <v>1</v>
      </c>
      <c r="Z110">
        <v>10</v>
      </c>
    </row>
    <row r="111" spans="1:26" x14ac:dyDescent="0.3">
      <c r="A111">
        <v>109</v>
      </c>
      <c r="B111">
        <v>140</v>
      </c>
      <c r="C111" t="s">
        <v>26</v>
      </c>
      <c r="D111">
        <v>10.1394</v>
      </c>
      <c r="E111">
        <v>9.86</v>
      </c>
      <c r="F111">
        <v>6.75</v>
      </c>
      <c r="G111">
        <v>101.29</v>
      </c>
      <c r="H111">
        <v>1.52</v>
      </c>
      <c r="I111">
        <v>4</v>
      </c>
      <c r="J111">
        <v>332.01</v>
      </c>
      <c r="K111">
        <v>60.56</v>
      </c>
      <c r="L111">
        <v>28.25</v>
      </c>
      <c r="M111">
        <v>2</v>
      </c>
      <c r="N111">
        <v>103.21</v>
      </c>
      <c r="O111">
        <v>41182.519999999997</v>
      </c>
      <c r="P111">
        <v>111.72</v>
      </c>
      <c r="Q111">
        <v>204.15</v>
      </c>
      <c r="R111">
        <v>23.75</v>
      </c>
      <c r="S111">
        <v>17.37</v>
      </c>
      <c r="T111">
        <v>1094.94</v>
      </c>
      <c r="U111">
        <v>0.73</v>
      </c>
      <c r="V111">
        <v>0.76</v>
      </c>
      <c r="W111">
        <v>1.1399999999999999</v>
      </c>
      <c r="X111">
        <v>0.06</v>
      </c>
      <c r="Y111">
        <v>1</v>
      </c>
      <c r="Z111">
        <v>10</v>
      </c>
    </row>
    <row r="112" spans="1:26" x14ac:dyDescent="0.3">
      <c r="A112">
        <v>110</v>
      </c>
      <c r="B112">
        <v>140</v>
      </c>
      <c r="C112" t="s">
        <v>26</v>
      </c>
      <c r="D112">
        <v>10.144</v>
      </c>
      <c r="E112">
        <v>9.86</v>
      </c>
      <c r="F112">
        <v>6.75</v>
      </c>
      <c r="G112">
        <v>101.22</v>
      </c>
      <c r="H112">
        <v>1.53</v>
      </c>
      <c r="I112">
        <v>4</v>
      </c>
      <c r="J112">
        <v>332.6</v>
      </c>
      <c r="K112">
        <v>60.56</v>
      </c>
      <c r="L112">
        <v>28.5</v>
      </c>
      <c r="M112">
        <v>2</v>
      </c>
      <c r="N112">
        <v>103.55</v>
      </c>
      <c r="O112">
        <v>41255.449999999997</v>
      </c>
      <c r="P112">
        <v>111.87</v>
      </c>
      <c r="Q112">
        <v>204.14</v>
      </c>
      <c r="R112">
        <v>23.62</v>
      </c>
      <c r="S112">
        <v>17.37</v>
      </c>
      <c r="T112">
        <v>1034.75</v>
      </c>
      <c r="U112">
        <v>0.74</v>
      </c>
      <c r="V112">
        <v>0.76</v>
      </c>
      <c r="W112">
        <v>1.1399999999999999</v>
      </c>
      <c r="X112">
        <v>0.06</v>
      </c>
      <c r="Y112">
        <v>1</v>
      </c>
      <c r="Z112">
        <v>10</v>
      </c>
    </row>
    <row r="113" spans="1:26" x14ac:dyDescent="0.3">
      <c r="A113">
        <v>111</v>
      </c>
      <c r="B113">
        <v>140</v>
      </c>
      <c r="C113" t="s">
        <v>26</v>
      </c>
      <c r="D113">
        <v>10.146000000000001</v>
      </c>
      <c r="E113">
        <v>9.86</v>
      </c>
      <c r="F113">
        <v>6.75</v>
      </c>
      <c r="G113">
        <v>101.19</v>
      </c>
      <c r="H113">
        <v>1.54</v>
      </c>
      <c r="I113">
        <v>4</v>
      </c>
      <c r="J113">
        <v>333.2</v>
      </c>
      <c r="K113">
        <v>60.56</v>
      </c>
      <c r="L113">
        <v>28.75</v>
      </c>
      <c r="M113">
        <v>2</v>
      </c>
      <c r="N113">
        <v>103.89</v>
      </c>
      <c r="O113">
        <v>41328.54</v>
      </c>
      <c r="P113">
        <v>111.9</v>
      </c>
      <c r="Q113">
        <v>204.15</v>
      </c>
      <c r="R113">
        <v>23.55</v>
      </c>
      <c r="S113">
        <v>17.37</v>
      </c>
      <c r="T113">
        <v>995.71</v>
      </c>
      <c r="U113">
        <v>0.74</v>
      </c>
      <c r="V113">
        <v>0.76</v>
      </c>
      <c r="W113">
        <v>1.1399999999999999</v>
      </c>
      <c r="X113">
        <v>0.05</v>
      </c>
      <c r="Y113">
        <v>1</v>
      </c>
      <c r="Z113">
        <v>10</v>
      </c>
    </row>
    <row r="114" spans="1:26" x14ac:dyDescent="0.3">
      <c r="A114">
        <v>112</v>
      </c>
      <c r="B114">
        <v>140</v>
      </c>
      <c r="C114" t="s">
        <v>26</v>
      </c>
      <c r="D114">
        <v>10.1509</v>
      </c>
      <c r="E114">
        <v>9.85</v>
      </c>
      <c r="F114">
        <v>6.74</v>
      </c>
      <c r="G114">
        <v>101.12</v>
      </c>
      <c r="H114">
        <v>1.55</v>
      </c>
      <c r="I114">
        <v>4</v>
      </c>
      <c r="J114">
        <v>333.79</v>
      </c>
      <c r="K114">
        <v>60.56</v>
      </c>
      <c r="L114">
        <v>29</v>
      </c>
      <c r="M114">
        <v>2</v>
      </c>
      <c r="N114">
        <v>104.24</v>
      </c>
      <c r="O114">
        <v>41401.93</v>
      </c>
      <c r="P114">
        <v>111.84</v>
      </c>
      <c r="Q114">
        <v>204.14</v>
      </c>
      <c r="R114">
        <v>23.43</v>
      </c>
      <c r="S114">
        <v>17.37</v>
      </c>
      <c r="T114">
        <v>939.05</v>
      </c>
      <c r="U114">
        <v>0.74</v>
      </c>
      <c r="V114">
        <v>0.76</v>
      </c>
      <c r="W114">
        <v>1.1399999999999999</v>
      </c>
      <c r="X114">
        <v>0.05</v>
      </c>
      <c r="Y114">
        <v>1</v>
      </c>
      <c r="Z114">
        <v>10</v>
      </c>
    </row>
    <row r="115" spans="1:26" x14ac:dyDescent="0.3">
      <c r="A115">
        <v>113</v>
      </c>
      <c r="B115">
        <v>140</v>
      </c>
      <c r="C115" t="s">
        <v>26</v>
      </c>
      <c r="D115">
        <v>10.146800000000001</v>
      </c>
      <c r="E115">
        <v>9.86</v>
      </c>
      <c r="F115">
        <v>6.75</v>
      </c>
      <c r="G115">
        <v>101.18</v>
      </c>
      <c r="H115">
        <v>1.56</v>
      </c>
      <c r="I115">
        <v>4</v>
      </c>
      <c r="J115">
        <v>334.39</v>
      </c>
      <c r="K115">
        <v>60.56</v>
      </c>
      <c r="L115">
        <v>29.25</v>
      </c>
      <c r="M115">
        <v>2</v>
      </c>
      <c r="N115">
        <v>104.58</v>
      </c>
      <c r="O115">
        <v>41475.370000000003</v>
      </c>
      <c r="P115">
        <v>112.04</v>
      </c>
      <c r="Q115">
        <v>204.14</v>
      </c>
      <c r="R115">
        <v>23.52</v>
      </c>
      <c r="S115">
        <v>17.37</v>
      </c>
      <c r="T115">
        <v>979.84</v>
      </c>
      <c r="U115">
        <v>0.74</v>
      </c>
      <c r="V115">
        <v>0.76</v>
      </c>
      <c r="W115">
        <v>1.1399999999999999</v>
      </c>
      <c r="X115">
        <v>0.05</v>
      </c>
      <c r="Y115">
        <v>1</v>
      </c>
      <c r="Z115">
        <v>10</v>
      </c>
    </row>
    <row r="116" spans="1:26" x14ac:dyDescent="0.3">
      <c r="A116">
        <v>114</v>
      </c>
      <c r="B116">
        <v>140</v>
      </c>
      <c r="C116" t="s">
        <v>26</v>
      </c>
      <c r="D116">
        <v>10.1486</v>
      </c>
      <c r="E116">
        <v>9.85</v>
      </c>
      <c r="F116">
        <v>6.74</v>
      </c>
      <c r="G116">
        <v>101.15</v>
      </c>
      <c r="H116">
        <v>1.57</v>
      </c>
      <c r="I116">
        <v>4</v>
      </c>
      <c r="J116">
        <v>334.98</v>
      </c>
      <c r="K116">
        <v>60.56</v>
      </c>
      <c r="L116">
        <v>29.5</v>
      </c>
      <c r="M116">
        <v>2</v>
      </c>
      <c r="N116">
        <v>104.93</v>
      </c>
      <c r="O116">
        <v>41548.980000000003</v>
      </c>
      <c r="P116">
        <v>112.08</v>
      </c>
      <c r="Q116">
        <v>204.14</v>
      </c>
      <c r="R116">
        <v>23.52</v>
      </c>
      <c r="S116">
        <v>17.37</v>
      </c>
      <c r="T116">
        <v>983.79</v>
      </c>
      <c r="U116">
        <v>0.74</v>
      </c>
      <c r="V116">
        <v>0.76</v>
      </c>
      <c r="W116">
        <v>1.1399999999999999</v>
      </c>
      <c r="X116">
        <v>0.05</v>
      </c>
      <c r="Y116">
        <v>1</v>
      </c>
      <c r="Z116">
        <v>10</v>
      </c>
    </row>
    <row r="117" spans="1:26" x14ac:dyDescent="0.3">
      <c r="A117">
        <v>115</v>
      </c>
      <c r="B117">
        <v>140</v>
      </c>
      <c r="C117" t="s">
        <v>26</v>
      </c>
      <c r="D117">
        <v>10.143700000000001</v>
      </c>
      <c r="E117">
        <v>9.86</v>
      </c>
      <c r="F117">
        <v>6.75</v>
      </c>
      <c r="G117">
        <v>101.22</v>
      </c>
      <c r="H117">
        <v>1.58</v>
      </c>
      <c r="I117">
        <v>4</v>
      </c>
      <c r="J117">
        <v>335.58</v>
      </c>
      <c r="K117">
        <v>60.56</v>
      </c>
      <c r="L117">
        <v>29.75</v>
      </c>
      <c r="M117">
        <v>2</v>
      </c>
      <c r="N117">
        <v>105.28</v>
      </c>
      <c r="O117">
        <v>41622.76</v>
      </c>
      <c r="P117">
        <v>112.13</v>
      </c>
      <c r="Q117">
        <v>204.16</v>
      </c>
      <c r="R117">
        <v>23.6</v>
      </c>
      <c r="S117">
        <v>17.37</v>
      </c>
      <c r="T117">
        <v>1024.5899999999999</v>
      </c>
      <c r="U117">
        <v>0.74</v>
      </c>
      <c r="V117">
        <v>0.76</v>
      </c>
      <c r="W117">
        <v>1.1399999999999999</v>
      </c>
      <c r="X117">
        <v>0.06</v>
      </c>
      <c r="Y117">
        <v>1</v>
      </c>
      <c r="Z117">
        <v>10</v>
      </c>
    </row>
    <row r="118" spans="1:26" x14ac:dyDescent="0.3">
      <c r="A118">
        <v>116</v>
      </c>
      <c r="B118">
        <v>140</v>
      </c>
      <c r="C118" t="s">
        <v>26</v>
      </c>
      <c r="D118">
        <v>10.1371</v>
      </c>
      <c r="E118">
        <v>9.86</v>
      </c>
      <c r="F118">
        <v>6.75</v>
      </c>
      <c r="G118">
        <v>101.32</v>
      </c>
      <c r="H118">
        <v>1.59</v>
      </c>
      <c r="I118">
        <v>4</v>
      </c>
      <c r="J118">
        <v>336.18</v>
      </c>
      <c r="K118">
        <v>60.56</v>
      </c>
      <c r="L118">
        <v>30</v>
      </c>
      <c r="M118">
        <v>2</v>
      </c>
      <c r="N118">
        <v>105.63</v>
      </c>
      <c r="O118">
        <v>41696.71</v>
      </c>
      <c r="P118">
        <v>112.31</v>
      </c>
      <c r="Q118">
        <v>204.14</v>
      </c>
      <c r="R118">
        <v>23.78</v>
      </c>
      <c r="S118">
        <v>17.37</v>
      </c>
      <c r="T118">
        <v>1112.79</v>
      </c>
      <c r="U118">
        <v>0.73</v>
      </c>
      <c r="V118">
        <v>0.76</v>
      </c>
      <c r="W118">
        <v>1.1399999999999999</v>
      </c>
      <c r="X118">
        <v>0.06</v>
      </c>
      <c r="Y118">
        <v>1</v>
      </c>
      <c r="Z118">
        <v>10</v>
      </c>
    </row>
    <row r="119" spans="1:26" x14ac:dyDescent="0.3">
      <c r="A119">
        <v>117</v>
      </c>
      <c r="B119">
        <v>140</v>
      </c>
      <c r="C119" t="s">
        <v>26</v>
      </c>
      <c r="D119">
        <v>10.144</v>
      </c>
      <c r="E119">
        <v>9.86</v>
      </c>
      <c r="F119">
        <v>6.75</v>
      </c>
      <c r="G119">
        <v>101.22</v>
      </c>
      <c r="H119">
        <v>1.6</v>
      </c>
      <c r="I119">
        <v>4</v>
      </c>
      <c r="J119">
        <v>336.78</v>
      </c>
      <c r="K119">
        <v>60.56</v>
      </c>
      <c r="L119">
        <v>30.25</v>
      </c>
      <c r="M119">
        <v>2</v>
      </c>
      <c r="N119">
        <v>105.98</v>
      </c>
      <c r="O119">
        <v>41770.83</v>
      </c>
      <c r="P119">
        <v>112.2</v>
      </c>
      <c r="Q119">
        <v>204.17</v>
      </c>
      <c r="R119">
        <v>23.65</v>
      </c>
      <c r="S119">
        <v>17.37</v>
      </c>
      <c r="T119">
        <v>1048.6300000000001</v>
      </c>
      <c r="U119">
        <v>0.73</v>
      </c>
      <c r="V119">
        <v>0.76</v>
      </c>
      <c r="W119">
        <v>1.1399999999999999</v>
      </c>
      <c r="X119">
        <v>0.06</v>
      </c>
      <c r="Y119">
        <v>1</v>
      </c>
      <c r="Z119">
        <v>10</v>
      </c>
    </row>
    <row r="120" spans="1:26" x14ac:dyDescent="0.3">
      <c r="A120">
        <v>118</v>
      </c>
      <c r="B120">
        <v>140</v>
      </c>
      <c r="C120" t="s">
        <v>26</v>
      </c>
      <c r="D120">
        <v>10.1411</v>
      </c>
      <c r="E120">
        <v>9.86</v>
      </c>
      <c r="F120">
        <v>6.75</v>
      </c>
      <c r="G120">
        <v>101.26</v>
      </c>
      <c r="H120">
        <v>1.61</v>
      </c>
      <c r="I120">
        <v>4</v>
      </c>
      <c r="J120">
        <v>337.39</v>
      </c>
      <c r="K120">
        <v>60.56</v>
      </c>
      <c r="L120">
        <v>30.5</v>
      </c>
      <c r="M120">
        <v>2</v>
      </c>
      <c r="N120">
        <v>106.33</v>
      </c>
      <c r="O120">
        <v>41845.129999999997</v>
      </c>
      <c r="P120">
        <v>112.27</v>
      </c>
      <c r="Q120">
        <v>204.21</v>
      </c>
      <c r="R120">
        <v>23.74</v>
      </c>
      <c r="S120">
        <v>17.37</v>
      </c>
      <c r="T120">
        <v>1092.26</v>
      </c>
      <c r="U120">
        <v>0.73</v>
      </c>
      <c r="V120">
        <v>0.76</v>
      </c>
      <c r="W120">
        <v>1.1399999999999999</v>
      </c>
      <c r="X120">
        <v>0.06</v>
      </c>
      <c r="Y120">
        <v>1</v>
      </c>
      <c r="Z120">
        <v>10</v>
      </c>
    </row>
    <row r="121" spans="1:26" x14ac:dyDescent="0.3">
      <c r="A121">
        <v>119</v>
      </c>
      <c r="B121">
        <v>140</v>
      </c>
      <c r="C121" t="s">
        <v>26</v>
      </c>
      <c r="D121">
        <v>10.143700000000001</v>
      </c>
      <c r="E121">
        <v>9.86</v>
      </c>
      <c r="F121">
        <v>6.75</v>
      </c>
      <c r="G121">
        <v>101.22</v>
      </c>
      <c r="H121">
        <v>1.62</v>
      </c>
      <c r="I121">
        <v>4</v>
      </c>
      <c r="J121">
        <v>337.99</v>
      </c>
      <c r="K121">
        <v>60.56</v>
      </c>
      <c r="L121">
        <v>30.75</v>
      </c>
      <c r="M121">
        <v>2</v>
      </c>
      <c r="N121">
        <v>106.68</v>
      </c>
      <c r="O121">
        <v>41919.61</v>
      </c>
      <c r="P121">
        <v>112.23</v>
      </c>
      <c r="Q121">
        <v>204.14</v>
      </c>
      <c r="R121">
        <v>23.63</v>
      </c>
      <c r="S121">
        <v>17.37</v>
      </c>
      <c r="T121">
        <v>1037.04</v>
      </c>
      <c r="U121">
        <v>0.74</v>
      </c>
      <c r="V121">
        <v>0.76</v>
      </c>
      <c r="W121">
        <v>1.1399999999999999</v>
      </c>
      <c r="X121">
        <v>0.06</v>
      </c>
      <c r="Y121">
        <v>1</v>
      </c>
      <c r="Z121">
        <v>10</v>
      </c>
    </row>
    <row r="122" spans="1:26" x14ac:dyDescent="0.3">
      <c r="A122">
        <v>120</v>
      </c>
      <c r="B122">
        <v>140</v>
      </c>
      <c r="C122" t="s">
        <v>26</v>
      </c>
      <c r="D122">
        <v>10.1471</v>
      </c>
      <c r="E122">
        <v>9.86</v>
      </c>
      <c r="F122">
        <v>6.75</v>
      </c>
      <c r="G122">
        <v>101.17</v>
      </c>
      <c r="H122">
        <v>1.63</v>
      </c>
      <c r="I122">
        <v>4</v>
      </c>
      <c r="J122">
        <v>338.59</v>
      </c>
      <c r="K122">
        <v>60.56</v>
      </c>
      <c r="L122">
        <v>31</v>
      </c>
      <c r="M122">
        <v>2</v>
      </c>
      <c r="N122">
        <v>107.04</v>
      </c>
      <c r="O122">
        <v>41994.26</v>
      </c>
      <c r="P122">
        <v>112.09</v>
      </c>
      <c r="Q122">
        <v>204.14</v>
      </c>
      <c r="R122">
        <v>23.55</v>
      </c>
      <c r="S122">
        <v>17.37</v>
      </c>
      <c r="T122">
        <v>999.64</v>
      </c>
      <c r="U122">
        <v>0.74</v>
      </c>
      <c r="V122">
        <v>0.76</v>
      </c>
      <c r="W122">
        <v>1.1399999999999999</v>
      </c>
      <c r="X122">
        <v>0.05</v>
      </c>
      <c r="Y122">
        <v>1</v>
      </c>
      <c r="Z122">
        <v>10</v>
      </c>
    </row>
    <row r="123" spans="1:26" x14ac:dyDescent="0.3">
      <c r="A123">
        <v>121</v>
      </c>
      <c r="B123">
        <v>140</v>
      </c>
      <c r="C123" t="s">
        <v>26</v>
      </c>
      <c r="D123">
        <v>10.147399999999999</v>
      </c>
      <c r="E123">
        <v>9.85</v>
      </c>
      <c r="F123">
        <v>6.74</v>
      </c>
      <c r="G123">
        <v>101.17</v>
      </c>
      <c r="H123">
        <v>1.64</v>
      </c>
      <c r="I123">
        <v>4</v>
      </c>
      <c r="J123">
        <v>339.2</v>
      </c>
      <c r="K123">
        <v>60.56</v>
      </c>
      <c r="L123">
        <v>31.25</v>
      </c>
      <c r="M123">
        <v>2</v>
      </c>
      <c r="N123">
        <v>107.4</v>
      </c>
      <c r="O123">
        <v>42069.09</v>
      </c>
      <c r="P123">
        <v>112.13</v>
      </c>
      <c r="Q123">
        <v>204.15</v>
      </c>
      <c r="R123">
        <v>23.52</v>
      </c>
      <c r="S123">
        <v>17.37</v>
      </c>
      <c r="T123">
        <v>982.79</v>
      </c>
      <c r="U123">
        <v>0.74</v>
      </c>
      <c r="V123">
        <v>0.76</v>
      </c>
      <c r="W123">
        <v>1.1399999999999999</v>
      </c>
      <c r="X123">
        <v>0.05</v>
      </c>
      <c r="Y123">
        <v>1</v>
      </c>
      <c r="Z123">
        <v>10</v>
      </c>
    </row>
    <row r="124" spans="1:26" x14ac:dyDescent="0.3">
      <c r="A124">
        <v>122</v>
      </c>
      <c r="B124">
        <v>140</v>
      </c>
      <c r="C124" t="s">
        <v>26</v>
      </c>
      <c r="D124">
        <v>10.1463</v>
      </c>
      <c r="E124">
        <v>9.86</v>
      </c>
      <c r="F124">
        <v>6.75</v>
      </c>
      <c r="G124">
        <v>101.19</v>
      </c>
      <c r="H124">
        <v>1.65</v>
      </c>
      <c r="I124">
        <v>4</v>
      </c>
      <c r="J124">
        <v>339.81</v>
      </c>
      <c r="K124">
        <v>60.56</v>
      </c>
      <c r="L124">
        <v>31.5</v>
      </c>
      <c r="M124">
        <v>2</v>
      </c>
      <c r="N124">
        <v>107.75</v>
      </c>
      <c r="O124">
        <v>42144.11</v>
      </c>
      <c r="P124">
        <v>112.15</v>
      </c>
      <c r="Q124">
        <v>204.14</v>
      </c>
      <c r="R124">
        <v>23.55</v>
      </c>
      <c r="S124">
        <v>17.37</v>
      </c>
      <c r="T124">
        <v>995.49</v>
      </c>
      <c r="U124">
        <v>0.74</v>
      </c>
      <c r="V124">
        <v>0.76</v>
      </c>
      <c r="W124">
        <v>1.1399999999999999</v>
      </c>
      <c r="X124">
        <v>0.05</v>
      </c>
      <c r="Y124">
        <v>1</v>
      </c>
      <c r="Z124">
        <v>10</v>
      </c>
    </row>
    <row r="125" spans="1:26" x14ac:dyDescent="0.3">
      <c r="A125">
        <v>123</v>
      </c>
      <c r="B125">
        <v>140</v>
      </c>
      <c r="C125" t="s">
        <v>26</v>
      </c>
      <c r="D125">
        <v>10.146800000000001</v>
      </c>
      <c r="E125">
        <v>9.86</v>
      </c>
      <c r="F125">
        <v>6.75</v>
      </c>
      <c r="G125">
        <v>101.18</v>
      </c>
      <c r="H125">
        <v>1.66</v>
      </c>
      <c r="I125">
        <v>4</v>
      </c>
      <c r="J125">
        <v>340.42</v>
      </c>
      <c r="K125">
        <v>60.56</v>
      </c>
      <c r="L125">
        <v>31.75</v>
      </c>
      <c r="M125">
        <v>2</v>
      </c>
      <c r="N125">
        <v>108.11</v>
      </c>
      <c r="O125">
        <v>42219.3</v>
      </c>
      <c r="P125">
        <v>112.08</v>
      </c>
      <c r="Q125">
        <v>204.14</v>
      </c>
      <c r="R125">
        <v>23.44</v>
      </c>
      <c r="S125">
        <v>17.37</v>
      </c>
      <c r="T125">
        <v>940.13</v>
      </c>
      <c r="U125">
        <v>0.74</v>
      </c>
      <c r="V125">
        <v>0.76</v>
      </c>
      <c r="W125">
        <v>1.1399999999999999</v>
      </c>
      <c r="X125">
        <v>0.05</v>
      </c>
      <c r="Y125">
        <v>1</v>
      </c>
      <c r="Z125">
        <v>10</v>
      </c>
    </row>
    <row r="126" spans="1:26" x14ac:dyDescent="0.3">
      <c r="A126">
        <v>124</v>
      </c>
      <c r="B126">
        <v>140</v>
      </c>
      <c r="C126" t="s">
        <v>26</v>
      </c>
      <c r="D126">
        <v>10.149699999999999</v>
      </c>
      <c r="E126">
        <v>9.85</v>
      </c>
      <c r="F126">
        <v>6.74</v>
      </c>
      <c r="G126">
        <v>101.14</v>
      </c>
      <c r="H126">
        <v>1.67</v>
      </c>
      <c r="I126">
        <v>4</v>
      </c>
      <c r="J126">
        <v>341.03</v>
      </c>
      <c r="K126">
        <v>60.56</v>
      </c>
      <c r="L126">
        <v>32</v>
      </c>
      <c r="M126">
        <v>2</v>
      </c>
      <c r="N126">
        <v>108.48</v>
      </c>
      <c r="O126">
        <v>42294.68</v>
      </c>
      <c r="P126">
        <v>111.99</v>
      </c>
      <c r="Q126">
        <v>204.14</v>
      </c>
      <c r="R126">
        <v>23.37</v>
      </c>
      <c r="S126">
        <v>17.37</v>
      </c>
      <c r="T126">
        <v>905.32</v>
      </c>
      <c r="U126">
        <v>0.74</v>
      </c>
      <c r="V126">
        <v>0.76</v>
      </c>
      <c r="W126">
        <v>1.1399999999999999</v>
      </c>
      <c r="X126">
        <v>0.05</v>
      </c>
      <c r="Y126">
        <v>1</v>
      </c>
      <c r="Z126">
        <v>10</v>
      </c>
    </row>
    <row r="127" spans="1:26" x14ac:dyDescent="0.3">
      <c r="A127">
        <v>125</v>
      </c>
      <c r="B127">
        <v>140</v>
      </c>
      <c r="C127" t="s">
        <v>26</v>
      </c>
      <c r="D127">
        <v>10.1488</v>
      </c>
      <c r="E127">
        <v>9.85</v>
      </c>
      <c r="F127">
        <v>6.74</v>
      </c>
      <c r="G127">
        <v>101.15</v>
      </c>
      <c r="H127">
        <v>1.68</v>
      </c>
      <c r="I127">
        <v>4</v>
      </c>
      <c r="J127">
        <v>341.64</v>
      </c>
      <c r="K127">
        <v>60.56</v>
      </c>
      <c r="L127">
        <v>32.25</v>
      </c>
      <c r="M127">
        <v>2</v>
      </c>
      <c r="N127">
        <v>108.84</v>
      </c>
      <c r="O127">
        <v>42370.23</v>
      </c>
      <c r="P127">
        <v>111.93</v>
      </c>
      <c r="Q127">
        <v>204.15</v>
      </c>
      <c r="R127">
        <v>23.47</v>
      </c>
      <c r="S127">
        <v>17.37</v>
      </c>
      <c r="T127">
        <v>955.44</v>
      </c>
      <c r="U127">
        <v>0.74</v>
      </c>
      <c r="V127">
        <v>0.76</v>
      </c>
      <c r="W127">
        <v>1.1399999999999999</v>
      </c>
      <c r="X127">
        <v>0.05</v>
      </c>
      <c r="Y127">
        <v>1</v>
      </c>
      <c r="Z127">
        <v>10</v>
      </c>
    </row>
    <row r="128" spans="1:26" x14ac:dyDescent="0.3">
      <c r="A128">
        <v>126</v>
      </c>
      <c r="B128">
        <v>140</v>
      </c>
      <c r="C128" t="s">
        <v>26</v>
      </c>
      <c r="D128">
        <v>10.149699999999999</v>
      </c>
      <c r="E128">
        <v>9.85</v>
      </c>
      <c r="F128">
        <v>6.74</v>
      </c>
      <c r="G128">
        <v>101.14</v>
      </c>
      <c r="H128">
        <v>1.69</v>
      </c>
      <c r="I128">
        <v>4</v>
      </c>
      <c r="J128">
        <v>342.26</v>
      </c>
      <c r="K128">
        <v>60.56</v>
      </c>
      <c r="L128">
        <v>32.5</v>
      </c>
      <c r="M128">
        <v>2</v>
      </c>
      <c r="N128">
        <v>109.2</v>
      </c>
      <c r="O128">
        <v>42445.98</v>
      </c>
      <c r="P128">
        <v>111.82</v>
      </c>
      <c r="Q128">
        <v>204.14</v>
      </c>
      <c r="R128">
        <v>23.48</v>
      </c>
      <c r="S128">
        <v>17.37</v>
      </c>
      <c r="T128">
        <v>961.69</v>
      </c>
      <c r="U128">
        <v>0.74</v>
      </c>
      <c r="V128">
        <v>0.76</v>
      </c>
      <c r="W128">
        <v>1.1399999999999999</v>
      </c>
      <c r="X128">
        <v>0.05</v>
      </c>
      <c r="Y128">
        <v>1</v>
      </c>
      <c r="Z128">
        <v>10</v>
      </c>
    </row>
    <row r="129" spans="1:26" x14ac:dyDescent="0.3">
      <c r="A129">
        <v>127</v>
      </c>
      <c r="B129">
        <v>140</v>
      </c>
      <c r="C129" t="s">
        <v>26</v>
      </c>
      <c r="D129">
        <v>10.15</v>
      </c>
      <c r="E129">
        <v>9.85</v>
      </c>
      <c r="F129">
        <v>6.74</v>
      </c>
      <c r="G129">
        <v>101.13</v>
      </c>
      <c r="H129">
        <v>1.7</v>
      </c>
      <c r="I129">
        <v>4</v>
      </c>
      <c r="J129">
        <v>342.87</v>
      </c>
      <c r="K129">
        <v>60.56</v>
      </c>
      <c r="L129">
        <v>32.75</v>
      </c>
      <c r="M129">
        <v>2</v>
      </c>
      <c r="N129">
        <v>109.57</v>
      </c>
      <c r="O129">
        <v>42521.91</v>
      </c>
      <c r="P129">
        <v>111.74</v>
      </c>
      <c r="Q129">
        <v>204.14</v>
      </c>
      <c r="R129">
        <v>23.41</v>
      </c>
      <c r="S129">
        <v>17.37</v>
      </c>
      <c r="T129">
        <v>927.08</v>
      </c>
      <c r="U129">
        <v>0.74</v>
      </c>
      <c r="V129">
        <v>0.76</v>
      </c>
      <c r="W129">
        <v>1.1399999999999999</v>
      </c>
      <c r="X129">
        <v>0.05</v>
      </c>
      <c r="Y129">
        <v>1</v>
      </c>
      <c r="Z129">
        <v>10</v>
      </c>
    </row>
    <row r="130" spans="1:26" x14ac:dyDescent="0.3">
      <c r="A130">
        <v>128</v>
      </c>
      <c r="B130">
        <v>140</v>
      </c>
      <c r="C130" t="s">
        <v>26</v>
      </c>
      <c r="D130">
        <v>10.1503</v>
      </c>
      <c r="E130">
        <v>9.85</v>
      </c>
      <c r="F130">
        <v>6.74</v>
      </c>
      <c r="G130">
        <v>101.13</v>
      </c>
      <c r="H130">
        <v>1.71</v>
      </c>
      <c r="I130">
        <v>4</v>
      </c>
      <c r="J130">
        <v>343.49</v>
      </c>
      <c r="K130">
        <v>60.56</v>
      </c>
      <c r="L130">
        <v>33</v>
      </c>
      <c r="M130">
        <v>2</v>
      </c>
      <c r="N130">
        <v>109.94</v>
      </c>
      <c r="O130">
        <v>42598.03</v>
      </c>
      <c r="P130">
        <v>111.72</v>
      </c>
      <c r="Q130">
        <v>204.14</v>
      </c>
      <c r="R130">
        <v>23.38</v>
      </c>
      <c r="S130">
        <v>17.37</v>
      </c>
      <c r="T130">
        <v>910.2</v>
      </c>
      <c r="U130">
        <v>0.74</v>
      </c>
      <c r="V130">
        <v>0.76</v>
      </c>
      <c r="W130">
        <v>1.1399999999999999</v>
      </c>
      <c r="X130">
        <v>0.05</v>
      </c>
      <c r="Y130">
        <v>1</v>
      </c>
      <c r="Z130">
        <v>10</v>
      </c>
    </row>
    <row r="131" spans="1:26" x14ac:dyDescent="0.3">
      <c r="A131">
        <v>129</v>
      </c>
      <c r="B131">
        <v>140</v>
      </c>
      <c r="C131" t="s">
        <v>26</v>
      </c>
      <c r="D131">
        <v>10.1517</v>
      </c>
      <c r="E131">
        <v>9.85</v>
      </c>
      <c r="F131">
        <v>6.74</v>
      </c>
      <c r="G131">
        <v>101.11</v>
      </c>
      <c r="H131">
        <v>1.72</v>
      </c>
      <c r="I131">
        <v>4</v>
      </c>
      <c r="J131">
        <v>344.11</v>
      </c>
      <c r="K131">
        <v>60.56</v>
      </c>
      <c r="L131">
        <v>33.25</v>
      </c>
      <c r="M131">
        <v>2</v>
      </c>
      <c r="N131">
        <v>110.3</v>
      </c>
      <c r="O131">
        <v>42674.47</v>
      </c>
      <c r="P131">
        <v>111.51</v>
      </c>
      <c r="Q131">
        <v>204.14</v>
      </c>
      <c r="R131">
        <v>23.35</v>
      </c>
      <c r="S131">
        <v>17.37</v>
      </c>
      <c r="T131">
        <v>895.74</v>
      </c>
      <c r="U131">
        <v>0.74</v>
      </c>
      <c r="V131">
        <v>0.76</v>
      </c>
      <c r="W131">
        <v>1.1399999999999999</v>
      </c>
      <c r="X131">
        <v>0.05</v>
      </c>
      <c r="Y131">
        <v>1</v>
      </c>
      <c r="Z131">
        <v>10</v>
      </c>
    </row>
    <row r="132" spans="1:26" x14ac:dyDescent="0.3">
      <c r="A132">
        <v>130</v>
      </c>
      <c r="B132">
        <v>140</v>
      </c>
      <c r="C132" t="s">
        <v>26</v>
      </c>
      <c r="D132">
        <v>10.1477</v>
      </c>
      <c r="E132">
        <v>9.85</v>
      </c>
      <c r="F132">
        <v>6.74</v>
      </c>
      <c r="G132">
        <v>101.17</v>
      </c>
      <c r="H132">
        <v>1.73</v>
      </c>
      <c r="I132">
        <v>4</v>
      </c>
      <c r="J132">
        <v>344.73</v>
      </c>
      <c r="K132">
        <v>60.56</v>
      </c>
      <c r="L132">
        <v>33.5</v>
      </c>
      <c r="M132">
        <v>2</v>
      </c>
      <c r="N132">
        <v>110.67</v>
      </c>
      <c r="O132">
        <v>42750.97</v>
      </c>
      <c r="P132">
        <v>111.51</v>
      </c>
      <c r="Q132">
        <v>204.14</v>
      </c>
      <c r="R132">
        <v>23.45</v>
      </c>
      <c r="S132">
        <v>17.37</v>
      </c>
      <c r="T132">
        <v>946.62</v>
      </c>
      <c r="U132">
        <v>0.74</v>
      </c>
      <c r="V132">
        <v>0.76</v>
      </c>
      <c r="W132">
        <v>1.1399999999999999</v>
      </c>
      <c r="X132">
        <v>0.05</v>
      </c>
      <c r="Y132">
        <v>1</v>
      </c>
      <c r="Z132">
        <v>10</v>
      </c>
    </row>
    <row r="133" spans="1:26" x14ac:dyDescent="0.3">
      <c r="A133">
        <v>131</v>
      </c>
      <c r="B133">
        <v>140</v>
      </c>
      <c r="C133" t="s">
        <v>26</v>
      </c>
      <c r="D133">
        <v>10.154299999999999</v>
      </c>
      <c r="E133">
        <v>9.85</v>
      </c>
      <c r="F133">
        <v>6.74</v>
      </c>
      <c r="G133">
        <v>101.07</v>
      </c>
      <c r="H133">
        <v>1.74</v>
      </c>
      <c r="I133">
        <v>4</v>
      </c>
      <c r="J133">
        <v>345.35</v>
      </c>
      <c r="K133">
        <v>60.56</v>
      </c>
      <c r="L133">
        <v>33.75</v>
      </c>
      <c r="M133">
        <v>2</v>
      </c>
      <c r="N133">
        <v>111.05</v>
      </c>
      <c r="O133">
        <v>42827.67</v>
      </c>
      <c r="P133">
        <v>111.34</v>
      </c>
      <c r="Q133">
        <v>204.18</v>
      </c>
      <c r="R133">
        <v>23.27</v>
      </c>
      <c r="S133">
        <v>17.37</v>
      </c>
      <c r="T133">
        <v>857.3</v>
      </c>
      <c r="U133">
        <v>0.75</v>
      </c>
      <c r="V133">
        <v>0.76</v>
      </c>
      <c r="W133">
        <v>1.1399999999999999</v>
      </c>
      <c r="X133">
        <v>0.05</v>
      </c>
      <c r="Y133">
        <v>1</v>
      </c>
      <c r="Z133">
        <v>10</v>
      </c>
    </row>
    <row r="134" spans="1:26" x14ac:dyDescent="0.3">
      <c r="A134">
        <v>132</v>
      </c>
      <c r="B134">
        <v>140</v>
      </c>
      <c r="C134" t="s">
        <v>26</v>
      </c>
      <c r="D134">
        <v>10.1569</v>
      </c>
      <c r="E134">
        <v>9.85</v>
      </c>
      <c r="F134">
        <v>6.74</v>
      </c>
      <c r="G134">
        <v>101.03</v>
      </c>
      <c r="H134">
        <v>1.75</v>
      </c>
      <c r="I134">
        <v>4</v>
      </c>
      <c r="J134">
        <v>345.97</v>
      </c>
      <c r="K134">
        <v>60.56</v>
      </c>
      <c r="L134">
        <v>34</v>
      </c>
      <c r="M134">
        <v>2</v>
      </c>
      <c r="N134">
        <v>111.42</v>
      </c>
      <c r="O134">
        <v>42904.56</v>
      </c>
      <c r="P134">
        <v>111.12</v>
      </c>
      <c r="Q134">
        <v>204.14</v>
      </c>
      <c r="R134">
        <v>23.16</v>
      </c>
      <c r="S134">
        <v>17.37</v>
      </c>
      <c r="T134">
        <v>803.87</v>
      </c>
      <c r="U134">
        <v>0.75</v>
      </c>
      <c r="V134">
        <v>0.76</v>
      </c>
      <c r="W134">
        <v>1.1399999999999999</v>
      </c>
      <c r="X134">
        <v>0.04</v>
      </c>
      <c r="Y134">
        <v>1</v>
      </c>
      <c r="Z134">
        <v>10</v>
      </c>
    </row>
    <row r="135" spans="1:26" x14ac:dyDescent="0.3">
      <c r="A135">
        <v>133</v>
      </c>
      <c r="B135">
        <v>140</v>
      </c>
      <c r="C135" t="s">
        <v>26</v>
      </c>
      <c r="D135">
        <v>10.1594</v>
      </c>
      <c r="E135">
        <v>9.84</v>
      </c>
      <c r="F135">
        <v>6.73</v>
      </c>
      <c r="G135">
        <v>101</v>
      </c>
      <c r="H135">
        <v>1.76</v>
      </c>
      <c r="I135">
        <v>4</v>
      </c>
      <c r="J135">
        <v>346.6</v>
      </c>
      <c r="K135">
        <v>60.56</v>
      </c>
      <c r="L135">
        <v>34.25</v>
      </c>
      <c r="M135">
        <v>2</v>
      </c>
      <c r="N135">
        <v>111.8</v>
      </c>
      <c r="O135">
        <v>42981.64</v>
      </c>
      <c r="P135">
        <v>111.08</v>
      </c>
      <c r="Q135">
        <v>204.14</v>
      </c>
      <c r="R135">
        <v>23.1</v>
      </c>
      <c r="S135">
        <v>17.37</v>
      </c>
      <c r="T135">
        <v>771.92</v>
      </c>
      <c r="U135">
        <v>0.75</v>
      </c>
      <c r="V135">
        <v>0.76</v>
      </c>
      <c r="W135">
        <v>1.1399999999999999</v>
      </c>
      <c r="X135">
        <v>0.04</v>
      </c>
      <c r="Y135">
        <v>1</v>
      </c>
      <c r="Z135">
        <v>10</v>
      </c>
    </row>
    <row r="136" spans="1:26" x14ac:dyDescent="0.3">
      <c r="A136">
        <v>134</v>
      </c>
      <c r="B136">
        <v>140</v>
      </c>
      <c r="C136" t="s">
        <v>26</v>
      </c>
      <c r="D136">
        <v>10.1569</v>
      </c>
      <c r="E136">
        <v>9.85</v>
      </c>
      <c r="F136">
        <v>6.74</v>
      </c>
      <c r="G136">
        <v>101.03</v>
      </c>
      <c r="H136">
        <v>1.77</v>
      </c>
      <c r="I136">
        <v>4</v>
      </c>
      <c r="J136">
        <v>347.23</v>
      </c>
      <c r="K136">
        <v>60.56</v>
      </c>
      <c r="L136">
        <v>34.5</v>
      </c>
      <c r="M136">
        <v>2</v>
      </c>
      <c r="N136">
        <v>112.17</v>
      </c>
      <c r="O136">
        <v>43058.93</v>
      </c>
      <c r="P136">
        <v>110.93</v>
      </c>
      <c r="Q136">
        <v>204.14</v>
      </c>
      <c r="R136">
        <v>23.14</v>
      </c>
      <c r="S136">
        <v>17.37</v>
      </c>
      <c r="T136">
        <v>792.31</v>
      </c>
      <c r="U136">
        <v>0.75</v>
      </c>
      <c r="V136">
        <v>0.76</v>
      </c>
      <c r="W136">
        <v>1.1399999999999999</v>
      </c>
      <c r="X136">
        <v>0.04</v>
      </c>
      <c r="Y136">
        <v>1</v>
      </c>
      <c r="Z136">
        <v>10</v>
      </c>
    </row>
    <row r="137" spans="1:26" x14ac:dyDescent="0.3">
      <c r="A137">
        <v>135</v>
      </c>
      <c r="B137">
        <v>140</v>
      </c>
      <c r="C137" t="s">
        <v>26</v>
      </c>
      <c r="D137">
        <v>10.156000000000001</v>
      </c>
      <c r="E137">
        <v>9.85</v>
      </c>
      <c r="F137">
        <v>6.74</v>
      </c>
      <c r="G137">
        <v>101.05</v>
      </c>
      <c r="H137">
        <v>1.78</v>
      </c>
      <c r="I137">
        <v>4</v>
      </c>
      <c r="J137">
        <v>347.85</v>
      </c>
      <c r="K137">
        <v>60.56</v>
      </c>
      <c r="L137">
        <v>34.75</v>
      </c>
      <c r="M137">
        <v>2</v>
      </c>
      <c r="N137">
        <v>112.55</v>
      </c>
      <c r="O137">
        <v>43136.41</v>
      </c>
      <c r="P137">
        <v>110.84</v>
      </c>
      <c r="Q137">
        <v>204.14</v>
      </c>
      <c r="R137">
        <v>23.18</v>
      </c>
      <c r="S137">
        <v>17.37</v>
      </c>
      <c r="T137">
        <v>813.39</v>
      </c>
      <c r="U137">
        <v>0.75</v>
      </c>
      <c r="V137">
        <v>0.76</v>
      </c>
      <c r="W137">
        <v>1.1399999999999999</v>
      </c>
      <c r="X137">
        <v>0.05</v>
      </c>
      <c r="Y137">
        <v>1</v>
      </c>
      <c r="Z137">
        <v>10</v>
      </c>
    </row>
    <row r="138" spans="1:26" x14ac:dyDescent="0.3">
      <c r="A138">
        <v>136</v>
      </c>
      <c r="B138">
        <v>140</v>
      </c>
      <c r="C138" t="s">
        <v>26</v>
      </c>
      <c r="D138">
        <v>10.1572</v>
      </c>
      <c r="E138">
        <v>9.85</v>
      </c>
      <c r="F138">
        <v>6.74</v>
      </c>
      <c r="G138">
        <v>101.03</v>
      </c>
      <c r="H138">
        <v>1.79</v>
      </c>
      <c r="I138">
        <v>4</v>
      </c>
      <c r="J138">
        <v>348.48</v>
      </c>
      <c r="K138">
        <v>60.56</v>
      </c>
      <c r="L138">
        <v>35</v>
      </c>
      <c r="M138">
        <v>2</v>
      </c>
      <c r="N138">
        <v>112.93</v>
      </c>
      <c r="O138">
        <v>43214.09</v>
      </c>
      <c r="P138">
        <v>110.68</v>
      </c>
      <c r="Q138">
        <v>204.14</v>
      </c>
      <c r="R138">
        <v>23.22</v>
      </c>
      <c r="S138">
        <v>17.37</v>
      </c>
      <c r="T138">
        <v>829.92</v>
      </c>
      <c r="U138">
        <v>0.75</v>
      </c>
      <c r="V138">
        <v>0.76</v>
      </c>
      <c r="W138">
        <v>1.1399999999999999</v>
      </c>
      <c r="X138">
        <v>0.04</v>
      </c>
      <c r="Y138">
        <v>1</v>
      </c>
      <c r="Z138">
        <v>10</v>
      </c>
    </row>
    <row r="139" spans="1:26" x14ac:dyDescent="0.3">
      <c r="A139">
        <v>137</v>
      </c>
      <c r="B139">
        <v>140</v>
      </c>
      <c r="C139" t="s">
        <v>26</v>
      </c>
      <c r="D139">
        <v>10.1557</v>
      </c>
      <c r="E139">
        <v>9.85</v>
      </c>
      <c r="F139">
        <v>6.74</v>
      </c>
      <c r="G139">
        <v>101.05</v>
      </c>
      <c r="H139">
        <v>1.8</v>
      </c>
      <c r="I139">
        <v>4</v>
      </c>
      <c r="J139">
        <v>349.12</v>
      </c>
      <c r="K139">
        <v>60.56</v>
      </c>
      <c r="L139">
        <v>35.25</v>
      </c>
      <c r="M139">
        <v>2</v>
      </c>
      <c r="N139">
        <v>113.31</v>
      </c>
      <c r="O139">
        <v>43291.97</v>
      </c>
      <c r="P139">
        <v>110.7</v>
      </c>
      <c r="Q139">
        <v>204.14</v>
      </c>
      <c r="R139">
        <v>23.23</v>
      </c>
      <c r="S139">
        <v>17.37</v>
      </c>
      <c r="T139">
        <v>837.53</v>
      </c>
      <c r="U139">
        <v>0.75</v>
      </c>
      <c r="V139">
        <v>0.76</v>
      </c>
      <c r="W139">
        <v>1.1399999999999999</v>
      </c>
      <c r="X139">
        <v>0.05</v>
      </c>
      <c r="Y139">
        <v>1</v>
      </c>
      <c r="Z139">
        <v>10</v>
      </c>
    </row>
    <row r="140" spans="1:26" x14ac:dyDescent="0.3">
      <c r="A140">
        <v>138</v>
      </c>
      <c r="B140">
        <v>140</v>
      </c>
      <c r="C140" t="s">
        <v>26</v>
      </c>
      <c r="D140">
        <v>10.1534</v>
      </c>
      <c r="E140">
        <v>9.85</v>
      </c>
      <c r="F140">
        <v>6.74</v>
      </c>
      <c r="G140">
        <v>101.08</v>
      </c>
      <c r="H140">
        <v>1.81</v>
      </c>
      <c r="I140">
        <v>4</v>
      </c>
      <c r="J140">
        <v>349.75</v>
      </c>
      <c r="K140">
        <v>60.56</v>
      </c>
      <c r="L140">
        <v>35.5</v>
      </c>
      <c r="M140">
        <v>2</v>
      </c>
      <c r="N140">
        <v>113.69</v>
      </c>
      <c r="O140">
        <v>43370.05</v>
      </c>
      <c r="P140">
        <v>110.6</v>
      </c>
      <c r="Q140">
        <v>204.14</v>
      </c>
      <c r="R140">
        <v>23.27</v>
      </c>
      <c r="S140">
        <v>17.37</v>
      </c>
      <c r="T140">
        <v>855.08</v>
      </c>
      <c r="U140">
        <v>0.75</v>
      </c>
      <c r="V140">
        <v>0.76</v>
      </c>
      <c r="W140">
        <v>1.1399999999999999</v>
      </c>
      <c r="X140">
        <v>0.05</v>
      </c>
      <c r="Y140">
        <v>1</v>
      </c>
      <c r="Z140">
        <v>10</v>
      </c>
    </row>
    <row r="141" spans="1:26" x14ac:dyDescent="0.3">
      <c r="A141">
        <v>139</v>
      </c>
      <c r="B141">
        <v>140</v>
      </c>
      <c r="C141" t="s">
        <v>26</v>
      </c>
      <c r="D141">
        <v>10.1511</v>
      </c>
      <c r="E141">
        <v>9.85</v>
      </c>
      <c r="F141">
        <v>6.74</v>
      </c>
      <c r="G141">
        <v>101.12</v>
      </c>
      <c r="H141">
        <v>1.82</v>
      </c>
      <c r="I141">
        <v>4</v>
      </c>
      <c r="J141">
        <v>350.38</v>
      </c>
      <c r="K141">
        <v>60.56</v>
      </c>
      <c r="L141">
        <v>35.75</v>
      </c>
      <c r="M141">
        <v>2</v>
      </c>
      <c r="N141">
        <v>114.08</v>
      </c>
      <c r="O141">
        <v>43448.34</v>
      </c>
      <c r="P141">
        <v>110.53</v>
      </c>
      <c r="Q141">
        <v>204.14</v>
      </c>
      <c r="R141">
        <v>23.37</v>
      </c>
      <c r="S141">
        <v>17.37</v>
      </c>
      <c r="T141">
        <v>908.14</v>
      </c>
      <c r="U141">
        <v>0.74</v>
      </c>
      <c r="V141">
        <v>0.76</v>
      </c>
      <c r="W141">
        <v>1.1399999999999999</v>
      </c>
      <c r="X141">
        <v>0.05</v>
      </c>
      <c r="Y141">
        <v>1</v>
      </c>
      <c r="Z141">
        <v>10</v>
      </c>
    </row>
    <row r="142" spans="1:26" x14ac:dyDescent="0.3">
      <c r="A142">
        <v>140</v>
      </c>
      <c r="B142">
        <v>140</v>
      </c>
      <c r="C142" t="s">
        <v>26</v>
      </c>
      <c r="D142">
        <v>10.1526</v>
      </c>
      <c r="E142">
        <v>9.85</v>
      </c>
      <c r="F142">
        <v>6.74</v>
      </c>
      <c r="G142">
        <v>101.1</v>
      </c>
      <c r="H142">
        <v>1.83</v>
      </c>
      <c r="I142">
        <v>4</v>
      </c>
      <c r="J142">
        <v>351.02</v>
      </c>
      <c r="K142">
        <v>60.56</v>
      </c>
      <c r="L142">
        <v>36</v>
      </c>
      <c r="M142">
        <v>2</v>
      </c>
      <c r="N142">
        <v>114.47</v>
      </c>
      <c r="O142">
        <v>43526.84</v>
      </c>
      <c r="P142">
        <v>110.23</v>
      </c>
      <c r="Q142">
        <v>204.14</v>
      </c>
      <c r="R142">
        <v>23.39</v>
      </c>
      <c r="S142">
        <v>17.37</v>
      </c>
      <c r="T142">
        <v>916.17</v>
      </c>
      <c r="U142">
        <v>0.74</v>
      </c>
      <c r="V142">
        <v>0.76</v>
      </c>
      <c r="W142">
        <v>1.1399999999999999</v>
      </c>
      <c r="X142">
        <v>0.05</v>
      </c>
      <c r="Y142">
        <v>1</v>
      </c>
      <c r="Z142">
        <v>10</v>
      </c>
    </row>
    <row r="143" spans="1:26" x14ac:dyDescent="0.3">
      <c r="A143">
        <v>141</v>
      </c>
      <c r="B143">
        <v>140</v>
      </c>
      <c r="C143" t="s">
        <v>26</v>
      </c>
      <c r="D143">
        <v>10.150600000000001</v>
      </c>
      <c r="E143">
        <v>9.85</v>
      </c>
      <c r="F143">
        <v>6.74</v>
      </c>
      <c r="G143">
        <v>101.12</v>
      </c>
      <c r="H143">
        <v>1.84</v>
      </c>
      <c r="I143">
        <v>4</v>
      </c>
      <c r="J143">
        <v>351.66</v>
      </c>
      <c r="K143">
        <v>60.56</v>
      </c>
      <c r="L143">
        <v>36.25</v>
      </c>
      <c r="M143">
        <v>2</v>
      </c>
      <c r="N143">
        <v>114.85</v>
      </c>
      <c r="O143">
        <v>43605.54</v>
      </c>
      <c r="P143">
        <v>110.17</v>
      </c>
      <c r="Q143">
        <v>204.14</v>
      </c>
      <c r="R143">
        <v>23.42</v>
      </c>
      <c r="S143">
        <v>17.37</v>
      </c>
      <c r="T143">
        <v>933.03</v>
      </c>
      <c r="U143">
        <v>0.74</v>
      </c>
      <c r="V143">
        <v>0.76</v>
      </c>
      <c r="W143">
        <v>1.1399999999999999</v>
      </c>
      <c r="X143">
        <v>0.05</v>
      </c>
      <c r="Y143">
        <v>1</v>
      </c>
      <c r="Z143">
        <v>10</v>
      </c>
    </row>
    <row r="144" spans="1:26" x14ac:dyDescent="0.3">
      <c r="A144">
        <v>142</v>
      </c>
      <c r="B144">
        <v>140</v>
      </c>
      <c r="C144" t="s">
        <v>26</v>
      </c>
      <c r="D144">
        <v>10.1534</v>
      </c>
      <c r="E144">
        <v>9.85</v>
      </c>
      <c r="F144">
        <v>6.74</v>
      </c>
      <c r="G144">
        <v>101.08</v>
      </c>
      <c r="H144">
        <v>1.85</v>
      </c>
      <c r="I144">
        <v>4</v>
      </c>
      <c r="J144">
        <v>352.3</v>
      </c>
      <c r="K144">
        <v>60.56</v>
      </c>
      <c r="L144">
        <v>36.5</v>
      </c>
      <c r="M144">
        <v>2</v>
      </c>
      <c r="N144">
        <v>115.24</v>
      </c>
      <c r="O144">
        <v>43684.46</v>
      </c>
      <c r="P144">
        <v>110.02</v>
      </c>
      <c r="Q144">
        <v>204.14</v>
      </c>
      <c r="R144">
        <v>23.25</v>
      </c>
      <c r="S144">
        <v>17.37</v>
      </c>
      <c r="T144">
        <v>845.06</v>
      </c>
      <c r="U144">
        <v>0.75</v>
      </c>
      <c r="V144">
        <v>0.76</v>
      </c>
      <c r="W144">
        <v>1.1399999999999999</v>
      </c>
      <c r="X144">
        <v>0.05</v>
      </c>
      <c r="Y144">
        <v>1</v>
      </c>
      <c r="Z144">
        <v>10</v>
      </c>
    </row>
    <row r="145" spans="1:26" x14ac:dyDescent="0.3">
      <c r="A145">
        <v>143</v>
      </c>
      <c r="B145">
        <v>140</v>
      </c>
      <c r="C145" t="s">
        <v>26</v>
      </c>
      <c r="D145">
        <v>10.1534</v>
      </c>
      <c r="E145">
        <v>9.85</v>
      </c>
      <c r="F145">
        <v>6.74</v>
      </c>
      <c r="G145">
        <v>101.08</v>
      </c>
      <c r="H145">
        <v>1.86</v>
      </c>
      <c r="I145">
        <v>4</v>
      </c>
      <c r="J145">
        <v>352.94</v>
      </c>
      <c r="K145">
        <v>60.56</v>
      </c>
      <c r="L145">
        <v>36.75</v>
      </c>
      <c r="M145">
        <v>2</v>
      </c>
      <c r="N145">
        <v>115.64</v>
      </c>
      <c r="O145">
        <v>43763.7</v>
      </c>
      <c r="P145">
        <v>109.89</v>
      </c>
      <c r="Q145">
        <v>204.14</v>
      </c>
      <c r="R145">
        <v>23.26</v>
      </c>
      <c r="S145">
        <v>17.37</v>
      </c>
      <c r="T145">
        <v>854.16</v>
      </c>
      <c r="U145">
        <v>0.75</v>
      </c>
      <c r="V145">
        <v>0.76</v>
      </c>
      <c r="W145">
        <v>1.1399999999999999</v>
      </c>
      <c r="X145">
        <v>0.05</v>
      </c>
      <c r="Y145">
        <v>1</v>
      </c>
      <c r="Z145">
        <v>10</v>
      </c>
    </row>
    <row r="146" spans="1:26" x14ac:dyDescent="0.3">
      <c r="A146">
        <v>144</v>
      </c>
      <c r="B146">
        <v>140</v>
      </c>
      <c r="C146" t="s">
        <v>26</v>
      </c>
      <c r="D146">
        <v>10.153700000000001</v>
      </c>
      <c r="E146">
        <v>9.85</v>
      </c>
      <c r="F146">
        <v>6.74</v>
      </c>
      <c r="G146">
        <v>101.08</v>
      </c>
      <c r="H146">
        <v>1.87</v>
      </c>
      <c r="I146">
        <v>4</v>
      </c>
      <c r="J146">
        <v>353.58</v>
      </c>
      <c r="K146">
        <v>60.56</v>
      </c>
      <c r="L146">
        <v>37</v>
      </c>
      <c r="M146">
        <v>2</v>
      </c>
      <c r="N146">
        <v>116.03</v>
      </c>
      <c r="O146">
        <v>43843.040000000001</v>
      </c>
      <c r="P146">
        <v>109.84</v>
      </c>
      <c r="Q146">
        <v>204.16</v>
      </c>
      <c r="R146">
        <v>23.3</v>
      </c>
      <c r="S146">
        <v>17.37</v>
      </c>
      <c r="T146">
        <v>873.34</v>
      </c>
      <c r="U146">
        <v>0.75</v>
      </c>
      <c r="V146">
        <v>0.76</v>
      </c>
      <c r="W146">
        <v>1.1399999999999999</v>
      </c>
      <c r="X146">
        <v>0.05</v>
      </c>
      <c r="Y146">
        <v>1</v>
      </c>
      <c r="Z146">
        <v>10</v>
      </c>
    </row>
    <row r="147" spans="1:26" x14ac:dyDescent="0.3">
      <c r="A147">
        <v>145</v>
      </c>
      <c r="B147">
        <v>140</v>
      </c>
      <c r="C147" t="s">
        <v>26</v>
      </c>
      <c r="D147">
        <v>10.154299999999999</v>
      </c>
      <c r="E147">
        <v>9.85</v>
      </c>
      <c r="F147">
        <v>6.74</v>
      </c>
      <c r="G147">
        <v>101.07</v>
      </c>
      <c r="H147">
        <v>1.87</v>
      </c>
      <c r="I147">
        <v>4</v>
      </c>
      <c r="J147">
        <v>354.23</v>
      </c>
      <c r="K147">
        <v>60.56</v>
      </c>
      <c r="L147">
        <v>37.25</v>
      </c>
      <c r="M147">
        <v>2</v>
      </c>
      <c r="N147">
        <v>116.42</v>
      </c>
      <c r="O147">
        <v>43922.6</v>
      </c>
      <c r="P147">
        <v>109.75</v>
      </c>
      <c r="Q147">
        <v>204.14</v>
      </c>
      <c r="R147">
        <v>23.25</v>
      </c>
      <c r="S147">
        <v>17.37</v>
      </c>
      <c r="T147">
        <v>849.03</v>
      </c>
      <c r="U147">
        <v>0.75</v>
      </c>
      <c r="V147">
        <v>0.76</v>
      </c>
      <c r="W147">
        <v>1.1399999999999999</v>
      </c>
      <c r="X147">
        <v>0.05</v>
      </c>
      <c r="Y147">
        <v>1</v>
      </c>
      <c r="Z147">
        <v>10</v>
      </c>
    </row>
    <row r="148" spans="1:26" x14ac:dyDescent="0.3">
      <c r="A148">
        <v>146</v>
      </c>
      <c r="B148">
        <v>140</v>
      </c>
      <c r="C148" t="s">
        <v>26</v>
      </c>
      <c r="D148">
        <v>10.154299999999999</v>
      </c>
      <c r="E148">
        <v>9.85</v>
      </c>
      <c r="F148">
        <v>6.74</v>
      </c>
      <c r="G148">
        <v>101.07</v>
      </c>
      <c r="H148">
        <v>1.88</v>
      </c>
      <c r="I148">
        <v>4</v>
      </c>
      <c r="J148">
        <v>354.88</v>
      </c>
      <c r="K148">
        <v>60.56</v>
      </c>
      <c r="L148">
        <v>37.5</v>
      </c>
      <c r="M148">
        <v>2</v>
      </c>
      <c r="N148">
        <v>116.82</v>
      </c>
      <c r="O148">
        <v>44002.37</v>
      </c>
      <c r="P148">
        <v>109.62</v>
      </c>
      <c r="Q148">
        <v>204.14</v>
      </c>
      <c r="R148">
        <v>23.28</v>
      </c>
      <c r="S148">
        <v>17.37</v>
      </c>
      <c r="T148">
        <v>862.11</v>
      </c>
      <c r="U148">
        <v>0.75</v>
      </c>
      <c r="V148">
        <v>0.76</v>
      </c>
      <c r="W148">
        <v>1.1399999999999999</v>
      </c>
      <c r="X148">
        <v>0.05</v>
      </c>
      <c r="Y148">
        <v>1</v>
      </c>
      <c r="Z148">
        <v>10</v>
      </c>
    </row>
    <row r="149" spans="1:26" x14ac:dyDescent="0.3">
      <c r="A149">
        <v>147</v>
      </c>
      <c r="B149">
        <v>140</v>
      </c>
      <c r="C149" t="s">
        <v>26</v>
      </c>
      <c r="D149">
        <v>10.1523</v>
      </c>
      <c r="E149">
        <v>9.85</v>
      </c>
      <c r="F149">
        <v>6.74</v>
      </c>
      <c r="G149">
        <v>101.1</v>
      </c>
      <c r="H149">
        <v>1.89</v>
      </c>
      <c r="I149">
        <v>4</v>
      </c>
      <c r="J149">
        <v>355.52</v>
      </c>
      <c r="K149">
        <v>60.56</v>
      </c>
      <c r="L149">
        <v>37.75</v>
      </c>
      <c r="M149">
        <v>2</v>
      </c>
      <c r="N149">
        <v>117.22</v>
      </c>
      <c r="O149">
        <v>44082.36</v>
      </c>
      <c r="P149">
        <v>109.37</v>
      </c>
      <c r="Q149">
        <v>204.14</v>
      </c>
      <c r="R149">
        <v>23.32</v>
      </c>
      <c r="S149">
        <v>17.37</v>
      </c>
      <c r="T149">
        <v>882.21</v>
      </c>
      <c r="U149">
        <v>0.75</v>
      </c>
      <c r="V149">
        <v>0.76</v>
      </c>
      <c r="W149">
        <v>1.1399999999999999</v>
      </c>
      <c r="X149">
        <v>0.05</v>
      </c>
      <c r="Y149">
        <v>1</v>
      </c>
      <c r="Z149">
        <v>10</v>
      </c>
    </row>
    <row r="150" spans="1:26" x14ac:dyDescent="0.3">
      <c r="A150">
        <v>148</v>
      </c>
      <c r="B150">
        <v>140</v>
      </c>
      <c r="C150" t="s">
        <v>26</v>
      </c>
      <c r="D150">
        <v>10.1477</v>
      </c>
      <c r="E150">
        <v>9.85</v>
      </c>
      <c r="F150">
        <v>6.74</v>
      </c>
      <c r="G150">
        <v>101.17</v>
      </c>
      <c r="H150">
        <v>1.9</v>
      </c>
      <c r="I150">
        <v>4</v>
      </c>
      <c r="J150">
        <v>356.17</v>
      </c>
      <c r="K150">
        <v>60.56</v>
      </c>
      <c r="L150">
        <v>38</v>
      </c>
      <c r="M150">
        <v>2</v>
      </c>
      <c r="N150">
        <v>117.62</v>
      </c>
      <c r="O150">
        <v>44162.57</v>
      </c>
      <c r="P150">
        <v>109.33</v>
      </c>
      <c r="Q150">
        <v>204.14</v>
      </c>
      <c r="R150">
        <v>23.5</v>
      </c>
      <c r="S150">
        <v>17.37</v>
      </c>
      <c r="T150">
        <v>971.66</v>
      </c>
      <c r="U150">
        <v>0.74</v>
      </c>
      <c r="V150">
        <v>0.76</v>
      </c>
      <c r="W150">
        <v>1.1399999999999999</v>
      </c>
      <c r="X150">
        <v>0.05</v>
      </c>
      <c r="Y150">
        <v>1</v>
      </c>
      <c r="Z150">
        <v>10</v>
      </c>
    </row>
    <row r="151" spans="1:26" x14ac:dyDescent="0.3">
      <c r="A151">
        <v>149</v>
      </c>
      <c r="B151">
        <v>140</v>
      </c>
      <c r="C151" t="s">
        <v>26</v>
      </c>
      <c r="D151">
        <v>10.149100000000001</v>
      </c>
      <c r="E151">
        <v>9.85</v>
      </c>
      <c r="F151">
        <v>6.74</v>
      </c>
      <c r="G151">
        <v>101.15</v>
      </c>
      <c r="H151">
        <v>1.91</v>
      </c>
      <c r="I151">
        <v>4</v>
      </c>
      <c r="J151">
        <v>356.83</v>
      </c>
      <c r="K151">
        <v>60.56</v>
      </c>
      <c r="L151">
        <v>38.25</v>
      </c>
      <c r="M151">
        <v>2</v>
      </c>
      <c r="N151">
        <v>118.02</v>
      </c>
      <c r="O151">
        <v>44243</v>
      </c>
      <c r="P151">
        <v>109.02</v>
      </c>
      <c r="Q151">
        <v>204.14</v>
      </c>
      <c r="R151">
        <v>23.4</v>
      </c>
      <c r="S151">
        <v>17.37</v>
      </c>
      <c r="T151">
        <v>920.85</v>
      </c>
      <c r="U151">
        <v>0.74</v>
      </c>
      <c r="V151">
        <v>0.76</v>
      </c>
      <c r="W151">
        <v>1.1399999999999999</v>
      </c>
      <c r="X151">
        <v>0.05</v>
      </c>
      <c r="Y151">
        <v>1</v>
      </c>
      <c r="Z151">
        <v>10</v>
      </c>
    </row>
    <row r="152" spans="1:26" x14ac:dyDescent="0.3">
      <c r="A152">
        <v>150</v>
      </c>
      <c r="B152">
        <v>140</v>
      </c>
      <c r="C152" t="s">
        <v>26</v>
      </c>
      <c r="D152">
        <v>10.152900000000001</v>
      </c>
      <c r="E152">
        <v>9.85</v>
      </c>
      <c r="F152">
        <v>6.74</v>
      </c>
      <c r="G152">
        <v>101.09</v>
      </c>
      <c r="H152">
        <v>1.92</v>
      </c>
      <c r="I152">
        <v>4</v>
      </c>
      <c r="J152">
        <v>357.48</v>
      </c>
      <c r="K152">
        <v>60.56</v>
      </c>
      <c r="L152">
        <v>38.5</v>
      </c>
      <c r="M152">
        <v>2</v>
      </c>
      <c r="N152">
        <v>118.43</v>
      </c>
      <c r="O152">
        <v>44323.66</v>
      </c>
      <c r="P152">
        <v>108.83</v>
      </c>
      <c r="Q152">
        <v>204.14</v>
      </c>
      <c r="R152">
        <v>23.34</v>
      </c>
      <c r="S152">
        <v>17.37</v>
      </c>
      <c r="T152">
        <v>891.05</v>
      </c>
      <c r="U152">
        <v>0.74</v>
      </c>
      <c r="V152">
        <v>0.76</v>
      </c>
      <c r="W152">
        <v>1.1399999999999999</v>
      </c>
      <c r="X152">
        <v>0.05</v>
      </c>
      <c r="Y152">
        <v>1</v>
      </c>
      <c r="Z152">
        <v>10</v>
      </c>
    </row>
    <row r="153" spans="1:26" x14ac:dyDescent="0.3">
      <c r="A153">
        <v>151</v>
      </c>
      <c r="B153">
        <v>140</v>
      </c>
      <c r="C153" t="s">
        <v>26</v>
      </c>
      <c r="D153">
        <v>10.2293</v>
      </c>
      <c r="E153">
        <v>9.7799999999999994</v>
      </c>
      <c r="F153">
        <v>6.72</v>
      </c>
      <c r="G153">
        <v>134.36000000000001</v>
      </c>
      <c r="H153">
        <v>1.93</v>
      </c>
      <c r="I153">
        <v>3</v>
      </c>
      <c r="J153">
        <v>358.14</v>
      </c>
      <c r="K153">
        <v>60.56</v>
      </c>
      <c r="L153">
        <v>38.75</v>
      </c>
      <c r="M153">
        <v>1</v>
      </c>
      <c r="N153">
        <v>118.83</v>
      </c>
      <c r="O153">
        <v>44404.54</v>
      </c>
      <c r="P153">
        <v>108.15</v>
      </c>
      <c r="Q153">
        <v>204.16</v>
      </c>
      <c r="R153">
        <v>22.57</v>
      </c>
      <c r="S153">
        <v>17.37</v>
      </c>
      <c r="T153">
        <v>513.78</v>
      </c>
      <c r="U153">
        <v>0.77</v>
      </c>
      <c r="V153">
        <v>0.76</v>
      </c>
      <c r="W153">
        <v>1.1399999999999999</v>
      </c>
      <c r="X153">
        <v>0.03</v>
      </c>
      <c r="Y153">
        <v>1</v>
      </c>
      <c r="Z153">
        <v>10</v>
      </c>
    </row>
    <row r="154" spans="1:26" x14ac:dyDescent="0.3">
      <c r="A154">
        <v>152</v>
      </c>
      <c r="B154">
        <v>140</v>
      </c>
      <c r="C154" t="s">
        <v>26</v>
      </c>
      <c r="D154">
        <v>10.2296</v>
      </c>
      <c r="E154">
        <v>9.7799999999999994</v>
      </c>
      <c r="F154">
        <v>6.72</v>
      </c>
      <c r="G154">
        <v>134.36000000000001</v>
      </c>
      <c r="H154">
        <v>1.94</v>
      </c>
      <c r="I154">
        <v>3</v>
      </c>
      <c r="J154">
        <v>358.79</v>
      </c>
      <c r="K154">
        <v>60.56</v>
      </c>
      <c r="L154">
        <v>39</v>
      </c>
      <c r="M154">
        <v>1</v>
      </c>
      <c r="N154">
        <v>119.24</v>
      </c>
      <c r="O154">
        <v>44485.65</v>
      </c>
      <c r="P154">
        <v>108.28</v>
      </c>
      <c r="Q154">
        <v>204.14</v>
      </c>
      <c r="R154">
        <v>22.6</v>
      </c>
      <c r="S154">
        <v>17.37</v>
      </c>
      <c r="T154">
        <v>528.6</v>
      </c>
      <c r="U154">
        <v>0.77</v>
      </c>
      <c r="V154">
        <v>0.76</v>
      </c>
      <c r="W154">
        <v>1.1399999999999999</v>
      </c>
      <c r="X154">
        <v>0.03</v>
      </c>
      <c r="Y154">
        <v>1</v>
      </c>
      <c r="Z154">
        <v>10</v>
      </c>
    </row>
    <row r="155" spans="1:26" x14ac:dyDescent="0.3">
      <c r="A155">
        <v>153</v>
      </c>
      <c r="B155">
        <v>140</v>
      </c>
      <c r="C155" t="s">
        <v>26</v>
      </c>
      <c r="D155">
        <v>10.2296</v>
      </c>
      <c r="E155">
        <v>9.7799999999999994</v>
      </c>
      <c r="F155">
        <v>6.72</v>
      </c>
      <c r="G155">
        <v>134.36000000000001</v>
      </c>
      <c r="H155">
        <v>1.95</v>
      </c>
      <c r="I155">
        <v>3</v>
      </c>
      <c r="J155">
        <v>359.45</v>
      </c>
      <c r="K155">
        <v>60.56</v>
      </c>
      <c r="L155">
        <v>39.25</v>
      </c>
      <c r="M155">
        <v>1</v>
      </c>
      <c r="N155">
        <v>119.65</v>
      </c>
      <c r="O155">
        <v>44566.98</v>
      </c>
      <c r="P155">
        <v>108.68</v>
      </c>
      <c r="Q155">
        <v>204.14</v>
      </c>
      <c r="R155">
        <v>22.62</v>
      </c>
      <c r="S155">
        <v>17.37</v>
      </c>
      <c r="T155">
        <v>534.99</v>
      </c>
      <c r="U155">
        <v>0.77</v>
      </c>
      <c r="V155">
        <v>0.76</v>
      </c>
      <c r="W155">
        <v>1.1399999999999999</v>
      </c>
      <c r="X155">
        <v>0.03</v>
      </c>
      <c r="Y155">
        <v>1</v>
      </c>
      <c r="Z155">
        <v>10</v>
      </c>
    </row>
    <row r="156" spans="1:26" x14ac:dyDescent="0.3">
      <c r="A156">
        <v>154</v>
      </c>
      <c r="B156">
        <v>140</v>
      </c>
      <c r="C156" t="s">
        <v>26</v>
      </c>
      <c r="D156">
        <v>10.228999999999999</v>
      </c>
      <c r="E156">
        <v>9.7799999999999994</v>
      </c>
      <c r="F156">
        <v>6.72</v>
      </c>
      <c r="G156">
        <v>134.37</v>
      </c>
      <c r="H156">
        <v>1.96</v>
      </c>
      <c r="I156">
        <v>3</v>
      </c>
      <c r="J156">
        <v>360.12</v>
      </c>
      <c r="K156">
        <v>60.56</v>
      </c>
      <c r="L156">
        <v>39.5</v>
      </c>
      <c r="M156">
        <v>1</v>
      </c>
      <c r="N156">
        <v>120.06</v>
      </c>
      <c r="O156">
        <v>44648.55</v>
      </c>
      <c r="P156">
        <v>108.82</v>
      </c>
      <c r="Q156">
        <v>204.14</v>
      </c>
      <c r="R156">
        <v>22.67</v>
      </c>
      <c r="S156">
        <v>17.37</v>
      </c>
      <c r="T156">
        <v>564.65</v>
      </c>
      <c r="U156">
        <v>0.77</v>
      </c>
      <c r="V156">
        <v>0.76</v>
      </c>
      <c r="W156">
        <v>1.1399999999999999</v>
      </c>
      <c r="X156">
        <v>0.03</v>
      </c>
      <c r="Y156">
        <v>1</v>
      </c>
      <c r="Z156">
        <v>10</v>
      </c>
    </row>
    <row r="157" spans="1:26" x14ac:dyDescent="0.3">
      <c r="A157">
        <v>155</v>
      </c>
      <c r="B157">
        <v>140</v>
      </c>
      <c r="C157" t="s">
        <v>26</v>
      </c>
      <c r="D157">
        <v>10.227</v>
      </c>
      <c r="E157">
        <v>9.7799999999999994</v>
      </c>
      <c r="F157">
        <v>6.72</v>
      </c>
      <c r="G157">
        <v>134.41</v>
      </c>
      <c r="H157">
        <v>1.96</v>
      </c>
      <c r="I157">
        <v>3</v>
      </c>
      <c r="J157">
        <v>360.78</v>
      </c>
      <c r="K157">
        <v>60.56</v>
      </c>
      <c r="L157">
        <v>39.75</v>
      </c>
      <c r="M157">
        <v>1</v>
      </c>
      <c r="N157">
        <v>120.47</v>
      </c>
      <c r="O157">
        <v>44730.35</v>
      </c>
      <c r="P157">
        <v>109.15</v>
      </c>
      <c r="Q157">
        <v>204.14</v>
      </c>
      <c r="R157">
        <v>22.69</v>
      </c>
      <c r="S157">
        <v>17.37</v>
      </c>
      <c r="T157">
        <v>570.86</v>
      </c>
      <c r="U157">
        <v>0.77</v>
      </c>
      <c r="V157">
        <v>0.76</v>
      </c>
      <c r="W157">
        <v>1.1399999999999999</v>
      </c>
      <c r="X157">
        <v>0.03</v>
      </c>
      <c r="Y157">
        <v>1</v>
      </c>
      <c r="Z157">
        <v>10</v>
      </c>
    </row>
    <row r="158" spans="1:26" x14ac:dyDescent="0.3">
      <c r="A158">
        <v>156</v>
      </c>
      <c r="B158">
        <v>140</v>
      </c>
      <c r="C158" t="s">
        <v>26</v>
      </c>
      <c r="D158">
        <v>10.2281</v>
      </c>
      <c r="E158">
        <v>9.7799999999999994</v>
      </c>
      <c r="F158">
        <v>6.72</v>
      </c>
      <c r="G158">
        <v>134.38</v>
      </c>
      <c r="H158">
        <v>1.97</v>
      </c>
      <c r="I158">
        <v>3</v>
      </c>
      <c r="J158">
        <v>361.44</v>
      </c>
      <c r="K158">
        <v>60.56</v>
      </c>
      <c r="L158">
        <v>40</v>
      </c>
      <c r="M158">
        <v>1</v>
      </c>
      <c r="N158">
        <v>120.89</v>
      </c>
      <c r="O158">
        <v>44812.39</v>
      </c>
      <c r="P158">
        <v>109.26</v>
      </c>
      <c r="Q158">
        <v>204.14</v>
      </c>
      <c r="R158">
        <v>22.67</v>
      </c>
      <c r="S158">
        <v>17.37</v>
      </c>
      <c r="T158">
        <v>562.27</v>
      </c>
      <c r="U158">
        <v>0.77</v>
      </c>
      <c r="V158">
        <v>0.76</v>
      </c>
      <c r="W158">
        <v>1.1399999999999999</v>
      </c>
      <c r="X158">
        <v>0.03</v>
      </c>
      <c r="Y158">
        <v>1</v>
      </c>
      <c r="Z158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Planilha3"/>
  <dimension ref="A1:Z27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40</v>
      </c>
      <c r="C2" t="s">
        <v>26</v>
      </c>
      <c r="D2">
        <v>9.5432000000000006</v>
      </c>
      <c r="E2">
        <v>10.48</v>
      </c>
      <c r="F2">
        <v>7.65</v>
      </c>
      <c r="G2">
        <v>9.77</v>
      </c>
      <c r="H2">
        <v>0.2</v>
      </c>
      <c r="I2">
        <v>47</v>
      </c>
      <c r="J2">
        <v>89.87</v>
      </c>
      <c r="K2">
        <v>37.549999999999997</v>
      </c>
      <c r="L2">
        <v>1</v>
      </c>
      <c r="M2">
        <v>45</v>
      </c>
      <c r="N2">
        <v>11.32</v>
      </c>
      <c r="O2">
        <v>11317.98</v>
      </c>
      <c r="P2">
        <v>63.52</v>
      </c>
      <c r="Q2">
        <v>204.25</v>
      </c>
      <c r="R2">
        <v>51.61</v>
      </c>
      <c r="S2">
        <v>17.37</v>
      </c>
      <c r="T2">
        <v>14809.95</v>
      </c>
      <c r="U2">
        <v>0.34</v>
      </c>
      <c r="V2">
        <v>0.67</v>
      </c>
      <c r="W2">
        <v>1.22</v>
      </c>
      <c r="X2">
        <v>0.96</v>
      </c>
      <c r="Y2">
        <v>1</v>
      </c>
      <c r="Z2">
        <v>10</v>
      </c>
    </row>
    <row r="3" spans="1:26" x14ac:dyDescent="0.3">
      <c r="A3">
        <v>1</v>
      </c>
      <c r="B3">
        <v>40</v>
      </c>
      <c r="C3" t="s">
        <v>26</v>
      </c>
      <c r="D3">
        <v>9.9870000000000001</v>
      </c>
      <c r="E3">
        <v>10.01</v>
      </c>
      <c r="F3">
        <v>7.39</v>
      </c>
      <c r="G3">
        <v>12.32</v>
      </c>
      <c r="H3">
        <v>0.24</v>
      </c>
      <c r="I3">
        <v>36</v>
      </c>
      <c r="J3">
        <v>90.18</v>
      </c>
      <c r="K3">
        <v>37.549999999999997</v>
      </c>
      <c r="L3">
        <v>1.25</v>
      </c>
      <c r="M3">
        <v>34</v>
      </c>
      <c r="N3">
        <v>11.37</v>
      </c>
      <c r="O3">
        <v>11355.7</v>
      </c>
      <c r="P3">
        <v>60.94</v>
      </c>
      <c r="Q3">
        <v>204.2</v>
      </c>
      <c r="R3">
        <v>43.68</v>
      </c>
      <c r="S3">
        <v>17.37</v>
      </c>
      <c r="T3">
        <v>10902.33</v>
      </c>
      <c r="U3">
        <v>0.4</v>
      </c>
      <c r="V3">
        <v>0.69</v>
      </c>
      <c r="W3">
        <v>1.19</v>
      </c>
      <c r="X3">
        <v>0.7</v>
      </c>
      <c r="Y3">
        <v>1</v>
      </c>
      <c r="Z3">
        <v>10</v>
      </c>
    </row>
    <row r="4" spans="1:26" x14ac:dyDescent="0.3">
      <c r="A4">
        <v>2</v>
      </c>
      <c r="B4">
        <v>40</v>
      </c>
      <c r="C4" t="s">
        <v>26</v>
      </c>
      <c r="D4">
        <v>10.230499999999999</v>
      </c>
      <c r="E4">
        <v>9.77</v>
      </c>
      <c r="F4">
        <v>7.27</v>
      </c>
      <c r="G4">
        <v>14.54</v>
      </c>
      <c r="H4">
        <v>0.28999999999999998</v>
      </c>
      <c r="I4">
        <v>30</v>
      </c>
      <c r="J4">
        <v>90.48</v>
      </c>
      <c r="K4">
        <v>37.549999999999997</v>
      </c>
      <c r="L4">
        <v>1.5</v>
      </c>
      <c r="M4">
        <v>28</v>
      </c>
      <c r="N4">
        <v>11.43</v>
      </c>
      <c r="O4">
        <v>11393.43</v>
      </c>
      <c r="P4">
        <v>59.38</v>
      </c>
      <c r="Q4">
        <v>204.15</v>
      </c>
      <c r="R4">
        <v>39.94</v>
      </c>
      <c r="S4">
        <v>17.37</v>
      </c>
      <c r="T4">
        <v>9060.16</v>
      </c>
      <c r="U4">
        <v>0.44</v>
      </c>
      <c r="V4">
        <v>0.7</v>
      </c>
      <c r="W4">
        <v>1.18</v>
      </c>
      <c r="X4">
        <v>0.57999999999999996</v>
      </c>
      <c r="Y4">
        <v>1</v>
      </c>
      <c r="Z4">
        <v>10</v>
      </c>
    </row>
    <row r="5" spans="1:26" x14ac:dyDescent="0.3">
      <c r="A5">
        <v>3</v>
      </c>
      <c r="B5">
        <v>40</v>
      </c>
      <c r="C5" t="s">
        <v>26</v>
      </c>
      <c r="D5">
        <v>10.426299999999999</v>
      </c>
      <c r="E5">
        <v>9.59</v>
      </c>
      <c r="F5">
        <v>7.18</v>
      </c>
      <c r="G5">
        <v>17.23</v>
      </c>
      <c r="H5">
        <v>0.34</v>
      </c>
      <c r="I5">
        <v>25</v>
      </c>
      <c r="J5">
        <v>90.79</v>
      </c>
      <c r="K5">
        <v>37.549999999999997</v>
      </c>
      <c r="L5">
        <v>1.75</v>
      </c>
      <c r="M5">
        <v>23</v>
      </c>
      <c r="N5">
        <v>11.49</v>
      </c>
      <c r="O5">
        <v>11431.19</v>
      </c>
      <c r="P5">
        <v>58.32</v>
      </c>
      <c r="Q5">
        <v>204.15</v>
      </c>
      <c r="R5">
        <v>37.090000000000003</v>
      </c>
      <c r="S5">
        <v>17.37</v>
      </c>
      <c r="T5">
        <v>7660.46</v>
      </c>
      <c r="U5">
        <v>0.47</v>
      </c>
      <c r="V5">
        <v>0.71</v>
      </c>
      <c r="W5">
        <v>1.18</v>
      </c>
      <c r="X5">
        <v>0.49</v>
      </c>
      <c r="Y5">
        <v>1</v>
      </c>
      <c r="Z5">
        <v>10</v>
      </c>
    </row>
    <row r="6" spans="1:26" x14ac:dyDescent="0.3">
      <c r="A6">
        <v>4</v>
      </c>
      <c r="B6">
        <v>40</v>
      </c>
      <c r="C6" t="s">
        <v>26</v>
      </c>
      <c r="D6">
        <v>10.5587</v>
      </c>
      <c r="E6">
        <v>9.4700000000000006</v>
      </c>
      <c r="F6">
        <v>7.12</v>
      </c>
      <c r="G6">
        <v>19.41</v>
      </c>
      <c r="H6">
        <v>0.39</v>
      </c>
      <c r="I6">
        <v>22</v>
      </c>
      <c r="J6">
        <v>91.1</v>
      </c>
      <c r="K6">
        <v>37.549999999999997</v>
      </c>
      <c r="L6">
        <v>2</v>
      </c>
      <c r="M6">
        <v>20</v>
      </c>
      <c r="N6">
        <v>11.54</v>
      </c>
      <c r="O6">
        <v>11468.97</v>
      </c>
      <c r="P6">
        <v>57.4</v>
      </c>
      <c r="Q6">
        <v>204.23</v>
      </c>
      <c r="R6">
        <v>34.909999999999997</v>
      </c>
      <c r="S6">
        <v>17.37</v>
      </c>
      <c r="T6">
        <v>6588.59</v>
      </c>
      <c r="U6">
        <v>0.5</v>
      </c>
      <c r="V6">
        <v>0.72</v>
      </c>
      <c r="W6">
        <v>1.17</v>
      </c>
      <c r="X6">
        <v>0.42</v>
      </c>
      <c r="Y6">
        <v>1</v>
      </c>
      <c r="Z6">
        <v>10</v>
      </c>
    </row>
    <row r="7" spans="1:26" x14ac:dyDescent="0.3">
      <c r="A7">
        <v>5</v>
      </c>
      <c r="B7">
        <v>40</v>
      </c>
      <c r="C7" t="s">
        <v>26</v>
      </c>
      <c r="D7">
        <v>10.7003</v>
      </c>
      <c r="E7">
        <v>9.35</v>
      </c>
      <c r="F7">
        <v>7.05</v>
      </c>
      <c r="G7">
        <v>22.25</v>
      </c>
      <c r="H7">
        <v>0.43</v>
      </c>
      <c r="I7">
        <v>19</v>
      </c>
      <c r="J7">
        <v>91.4</v>
      </c>
      <c r="K7">
        <v>37.549999999999997</v>
      </c>
      <c r="L7">
        <v>2.25</v>
      </c>
      <c r="M7">
        <v>17</v>
      </c>
      <c r="N7">
        <v>11.6</v>
      </c>
      <c r="O7">
        <v>11506.78</v>
      </c>
      <c r="P7">
        <v>56.26</v>
      </c>
      <c r="Q7">
        <v>204.15</v>
      </c>
      <c r="R7">
        <v>32.950000000000003</v>
      </c>
      <c r="S7">
        <v>17.37</v>
      </c>
      <c r="T7">
        <v>5623.15</v>
      </c>
      <c r="U7">
        <v>0.53</v>
      </c>
      <c r="V7">
        <v>0.72</v>
      </c>
      <c r="W7">
        <v>1.1599999999999999</v>
      </c>
      <c r="X7">
        <v>0.35</v>
      </c>
      <c r="Y7">
        <v>1</v>
      </c>
      <c r="Z7">
        <v>10</v>
      </c>
    </row>
    <row r="8" spans="1:26" x14ac:dyDescent="0.3">
      <c r="A8">
        <v>6</v>
      </c>
      <c r="B8">
        <v>40</v>
      </c>
      <c r="C8" t="s">
        <v>26</v>
      </c>
      <c r="D8">
        <v>10.7859</v>
      </c>
      <c r="E8">
        <v>9.27</v>
      </c>
      <c r="F8">
        <v>7.01</v>
      </c>
      <c r="G8">
        <v>24.74</v>
      </c>
      <c r="H8">
        <v>0.48</v>
      </c>
      <c r="I8">
        <v>17</v>
      </c>
      <c r="J8">
        <v>91.71</v>
      </c>
      <c r="K8">
        <v>37.549999999999997</v>
      </c>
      <c r="L8">
        <v>2.5</v>
      </c>
      <c r="M8">
        <v>15</v>
      </c>
      <c r="N8">
        <v>11.66</v>
      </c>
      <c r="O8">
        <v>11544.61</v>
      </c>
      <c r="P8">
        <v>55.47</v>
      </c>
      <c r="Q8">
        <v>204.14</v>
      </c>
      <c r="R8">
        <v>31.59</v>
      </c>
      <c r="S8">
        <v>17.37</v>
      </c>
      <c r="T8">
        <v>4950.38</v>
      </c>
      <c r="U8">
        <v>0.55000000000000004</v>
      </c>
      <c r="V8">
        <v>0.73</v>
      </c>
      <c r="W8">
        <v>1.17</v>
      </c>
      <c r="X8">
        <v>0.32</v>
      </c>
      <c r="Y8">
        <v>1</v>
      </c>
      <c r="Z8">
        <v>10</v>
      </c>
    </row>
    <row r="9" spans="1:26" x14ac:dyDescent="0.3">
      <c r="A9">
        <v>7</v>
      </c>
      <c r="B9">
        <v>40</v>
      </c>
      <c r="C9" t="s">
        <v>26</v>
      </c>
      <c r="D9">
        <v>10.805899999999999</v>
      </c>
      <c r="E9">
        <v>9.25</v>
      </c>
      <c r="F9">
        <v>7.01</v>
      </c>
      <c r="G9">
        <v>26.29</v>
      </c>
      <c r="H9">
        <v>0.52</v>
      </c>
      <c r="I9">
        <v>16</v>
      </c>
      <c r="J9">
        <v>92.02</v>
      </c>
      <c r="K9">
        <v>37.549999999999997</v>
      </c>
      <c r="L9">
        <v>2.75</v>
      </c>
      <c r="M9">
        <v>14</v>
      </c>
      <c r="N9">
        <v>11.71</v>
      </c>
      <c r="O9">
        <v>11582.46</v>
      </c>
      <c r="P9">
        <v>55.28</v>
      </c>
      <c r="Q9">
        <v>204.14</v>
      </c>
      <c r="R9">
        <v>31.82</v>
      </c>
      <c r="S9">
        <v>17.37</v>
      </c>
      <c r="T9">
        <v>5070.12</v>
      </c>
      <c r="U9">
        <v>0.55000000000000004</v>
      </c>
      <c r="V9">
        <v>0.73</v>
      </c>
      <c r="W9">
        <v>1.17</v>
      </c>
      <c r="X9">
        <v>0.32</v>
      </c>
      <c r="Y9">
        <v>1</v>
      </c>
      <c r="Z9">
        <v>10</v>
      </c>
    </row>
    <row r="10" spans="1:26" x14ac:dyDescent="0.3">
      <c r="A10">
        <v>8</v>
      </c>
      <c r="B10">
        <v>40</v>
      </c>
      <c r="C10" t="s">
        <v>26</v>
      </c>
      <c r="D10">
        <v>10.9223</v>
      </c>
      <c r="E10">
        <v>9.16</v>
      </c>
      <c r="F10">
        <v>6.95</v>
      </c>
      <c r="G10">
        <v>29.79</v>
      </c>
      <c r="H10">
        <v>0.56999999999999995</v>
      </c>
      <c r="I10">
        <v>14</v>
      </c>
      <c r="J10">
        <v>92.32</v>
      </c>
      <c r="K10">
        <v>37.549999999999997</v>
      </c>
      <c r="L10">
        <v>3</v>
      </c>
      <c r="M10">
        <v>12</v>
      </c>
      <c r="N10">
        <v>11.77</v>
      </c>
      <c r="O10">
        <v>11620.34</v>
      </c>
      <c r="P10">
        <v>54.24</v>
      </c>
      <c r="Q10">
        <v>204.16</v>
      </c>
      <c r="R10">
        <v>30.13</v>
      </c>
      <c r="S10">
        <v>17.37</v>
      </c>
      <c r="T10">
        <v>4237.3</v>
      </c>
      <c r="U10">
        <v>0.57999999999999996</v>
      </c>
      <c r="V10">
        <v>0.73</v>
      </c>
      <c r="W10">
        <v>1.1499999999999999</v>
      </c>
      <c r="X10">
        <v>0.26</v>
      </c>
      <c r="Y10">
        <v>1</v>
      </c>
      <c r="Z10">
        <v>10</v>
      </c>
    </row>
    <row r="11" spans="1:26" x14ac:dyDescent="0.3">
      <c r="A11">
        <v>9</v>
      </c>
      <c r="B11">
        <v>40</v>
      </c>
      <c r="C11" t="s">
        <v>26</v>
      </c>
      <c r="D11">
        <v>10.9703</v>
      </c>
      <c r="E11">
        <v>9.1199999999999992</v>
      </c>
      <c r="F11">
        <v>6.93</v>
      </c>
      <c r="G11">
        <v>31.98</v>
      </c>
      <c r="H11">
        <v>0.62</v>
      </c>
      <c r="I11">
        <v>13</v>
      </c>
      <c r="J11">
        <v>92.63</v>
      </c>
      <c r="K11">
        <v>37.549999999999997</v>
      </c>
      <c r="L11">
        <v>3.25</v>
      </c>
      <c r="M11">
        <v>11</v>
      </c>
      <c r="N11">
        <v>11.83</v>
      </c>
      <c r="O11">
        <v>11658.24</v>
      </c>
      <c r="P11">
        <v>53.73</v>
      </c>
      <c r="Q11">
        <v>204.15</v>
      </c>
      <c r="R11">
        <v>29.28</v>
      </c>
      <c r="S11">
        <v>17.37</v>
      </c>
      <c r="T11">
        <v>3819.24</v>
      </c>
      <c r="U11">
        <v>0.59</v>
      </c>
      <c r="V11">
        <v>0.74</v>
      </c>
      <c r="W11">
        <v>1.1599999999999999</v>
      </c>
      <c r="X11">
        <v>0.24</v>
      </c>
      <c r="Y11">
        <v>1</v>
      </c>
      <c r="Z11">
        <v>10</v>
      </c>
    </row>
    <row r="12" spans="1:26" x14ac:dyDescent="0.3">
      <c r="A12">
        <v>10</v>
      </c>
      <c r="B12">
        <v>40</v>
      </c>
      <c r="C12" t="s">
        <v>26</v>
      </c>
      <c r="D12">
        <v>11.0136</v>
      </c>
      <c r="E12">
        <v>9.08</v>
      </c>
      <c r="F12">
        <v>6.91</v>
      </c>
      <c r="G12">
        <v>34.57</v>
      </c>
      <c r="H12">
        <v>0.66</v>
      </c>
      <c r="I12">
        <v>12</v>
      </c>
      <c r="J12">
        <v>92.94</v>
      </c>
      <c r="K12">
        <v>37.549999999999997</v>
      </c>
      <c r="L12">
        <v>3.5</v>
      </c>
      <c r="M12">
        <v>10</v>
      </c>
      <c r="N12">
        <v>11.88</v>
      </c>
      <c r="O12">
        <v>11696.16</v>
      </c>
      <c r="P12">
        <v>53.17</v>
      </c>
      <c r="Q12">
        <v>204.15</v>
      </c>
      <c r="R12">
        <v>28.86</v>
      </c>
      <c r="S12">
        <v>17.37</v>
      </c>
      <c r="T12">
        <v>3610.93</v>
      </c>
      <c r="U12">
        <v>0.6</v>
      </c>
      <c r="V12">
        <v>0.74</v>
      </c>
      <c r="W12">
        <v>1.1499999999999999</v>
      </c>
      <c r="X12">
        <v>0.22</v>
      </c>
      <c r="Y12">
        <v>1</v>
      </c>
      <c r="Z12">
        <v>10</v>
      </c>
    </row>
    <row r="13" spans="1:26" x14ac:dyDescent="0.3">
      <c r="A13">
        <v>11</v>
      </c>
      <c r="B13">
        <v>40</v>
      </c>
      <c r="C13" t="s">
        <v>26</v>
      </c>
      <c r="D13">
        <v>11.0807</v>
      </c>
      <c r="E13">
        <v>9.02</v>
      </c>
      <c r="F13">
        <v>6.88</v>
      </c>
      <c r="G13">
        <v>37.51</v>
      </c>
      <c r="H13">
        <v>0.71</v>
      </c>
      <c r="I13">
        <v>11</v>
      </c>
      <c r="J13">
        <v>93.24</v>
      </c>
      <c r="K13">
        <v>37.549999999999997</v>
      </c>
      <c r="L13">
        <v>3.75</v>
      </c>
      <c r="M13">
        <v>9</v>
      </c>
      <c r="N13">
        <v>11.94</v>
      </c>
      <c r="O13">
        <v>11734.1</v>
      </c>
      <c r="P13">
        <v>52.11</v>
      </c>
      <c r="Q13">
        <v>204.17</v>
      </c>
      <c r="R13">
        <v>27.66</v>
      </c>
      <c r="S13">
        <v>17.37</v>
      </c>
      <c r="T13">
        <v>3017.84</v>
      </c>
      <c r="U13">
        <v>0.63</v>
      </c>
      <c r="V13">
        <v>0.74</v>
      </c>
      <c r="W13">
        <v>1.1499999999999999</v>
      </c>
      <c r="X13">
        <v>0.19</v>
      </c>
      <c r="Y13">
        <v>1</v>
      </c>
      <c r="Z13">
        <v>10</v>
      </c>
    </row>
    <row r="14" spans="1:26" x14ac:dyDescent="0.3">
      <c r="A14">
        <v>12</v>
      </c>
      <c r="B14">
        <v>40</v>
      </c>
      <c r="C14" t="s">
        <v>26</v>
      </c>
      <c r="D14">
        <v>11.0626</v>
      </c>
      <c r="E14">
        <v>9.0399999999999991</v>
      </c>
      <c r="F14">
        <v>6.89</v>
      </c>
      <c r="G14">
        <v>37.590000000000003</v>
      </c>
      <c r="H14">
        <v>0.75</v>
      </c>
      <c r="I14">
        <v>11</v>
      </c>
      <c r="J14">
        <v>93.55</v>
      </c>
      <c r="K14">
        <v>37.549999999999997</v>
      </c>
      <c r="L14">
        <v>4</v>
      </c>
      <c r="M14">
        <v>9</v>
      </c>
      <c r="N14">
        <v>12</v>
      </c>
      <c r="O14">
        <v>11772.07</v>
      </c>
      <c r="P14">
        <v>51.96</v>
      </c>
      <c r="Q14">
        <v>204.15</v>
      </c>
      <c r="R14">
        <v>28.14</v>
      </c>
      <c r="S14">
        <v>17.37</v>
      </c>
      <c r="T14">
        <v>3258.82</v>
      </c>
      <c r="U14">
        <v>0.62</v>
      </c>
      <c r="V14">
        <v>0.74</v>
      </c>
      <c r="W14">
        <v>1.1499999999999999</v>
      </c>
      <c r="X14">
        <v>0.2</v>
      </c>
      <c r="Y14">
        <v>1</v>
      </c>
      <c r="Z14">
        <v>10</v>
      </c>
    </row>
    <row r="15" spans="1:26" x14ac:dyDescent="0.3">
      <c r="A15">
        <v>13</v>
      </c>
      <c r="B15">
        <v>40</v>
      </c>
      <c r="C15" t="s">
        <v>26</v>
      </c>
      <c r="D15">
        <v>11.110799999999999</v>
      </c>
      <c r="E15">
        <v>9</v>
      </c>
      <c r="F15">
        <v>6.87</v>
      </c>
      <c r="G15">
        <v>41.23</v>
      </c>
      <c r="H15">
        <v>0.8</v>
      </c>
      <c r="I15">
        <v>10</v>
      </c>
      <c r="J15">
        <v>93.86</v>
      </c>
      <c r="K15">
        <v>37.549999999999997</v>
      </c>
      <c r="L15">
        <v>4.25</v>
      </c>
      <c r="M15">
        <v>8</v>
      </c>
      <c r="N15">
        <v>12.06</v>
      </c>
      <c r="O15">
        <v>11810.06</v>
      </c>
      <c r="P15">
        <v>51.18</v>
      </c>
      <c r="Q15">
        <v>204.14</v>
      </c>
      <c r="R15">
        <v>27.35</v>
      </c>
      <c r="S15">
        <v>17.37</v>
      </c>
      <c r="T15">
        <v>2868.84</v>
      </c>
      <c r="U15">
        <v>0.64</v>
      </c>
      <c r="V15">
        <v>0.74</v>
      </c>
      <c r="W15">
        <v>1.1599999999999999</v>
      </c>
      <c r="X15">
        <v>0.18</v>
      </c>
      <c r="Y15">
        <v>1</v>
      </c>
      <c r="Z15">
        <v>10</v>
      </c>
    </row>
    <row r="16" spans="1:26" x14ac:dyDescent="0.3">
      <c r="A16">
        <v>14</v>
      </c>
      <c r="B16">
        <v>40</v>
      </c>
      <c r="C16" t="s">
        <v>26</v>
      </c>
      <c r="D16">
        <v>11.1676</v>
      </c>
      <c r="E16">
        <v>8.9499999999999993</v>
      </c>
      <c r="F16">
        <v>6.84</v>
      </c>
      <c r="G16">
        <v>45.63</v>
      </c>
      <c r="H16">
        <v>0.84</v>
      </c>
      <c r="I16">
        <v>9</v>
      </c>
      <c r="J16">
        <v>94.17</v>
      </c>
      <c r="K16">
        <v>37.549999999999997</v>
      </c>
      <c r="L16">
        <v>4.5</v>
      </c>
      <c r="M16">
        <v>7</v>
      </c>
      <c r="N16">
        <v>12.12</v>
      </c>
      <c r="O16">
        <v>11848.08</v>
      </c>
      <c r="P16">
        <v>50.3</v>
      </c>
      <c r="Q16">
        <v>204.14</v>
      </c>
      <c r="R16">
        <v>26.61</v>
      </c>
      <c r="S16">
        <v>17.37</v>
      </c>
      <c r="T16">
        <v>2501.66</v>
      </c>
      <c r="U16">
        <v>0.65</v>
      </c>
      <c r="V16">
        <v>0.75</v>
      </c>
      <c r="W16">
        <v>1.1499999999999999</v>
      </c>
      <c r="X16">
        <v>0.15</v>
      </c>
      <c r="Y16">
        <v>1</v>
      </c>
      <c r="Z16">
        <v>10</v>
      </c>
    </row>
    <row r="17" spans="1:26" x14ac:dyDescent="0.3">
      <c r="A17">
        <v>15</v>
      </c>
      <c r="B17">
        <v>40</v>
      </c>
      <c r="C17" t="s">
        <v>26</v>
      </c>
      <c r="D17">
        <v>11.1503</v>
      </c>
      <c r="E17">
        <v>8.9700000000000006</v>
      </c>
      <c r="F17">
        <v>6.86</v>
      </c>
      <c r="G17">
        <v>45.72</v>
      </c>
      <c r="H17">
        <v>0.88</v>
      </c>
      <c r="I17">
        <v>9</v>
      </c>
      <c r="J17">
        <v>94.48</v>
      </c>
      <c r="K17">
        <v>37.549999999999997</v>
      </c>
      <c r="L17">
        <v>4.75</v>
      </c>
      <c r="M17">
        <v>7</v>
      </c>
      <c r="N17">
        <v>12.17</v>
      </c>
      <c r="O17">
        <v>11886.12</v>
      </c>
      <c r="P17">
        <v>50.73</v>
      </c>
      <c r="Q17">
        <v>204.14</v>
      </c>
      <c r="R17">
        <v>27.09</v>
      </c>
      <c r="S17">
        <v>17.37</v>
      </c>
      <c r="T17">
        <v>2740.19</v>
      </c>
      <c r="U17">
        <v>0.64</v>
      </c>
      <c r="V17">
        <v>0.74</v>
      </c>
      <c r="W17">
        <v>1.1499999999999999</v>
      </c>
      <c r="X17">
        <v>0.17</v>
      </c>
      <c r="Y17">
        <v>1</v>
      </c>
      <c r="Z17">
        <v>10</v>
      </c>
    </row>
    <row r="18" spans="1:26" x14ac:dyDescent="0.3">
      <c r="A18">
        <v>16</v>
      </c>
      <c r="B18">
        <v>40</v>
      </c>
      <c r="C18" t="s">
        <v>26</v>
      </c>
      <c r="D18">
        <v>11.1569</v>
      </c>
      <c r="E18">
        <v>8.9600000000000009</v>
      </c>
      <c r="F18">
        <v>6.85</v>
      </c>
      <c r="G18">
        <v>45.69</v>
      </c>
      <c r="H18">
        <v>0.93</v>
      </c>
      <c r="I18">
        <v>9</v>
      </c>
      <c r="J18">
        <v>94.79</v>
      </c>
      <c r="K18">
        <v>37.549999999999997</v>
      </c>
      <c r="L18">
        <v>5</v>
      </c>
      <c r="M18">
        <v>7</v>
      </c>
      <c r="N18">
        <v>12.23</v>
      </c>
      <c r="O18">
        <v>11924.18</v>
      </c>
      <c r="P18">
        <v>49.72</v>
      </c>
      <c r="Q18">
        <v>204.16</v>
      </c>
      <c r="R18">
        <v>26.87</v>
      </c>
      <c r="S18">
        <v>17.37</v>
      </c>
      <c r="T18">
        <v>2631.91</v>
      </c>
      <c r="U18">
        <v>0.65</v>
      </c>
      <c r="V18">
        <v>0.75</v>
      </c>
      <c r="W18">
        <v>1.1499999999999999</v>
      </c>
      <c r="X18">
        <v>0.16</v>
      </c>
      <c r="Y18">
        <v>1</v>
      </c>
      <c r="Z18">
        <v>10</v>
      </c>
    </row>
    <row r="19" spans="1:26" x14ac:dyDescent="0.3">
      <c r="A19">
        <v>17</v>
      </c>
      <c r="B19">
        <v>40</v>
      </c>
      <c r="C19" t="s">
        <v>26</v>
      </c>
      <c r="D19">
        <v>11.2157</v>
      </c>
      <c r="E19">
        <v>8.92</v>
      </c>
      <c r="F19">
        <v>6.83</v>
      </c>
      <c r="G19">
        <v>51.19</v>
      </c>
      <c r="H19">
        <v>0.97</v>
      </c>
      <c r="I19">
        <v>8</v>
      </c>
      <c r="J19">
        <v>95.09</v>
      </c>
      <c r="K19">
        <v>37.549999999999997</v>
      </c>
      <c r="L19">
        <v>5.25</v>
      </c>
      <c r="M19">
        <v>6</v>
      </c>
      <c r="N19">
        <v>12.29</v>
      </c>
      <c r="O19">
        <v>11962.27</v>
      </c>
      <c r="P19">
        <v>48.85</v>
      </c>
      <c r="Q19">
        <v>204.15</v>
      </c>
      <c r="R19">
        <v>25.94</v>
      </c>
      <c r="S19">
        <v>17.37</v>
      </c>
      <c r="T19">
        <v>2173.36</v>
      </c>
      <c r="U19">
        <v>0.67</v>
      </c>
      <c r="V19">
        <v>0.75</v>
      </c>
      <c r="W19">
        <v>1.1499999999999999</v>
      </c>
      <c r="X19">
        <v>0.13</v>
      </c>
      <c r="Y19">
        <v>1</v>
      </c>
      <c r="Z19">
        <v>10</v>
      </c>
    </row>
    <row r="20" spans="1:26" x14ac:dyDescent="0.3">
      <c r="A20">
        <v>18</v>
      </c>
      <c r="B20">
        <v>40</v>
      </c>
      <c r="C20" t="s">
        <v>26</v>
      </c>
      <c r="D20">
        <v>11.212199999999999</v>
      </c>
      <c r="E20">
        <v>8.92</v>
      </c>
      <c r="F20">
        <v>6.83</v>
      </c>
      <c r="G20">
        <v>51.21</v>
      </c>
      <c r="H20">
        <v>1.01</v>
      </c>
      <c r="I20">
        <v>8</v>
      </c>
      <c r="J20">
        <v>95.4</v>
      </c>
      <c r="K20">
        <v>37.549999999999997</v>
      </c>
      <c r="L20">
        <v>5.5</v>
      </c>
      <c r="M20">
        <v>6</v>
      </c>
      <c r="N20">
        <v>12.35</v>
      </c>
      <c r="O20">
        <v>12000.38</v>
      </c>
      <c r="P20">
        <v>48.44</v>
      </c>
      <c r="Q20">
        <v>204.15</v>
      </c>
      <c r="R20">
        <v>26.05</v>
      </c>
      <c r="S20">
        <v>17.37</v>
      </c>
      <c r="T20">
        <v>2227.0100000000002</v>
      </c>
      <c r="U20">
        <v>0.67</v>
      </c>
      <c r="V20">
        <v>0.75</v>
      </c>
      <c r="W20">
        <v>1.1499999999999999</v>
      </c>
      <c r="X20">
        <v>0.14000000000000001</v>
      </c>
      <c r="Y20">
        <v>1</v>
      </c>
      <c r="Z20">
        <v>10</v>
      </c>
    </row>
    <row r="21" spans="1:26" x14ac:dyDescent="0.3">
      <c r="A21">
        <v>19</v>
      </c>
      <c r="B21">
        <v>40</v>
      </c>
      <c r="C21" t="s">
        <v>26</v>
      </c>
      <c r="D21">
        <v>11.271100000000001</v>
      </c>
      <c r="E21">
        <v>8.8699999999999992</v>
      </c>
      <c r="F21">
        <v>6.8</v>
      </c>
      <c r="G21">
        <v>58.29</v>
      </c>
      <c r="H21">
        <v>1.06</v>
      </c>
      <c r="I21">
        <v>7</v>
      </c>
      <c r="J21">
        <v>95.71</v>
      </c>
      <c r="K21">
        <v>37.549999999999997</v>
      </c>
      <c r="L21">
        <v>5.75</v>
      </c>
      <c r="M21">
        <v>5</v>
      </c>
      <c r="N21">
        <v>12.41</v>
      </c>
      <c r="O21">
        <v>12038.51</v>
      </c>
      <c r="P21">
        <v>47.69</v>
      </c>
      <c r="Q21">
        <v>204.14</v>
      </c>
      <c r="R21">
        <v>25.24</v>
      </c>
      <c r="S21">
        <v>17.37</v>
      </c>
      <c r="T21">
        <v>1827.33</v>
      </c>
      <c r="U21">
        <v>0.69</v>
      </c>
      <c r="V21">
        <v>0.75</v>
      </c>
      <c r="W21">
        <v>1.1499999999999999</v>
      </c>
      <c r="X21">
        <v>0.11</v>
      </c>
      <c r="Y21">
        <v>1</v>
      </c>
      <c r="Z21">
        <v>10</v>
      </c>
    </row>
    <row r="22" spans="1:26" x14ac:dyDescent="0.3">
      <c r="A22">
        <v>20</v>
      </c>
      <c r="B22">
        <v>40</v>
      </c>
      <c r="C22" t="s">
        <v>26</v>
      </c>
      <c r="D22">
        <v>11.2577</v>
      </c>
      <c r="E22">
        <v>8.8800000000000008</v>
      </c>
      <c r="F22">
        <v>6.81</v>
      </c>
      <c r="G22">
        <v>58.38</v>
      </c>
      <c r="H22">
        <v>1.1000000000000001</v>
      </c>
      <c r="I22">
        <v>7</v>
      </c>
      <c r="J22">
        <v>96.02</v>
      </c>
      <c r="K22">
        <v>37.549999999999997</v>
      </c>
      <c r="L22">
        <v>6</v>
      </c>
      <c r="M22">
        <v>4</v>
      </c>
      <c r="N22">
        <v>12.47</v>
      </c>
      <c r="O22">
        <v>12076.67</v>
      </c>
      <c r="P22">
        <v>47.69</v>
      </c>
      <c r="Q22">
        <v>204.14</v>
      </c>
      <c r="R22">
        <v>25.49</v>
      </c>
      <c r="S22">
        <v>17.37</v>
      </c>
      <c r="T22">
        <v>1952.38</v>
      </c>
      <c r="U22">
        <v>0.68</v>
      </c>
      <c r="V22">
        <v>0.75</v>
      </c>
      <c r="W22">
        <v>1.1499999999999999</v>
      </c>
      <c r="X22">
        <v>0.12</v>
      </c>
      <c r="Y22">
        <v>1</v>
      </c>
      <c r="Z22">
        <v>10</v>
      </c>
    </row>
    <row r="23" spans="1:26" x14ac:dyDescent="0.3">
      <c r="A23">
        <v>21</v>
      </c>
      <c r="B23">
        <v>40</v>
      </c>
      <c r="C23" t="s">
        <v>26</v>
      </c>
      <c r="D23">
        <v>11.255599999999999</v>
      </c>
      <c r="E23">
        <v>8.8800000000000008</v>
      </c>
      <c r="F23">
        <v>6.81</v>
      </c>
      <c r="G23">
        <v>58.39</v>
      </c>
      <c r="H23">
        <v>1.1399999999999999</v>
      </c>
      <c r="I23">
        <v>7</v>
      </c>
      <c r="J23">
        <v>96.33</v>
      </c>
      <c r="K23">
        <v>37.549999999999997</v>
      </c>
      <c r="L23">
        <v>6.25</v>
      </c>
      <c r="M23">
        <v>4</v>
      </c>
      <c r="N23">
        <v>12.53</v>
      </c>
      <c r="O23">
        <v>12114.85</v>
      </c>
      <c r="P23">
        <v>47.43</v>
      </c>
      <c r="Q23">
        <v>204.14</v>
      </c>
      <c r="R23">
        <v>25.58</v>
      </c>
      <c r="S23">
        <v>17.37</v>
      </c>
      <c r="T23">
        <v>1998.32</v>
      </c>
      <c r="U23">
        <v>0.68</v>
      </c>
      <c r="V23">
        <v>0.75</v>
      </c>
      <c r="W23">
        <v>1.1499999999999999</v>
      </c>
      <c r="X23">
        <v>0.12</v>
      </c>
      <c r="Y23">
        <v>1</v>
      </c>
      <c r="Z23">
        <v>10</v>
      </c>
    </row>
    <row r="24" spans="1:26" x14ac:dyDescent="0.3">
      <c r="A24">
        <v>22</v>
      </c>
      <c r="B24">
        <v>40</v>
      </c>
      <c r="C24" t="s">
        <v>26</v>
      </c>
      <c r="D24">
        <v>11.2475</v>
      </c>
      <c r="E24">
        <v>8.89</v>
      </c>
      <c r="F24">
        <v>6.82</v>
      </c>
      <c r="G24">
        <v>58.45</v>
      </c>
      <c r="H24">
        <v>1.18</v>
      </c>
      <c r="I24">
        <v>7</v>
      </c>
      <c r="J24">
        <v>96.64</v>
      </c>
      <c r="K24">
        <v>37.549999999999997</v>
      </c>
      <c r="L24">
        <v>6.5</v>
      </c>
      <c r="M24">
        <v>1</v>
      </c>
      <c r="N24">
        <v>12.59</v>
      </c>
      <c r="O24">
        <v>12153.06</v>
      </c>
      <c r="P24">
        <v>46.92</v>
      </c>
      <c r="Q24">
        <v>204.18</v>
      </c>
      <c r="R24">
        <v>25.65</v>
      </c>
      <c r="S24">
        <v>17.37</v>
      </c>
      <c r="T24">
        <v>2032.96</v>
      </c>
      <c r="U24">
        <v>0.68</v>
      </c>
      <c r="V24">
        <v>0.75</v>
      </c>
      <c r="W24">
        <v>1.1499999999999999</v>
      </c>
      <c r="X24">
        <v>0.13</v>
      </c>
      <c r="Y24">
        <v>1</v>
      </c>
      <c r="Z24">
        <v>10</v>
      </c>
    </row>
    <row r="25" spans="1:26" x14ac:dyDescent="0.3">
      <c r="A25">
        <v>23</v>
      </c>
      <c r="B25">
        <v>40</v>
      </c>
      <c r="C25" t="s">
        <v>26</v>
      </c>
      <c r="D25">
        <v>11.247199999999999</v>
      </c>
      <c r="E25">
        <v>8.89</v>
      </c>
      <c r="F25">
        <v>6.82</v>
      </c>
      <c r="G25">
        <v>58.45</v>
      </c>
      <c r="H25">
        <v>1.22</v>
      </c>
      <c r="I25">
        <v>7</v>
      </c>
      <c r="J25">
        <v>96.95</v>
      </c>
      <c r="K25">
        <v>37.549999999999997</v>
      </c>
      <c r="L25">
        <v>6.75</v>
      </c>
      <c r="M25">
        <v>1</v>
      </c>
      <c r="N25">
        <v>12.65</v>
      </c>
      <c r="O25">
        <v>12191.28</v>
      </c>
      <c r="P25">
        <v>46.86</v>
      </c>
      <c r="Q25">
        <v>204.18</v>
      </c>
      <c r="R25">
        <v>25.63</v>
      </c>
      <c r="S25">
        <v>17.37</v>
      </c>
      <c r="T25">
        <v>2020.01</v>
      </c>
      <c r="U25">
        <v>0.68</v>
      </c>
      <c r="V25">
        <v>0.75</v>
      </c>
      <c r="W25">
        <v>1.1499999999999999</v>
      </c>
      <c r="X25">
        <v>0.13</v>
      </c>
      <c r="Y25">
        <v>1</v>
      </c>
      <c r="Z25">
        <v>10</v>
      </c>
    </row>
    <row r="26" spans="1:26" x14ac:dyDescent="0.3">
      <c r="A26">
        <v>24</v>
      </c>
      <c r="B26">
        <v>40</v>
      </c>
      <c r="C26" t="s">
        <v>26</v>
      </c>
      <c r="D26">
        <v>11.2479</v>
      </c>
      <c r="E26">
        <v>8.89</v>
      </c>
      <c r="F26">
        <v>6.82</v>
      </c>
      <c r="G26">
        <v>58.44</v>
      </c>
      <c r="H26">
        <v>1.27</v>
      </c>
      <c r="I26">
        <v>7</v>
      </c>
      <c r="J26">
        <v>97.26</v>
      </c>
      <c r="K26">
        <v>37.549999999999997</v>
      </c>
      <c r="L26">
        <v>7</v>
      </c>
      <c r="M26">
        <v>1</v>
      </c>
      <c r="N26">
        <v>12.71</v>
      </c>
      <c r="O26">
        <v>12229.54</v>
      </c>
      <c r="P26">
        <v>46.75</v>
      </c>
      <c r="Q26">
        <v>204.18</v>
      </c>
      <c r="R26">
        <v>25.57</v>
      </c>
      <c r="S26">
        <v>17.37</v>
      </c>
      <c r="T26">
        <v>1992.86</v>
      </c>
      <c r="U26">
        <v>0.68</v>
      </c>
      <c r="V26">
        <v>0.75</v>
      </c>
      <c r="W26">
        <v>1.1499999999999999</v>
      </c>
      <c r="X26">
        <v>0.13</v>
      </c>
      <c r="Y26">
        <v>1</v>
      </c>
      <c r="Z26">
        <v>10</v>
      </c>
    </row>
    <row r="27" spans="1:26" x14ac:dyDescent="0.3">
      <c r="A27">
        <v>25</v>
      </c>
      <c r="B27">
        <v>40</v>
      </c>
      <c r="C27" t="s">
        <v>26</v>
      </c>
      <c r="D27">
        <v>11.248900000000001</v>
      </c>
      <c r="E27">
        <v>8.89</v>
      </c>
      <c r="F27">
        <v>6.82</v>
      </c>
      <c r="G27">
        <v>58.44</v>
      </c>
      <c r="H27">
        <v>1.31</v>
      </c>
      <c r="I27">
        <v>7</v>
      </c>
      <c r="J27">
        <v>97.57</v>
      </c>
      <c r="K27">
        <v>37.549999999999997</v>
      </c>
      <c r="L27">
        <v>7.25</v>
      </c>
      <c r="M27">
        <v>0</v>
      </c>
      <c r="N27">
        <v>12.77</v>
      </c>
      <c r="O27">
        <v>12267.81</v>
      </c>
      <c r="P27">
        <v>46.79</v>
      </c>
      <c r="Q27">
        <v>204.18</v>
      </c>
      <c r="R27">
        <v>25.58</v>
      </c>
      <c r="S27">
        <v>17.37</v>
      </c>
      <c r="T27">
        <v>1994.86</v>
      </c>
      <c r="U27">
        <v>0.68</v>
      </c>
      <c r="V27">
        <v>0.75</v>
      </c>
      <c r="W27">
        <v>1.1499999999999999</v>
      </c>
      <c r="X27">
        <v>0.13</v>
      </c>
      <c r="Y27">
        <v>1</v>
      </c>
      <c r="Z2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Planilha4"/>
  <dimension ref="A1:Z154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125</v>
      </c>
      <c r="C2" t="s">
        <v>26</v>
      </c>
      <c r="D2">
        <v>6.0918000000000001</v>
      </c>
      <c r="E2">
        <v>16.420000000000002</v>
      </c>
      <c r="F2">
        <v>8.7899999999999991</v>
      </c>
      <c r="G2">
        <v>5.12</v>
      </c>
      <c r="H2">
        <v>7.0000000000000007E-2</v>
      </c>
      <c r="I2">
        <v>103</v>
      </c>
      <c r="J2">
        <v>242.64</v>
      </c>
      <c r="K2">
        <v>58.47</v>
      </c>
      <c r="L2">
        <v>1</v>
      </c>
      <c r="M2">
        <v>101</v>
      </c>
      <c r="N2">
        <v>58.17</v>
      </c>
      <c r="O2">
        <v>30160.1</v>
      </c>
      <c r="P2">
        <v>141.38999999999999</v>
      </c>
      <c r="Q2">
        <v>204.31</v>
      </c>
      <c r="R2">
        <v>87.48</v>
      </c>
      <c r="S2">
        <v>17.37</v>
      </c>
      <c r="T2">
        <v>32466.23</v>
      </c>
      <c r="U2">
        <v>0.2</v>
      </c>
      <c r="V2">
        <v>0.57999999999999996</v>
      </c>
      <c r="W2">
        <v>1.3</v>
      </c>
      <c r="X2">
        <v>2.1</v>
      </c>
      <c r="Y2">
        <v>1</v>
      </c>
      <c r="Z2">
        <v>10</v>
      </c>
    </row>
    <row r="3" spans="1:26" x14ac:dyDescent="0.3">
      <c r="A3">
        <v>1</v>
      </c>
      <c r="B3">
        <v>125</v>
      </c>
      <c r="C3" t="s">
        <v>26</v>
      </c>
      <c r="D3">
        <v>6.8253000000000004</v>
      </c>
      <c r="E3">
        <v>14.65</v>
      </c>
      <c r="F3">
        <v>8.26</v>
      </c>
      <c r="G3">
        <v>6.44</v>
      </c>
      <c r="H3">
        <v>0.09</v>
      </c>
      <c r="I3">
        <v>77</v>
      </c>
      <c r="J3">
        <v>243.08</v>
      </c>
      <c r="K3">
        <v>58.47</v>
      </c>
      <c r="L3">
        <v>1.25</v>
      </c>
      <c r="M3">
        <v>75</v>
      </c>
      <c r="N3">
        <v>58.36</v>
      </c>
      <c r="O3">
        <v>30214.33</v>
      </c>
      <c r="P3">
        <v>132.63999999999999</v>
      </c>
      <c r="Q3">
        <v>204.23</v>
      </c>
      <c r="R3">
        <v>70.569999999999993</v>
      </c>
      <c r="S3">
        <v>17.37</v>
      </c>
      <c r="T3">
        <v>24140.52</v>
      </c>
      <c r="U3">
        <v>0.25</v>
      </c>
      <c r="V3">
        <v>0.62</v>
      </c>
      <c r="W3">
        <v>1.27</v>
      </c>
      <c r="X3">
        <v>1.56</v>
      </c>
      <c r="Y3">
        <v>1</v>
      </c>
      <c r="Z3">
        <v>10</v>
      </c>
    </row>
    <row r="4" spans="1:26" x14ac:dyDescent="0.3">
      <c r="A4">
        <v>2</v>
      </c>
      <c r="B4">
        <v>125</v>
      </c>
      <c r="C4" t="s">
        <v>26</v>
      </c>
      <c r="D4">
        <v>7.3505000000000003</v>
      </c>
      <c r="E4">
        <v>13.6</v>
      </c>
      <c r="F4">
        <v>7.92</v>
      </c>
      <c r="G4">
        <v>7.66</v>
      </c>
      <c r="H4">
        <v>0.11</v>
      </c>
      <c r="I4">
        <v>62</v>
      </c>
      <c r="J4">
        <v>243.52</v>
      </c>
      <c r="K4">
        <v>58.47</v>
      </c>
      <c r="L4">
        <v>1.5</v>
      </c>
      <c r="M4">
        <v>60</v>
      </c>
      <c r="N4">
        <v>58.55</v>
      </c>
      <c r="O4">
        <v>30268.639999999999</v>
      </c>
      <c r="P4">
        <v>127.09</v>
      </c>
      <c r="Q4">
        <v>204.24</v>
      </c>
      <c r="R4">
        <v>60.1</v>
      </c>
      <c r="S4">
        <v>17.37</v>
      </c>
      <c r="T4">
        <v>18980.88</v>
      </c>
      <c r="U4">
        <v>0.28999999999999998</v>
      </c>
      <c r="V4">
        <v>0.65</v>
      </c>
      <c r="W4">
        <v>1.23</v>
      </c>
      <c r="X4">
        <v>1.23</v>
      </c>
      <c r="Y4">
        <v>1</v>
      </c>
      <c r="Z4">
        <v>10</v>
      </c>
    </row>
    <row r="5" spans="1:26" x14ac:dyDescent="0.3">
      <c r="A5">
        <v>3</v>
      </c>
      <c r="B5">
        <v>125</v>
      </c>
      <c r="C5" t="s">
        <v>26</v>
      </c>
      <c r="D5">
        <v>7.7375999999999996</v>
      </c>
      <c r="E5">
        <v>12.92</v>
      </c>
      <c r="F5">
        <v>7.71</v>
      </c>
      <c r="G5">
        <v>8.9</v>
      </c>
      <c r="H5">
        <v>0.13</v>
      </c>
      <c r="I5">
        <v>52</v>
      </c>
      <c r="J5">
        <v>243.96</v>
      </c>
      <c r="K5">
        <v>58.47</v>
      </c>
      <c r="L5">
        <v>1.75</v>
      </c>
      <c r="M5">
        <v>50</v>
      </c>
      <c r="N5">
        <v>58.74</v>
      </c>
      <c r="O5">
        <v>30323.01</v>
      </c>
      <c r="P5">
        <v>123.63</v>
      </c>
      <c r="Q5">
        <v>204.19</v>
      </c>
      <c r="R5">
        <v>53.78</v>
      </c>
      <c r="S5">
        <v>17.37</v>
      </c>
      <c r="T5">
        <v>15871.45</v>
      </c>
      <c r="U5">
        <v>0.32</v>
      </c>
      <c r="V5">
        <v>0.66</v>
      </c>
      <c r="W5">
        <v>1.21</v>
      </c>
      <c r="X5">
        <v>1.02</v>
      </c>
      <c r="Y5">
        <v>1</v>
      </c>
      <c r="Z5">
        <v>10</v>
      </c>
    </row>
    <row r="6" spans="1:26" x14ac:dyDescent="0.3">
      <c r="A6">
        <v>4</v>
      </c>
      <c r="B6">
        <v>125</v>
      </c>
      <c r="C6" t="s">
        <v>26</v>
      </c>
      <c r="D6">
        <v>8.0221</v>
      </c>
      <c r="E6">
        <v>12.47</v>
      </c>
      <c r="F6">
        <v>7.58</v>
      </c>
      <c r="G6">
        <v>10.11</v>
      </c>
      <c r="H6">
        <v>0.15</v>
      </c>
      <c r="I6">
        <v>45</v>
      </c>
      <c r="J6">
        <v>244.41</v>
      </c>
      <c r="K6">
        <v>58.47</v>
      </c>
      <c r="L6">
        <v>2</v>
      </c>
      <c r="M6">
        <v>43</v>
      </c>
      <c r="N6">
        <v>58.93</v>
      </c>
      <c r="O6">
        <v>30377.45</v>
      </c>
      <c r="P6">
        <v>121.46</v>
      </c>
      <c r="Q6">
        <v>204.2</v>
      </c>
      <c r="R6">
        <v>49.46</v>
      </c>
      <c r="S6">
        <v>17.37</v>
      </c>
      <c r="T6">
        <v>13748.5</v>
      </c>
      <c r="U6">
        <v>0.35</v>
      </c>
      <c r="V6">
        <v>0.67</v>
      </c>
      <c r="W6">
        <v>1.21</v>
      </c>
      <c r="X6">
        <v>0.89</v>
      </c>
      <c r="Y6">
        <v>1</v>
      </c>
      <c r="Z6">
        <v>10</v>
      </c>
    </row>
    <row r="7" spans="1:26" x14ac:dyDescent="0.3">
      <c r="A7">
        <v>5</v>
      </c>
      <c r="B7">
        <v>125</v>
      </c>
      <c r="C7" t="s">
        <v>26</v>
      </c>
      <c r="D7">
        <v>8.2932000000000006</v>
      </c>
      <c r="E7">
        <v>12.06</v>
      </c>
      <c r="F7">
        <v>7.46</v>
      </c>
      <c r="G7">
        <v>11.48</v>
      </c>
      <c r="H7">
        <v>0.16</v>
      </c>
      <c r="I7">
        <v>39</v>
      </c>
      <c r="J7">
        <v>244.85</v>
      </c>
      <c r="K7">
        <v>58.47</v>
      </c>
      <c r="L7">
        <v>2.25</v>
      </c>
      <c r="M7">
        <v>37</v>
      </c>
      <c r="N7">
        <v>59.12</v>
      </c>
      <c r="O7">
        <v>30431.96</v>
      </c>
      <c r="P7">
        <v>119.4</v>
      </c>
      <c r="Q7">
        <v>204.17</v>
      </c>
      <c r="R7">
        <v>45.62</v>
      </c>
      <c r="S7">
        <v>17.37</v>
      </c>
      <c r="T7">
        <v>11856.96</v>
      </c>
      <c r="U7">
        <v>0.38</v>
      </c>
      <c r="V7">
        <v>0.68</v>
      </c>
      <c r="W7">
        <v>1.2</v>
      </c>
      <c r="X7">
        <v>0.77</v>
      </c>
      <c r="Y7">
        <v>1</v>
      </c>
      <c r="Z7">
        <v>10</v>
      </c>
    </row>
    <row r="8" spans="1:26" x14ac:dyDescent="0.3">
      <c r="A8">
        <v>6</v>
      </c>
      <c r="B8">
        <v>125</v>
      </c>
      <c r="C8" t="s">
        <v>26</v>
      </c>
      <c r="D8">
        <v>8.4776000000000007</v>
      </c>
      <c r="E8">
        <v>11.8</v>
      </c>
      <c r="F8">
        <v>7.39</v>
      </c>
      <c r="G8">
        <v>12.66</v>
      </c>
      <c r="H8">
        <v>0.18</v>
      </c>
      <c r="I8">
        <v>35</v>
      </c>
      <c r="J8">
        <v>245.29</v>
      </c>
      <c r="K8">
        <v>58.47</v>
      </c>
      <c r="L8">
        <v>2.5</v>
      </c>
      <c r="M8">
        <v>33</v>
      </c>
      <c r="N8">
        <v>59.32</v>
      </c>
      <c r="O8">
        <v>30486.54</v>
      </c>
      <c r="P8">
        <v>118.08</v>
      </c>
      <c r="Q8">
        <v>204.16</v>
      </c>
      <c r="R8">
        <v>43.42</v>
      </c>
      <c r="S8">
        <v>17.37</v>
      </c>
      <c r="T8">
        <v>10776.21</v>
      </c>
      <c r="U8">
        <v>0.4</v>
      </c>
      <c r="V8">
        <v>0.69</v>
      </c>
      <c r="W8">
        <v>1.2</v>
      </c>
      <c r="X8">
        <v>0.69</v>
      </c>
      <c r="Y8">
        <v>1</v>
      </c>
      <c r="Z8">
        <v>10</v>
      </c>
    </row>
    <row r="9" spans="1:26" x14ac:dyDescent="0.3">
      <c r="A9">
        <v>7</v>
      </c>
      <c r="B9">
        <v>125</v>
      </c>
      <c r="C9" t="s">
        <v>26</v>
      </c>
      <c r="D9">
        <v>8.6256000000000004</v>
      </c>
      <c r="E9">
        <v>11.59</v>
      </c>
      <c r="F9">
        <v>7.33</v>
      </c>
      <c r="G9">
        <v>13.73</v>
      </c>
      <c r="H9">
        <v>0.2</v>
      </c>
      <c r="I9">
        <v>32</v>
      </c>
      <c r="J9">
        <v>245.73</v>
      </c>
      <c r="K9">
        <v>58.47</v>
      </c>
      <c r="L9">
        <v>2.75</v>
      </c>
      <c r="M9">
        <v>30</v>
      </c>
      <c r="N9">
        <v>59.51</v>
      </c>
      <c r="O9">
        <v>30541.19</v>
      </c>
      <c r="P9">
        <v>117.04</v>
      </c>
      <c r="Q9">
        <v>204.16</v>
      </c>
      <c r="R9">
        <v>41.45</v>
      </c>
      <c r="S9">
        <v>17.37</v>
      </c>
      <c r="T9">
        <v>9806.6299999999992</v>
      </c>
      <c r="U9">
        <v>0.42</v>
      </c>
      <c r="V9">
        <v>0.7</v>
      </c>
      <c r="W9">
        <v>1.19</v>
      </c>
      <c r="X9">
        <v>0.63</v>
      </c>
      <c r="Y9">
        <v>1</v>
      </c>
      <c r="Z9">
        <v>10</v>
      </c>
    </row>
    <row r="10" spans="1:26" x14ac:dyDescent="0.3">
      <c r="A10">
        <v>8</v>
      </c>
      <c r="B10">
        <v>125</v>
      </c>
      <c r="C10" t="s">
        <v>26</v>
      </c>
      <c r="D10">
        <v>8.7824000000000009</v>
      </c>
      <c r="E10">
        <v>11.39</v>
      </c>
      <c r="F10">
        <v>7.26</v>
      </c>
      <c r="G10">
        <v>15.02</v>
      </c>
      <c r="H10">
        <v>0.22</v>
      </c>
      <c r="I10">
        <v>29</v>
      </c>
      <c r="J10">
        <v>246.18</v>
      </c>
      <c r="K10">
        <v>58.47</v>
      </c>
      <c r="L10">
        <v>3</v>
      </c>
      <c r="M10">
        <v>27</v>
      </c>
      <c r="N10">
        <v>59.7</v>
      </c>
      <c r="O10">
        <v>30595.91</v>
      </c>
      <c r="P10">
        <v>115.9</v>
      </c>
      <c r="Q10">
        <v>204.17</v>
      </c>
      <c r="R10">
        <v>39.58</v>
      </c>
      <c r="S10">
        <v>17.37</v>
      </c>
      <c r="T10">
        <v>8887.73</v>
      </c>
      <c r="U10">
        <v>0.44</v>
      </c>
      <c r="V10">
        <v>0.7</v>
      </c>
      <c r="W10">
        <v>1.18</v>
      </c>
      <c r="X10">
        <v>0.56999999999999995</v>
      </c>
      <c r="Y10">
        <v>1</v>
      </c>
      <c r="Z10">
        <v>10</v>
      </c>
    </row>
    <row r="11" spans="1:26" x14ac:dyDescent="0.3">
      <c r="A11">
        <v>9</v>
      </c>
      <c r="B11">
        <v>125</v>
      </c>
      <c r="C11" t="s">
        <v>26</v>
      </c>
      <c r="D11">
        <v>8.8919999999999995</v>
      </c>
      <c r="E11">
        <v>11.25</v>
      </c>
      <c r="F11">
        <v>7.21</v>
      </c>
      <c r="G11">
        <v>16.03</v>
      </c>
      <c r="H11">
        <v>0.23</v>
      </c>
      <c r="I11">
        <v>27</v>
      </c>
      <c r="J11">
        <v>246.62</v>
      </c>
      <c r="K11">
        <v>58.47</v>
      </c>
      <c r="L11">
        <v>3.25</v>
      </c>
      <c r="M11">
        <v>25</v>
      </c>
      <c r="N11">
        <v>59.9</v>
      </c>
      <c r="O11">
        <v>30650.7</v>
      </c>
      <c r="P11">
        <v>115.05</v>
      </c>
      <c r="Q11">
        <v>204.21</v>
      </c>
      <c r="R11">
        <v>38.020000000000003</v>
      </c>
      <c r="S11">
        <v>17.37</v>
      </c>
      <c r="T11">
        <v>8119.28</v>
      </c>
      <c r="U11">
        <v>0.46</v>
      </c>
      <c r="V11">
        <v>0.71</v>
      </c>
      <c r="W11">
        <v>1.18</v>
      </c>
      <c r="X11">
        <v>0.52</v>
      </c>
      <c r="Y11">
        <v>1</v>
      </c>
      <c r="Z11">
        <v>10</v>
      </c>
    </row>
    <row r="12" spans="1:26" x14ac:dyDescent="0.3">
      <c r="A12">
        <v>10</v>
      </c>
      <c r="B12">
        <v>125</v>
      </c>
      <c r="C12" t="s">
        <v>26</v>
      </c>
      <c r="D12">
        <v>8.9995999999999992</v>
      </c>
      <c r="E12">
        <v>11.11</v>
      </c>
      <c r="F12">
        <v>7.17</v>
      </c>
      <c r="G12">
        <v>17.22</v>
      </c>
      <c r="H12">
        <v>0.25</v>
      </c>
      <c r="I12">
        <v>25</v>
      </c>
      <c r="J12">
        <v>247.07</v>
      </c>
      <c r="K12">
        <v>58.47</v>
      </c>
      <c r="L12">
        <v>3.5</v>
      </c>
      <c r="M12">
        <v>23</v>
      </c>
      <c r="N12">
        <v>60.09</v>
      </c>
      <c r="O12">
        <v>30705.56</v>
      </c>
      <c r="P12">
        <v>114.31</v>
      </c>
      <c r="Q12">
        <v>204.15</v>
      </c>
      <c r="R12">
        <v>36.76</v>
      </c>
      <c r="S12">
        <v>17.37</v>
      </c>
      <c r="T12">
        <v>7495.37</v>
      </c>
      <c r="U12">
        <v>0.47</v>
      </c>
      <c r="V12">
        <v>0.71</v>
      </c>
      <c r="W12">
        <v>1.18</v>
      </c>
      <c r="X12">
        <v>0.48</v>
      </c>
      <c r="Y12">
        <v>1</v>
      </c>
      <c r="Z12">
        <v>10</v>
      </c>
    </row>
    <row r="13" spans="1:26" x14ac:dyDescent="0.3">
      <c r="A13">
        <v>11</v>
      </c>
      <c r="B13">
        <v>125</v>
      </c>
      <c r="C13" t="s">
        <v>26</v>
      </c>
      <c r="D13">
        <v>9.1060999999999996</v>
      </c>
      <c r="E13">
        <v>10.98</v>
      </c>
      <c r="F13">
        <v>7.14</v>
      </c>
      <c r="G13">
        <v>18.62</v>
      </c>
      <c r="H13">
        <v>0.27</v>
      </c>
      <c r="I13">
        <v>23</v>
      </c>
      <c r="J13">
        <v>247.51</v>
      </c>
      <c r="K13">
        <v>58.47</v>
      </c>
      <c r="L13">
        <v>3.75</v>
      </c>
      <c r="M13">
        <v>21</v>
      </c>
      <c r="N13">
        <v>60.29</v>
      </c>
      <c r="O13">
        <v>30760.49</v>
      </c>
      <c r="P13">
        <v>113.69</v>
      </c>
      <c r="Q13">
        <v>204.19</v>
      </c>
      <c r="R13">
        <v>35.92</v>
      </c>
      <c r="S13">
        <v>17.37</v>
      </c>
      <c r="T13">
        <v>7088.71</v>
      </c>
      <c r="U13">
        <v>0.48</v>
      </c>
      <c r="V13">
        <v>0.72</v>
      </c>
      <c r="W13">
        <v>1.17</v>
      </c>
      <c r="X13">
        <v>0.45</v>
      </c>
      <c r="Y13">
        <v>1</v>
      </c>
      <c r="Z13">
        <v>10</v>
      </c>
    </row>
    <row r="14" spans="1:26" x14ac:dyDescent="0.3">
      <c r="A14">
        <v>12</v>
      </c>
      <c r="B14">
        <v>125</v>
      </c>
      <c r="C14" t="s">
        <v>26</v>
      </c>
      <c r="D14">
        <v>9.1692</v>
      </c>
      <c r="E14">
        <v>10.91</v>
      </c>
      <c r="F14">
        <v>7.11</v>
      </c>
      <c r="G14">
        <v>19.39</v>
      </c>
      <c r="H14">
        <v>0.28999999999999998</v>
      </c>
      <c r="I14">
        <v>22</v>
      </c>
      <c r="J14">
        <v>247.96</v>
      </c>
      <c r="K14">
        <v>58.47</v>
      </c>
      <c r="L14">
        <v>4</v>
      </c>
      <c r="M14">
        <v>20</v>
      </c>
      <c r="N14">
        <v>60.48</v>
      </c>
      <c r="O14">
        <v>30815.5</v>
      </c>
      <c r="P14">
        <v>113.09</v>
      </c>
      <c r="Q14">
        <v>204.15</v>
      </c>
      <c r="R14">
        <v>34.78</v>
      </c>
      <c r="S14">
        <v>17.37</v>
      </c>
      <c r="T14">
        <v>6519.97</v>
      </c>
      <c r="U14">
        <v>0.5</v>
      </c>
      <c r="V14">
        <v>0.72</v>
      </c>
      <c r="W14">
        <v>1.17</v>
      </c>
      <c r="X14">
        <v>0.42</v>
      </c>
      <c r="Y14">
        <v>1</v>
      </c>
      <c r="Z14">
        <v>10</v>
      </c>
    </row>
    <row r="15" spans="1:26" x14ac:dyDescent="0.3">
      <c r="A15">
        <v>13</v>
      </c>
      <c r="B15">
        <v>125</v>
      </c>
      <c r="C15" t="s">
        <v>26</v>
      </c>
      <c r="D15">
        <v>9.2848000000000006</v>
      </c>
      <c r="E15">
        <v>10.77</v>
      </c>
      <c r="F15">
        <v>7.07</v>
      </c>
      <c r="G15">
        <v>21.21</v>
      </c>
      <c r="H15">
        <v>0.3</v>
      </c>
      <c r="I15">
        <v>20</v>
      </c>
      <c r="J15">
        <v>248.4</v>
      </c>
      <c r="K15">
        <v>58.47</v>
      </c>
      <c r="L15">
        <v>4.25</v>
      </c>
      <c r="M15">
        <v>18</v>
      </c>
      <c r="N15">
        <v>60.68</v>
      </c>
      <c r="O15">
        <v>30870.57</v>
      </c>
      <c r="P15">
        <v>112.37</v>
      </c>
      <c r="Q15">
        <v>204.14</v>
      </c>
      <c r="R15">
        <v>33.590000000000003</v>
      </c>
      <c r="S15">
        <v>17.37</v>
      </c>
      <c r="T15">
        <v>5936.02</v>
      </c>
      <c r="U15">
        <v>0.52</v>
      </c>
      <c r="V15">
        <v>0.72</v>
      </c>
      <c r="W15">
        <v>1.17</v>
      </c>
      <c r="X15">
        <v>0.38</v>
      </c>
      <c r="Y15">
        <v>1</v>
      </c>
      <c r="Z15">
        <v>10</v>
      </c>
    </row>
    <row r="16" spans="1:26" x14ac:dyDescent="0.3">
      <c r="A16">
        <v>14</v>
      </c>
      <c r="B16">
        <v>125</v>
      </c>
      <c r="C16" t="s">
        <v>26</v>
      </c>
      <c r="D16">
        <v>9.3445999999999998</v>
      </c>
      <c r="E16">
        <v>10.7</v>
      </c>
      <c r="F16">
        <v>7.05</v>
      </c>
      <c r="G16">
        <v>22.25</v>
      </c>
      <c r="H16">
        <v>0.32</v>
      </c>
      <c r="I16">
        <v>19</v>
      </c>
      <c r="J16">
        <v>248.85</v>
      </c>
      <c r="K16">
        <v>58.47</v>
      </c>
      <c r="L16">
        <v>4.5</v>
      </c>
      <c r="M16">
        <v>17</v>
      </c>
      <c r="N16">
        <v>60.88</v>
      </c>
      <c r="O16">
        <v>30925.72</v>
      </c>
      <c r="P16">
        <v>111.86</v>
      </c>
      <c r="Q16">
        <v>204.16</v>
      </c>
      <c r="R16">
        <v>32.89</v>
      </c>
      <c r="S16">
        <v>17.37</v>
      </c>
      <c r="T16">
        <v>5591.8</v>
      </c>
      <c r="U16">
        <v>0.53</v>
      </c>
      <c r="V16">
        <v>0.72</v>
      </c>
      <c r="W16">
        <v>1.17</v>
      </c>
      <c r="X16">
        <v>0.36</v>
      </c>
      <c r="Y16">
        <v>1</v>
      </c>
      <c r="Z16">
        <v>10</v>
      </c>
    </row>
    <row r="17" spans="1:26" x14ac:dyDescent="0.3">
      <c r="A17">
        <v>15</v>
      </c>
      <c r="B17">
        <v>125</v>
      </c>
      <c r="C17" t="s">
        <v>26</v>
      </c>
      <c r="D17">
        <v>9.3994999999999997</v>
      </c>
      <c r="E17">
        <v>10.64</v>
      </c>
      <c r="F17">
        <v>7.03</v>
      </c>
      <c r="G17">
        <v>23.44</v>
      </c>
      <c r="H17">
        <v>0.34</v>
      </c>
      <c r="I17">
        <v>18</v>
      </c>
      <c r="J17">
        <v>249.3</v>
      </c>
      <c r="K17">
        <v>58.47</v>
      </c>
      <c r="L17">
        <v>4.75</v>
      </c>
      <c r="M17">
        <v>16</v>
      </c>
      <c r="N17">
        <v>61.07</v>
      </c>
      <c r="O17">
        <v>30980.93</v>
      </c>
      <c r="P17">
        <v>111.56</v>
      </c>
      <c r="Q17">
        <v>204.18</v>
      </c>
      <c r="R17">
        <v>32.479999999999997</v>
      </c>
      <c r="S17">
        <v>17.37</v>
      </c>
      <c r="T17">
        <v>5394.41</v>
      </c>
      <c r="U17">
        <v>0.53</v>
      </c>
      <c r="V17">
        <v>0.73</v>
      </c>
      <c r="W17">
        <v>1.1599999999999999</v>
      </c>
      <c r="X17">
        <v>0.34</v>
      </c>
      <c r="Y17">
        <v>1</v>
      </c>
      <c r="Z17">
        <v>10</v>
      </c>
    </row>
    <row r="18" spans="1:26" x14ac:dyDescent="0.3">
      <c r="A18">
        <v>16</v>
      </c>
      <c r="B18">
        <v>125</v>
      </c>
      <c r="C18" t="s">
        <v>26</v>
      </c>
      <c r="D18">
        <v>9.4619999999999997</v>
      </c>
      <c r="E18">
        <v>10.57</v>
      </c>
      <c r="F18">
        <v>7.01</v>
      </c>
      <c r="G18">
        <v>24.74</v>
      </c>
      <c r="H18">
        <v>0.36</v>
      </c>
      <c r="I18">
        <v>17</v>
      </c>
      <c r="J18">
        <v>249.75</v>
      </c>
      <c r="K18">
        <v>58.47</v>
      </c>
      <c r="L18">
        <v>5</v>
      </c>
      <c r="M18">
        <v>15</v>
      </c>
      <c r="N18">
        <v>61.27</v>
      </c>
      <c r="O18">
        <v>31036.22</v>
      </c>
      <c r="P18">
        <v>110.99</v>
      </c>
      <c r="Q18">
        <v>204.14</v>
      </c>
      <c r="R18">
        <v>31.56</v>
      </c>
      <c r="S18">
        <v>17.37</v>
      </c>
      <c r="T18">
        <v>4939.7299999999996</v>
      </c>
      <c r="U18">
        <v>0.55000000000000004</v>
      </c>
      <c r="V18">
        <v>0.73</v>
      </c>
      <c r="W18">
        <v>1.17</v>
      </c>
      <c r="X18">
        <v>0.32</v>
      </c>
      <c r="Y18">
        <v>1</v>
      </c>
      <c r="Z18">
        <v>10</v>
      </c>
    </row>
    <row r="19" spans="1:26" x14ac:dyDescent="0.3">
      <c r="A19">
        <v>17</v>
      </c>
      <c r="B19">
        <v>125</v>
      </c>
      <c r="C19" t="s">
        <v>26</v>
      </c>
      <c r="D19">
        <v>9.4589999999999996</v>
      </c>
      <c r="E19">
        <v>10.57</v>
      </c>
      <c r="F19">
        <v>7.01</v>
      </c>
      <c r="G19">
        <v>24.75</v>
      </c>
      <c r="H19">
        <v>0.37</v>
      </c>
      <c r="I19">
        <v>17</v>
      </c>
      <c r="J19">
        <v>250.2</v>
      </c>
      <c r="K19">
        <v>58.47</v>
      </c>
      <c r="L19">
        <v>5.25</v>
      </c>
      <c r="M19">
        <v>15</v>
      </c>
      <c r="N19">
        <v>61.47</v>
      </c>
      <c r="O19">
        <v>31091.59</v>
      </c>
      <c r="P19">
        <v>111.1</v>
      </c>
      <c r="Q19">
        <v>204.15</v>
      </c>
      <c r="R19">
        <v>31.9</v>
      </c>
      <c r="S19">
        <v>17.37</v>
      </c>
      <c r="T19">
        <v>5106.8999999999996</v>
      </c>
      <c r="U19">
        <v>0.54</v>
      </c>
      <c r="V19">
        <v>0.73</v>
      </c>
      <c r="W19">
        <v>1.1599999999999999</v>
      </c>
      <c r="X19">
        <v>0.32</v>
      </c>
      <c r="Y19">
        <v>1</v>
      </c>
      <c r="Z19">
        <v>10</v>
      </c>
    </row>
    <row r="20" spans="1:26" x14ac:dyDescent="0.3">
      <c r="A20">
        <v>18</v>
      </c>
      <c r="B20">
        <v>125</v>
      </c>
      <c r="C20" t="s">
        <v>26</v>
      </c>
      <c r="D20">
        <v>9.5129999999999999</v>
      </c>
      <c r="E20">
        <v>10.51</v>
      </c>
      <c r="F20">
        <v>7</v>
      </c>
      <c r="G20">
        <v>26.25</v>
      </c>
      <c r="H20">
        <v>0.39</v>
      </c>
      <c r="I20">
        <v>16</v>
      </c>
      <c r="J20">
        <v>250.64</v>
      </c>
      <c r="K20">
        <v>58.47</v>
      </c>
      <c r="L20">
        <v>5.5</v>
      </c>
      <c r="M20">
        <v>14</v>
      </c>
      <c r="N20">
        <v>61.67</v>
      </c>
      <c r="O20">
        <v>31147.02</v>
      </c>
      <c r="P20">
        <v>110.75</v>
      </c>
      <c r="Q20">
        <v>204.19</v>
      </c>
      <c r="R20">
        <v>31.58</v>
      </c>
      <c r="S20">
        <v>17.37</v>
      </c>
      <c r="T20">
        <v>4953.92</v>
      </c>
      <c r="U20">
        <v>0.55000000000000004</v>
      </c>
      <c r="V20">
        <v>0.73</v>
      </c>
      <c r="W20">
        <v>1.1599999999999999</v>
      </c>
      <c r="X20">
        <v>0.31</v>
      </c>
      <c r="Y20">
        <v>1</v>
      </c>
      <c r="Z20">
        <v>10</v>
      </c>
    </row>
    <row r="21" spans="1:26" x14ac:dyDescent="0.3">
      <c r="A21">
        <v>19</v>
      </c>
      <c r="B21">
        <v>125</v>
      </c>
      <c r="C21" t="s">
        <v>26</v>
      </c>
      <c r="D21">
        <v>9.5882000000000005</v>
      </c>
      <c r="E21">
        <v>10.43</v>
      </c>
      <c r="F21">
        <v>6.96</v>
      </c>
      <c r="G21">
        <v>27.86</v>
      </c>
      <c r="H21">
        <v>0.41</v>
      </c>
      <c r="I21">
        <v>15</v>
      </c>
      <c r="J21">
        <v>251.09</v>
      </c>
      <c r="K21">
        <v>58.47</v>
      </c>
      <c r="L21">
        <v>5.75</v>
      </c>
      <c r="M21">
        <v>13</v>
      </c>
      <c r="N21">
        <v>61.87</v>
      </c>
      <c r="O21">
        <v>31202.53</v>
      </c>
      <c r="P21">
        <v>110.19</v>
      </c>
      <c r="Q21">
        <v>204.18</v>
      </c>
      <c r="R21">
        <v>30.51</v>
      </c>
      <c r="S21">
        <v>17.37</v>
      </c>
      <c r="T21">
        <v>4422.68</v>
      </c>
      <c r="U21">
        <v>0.56999999999999995</v>
      </c>
      <c r="V21">
        <v>0.73</v>
      </c>
      <c r="W21">
        <v>1.1499999999999999</v>
      </c>
      <c r="X21">
        <v>0.27</v>
      </c>
      <c r="Y21">
        <v>1</v>
      </c>
      <c r="Z21">
        <v>10</v>
      </c>
    </row>
    <row r="22" spans="1:26" x14ac:dyDescent="0.3">
      <c r="A22">
        <v>20</v>
      </c>
      <c r="B22">
        <v>125</v>
      </c>
      <c r="C22" t="s">
        <v>26</v>
      </c>
      <c r="D22">
        <v>9.5795999999999992</v>
      </c>
      <c r="E22">
        <v>10.44</v>
      </c>
      <c r="F22">
        <v>6.97</v>
      </c>
      <c r="G22">
        <v>27.89</v>
      </c>
      <c r="H22">
        <v>0.42</v>
      </c>
      <c r="I22">
        <v>15</v>
      </c>
      <c r="J22">
        <v>251.55</v>
      </c>
      <c r="K22">
        <v>58.47</v>
      </c>
      <c r="L22">
        <v>6</v>
      </c>
      <c r="M22">
        <v>13</v>
      </c>
      <c r="N22">
        <v>62.07</v>
      </c>
      <c r="O22">
        <v>31258.11</v>
      </c>
      <c r="P22">
        <v>110.15</v>
      </c>
      <c r="Q22">
        <v>204.15</v>
      </c>
      <c r="R22">
        <v>30.64</v>
      </c>
      <c r="S22">
        <v>17.37</v>
      </c>
      <c r="T22">
        <v>4485.88</v>
      </c>
      <c r="U22">
        <v>0.56999999999999995</v>
      </c>
      <c r="V22">
        <v>0.73</v>
      </c>
      <c r="W22">
        <v>1.1599999999999999</v>
      </c>
      <c r="X22">
        <v>0.28000000000000003</v>
      </c>
      <c r="Y22">
        <v>1</v>
      </c>
      <c r="Z22">
        <v>10</v>
      </c>
    </row>
    <row r="23" spans="1:26" x14ac:dyDescent="0.3">
      <c r="A23">
        <v>21</v>
      </c>
      <c r="B23">
        <v>125</v>
      </c>
      <c r="C23" t="s">
        <v>26</v>
      </c>
      <c r="D23">
        <v>9.6460000000000008</v>
      </c>
      <c r="E23">
        <v>10.37</v>
      </c>
      <c r="F23">
        <v>6.95</v>
      </c>
      <c r="G23">
        <v>29.78</v>
      </c>
      <c r="H23">
        <v>0.44</v>
      </c>
      <c r="I23">
        <v>14</v>
      </c>
      <c r="J23">
        <v>252</v>
      </c>
      <c r="K23">
        <v>58.47</v>
      </c>
      <c r="L23">
        <v>6.25</v>
      </c>
      <c r="M23">
        <v>12</v>
      </c>
      <c r="N23">
        <v>62.27</v>
      </c>
      <c r="O23">
        <v>31313.77</v>
      </c>
      <c r="P23">
        <v>109.75</v>
      </c>
      <c r="Q23">
        <v>204.17</v>
      </c>
      <c r="R23">
        <v>29.75</v>
      </c>
      <c r="S23">
        <v>17.37</v>
      </c>
      <c r="T23">
        <v>4048.08</v>
      </c>
      <c r="U23">
        <v>0.57999999999999996</v>
      </c>
      <c r="V23">
        <v>0.73</v>
      </c>
      <c r="W23">
        <v>1.1599999999999999</v>
      </c>
      <c r="X23">
        <v>0.26</v>
      </c>
      <c r="Y23">
        <v>1</v>
      </c>
      <c r="Z23">
        <v>10</v>
      </c>
    </row>
    <row r="24" spans="1:26" x14ac:dyDescent="0.3">
      <c r="A24">
        <v>22</v>
      </c>
      <c r="B24">
        <v>125</v>
      </c>
      <c r="C24" t="s">
        <v>26</v>
      </c>
      <c r="D24">
        <v>9.6465999999999994</v>
      </c>
      <c r="E24">
        <v>10.37</v>
      </c>
      <c r="F24">
        <v>6.95</v>
      </c>
      <c r="G24">
        <v>29.78</v>
      </c>
      <c r="H24">
        <v>0.46</v>
      </c>
      <c r="I24">
        <v>14</v>
      </c>
      <c r="J24">
        <v>252.45</v>
      </c>
      <c r="K24">
        <v>58.47</v>
      </c>
      <c r="L24">
        <v>6.5</v>
      </c>
      <c r="M24">
        <v>12</v>
      </c>
      <c r="N24">
        <v>62.47</v>
      </c>
      <c r="O24">
        <v>31369.49</v>
      </c>
      <c r="P24">
        <v>109.47</v>
      </c>
      <c r="Q24">
        <v>204.16</v>
      </c>
      <c r="R24">
        <v>29.85</v>
      </c>
      <c r="S24">
        <v>17.37</v>
      </c>
      <c r="T24">
        <v>4096.9399999999996</v>
      </c>
      <c r="U24">
        <v>0.57999999999999996</v>
      </c>
      <c r="V24">
        <v>0.74</v>
      </c>
      <c r="W24">
        <v>1.1599999999999999</v>
      </c>
      <c r="X24">
        <v>0.26</v>
      </c>
      <c r="Y24">
        <v>1</v>
      </c>
      <c r="Z24">
        <v>10</v>
      </c>
    </row>
    <row r="25" spans="1:26" x14ac:dyDescent="0.3">
      <c r="A25">
        <v>23</v>
      </c>
      <c r="B25">
        <v>125</v>
      </c>
      <c r="C25" t="s">
        <v>26</v>
      </c>
      <c r="D25">
        <v>9.7056000000000004</v>
      </c>
      <c r="E25">
        <v>10.3</v>
      </c>
      <c r="F25">
        <v>6.93</v>
      </c>
      <c r="G25">
        <v>32</v>
      </c>
      <c r="H25">
        <v>0.47</v>
      </c>
      <c r="I25">
        <v>13</v>
      </c>
      <c r="J25">
        <v>252.9</v>
      </c>
      <c r="K25">
        <v>58.47</v>
      </c>
      <c r="L25">
        <v>6.75</v>
      </c>
      <c r="M25">
        <v>11</v>
      </c>
      <c r="N25">
        <v>62.68</v>
      </c>
      <c r="O25">
        <v>31425.3</v>
      </c>
      <c r="P25">
        <v>109.31</v>
      </c>
      <c r="Q25">
        <v>204.14</v>
      </c>
      <c r="R25">
        <v>29.37</v>
      </c>
      <c r="S25">
        <v>17.37</v>
      </c>
      <c r="T25">
        <v>3859.9</v>
      </c>
      <c r="U25">
        <v>0.59</v>
      </c>
      <c r="V25">
        <v>0.74</v>
      </c>
      <c r="W25">
        <v>1.1599999999999999</v>
      </c>
      <c r="X25">
        <v>0.24</v>
      </c>
      <c r="Y25">
        <v>1</v>
      </c>
      <c r="Z25">
        <v>10</v>
      </c>
    </row>
    <row r="26" spans="1:26" x14ac:dyDescent="0.3">
      <c r="A26">
        <v>24</v>
      </c>
      <c r="B26">
        <v>125</v>
      </c>
      <c r="C26" t="s">
        <v>26</v>
      </c>
      <c r="D26">
        <v>9.7027000000000001</v>
      </c>
      <c r="E26">
        <v>10.31</v>
      </c>
      <c r="F26">
        <v>6.94</v>
      </c>
      <c r="G26">
        <v>32.01</v>
      </c>
      <c r="H26">
        <v>0.49</v>
      </c>
      <c r="I26">
        <v>13</v>
      </c>
      <c r="J26">
        <v>253.35</v>
      </c>
      <c r="K26">
        <v>58.47</v>
      </c>
      <c r="L26">
        <v>7</v>
      </c>
      <c r="M26">
        <v>11</v>
      </c>
      <c r="N26">
        <v>62.88</v>
      </c>
      <c r="O26">
        <v>31481.17</v>
      </c>
      <c r="P26">
        <v>109.13</v>
      </c>
      <c r="Q26">
        <v>204.16</v>
      </c>
      <c r="R26">
        <v>29.41</v>
      </c>
      <c r="S26">
        <v>17.37</v>
      </c>
      <c r="T26">
        <v>3882.87</v>
      </c>
      <c r="U26">
        <v>0.59</v>
      </c>
      <c r="V26">
        <v>0.74</v>
      </c>
      <c r="W26">
        <v>1.1599999999999999</v>
      </c>
      <c r="X26">
        <v>0.24</v>
      </c>
      <c r="Y26">
        <v>1</v>
      </c>
      <c r="Z26">
        <v>10</v>
      </c>
    </row>
    <row r="27" spans="1:26" x14ac:dyDescent="0.3">
      <c r="A27">
        <v>25</v>
      </c>
      <c r="B27">
        <v>125</v>
      </c>
      <c r="C27" t="s">
        <v>26</v>
      </c>
      <c r="D27">
        <v>9.7611000000000008</v>
      </c>
      <c r="E27">
        <v>10.24</v>
      </c>
      <c r="F27">
        <v>6.92</v>
      </c>
      <c r="G27">
        <v>34.61</v>
      </c>
      <c r="H27">
        <v>0.51</v>
      </c>
      <c r="I27">
        <v>12</v>
      </c>
      <c r="J27">
        <v>253.81</v>
      </c>
      <c r="K27">
        <v>58.47</v>
      </c>
      <c r="L27">
        <v>7.25</v>
      </c>
      <c r="M27">
        <v>10</v>
      </c>
      <c r="N27">
        <v>63.08</v>
      </c>
      <c r="O27">
        <v>31537.13</v>
      </c>
      <c r="P27">
        <v>108.98</v>
      </c>
      <c r="Q27">
        <v>204.14</v>
      </c>
      <c r="R27">
        <v>28.86</v>
      </c>
      <c r="S27">
        <v>17.37</v>
      </c>
      <c r="T27">
        <v>3613.82</v>
      </c>
      <c r="U27">
        <v>0.6</v>
      </c>
      <c r="V27">
        <v>0.74</v>
      </c>
      <c r="W27">
        <v>1.1599999999999999</v>
      </c>
      <c r="X27">
        <v>0.23</v>
      </c>
      <c r="Y27">
        <v>1</v>
      </c>
      <c r="Z27">
        <v>10</v>
      </c>
    </row>
    <row r="28" spans="1:26" x14ac:dyDescent="0.3">
      <c r="A28">
        <v>26</v>
      </c>
      <c r="B28">
        <v>125</v>
      </c>
      <c r="C28" t="s">
        <v>26</v>
      </c>
      <c r="D28">
        <v>9.7659000000000002</v>
      </c>
      <c r="E28">
        <v>10.24</v>
      </c>
      <c r="F28">
        <v>6.92</v>
      </c>
      <c r="G28">
        <v>34.58</v>
      </c>
      <c r="H28">
        <v>0.52</v>
      </c>
      <c r="I28">
        <v>12</v>
      </c>
      <c r="J28">
        <v>254.26</v>
      </c>
      <c r="K28">
        <v>58.47</v>
      </c>
      <c r="L28">
        <v>7.5</v>
      </c>
      <c r="M28">
        <v>10</v>
      </c>
      <c r="N28">
        <v>63.29</v>
      </c>
      <c r="O28">
        <v>31593.16</v>
      </c>
      <c r="P28">
        <v>108.81</v>
      </c>
      <c r="Q28">
        <v>204.14</v>
      </c>
      <c r="R28">
        <v>28.86</v>
      </c>
      <c r="S28">
        <v>17.37</v>
      </c>
      <c r="T28">
        <v>3612.21</v>
      </c>
      <c r="U28">
        <v>0.6</v>
      </c>
      <c r="V28">
        <v>0.74</v>
      </c>
      <c r="W28">
        <v>1.1599999999999999</v>
      </c>
      <c r="X28">
        <v>0.23</v>
      </c>
      <c r="Y28">
        <v>1</v>
      </c>
      <c r="Z28">
        <v>10</v>
      </c>
    </row>
    <row r="29" spans="1:26" x14ac:dyDescent="0.3">
      <c r="A29">
        <v>27</v>
      </c>
      <c r="B29">
        <v>125</v>
      </c>
      <c r="C29" t="s">
        <v>26</v>
      </c>
      <c r="D29">
        <v>9.8436000000000003</v>
      </c>
      <c r="E29">
        <v>10.16</v>
      </c>
      <c r="F29">
        <v>6.88</v>
      </c>
      <c r="G29">
        <v>37.54</v>
      </c>
      <c r="H29">
        <v>0.54</v>
      </c>
      <c r="I29">
        <v>11</v>
      </c>
      <c r="J29">
        <v>254.72</v>
      </c>
      <c r="K29">
        <v>58.47</v>
      </c>
      <c r="L29">
        <v>7.75</v>
      </c>
      <c r="M29">
        <v>9</v>
      </c>
      <c r="N29">
        <v>63.49</v>
      </c>
      <c r="O29">
        <v>31649.26</v>
      </c>
      <c r="P29">
        <v>107.91</v>
      </c>
      <c r="Q29">
        <v>204.16</v>
      </c>
      <c r="R29">
        <v>27.72</v>
      </c>
      <c r="S29">
        <v>17.37</v>
      </c>
      <c r="T29">
        <v>3049.3</v>
      </c>
      <c r="U29">
        <v>0.63</v>
      </c>
      <c r="V29">
        <v>0.74</v>
      </c>
      <c r="W29">
        <v>1.1499999999999999</v>
      </c>
      <c r="X29">
        <v>0.19</v>
      </c>
      <c r="Y29">
        <v>1</v>
      </c>
      <c r="Z29">
        <v>10</v>
      </c>
    </row>
    <row r="30" spans="1:26" x14ac:dyDescent="0.3">
      <c r="A30">
        <v>28</v>
      </c>
      <c r="B30">
        <v>125</v>
      </c>
      <c r="C30" t="s">
        <v>26</v>
      </c>
      <c r="D30">
        <v>9.8424999999999994</v>
      </c>
      <c r="E30">
        <v>10.16</v>
      </c>
      <c r="F30">
        <v>6.88</v>
      </c>
      <c r="G30">
        <v>37.549999999999997</v>
      </c>
      <c r="H30">
        <v>0.56000000000000005</v>
      </c>
      <c r="I30">
        <v>11</v>
      </c>
      <c r="J30">
        <v>255.17</v>
      </c>
      <c r="K30">
        <v>58.47</v>
      </c>
      <c r="L30">
        <v>8</v>
      </c>
      <c r="M30">
        <v>9</v>
      </c>
      <c r="N30">
        <v>63.7</v>
      </c>
      <c r="O30">
        <v>31705.439999999999</v>
      </c>
      <c r="P30">
        <v>107.93</v>
      </c>
      <c r="Q30">
        <v>204.14</v>
      </c>
      <c r="R30">
        <v>27.86</v>
      </c>
      <c r="S30">
        <v>17.37</v>
      </c>
      <c r="T30">
        <v>3118.4</v>
      </c>
      <c r="U30">
        <v>0.62</v>
      </c>
      <c r="V30">
        <v>0.74</v>
      </c>
      <c r="W30">
        <v>1.1499999999999999</v>
      </c>
      <c r="X30">
        <v>0.19</v>
      </c>
      <c r="Y30">
        <v>1</v>
      </c>
      <c r="Z30">
        <v>10</v>
      </c>
    </row>
    <row r="31" spans="1:26" x14ac:dyDescent="0.3">
      <c r="A31">
        <v>29</v>
      </c>
      <c r="B31">
        <v>125</v>
      </c>
      <c r="C31" t="s">
        <v>26</v>
      </c>
      <c r="D31">
        <v>9.8384999999999998</v>
      </c>
      <c r="E31">
        <v>10.16</v>
      </c>
      <c r="F31">
        <v>6.89</v>
      </c>
      <c r="G31">
        <v>37.57</v>
      </c>
      <c r="H31">
        <v>0.56999999999999995</v>
      </c>
      <c r="I31">
        <v>11</v>
      </c>
      <c r="J31">
        <v>255.63</v>
      </c>
      <c r="K31">
        <v>58.47</v>
      </c>
      <c r="L31">
        <v>8.25</v>
      </c>
      <c r="M31">
        <v>9</v>
      </c>
      <c r="N31">
        <v>63.91</v>
      </c>
      <c r="O31">
        <v>31761.69</v>
      </c>
      <c r="P31">
        <v>107.98</v>
      </c>
      <c r="Q31">
        <v>204.15</v>
      </c>
      <c r="R31">
        <v>28.08</v>
      </c>
      <c r="S31">
        <v>17.37</v>
      </c>
      <c r="T31">
        <v>3225.54</v>
      </c>
      <c r="U31">
        <v>0.62</v>
      </c>
      <c r="V31">
        <v>0.74</v>
      </c>
      <c r="W31">
        <v>1.1499999999999999</v>
      </c>
      <c r="X31">
        <v>0.2</v>
      </c>
      <c r="Y31">
        <v>1</v>
      </c>
      <c r="Z31">
        <v>10</v>
      </c>
    </row>
    <row r="32" spans="1:26" x14ac:dyDescent="0.3">
      <c r="A32">
        <v>30</v>
      </c>
      <c r="B32">
        <v>125</v>
      </c>
      <c r="C32" t="s">
        <v>26</v>
      </c>
      <c r="D32">
        <v>9.8369</v>
      </c>
      <c r="E32">
        <v>10.17</v>
      </c>
      <c r="F32">
        <v>6.89</v>
      </c>
      <c r="G32">
        <v>37.58</v>
      </c>
      <c r="H32">
        <v>0.59</v>
      </c>
      <c r="I32">
        <v>11</v>
      </c>
      <c r="J32">
        <v>256.08999999999997</v>
      </c>
      <c r="K32">
        <v>58.47</v>
      </c>
      <c r="L32">
        <v>8.5</v>
      </c>
      <c r="M32">
        <v>9</v>
      </c>
      <c r="N32">
        <v>64.11</v>
      </c>
      <c r="O32">
        <v>31818.02</v>
      </c>
      <c r="P32">
        <v>107.75</v>
      </c>
      <c r="Q32">
        <v>204.14</v>
      </c>
      <c r="R32">
        <v>27.87</v>
      </c>
      <c r="S32">
        <v>17.37</v>
      </c>
      <c r="T32">
        <v>3122.55</v>
      </c>
      <c r="U32">
        <v>0.62</v>
      </c>
      <c r="V32">
        <v>0.74</v>
      </c>
      <c r="W32">
        <v>1.1599999999999999</v>
      </c>
      <c r="X32">
        <v>0.2</v>
      </c>
      <c r="Y32">
        <v>1</v>
      </c>
      <c r="Z32">
        <v>10</v>
      </c>
    </row>
    <row r="33" spans="1:26" x14ac:dyDescent="0.3">
      <c r="A33">
        <v>31</v>
      </c>
      <c r="B33">
        <v>125</v>
      </c>
      <c r="C33" t="s">
        <v>26</v>
      </c>
      <c r="D33">
        <v>9.9077999999999999</v>
      </c>
      <c r="E33">
        <v>10.09</v>
      </c>
      <c r="F33">
        <v>6.86</v>
      </c>
      <c r="G33">
        <v>41.18</v>
      </c>
      <c r="H33">
        <v>0.61</v>
      </c>
      <c r="I33">
        <v>10</v>
      </c>
      <c r="J33">
        <v>256.54000000000002</v>
      </c>
      <c r="K33">
        <v>58.47</v>
      </c>
      <c r="L33">
        <v>8.75</v>
      </c>
      <c r="M33">
        <v>8</v>
      </c>
      <c r="N33">
        <v>64.319999999999993</v>
      </c>
      <c r="O33">
        <v>31874.43</v>
      </c>
      <c r="P33">
        <v>107.24</v>
      </c>
      <c r="Q33">
        <v>204.16</v>
      </c>
      <c r="R33">
        <v>27.27</v>
      </c>
      <c r="S33">
        <v>17.37</v>
      </c>
      <c r="T33">
        <v>2826.18</v>
      </c>
      <c r="U33">
        <v>0.64</v>
      </c>
      <c r="V33">
        <v>0.74</v>
      </c>
      <c r="W33">
        <v>1.1499999999999999</v>
      </c>
      <c r="X33">
        <v>0.17</v>
      </c>
      <c r="Y33">
        <v>1</v>
      </c>
      <c r="Z33">
        <v>10</v>
      </c>
    </row>
    <row r="34" spans="1:26" x14ac:dyDescent="0.3">
      <c r="A34">
        <v>32</v>
      </c>
      <c r="B34">
        <v>125</v>
      </c>
      <c r="C34" t="s">
        <v>26</v>
      </c>
      <c r="D34">
        <v>9.9047999999999998</v>
      </c>
      <c r="E34">
        <v>10.1</v>
      </c>
      <c r="F34">
        <v>6.87</v>
      </c>
      <c r="G34">
        <v>41.2</v>
      </c>
      <c r="H34">
        <v>0.62</v>
      </c>
      <c r="I34">
        <v>10</v>
      </c>
      <c r="J34">
        <v>257</v>
      </c>
      <c r="K34">
        <v>58.47</v>
      </c>
      <c r="L34">
        <v>9</v>
      </c>
      <c r="M34">
        <v>8</v>
      </c>
      <c r="N34">
        <v>64.53</v>
      </c>
      <c r="O34">
        <v>31931.040000000001</v>
      </c>
      <c r="P34">
        <v>107.3</v>
      </c>
      <c r="Q34">
        <v>204.2</v>
      </c>
      <c r="R34">
        <v>27.23</v>
      </c>
      <c r="S34">
        <v>17.37</v>
      </c>
      <c r="T34">
        <v>2805.52</v>
      </c>
      <c r="U34">
        <v>0.64</v>
      </c>
      <c r="V34">
        <v>0.74</v>
      </c>
      <c r="W34">
        <v>1.1499999999999999</v>
      </c>
      <c r="X34">
        <v>0.18</v>
      </c>
      <c r="Y34">
        <v>1</v>
      </c>
      <c r="Z34">
        <v>10</v>
      </c>
    </row>
    <row r="35" spans="1:26" x14ac:dyDescent="0.3">
      <c r="A35">
        <v>33</v>
      </c>
      <c r="B35">
        <v>125</v>
      </c>
      <c r="C35" t="s">
        <v>26</v>
      </c>
      <c r="D35">
        <v>9.9077999999999999</v>
      </c>
      <c r="E35">
        <v>10.09</v>
      </c>
      <c r="F35">
        <v>6.86</v>
      </c>
      <c r="G35">
        <v>41.18</v>
      </c>
      <c r="H35">
        <v>0.64</v>
      </c>
      <c r="I35">
        <v>10</v>
      </c>
      <c r="J35">
        <v>257.45999999999998</v>
      </c>
      <c r="K35">
        <v>58.47</v>
      </c>
      <c r="L35">
        <v>9.25</v>
      </c>
      <c r="M35">
        <v>8</v>
      </c>
      <c r="N35">
        <v>64.739999999999995</v>
      </c>
      <c r="O35">
        <v>31987.61</v>
      </c>
      <c r="P35">
        <v>107.37</v>
      </c>
      <c r="Q35">
        <v>204.17</v>
      </c>
      <c r="R35">
        <v>27.15</v>
      </c>
      <c r="S35">
        <v>17.37</v>
      </c>
      <c r="T35">
        <v>2765.29</v>
      </c>
      <c r="U35">
        <v>0.64</v>
      </c>
      <c r="V35">
        <v>0.74</v>
      </c>
      <c r="W35">
        <v>1.1499999999999999</v>
      </c>
      <c r="X35">
        <v>0.17</v>
      </c>
      <c r="Y35">
        <v>1</v>
      </c>
      <c r="Z35">
        <v>10</v>
      </c>
    </row>
    <row r="36" spans="1:26" x14ac:dyDescent="0.3">
      <c r="A36">
        <v>34</v>
      </c>
      <c r="B36">
        <v>125</v>
      </c>
      <c r="C36" t="s">
        <v>26</v>
      </c>
      <c r="D36">
        <v>9.9037000000000006</v>
      </c>
      <c r="E36">
        <v>10.1</v>
      </c>
      <c r="F36">
        <v>6.87</v>
      </c>
      <c r="G36">
        <v>41.21</v>
      </c>
      <c r="H36">
        <v>0.66</v>
      </c>
      <c r="I36">
        <v>10</v>
      </c>
      <c r="J36">
        <v>257.92</v>
      </c>
      <c r="K36">
        <v>58.47</v>
      </c>
      <c r="L36">
        <v>9.5</v>
      </c>
      <c r="M36">
        <v>8</v>
      </c>
      <c r="N36">
        <v>64.95</v>
      </c>
      <c r="O36">
        <v>32044.25</v>
      </c>
      <c r="P36">
        <v>107.02</v>
      </c>
      <c r="Q36">
        <v>204.14</v>
      </c>
      <c r="R36">
        <v>27.24</v>
      </c>
      <c r="S36">
        <v>17.37</v>
      </c>
      <c r="T36">
        <v>2813.88</v>
      </c>
      <c r="U36">
        <v>0.64</v>
      </c>
      <c r="V36">
        <v>0.74</v>
      </c>
      <c r="W36">
        <v>1.1499999999999999</v>
      </c>
      <c r="X36">
        <v>0.18</v>
      </c>
      <c r="Y36">
        <v>1</v>
      </c>
      <c r="Z36">
        <v>10</v>
      </c>
    </row>
    <row r="37" spans="1:26" x14ac:dyDescent="0.3">
      <c r="A37">
        <v>35</v>
      </c>
      <c r="B37">
        <v>125</v>
      </c>
      <c r="C37" t="s">
        <v>26</v>
      </c>
      <c r="D37">
        <v>9.9620999999999995</v>
      </c>
      <c r="E37">
        <v>10.039999999999999</v>
      </c>
      <c r="F37">
        <v>6.86</v>
      </c>
      <c r="G37">
        <v>45.71</v>
      </c>
      <c r="H37">
        <v>0.67</v>
      </c>
      <c r="I37">
        <v>9</v>
      </c>
      <c r="J37">
        <v>258.38</v>
      </c>
      <c r="K37">
        <v>58.47</v>
      </c>
      <c r="L37">
        <v>9.75</v>
      </c>
      <c r="M37">
        <v>7</v>
      </c>
      <c r="N37">
        <v>65.16</v>
      </c>
      <c r="O37">
        <v>32100.97</v>
      </c>
      <c r="P37">
        <v>106.95</v>
      </c>
      <c r="Q37">
        <v>204.14</v>
      </c>
      <c r="R37">
        <v>26.9</v>
      </c>
      <c r="S37">
        <v>17.37</v>
      </c>
      <c r="T37">
        <v>2649.75</v>
      </c>
      <c r="U37">
        <v>0.65</v>
      </c>
      <c r="V37">
        <v>0.74</v>
      </c>
      <c r="W37">
        <v>1.1499999999999999</v>
      </c>
      <c r="X37">
        <v>0.17</v>
      </c>
      <c r="Y37">
        <v>1</v>
      </c>
      <c r="Z37">
        <v>10</v>
      </c>
    </row>
    <row r="38" spans="1:26" x14ac:dyDescent="0.3">
      <c r="A38">
        <v>36</v>
      </c>
      <c r="B38">
        <v>125</v>
      </c>
      <c r="C38" t="s">
        <v>26</v>
      </c>
      <c r="D38">
        <v>9.9610000000000003</v>
      </c>
      <c r="E38">
        <v>10.039999999999999</v>
      </c>
      <c r="F38">
        <v>6.86</v>
      </c>
      <c r="G38">
        <v>45.71</v>
      </c>
      <c r="H38">
        <v>0.69</v>
      </c>
      <c r="I38">
        <v>9</v>
      </c>
      <c r="J38">
        <v>258.83999999999997</v>
      </c>
      <c r="K38">
        <v>58.47</v>
      </c>
      <c r="L38">
        <v>10</v>
      </c>
      <c r="M38">
        <v>7</v>
      </c>
      <c r="N38">
        <v>65.37</v>
      </c>
      <c r="O38">
        <v>32157.77</v>
      </c>
      <c r="P38">
        <v>107.08</v>
      </c>
      <c r="Q38">
        <v>204.15</v>
      </c>
      <c r="R38">
        <v>26.95</v>
      </c>
      <c r="S38">
        <v>17.37</v>
      </c>
      <c r="T38">
        <v>2671.87</v>
      </c>
      <c r="U38">
        <v>0.64</v>
      </c>
      <c r="V38">
        <v>0.74</v>
      </c>
      <c r="W38">
        <v>1.1499999999999999</v>
      </c>
      <c r="X38">
        <v>0.17</v>
      </c>
      <c r="Y38">
        <v>1</v>
      </c>
      <c r="Z38">
        <v>10</v>
      </c>
    </row>
    <row r="39" spans="1:26" x14ac:dyDescent="0.3">
      <c r="A39">
        <v>37</v>
      </c>
      <c r="B39">
        <v>125</v>
      </c>
      <c r="C39" t="s">
        <v>26</v>
      </c>
      <c r="D39">
        <v>9.9657</v>
      </c>
      <c r="E39">
        <v>10.029999999999999</v>
      </c>
      <c r="F39">
        <v>6.85</v>
      </c>
      <c r="G39">
        <v>45.68</v>
      </c>
      <c r="H39">
        <v>0.7</v>
      </c>
      <c r="I39">
        <v>9</v>
      </c>
      <c r="J39">
        <v>259.3</v>
      </c>
      <c r="K39">
        <v>58.47</v>
      </c>
      <c r="L39">
        <v>10.25</v>
      </c>
      <c r="M39">
        <v>7</v>
      </c>
      <c r="N39">
        <v>65.58</v>
      </c>
      <c r="O39">
        <v>32214.639999999999</v>
      </c>
      <c r="P39">
        <v>106.9</v>
      </c>
      <c r="Q39">
        <v>204.14</v>
      </c>
      <c r="R39">
        <v>26.89</v>
      </c>
      <c r="S39">
        <v>17.37</v>
      </c>
      <c r="T39">
        <v>2641.82</v>
      </c>
      <c r="U39">
        <v>0.65</v>
      </c>
      <c r="V39">
        <v>0.75</v>
      </c>
      <c r="W39">
        <v>1.1499999999999999</v>
      </c>
      <c r="X39">
        <v>0.16</v>
      </c>
      <c r="Y39">
        <v>1</v>
      </c>
      <c r="Z39">
        <v>10</v>
      </c>
    </row>
    <row r="40" spans="1:26" x14ac:dyDescent="0.3">
      <c r="A40">
        <v>38</v>
      </c>
      <c r="B40">
        <v>125</v>
      </c>
      <c r="C40" t="s">
        <v>26</v>
      </c>
      <c r="D40">
        <v>9.9588000000000001</v>
      </c>
      <c r="E40">
        <v>10.039999999999999</v>
      </c>
      <c r="F40">
        <v>6.86</v>
      </c>
      <c r="G40">
        <v>45.73</v>
      </c>
      <c r="H40">
        <v>0.72</v>
      </c>
      <c r="I40">
        <v>9</v>
      </c>
      <c r="J40">
        <v>259.76</v>
      </c>
      <c r="K40">
        <v>58.47</v>
      </c>
      <c r="L40">
        <v>10.5</v>
      </c>
      <c r="M40">
        <v>7</v>
      </c>
      <c r="N40">
        <v>65.790000000000006</v>
      </c>
      <c r="O40">
        <v>32271.599999999999</v>
      </c>
      <c r="P40">
        <v>106.81</v>
      </c>
      <c r="Q40">
        <v>204.14</v>
      </c>
      <c r="R40">
        <v>27.22</v>
      </c>
      <c r="S40">
        <v>17.37</v>
      </c>
      <c r="T40">
        <v>2807.1</v>
      </c>
      <c r="U40">
        <v>0.64</v>
      </c>
      <c r="V40">
        <v>0.74</v>
      </c>
      <c r="W40">
        <v>1.1499999999999999</v>
      </c>
      <c r="X40">
        <v>0.17</v>
      </c>
      <c r="Y40">
        <v>1</v>
      </c>
      <c r="Z40">
        <v>10</v>
      </c>
    </row>
    <row r="41" spans="1:26" x14ac:dyDescent="0.3">
      <c r="A41">
        <v>39</v>
      </c>
      <c r="B41">
        <v>125</v>
      </c>
      <c r="C41" t="s">
        <v>26</v>
      </c>
      <c r="D41">
        <v>9.9650999999999996</v>
      </c>
      <c r="E41">
        <v>10.039999999999999</v>
      </c>
      <c r="F41">
        <v>6.85</v>
      </c>
      <c r="G41">
        <v>45.69</v>
      </c>
      <c r="H41">
        <v>0.74</v>
      </c>
      <c r="I41">
        <v>9</v>
      </c>
      <c r="J41">
        <v>260.23</v>
      </c>
      <c r="K41">
        <v>58.47</v>
      </c>
      <c r="L41">
        <v>10.75</v>
      </c>
      <c r="M41">
        <v>7</v>
      </c>
      <c r="N41">
        <v>66</v>
      </c>
      <c r="O41">
        <v>32328.639999999999</v>
      </c>
      <c r="P41">
        <v>106.54</v>
      </c>
      <c r="Q41">
        <v>204.14</v>
      </c>
      <c r="R41">
        <v>26.84</v>
      </c>
      <c r="S41">
        <v>17.37</v>
      </c>
      <c r="T41">
        <v>2617.61</v>
      </c>
      <c r="U41">
        <v>0.65</v>
      </c>
      <c r="V41">
        <v>0.75</v>
      </c>
      <c r="W41">
        <v>1.1499999999999999</v>
      </c>
      <c r="X41">
        <v>0.16</v>
      </c>
      <c r="Y41">
        <v>1</v>
      </c>
      <c r="Z41">
        <v>10</v>
      </c>
    </row>
    <row r="42" spans="1:26" x14ac:dyDescent="0.3">
      <c r="A42">
        <v>40</v>
      </c>
      <c r="B42">
        <v>125</v>
      </c>
      <c r="C42" t="s">
        <v>26</v>
      </c>
      <c r="D42">
        <v>10.034000000000001</v>
      </c>
      <c r="E42">
        <v>9.9700000000000006</v>
      </c>
      <c r="F42">
        <v>6.83</v>
      </c>
      <c r="G42">
        <v>51.24</v>
      </c>
      <c r="H42">
        <v>0.75</v>
      </c>
      <c r="I42">
        <v>8</v>
      </c>
      <c r="J42">
        <v>260.69</v>
      </c>
      <c r="K42">
        <v>58.47</v>
      </c>
      <c r="L42">
        <v>11</v>
      </c>
      <c r="M42">
        <v>6</v>
      </c>
      <c r="N42">
        <v>66.209999999999994</v>
      </c>
      <c r="O42">
        <v>32385.75</v>
      </c>
      <c r="P42">
        <v>106.14</v>
      </c>
      <c r="Q42">
        <v>204.14</v>
      </c>
      <c r="R42">
        <v>26.17</v>
      </c>
      <c r="S42">
        <v>17.37</v>
      </c>
      <c r="T42">
        <v>2285.0300000000002</v>
      </c>
      <c r="U42">
        <v>0.66</v>
      </c>
      <c r="V42">
        <v>0.75</v>
      </c>
      <c r="W42">
        <v>1.1499999999999999</v>
      </c>
      <c r="X42">
        <v>0.14000000000000001</v>
      </c>
      <c r="Y42">
        <v>1</v>
      </c>
      <c r="Z42">
        <v>10</v>
      </c>
    </row>
    <row r="43" spans="1:26" x14ac:dyDescent="0.3">
      <c r="A43">
        <v>41</v>
      </c>
      <c r="B43">
        <v>125</v>
      </c>
      <c r="C43" t="s">
        <v>26</v>
      </c>
      <c r="D43">
        <v>10.048299999999999</v>
      </c>
      <c r="E43">
        <v>9.9499999999999993</v>
      </c>
      <c r="F43">
        <v>6.82</v>
      </c>
      <c r="G43">
        <v>51.13</v>
      </c>
      <c r="H43">
        <v>0.77</v>
      </c>
      <c r="I43">
        <v>8</v>
      </c>
      <c r="J43">
        <v>261.14999999999998</v>
      </c>
      <c r="K43">
        <v>58.47</v>
      </c>
      <c r="L43">
        <v>11.25</v>
      </c>
      <c r="M43">
        <v>6</v>
      </c>
      <c r="N43">
        <v>66.430000000000007</v>
      </c>
      <c r="O43">
        <v>32442.95</v>
      </c>
      <c r="P43">
        <v>105.72</v>
      </c>
      <c r="Q43">
        <v>204.14</v>
      </c>
      <c r="R43">
        <v>25.81</v>
      </c>
      <c r="S43">
        <v>17.37</v>
      </c>
      <c r="T43">
        <v>2106.08</v>
      </c>
      <c r="U43">
        <v>0.67</v>
      </c>
      <c r="V43">
        <v>0.75</v>
      </c>
      <c r="W43">
        <v>1.1499999999999999</v>
      </c>
      <c r="X43">
        <v>0.13</v>
      </c>
      <c r="Y43">
        <v>1</v>
      </c>
      <c r="Z43">
        <v>10</v>
      </c>
    </row>
    <row r="44" spans="1:26" x14ac:dyDescent="0.3">
      <c r="A44">
        <v>42</v>
      </c>
      <c r="B44">
        <v>125</v>
      </c>
      <c r="C44" t="s">
        <v>26</v>
      </c>
      <c r="D44">
        <v>10.0413</v>
      </c>
      <c r="E44">
        <v>9.9600000000000009</v>
      </c>
      <c r="F44">
        <v>6.82</v>
      </c>
      <c r="G44">
        <v>51.18</v>
      </c>
      <c r="H44">
        <v>0.78</v>
      </c>
      <c r="I44">
        <v>8</v>
      </c>
      <c r="J44">
        <v>261.62</v>
      </c>
      <c r="K44">
        <v>58.47</v>
      </c>
      <c r="L44">
        <v>11.5</v>
      </c>
      <c r="M44">
        <v>6</v>
      </c>
      <c r="N44">
        <v>66.64</v>
      </c>
      <c r="O44">
        <v>32500.22</v>
      </c>
      <c r="P44">
        <v>105.73</v>
      </c>
      <c r="Q44">
        <v>204.15</v>
      </c>
      <c r="R44">
        <v>25.95</v>
      </c>
      <c r="S44">
        <v>17.37</v>
      </c>
      <c r="T44">
        <v>2175.89</v>
      </c>
      <c r="U44">
        <v>0.67</v>
      </c>
      <c r="V44">
        <v>0.75</v>
      </c>
      <c r="W44">
        <v>1.1499999999999999</v>
      </c>
      <c r="X44">
        <v>0.13</v>
      </c>
      <c r="Y44">
        <v>1</v>
      </c>
      <c r="Z44">
        <v>10</v>
      </c>
    </row>
    <row r="45" spans="1:26" x14ac:dyDescent="0.3">
      <c r="A45">
        <v>43</v>
      </c>
      <c r="B45">
        <v>125</v>
      </c>
      <c r="C45" t="s">
        <v>26</v>
      </c>
      <c r="D45">
        <v>10.0337</v>
      </c>
      <c r="E45">
        <v>9.9700000000000006</v>
      </c>
      <c r="F45">
        <v>6.83</v>
      </c>
      <c r="G45">
        <v>51.24</v>
      </c>
      <c r="H45">
        <v>0.8</v>
      </c>
      <c r="I45">
        <v>8</v>
      </c>
      <c r="J45">
        <v>262.08</v>
      </c>
      <c r="K45">
        <v>58.47</v>
      </c>
      <c r="L45">
        <v>11.75</v>
      </c>
      <c r="M45">
        <v>6</v>
      </c>
      <c r="N45">
        <v>66.86</v>
      </c>
      <c r="O45">
        <v>32557.58</v>
      </c>
      <c r="P45">
        <v>105.67</v>
      </c>
      <c r="Q45">
        <v>204.15</v>
      </c>
      <c r="R45">
        <v>26.26</v>
      </c>
      <c r="S45">
        <v>17.37</v>
      </c>
      <c r="T45">
        <v>2330</v>
      </c>
      <c r="U45">
        <v>0.66</v>
      </c>
      <c r="V45">
        <v>0.75</v>
      </c>
      <c r="W45">
        <v>1.1499999999999999</v>
      </c>
      <c r="X45">
        <v>0.14000000000000001</v>
      </c>
      <c r="Y45">
        <v>1</v>
      </c>
      <c r="Z45">
        <v>10</v>
      </c>
    </row>
    <row r="46" spans="1:26" x14ac:dyDescent="0.3">
      <c r="A46">
        <v>44</v>
      </c>
      <c r="B46">
        <v>125</v>
      </c>
      <c r="C46" t="s">
        <v>26</v>
      </c>
      <c r="D46">
        <v>10.039300000000001</v>
      </c>
      <c r="E46">
        <v>9.9600000000000009</v>
      </c>
      <c r="F46">
        <v>6.83</v>
      </c>
      <c r="G46">
        <v>51.2</v>
      </c>
      <c r="H46">
        <v>0.81</v>
      </c>
      <c r="I46">
        <v>8</v>
      </c>
      <c r="J46">
        <v>262.55</v>
      </c>
      <c r="K46">
        <v>58.47</v>
      </c>
      <c r="L46">
        <v>12</v>
      </c>
      <c r="M46">
        <v>6</v>
      </c>
      <c r="N46">
        <v>67.069999999999993</v>
      </c>
      <c r="O46">
        <v>32615.02</v>
      </c>
      <c r="P46">
        <v>105.66</v>
      </c>
      <c r="Q46">
        <v>204.16</v>
      </c>
      <c r="R46">
        <v>26.06</v>
      </c>
      <c r="S46">
        <v>17.37</v>
      </c>
      <c r="T46">
        <v>2232.35</v>
      </c>
      <c r="U46">
        <v>0.67</v>
      </c>
      <c r="V46">
        <v>0.75</v>
      </c>
      <c r="W46">
        <v>1.1499999999999999</v>
      </c>
      <c r="X46">
        <v>0.13</v>
      </c>
      <c r="Y46">
        <v>1</v>
      </c>
      <c r="Z46">
        <v>10</v>
      </c>
    </row>
    <row r="47" spans="1:26" x14ac:dyDescent="0.3">
      <c r="A47">
        <v>45</v>
      </c>
      <c r="B47">
        <v>125</v>
      </c>
      <c r="C47" t="s">
        <v>26</v>
      </c>
      <c r="D47">
        <v>10.035399999999999</v>
      </c>
      <c r="E47">
        <v>9.9600000000000009</v>
      </c>
      <c r="F47">
        <v>6.83</v>
      </c>
      <c r="G47">
        <v>51.23</v>
      </c>
      <c r="H47">
        <v>0.83</v>
      </c>
      <c r="I47">
        <v>8</v>
      </c>
      <c r="J47">
        <v>263.01</v>
      </c>
      <c r="K47">
        <v>58.47</v>
      </c>
      <c r="L47">
        <v>12.25</v>
      </c>
      <c r="M47">
        <v>6</v>
      </c>
      <c r="N47">
        <v>67.290000000000006</v>
      </c>
      <c r="O47">
        <v>32672.53</v>
      </c>
      <c r="P47">
        <v>105.47</v>
      </c>
      <c r="Q47">
        <v>204.16</v>
      </c>
      <c r="R47">
        <v>26.18</v>
      </c>
      <c r="S47">
        <v>17.37</v>
      </c>
      <c r="T47">
        <v>2291.14</v>
      </c>
      <c r="U47">
        <v>0.66</v>
      </c>
      <c r="V47">
        <v>0.75</v>
      </c>
      <c r="W47">
        <v>1.1499999999999999</v>
      </c>
      <c r="X47">
        <v>0.14000000000000001</v>
      </c>
      <c r="Y47">
        <v>1</v>
      </c>
      <c r="Z47">
        <v>10</v>
      </c>
    </row>
    <row r="48" spans="1:26" x14ac:dyDescent="0.3">
      <c r="A48">
        <v>46</v>
      </c>
      <c r="B48">
        <v>125</v>
      </c>
      <c r="C48" t="s">
        <v>26</v>
      </c>
      <c r="D48">
        <v>10.1126</v>
      </c>
      <c r="E48">
        <v>9.89</v>
      </c>
      <c r="F48">
        <v>6.8</v>
      </c>
      <c r="G48">
        <v>58.3</v>
      </c>
      <c r="H48">
        <v>0.84</v>
      </c>
      <c r="I48">
        <v>7</v>
      </c>
      <c r="J48">
        <v>263.48</v>
      </c>
      <c r="K48">
        <v>58.47</v>
      </c>
      <c r="L48">
        <v>12.5</v>
      </c>
      <c r="M48">
        <v>5</v>
      </c>
      <c r="N48">
        <v>67.510000000000005</v>
      </c>
      <c r="O48">
        <v>32730.13</v>
      </c>
      <c r="P48">
        <v>104.7</v>
      </c>
      <c r="Q48">
        <v>204.14</v>
      </c>
      <c r="R48">
        <v>25.24</v>
      </c>
      <c r="S48">
        <v>17.37</v>
      </c>
      <c r="T48">
        <v>1827.36</v>
      </c>
      <c r="U48">
        <v>0.69</v>
      </c>
      <c r="V48">
        <v>0.75</v>
      </c>
      <c r="W48">
        <v>1.1499999999999999</v>
      </c>
      <c r="X48">
        <v>0.11</v>
      </c>
      <c r="Y48">
        <v>1</v>
      </c>
      <c r="Z48">
        <v>10</v>
      </c>
    </row>
    <row r="49" spans="1:26" x14ac:dyDescent="0.3">
      <c r="A49">
        <v>47</v>
      </c>
      <c r="B49">
        <v>125</v>
      </c>
      <c r="C49" t="s">
        <v>26</v>
      </c>
      <c r="D49">
        <v>10.113799999999999</v>
      </c>
      <c r="E49">
        <v>9.89</v>
      </c>
      <c r="F49">
        <v>6.8</v>
      </c>
      <c r="G49">
        <v>58.29</v>
      </c>
      <c r="H49">
        <v>0.86</v>
      </c>
      <c r="I49">
        <v>7</v>
      </c>
      <c r="J49">
        <v>263.95</v>
      </c>
      <c r="K49">
        <v>58.47</v>
      </c>
      <c r="L49">
        <v>12.75</v>
      </c>
      <c r="M49">
        <v>5</v>
      </c>
      <c r="N49">
        <v>67.72</v>
      </c>
      <c r="O49">
        <v>32787.82</v>
      </c>
      <c r="P49">
        <v>104.9</v>
      </c>
      <c r="Q49">
        <v>204.14</v>
      </c>
      <c r="R49">
        <v>25.32</v>
      </c>
      <c r="S49">
        <v>17.37</v>
      </c>
      <c r="T49">
        <v>1867.88</v>
      </c>
      <c r="U49">
        <v>0.69</v>
      </c>
      <c r="V49">
        <v>0.75</v>
      </c>
      <c r="W49">
        <v>1.1399999999999999</v>
      </c>
      <c r="X49">
        <v>0.11</v>
      </c>
      <c r="Y49">
        <v>1</v>
      </c>
      <c r="Z49">
        <v>10</v>
      </c>
    </row>
    <row r="50" spans="1:26" x14ac:dyDescent="0.3">
      <c r="A50">
        <v>48</v>
      </c>
      <c r="B50">
        <v>125</v>
      </c>
      <c r="C50" t="s">
        <v>26</v>
      </c>
      <c r="D50">
        <v>10.1061</v>
      </c>
      <c r="E50">
        <v>9.9</v>
      </c>
      <c r="F50">
        <v>6.81</v>
      </c>
      <c r="G50">
        <v>58.35</v>
      </c>
      <c r="H50">
        <v>0.87</v>
      </c>
      <c r="I50">
        <v>7</v>
      </c>
      <c r="J50">
        <v>264.42</v>
      </c>
      <c r="K50">
        <v>58.47</v>
      </c>
      <c r="L50">
        <v>13</v>
      </c>
      <c r="M50">
        <v>5</v>
      </c>
      <c r="N50">
        <v>67.94</v>
      </c>
      <c r="O50">
        <v>32845.58</v>
      </c>
      <c r="P50">
        <v>105.11</v>
      </c>
      <c r="Q50">
        <v>204.14</v>
      </c>
      <c r="R50">
        <v>25.47</v>
      </c>
      <c r="S50">
        <v>17.37</v>
      </c>
      <c r="T50">
        <v>1944.41</v>
      </c>
      <c r="U50">
        <v>0.68</v>
      </c>
      <c r="V50">
        <v>0.75</v>
      </c>
      <c r="W50">
        <v>1.1499999999999999</v>
      </c>
      <c r="X50">
        <v>0.12</v>
      </c>
      <c r="Y50">
        <v>1</v>
      </c>
      <c r="Z50">
        <v>10</v>
      </c>
    </row>
    <row r="51" spans="1:26" x14ac:dyDescent="0.3">
      <c r="A51">
        <v>49</v>
      </c>
      <c r="B51">
        <v>125</v>
      </c>
      <c r="C51" t="s">
        <v>26</v>
      </c>
      <c r="D51">
        <v>10.1107</v>
      </c>
      <c r="E51">
        <v>9.89</v>
      </c>
      <c r="F51">
        <v>6.8</v>
      </c>
      <c r="G51">
        <v>58.31</v>
      </c>
      <c r="H51">
        <v>0.89</v>
      </c>
      <c r="I51">
        <v>7</v>
      </c>
      <c r="J51">
        <v>264.89</v>
      </c>
      <c r="K51">
        <v>58.47</v>
      </c>
      <c r="L51">
        <v>13.25</v>
      </c>
      <c r="M51">
        <v>5</v>
      </c>
      <c r="N51">
        <v>68.16</v>
      </c>
      <c r="O51">
        <v>32903.43</v>
      </c>
      <c r="P51">
        <v>105.22</v>
      </c>
      <c r="Q51">
        <v>204.14</v>
      </c>
      <c r="R51">
        <v>25.22</v>
      </c>
      <c r="S51">
        <v>17.37</v>
      </c>
      <c r="T51">
        <v>1818.98</v>
      </c>
      <c r="U51">
        <v>0.69</v>
      </c>
      <c r="V51">
        <v>0.75</v>
      </c>
      <c r="W51">
        <v>1.1499999999999999</v>
      </c>
      <c r="X51">
        <v>0.11</v>
      </c>
      <c r="Y51">
        <v>1</v>
      </c>
      <c r="Z51">
        <v>10</v>
      </c>
    </row>
    <row r="52" spans="1:26" x14ac:dyDescent="0.3">
      <c r="A52">
        <v>50</v>
      </c>
      <c r="B52">
        <v>125</v>
      </c>
      <c r="C52" t="s">
        <v>26</v>
      </c>
      <c r="D52">
        <v>10.1007</v>
      </c>
      <c r="E52">
        <v>9.9</v>
      </c>
      <c r="F52">
        <v>6.81</v>
      </c>
      <c r="G52">
        <v>58.4</v>
      </c>
      <c r="H52">
        <v>0.91</v>
      </c>
      <c r="I52">
        <v>7</v>
      </c>
      <c r="J52">
        <v>265.36</v>
      </c>
      <c r="K52">
        <v>58.47</v>
      </c>
      <c r="L52">
        <v>13.5</v>
      </c>
      <c r="M52">
        <v>5</v>
      </c>
      <c r="N52">
        <v>68.38</v>
      </c>
      <c r="O52">
        <v>32961.360000000001</v>
      </c>
      <c r="P52">
        <v>105.27</v>
      </c>
      <c r="Q52">
        <v>204.14</v>
      </c>
      <c r="R52">
        <v>25.62</v>
      </c>
      <c r="S52">
        <v>17.37</v>
      </c>
      <c r="T52">
        <v>2016.61</v>
      </c>
      <c r="U52">
        <v>0.68</v>
      </c>
      <c r="V52">
        <v>0.75</v>
      </c>
      <c r="W52">
        <v>1.1499999999999999</v>
      </c>
      <c r="X52">
        <v>0.12</v>
      </c>
      <c r="Y52">
        <v>1</v>
      </c>
      <c r="Z52">
        <v>10</v>
      </c>
    </row>
    <row r="53" spans="1:26" x14ac:dyDescent="0.3">
      <c r="A53">
        <v>51</v>
      </c>
      <c r="B53">
        <v>125</v>
      </c>
      <c r="C53" t="s">
        <v>26</v>
      </c>
      <c r="D53">
        <v>10.1067</v>
      </c>
      <c r="E53">
        <v>9.89</v>
      </c>
      <c r="F53">
        <v>6.81</v>
      </c>
      <c r="G53">
        <v>58.35</v>
      </c>
      <c r="H53">
        <v>0.92</v>
      </c>
      <c r="I53">
        <v>7</v>
      </c>
      <c r="J53">
        <v>265.83</v>
      </c>
      <c r="K53">
        <v>58.47</v>
      </c>
      <c r="L53">
        <v>13.75</v>
      </c>
      <c r="M53">
        <v>5</v>
      </c>
      <c r="N53">
        <v>68.599999999999994</v>
      </c>
      <c r="O53">
        <v>33019.370000000003</v>
      </c>
      <c r="P53">
        <v>105.08</v>
      </c>
      <c r="Q53">
        <v>204.16</v>
      </c>
      <c r="R53">
        <v>25.57</v>
      </c>
      <c r="S53">
        <v>17.37</v>
      </c>
      <c r="T53">
        <v>1989.92</v>
      </c>
      <c r="U53">
        <v>0.68</v>
      </c>
      <c r="V53">
        <v>0.75</v>
      </c>
      <c r="W53">
        <v>1.1399999999999999</v>
      </c>
      <c r="X53">
        <v>0.12</v>
      </c>
      <c r="Y53">
        <v>1</v>
      </c>
      <c r="Z53">
        <v>10</v>
      </c>
    </row>
    <row r="54" spans="1:26" x14ac:dyDescent="0.3">
      <c r="A54">
        <v>52</v>
      </c>
      <c r="B54">
        <v>125</v>
      </c>
      <c r="C54" t="s">
        <v>26</v>
      </c>
      <c r="D54">
        <v>10.1036</v>
      </c>
      <c r="E54">
        <v>9.9</v>
      </c>
      <c r="F54">
        <v>6.81</v>
      </c>
      <c r="G54">
        <v>58.37</v>
      </c>
      <c r="H54">
        <v>0.94</v>
      </c>
      <c r="I54">
        <v>7</v>
      </c>
      <c r="J54">
        <v>266.3</v>
      </c>
      <c r="K54">
        <v>58.47</v>
      </c>
      <c r="L54">
        <v>14</v>
      </c>
      <c r="M54">
        <v>5</v>
      </c>
      <c r="N54">
        <v>68.819999999999993</v>
      </c>
      <c r="O54">
        <v>33077.47</v>
      </c>
      <c r="P54">
        <v>104.92</v>
      </c>
      <c r="Q54">
        <v>204.17</v>
      </c>
      <c r="R54">
        <v>25.61</v>
      </c>
      <c r="S54">
        <v>17.37</v>
      </c>
      <c r="T54">
        <v>2013.83</v>
      </c>
      <c r="U54">
        <v>0.68</v>
      </c>
      <c r="V54">
        <v>0.75</v>
      </c>
      <c r="W54">
        <v>1.1499999999999999</v>
      </c>
      <c r="X54">
        <v>0.12</v>
      </c>
      <c r="Y54">
        <v>1</v>
      </c>
      <c r="Z54">
        <v>10</v>
      </c>
    </row>
    <row r="55" spans="1:26" x14ac:dyDescent="0.3">
      <c r="A55">
        <v>53</v>
      </c>
      <c r="B55">
        <v>125</v>
      </c>
      <c r="C55" t="s">
        <v>26</v>
      </c>
      <c r="D55">
        <v>10.0962</v>
      </c>
      <c r="E55">
        <v>9.9</v>
      </c>
      <c r="F55">
        <v>6.82</v>
      </c>
      <c r="G55">
        <v>58.43</v>
      </c>
      <c r="H55">
        <v>0.95</v>
      </c>
      <c r="I55">
        <v>7</v>
      </c>
      <c r="J55">
        <v>266.77</v>
      </c>
      <c r="K55">
        <v>58.47</v>
      </c>
      <c r="L55">
        <v>14.25</v>
      </c>
      <c r="M55">
        <v>5</v>
      </c>
      <c r="N55">
        <v>69.040000000000006</v>
      </c>
      <c r="O55">
        <v>33135.65</v>
      </c>
      <c r="P55">
        <v>104.82</v>
      </c>
      <c r="Q55">
        <v>204.14</v>
      </c>
      <c r="R55">
        <v>25.79</v>
      </c>
      <c r="S55">
        <v>17.37</v>
      </c>
      <c r="T55">
        <v>2104.3200000000002</v>
      </c>
      <c r="U55">
        <v>0.67</v>
      </c>
      <c r="V55">
        <v>0.75</v>
      </c>
      <c r="W55">
        <v>1.1499999999999999</v>
      </c>
      <c r="X55">
        <v>0.13</v>
      </c>
      <c r="Y55">
        <v>1</v>
      </c>
      <c r="Z55">
        <v>10</v>
      </c>
    </row>
    <row r="56" spans="1:26" x14ac:dyDescent="0.3">
      <c r="A56">
        <v>54</v>
      </c>
      <c r="B56">
        <v>125</v>
      </c>
      <c r="C56" t="s">
        <v>26</v>
      </c>
      <c r="D56">
        <v>10.094200000000001</v>
      </c>
      <c r="E56">
        <v>9.91</v>
      </c>
      <c r="F56">
        <v>6.82</v>
      </c>
      <c r="G56">
        <v>58.45</v>
      </c>
      <c r="H56">
        <v>0.97</v>
      </c>
      <c r="I56">
        <v>7</v>
      </c>
      <c r="J56">
        <v>267.24</v>
      </c>
      <c r="K56">
        <v>58.47</v>
      </c>
      <c r="L56">
        <v>14.5</v>
      </c>
      <c r="M56">
        <v>5</v>
      </c>
      <c r="N56">
        <v>69.27</v>
      </c>
      <c r="O56">
        <v>33193.919999999998</v>
      </c>
      <c r="P56">
        <v>104.72</v>
      </c>
      <c r="Q56">
        <v>204.14</v>
      </c>
      <c r="R56">
        <v>25.74</v>
      </c>
      <c r="S56">
        <v>17.37</v>
      </c>
      <c r="T56">
        <v>2078.14</v>
      </c>
      <c r="U56">
        <v>0.67</v>
      </c>
      <c r="V56">
        <v>0.75</v>
      </c>
      <c r="W56">
        <v>1.1499999999999999</v>
      </c>
      <c r="X56">
        <v>0.13</v>
      </c>
      <c r="Y56">
        <v>1</v>
      </c>
      <c r="Z56">
        <v>10</v>
      </c>
    </row>
    <row r="57" spans="1:26" x14ac:dyDescent="0.3">
      <c r="A57">
        <v>55</v>
      </c>
      <c r="B57">
        <v>125</v>
      </c>
      <c r="C57" t="s">
        <v>26</v>
      </c>
      <c r="D57">
        <v>10.1067</v>
      </c>
      <c r="E57">
        <v>9.89</v>
      </c>
      <c r="F57">
        <v>6.81</v>
      </c>
      <c r="G57">
        <v>58.35</v>
      </c>
      <c r="H57">
        <v>0.98</v>
      </c>
      <c r="I57">
        <v>7</v>
      </c>
      <c r="J57">
        <v>267.70999999999998</v>
      </c>
      <c r="K57">
        <v>58.47</v>
      </c>
      <c r="L57">
        <v>14.75</v>
      </c>
      <c r="M57">
        <v>5</v>
      </c>
      <c r="N57">
        <v>69.489999999999995</v>
      </c>
      <c r="O57">
        <v>33252.269999999997</v>
      </c>
      <c r="P57">
        <v>104.27</v>
      </c>
      <c r="Q57">
        <v>204.14</v>
      </c>
      <c r="R57">
        <v>25.47</v>
      </c>
      <c r="S57">
        <v>17.37</v>
      </c>
      <c r="T57">
        <v>1942.93</v>
      </c>
      <c r="U57">
        <v>0.68</v>
      </c>
      <c r="V57">
        <v>0.75</v>
      </c>
      <c r="W57">
        <v>1.1499999999999999</v>
      </c>
      <c r="X57">
        <v>0.12</v>
      </c>
      <c r="Y57">
        <v>1</v>
      </c>
      <c r="Z57">
        <v>10</v>
      </c>
    </row>
    <row r="58" spans="1:26" x14ac:dyDescent="0.3">
      <c r="A58">
        <v>56</v>
      </c>
      <c r="B58">
        <v>125</v>
      </c>
      <c r="C58" t="s">
        <v>26</v>
      </c>
      <c r="D58">
        <v>10.177300000000001</v>
      </c>
      <c r="E58">
        <v>9.83</v>
      </c>
      <c r="F58">
        <v>6.79</v>
      </c>
      <c r="G58">
        <v>67.86</v>
      </c>
      <c r="H58">
        <v>1</v>
      </c>
      <c r="I58">
        <v>6</v>
      </c>
      <c r="J58">
        <v>268.19</v>
      </c>
      <c r="K58">
        <v>58.47</v>
      </c>
      <c r="L58">
        <v>15</v>
      </c>
      <c r="M58">
        <v>4</v>
      </c>
      <c r="N58">
        <v>69.709999999999994</v>
      </c>
      <c r="O58">
        <v>33310.699999999997</v>
      </c>
      <c r="P58">
        <v>103.79</v>
      </c>
      <c r="Q58">
        <v>204.14</v>
      </c>
      <c r="R58">
        <v>24.72</v>
      </c>
      <c r="S58">
        <v>17.37</v>
      </c>
      <c r="T58">
        <v>1571.18</v>
      </c>
      <c r="U58">
        <v>0.7</v>
      </c>
      <c r="V58">
        <v>0.75</v>
      </c>
      <c r="W58">
        <v>1.1499999999999999</v>
      </c>
      <c r="X58">
        <v>0.09</v>
      </c>
      <c r="Y58">
        <v>1</v>
      </c>
      <c r="Z58">
        <v>10</v>
      </c>
    </row>
    <row r="59" spans="1:26" x14ac:dyDescent="0.3">
      <c r="A59">
        <v>57</v>
      </c>
      <c r="B59">
        <v>125</v>
      </c>
      <c r="C59" t="s">
        <v>26</v>
      </c>
      <c r="D59">
        <v>10.176399999999999</v>
      </c>
      <c r="E59">
        <v>9.83</v>
      </c>
      <c r="F59">
        <v>6.79</v>
      </c>
      <c r="G59">
        <v>67.86</v>
      </c>
      <c r="H59">
        <v>1.01</v>
      </c>
      <c r="I59">
        <v>6</v>
      </c>
      <c r="J59">
        <v>268.66000000000003</v>
      </c>
      <c r="K59">
        <v>58.47</v>
      </c>
      <c r="L59">
        <v>15.25</v>
      </c>
      <c r="M59">
        <v>4</v>
      </c>
      <c r="N59">
        <v>69.94</v>
      </c>
      <c r="O59">
        <v>33369.22</v>
      </c>
      <c r="P59">
        <v>103.87</v>
      </c>
      <c r="Q59">
        <v>204.14</v>
      </c>
      <c r="R59">
        <v>24.76</v>
      </c>
      <c r="S59">
        <v>17.37</v>
      </c>
      <c r="T59">
        <v>1593.4</v>
      </c>
      <c r="U59">
        <v>0.7</v>
      </c>
      <c r="V59">
        <v>0.75</v>
      </c>
      <c r="W59">
        <v>1.1499999999999999</v>
      </c>
      <c r="X59">
        <v>0.1</v>
      </c>
      <c r="Y59">
        <v>1</v>
      </c>
      <c r="Z59">
        <v>10</v>
      </c>
    </row>
    <row r="60" spans="1:26" x14ac:dyDescent="0.3">
      <c r="A60">
        <v>58</v>
      </c>
      <c r="B60">
        <v>125</v>
      </c>
      <c r="C60" t="s">
        <v>26</v>
      </c>
      <c r="D60">
        <v>10.173500000000001</v>
      </c>
      <c r="E60">
        <v>9.83</v>
      </c>
      <c r="F60">
        <v>6.79</v>
      </c>
      <c r="G60">
        <v>67.89</v>
      </c>
      <c r="H60">
        <v>1.03</v>
      </c>
      <c r="I60">
        <v>6</v>
      </c>
      <c r="J60">
        <v>269.14</v>
      </c>
      <c r="K60">
        <v>58.47</v>
      </c>
      <c r="L60">
        <v>15.5</v>
      </c>
      <c r="M60">
        <v>4</v>
      </c>
      <c r="N60">
        <v>70.16</v>
      </c>
      <c r="O60">
        <v>33427.83</v>
      </c>
      <c r="P60">
        <v>103.92</v>
      </c>
      <c r="Q60">
        <v>204.14</v>
      </c>
      <c r="R60">
        <v>24.83</v>
      </c>
      <c r="S60">
        <v>17.37</v>
      </c>
      <c r="T60">
        <v>1628.36</v>
      </c>
      <c r="U60">
        <v>0.7</v>
      </c>
      <c r="V60">
        <v>0.75</v>
      </c>
      <c r="W60">
        <v>1.1499999999999999</v>
      </c>
      <c r="X60">
        <v>0.1</v>
      </c>
      <c r="Y60">
        <v>1</v>
      </c>
      <c r="Z60">
        <v>10</v>
      </c>
    </row>
    <row r="61" spans="1:26" x14ac:dyDescent="0.3">
      <c r="A61">
        <v>59</v>
      </c>
      <c r="B61">
        <v>125</v>
      </c>
      <c r="C61" t="s">
        <v>26</v>
      </c>
      <c r="D61">
        <v>10.1761</v>
      </c>
      <c r="E61">
        <v>9.83</v>
      </c>
      <c r="F61">
        <v>6.79</v>
      </c>
      <c r="G61">
        <v>67.87</v>
      </c>
      <c r="H61">
        <v>1.04</v>
      </c>
      <c r="I61">
        <v>6</v>
      </c>
      <c r="J61">
        <v>269.61</v>
      </c>
      <c r="K61">
        <v>58.47</v>
      </c>
      <c r="L61">
        <v>15.75</v>
      </c>
      <c r="M61">
        <v>4</v>
      </c>
      <c r="N61">
        <v>70.39</v>
      </c>
      <c r="O61">
        <v>33486.53</v>
      </c>
      <c r="P61">
        <v>103.99</v>
      </c>
      <c r="Q61">
        <v>204.14</v>
      </c>
      <c r="R61">
        <v>24.88</v>
      </c>
      <c r="S61">
        <v>17.37</v>
      </c>
      <c r="T61">
        <v>1653.97</v>
      </c>
      <c r="U61">
        <v>0.7</v>
      </c>
      <c r="V61">
        <v>0.75</v>
      </c>
      <c r="W61">
        <v>1.1399999999999999</v>
      </c>
      <c r="X61">
        <v>0.1</v>
      </c>
      <c r="Y61">
        <v>1</v>
      </c>
      <c r="Z61">
        <v>10</v>
      </c>
    </row>
    <row r="62" spans="1:26" x14ac:dyDescent="0.3">
      <c r="A62">
        <v>60</v>
      </c>
      <c r="B62">
        <v>125</v>
      </c>
      <c r="C62" t="s">
        <v>26</v>
      </c>
      <c r="D62">
        <v>10.171799999999999</v>
      </c>
      <c r="E62">
        <v>9.83</v>
      </c>
      <c r="F62">
        <v>6.79</v>
      </c>
      <c r="G62">
        <v>67.91</v>
      </c>
      <c r="H62">
        <v>1.05</v>
      </c>
      <c r="I62">
        <v>6</v>
      </c>
      <c r="J62">
        <v>270.08999999999997</v>
      </c>
      <c r="K62">
        <v>58.47</v>
      </c>
      <c r="L62">
        <v>16</v>
      </c>
      <c r="M62">
        <v>4</v>
      </c>
      <c r="N62">
        <v>70.62</v>
      </c>
      <c r="O62">
        <v>33545.31</v>
      </c>
      <c r="P62">
        <v>104.1</v>
      </c>
      <c r="Q62">
        <v>204.14</v>
      </c>
      <c r="R62">
        <v>25.01</v>
      </c>
      <c r="S62">
        <v>17.37</v>
      </c>
      <c r="T62">
        <v>1717.63</v>
      </c>
      <c r="U62">
        <v>0.69</v>
      </c>
      <c r="V62">
        <v>0.75</v>
      </c>
      <c r="W62">
        <v>1.1399999999999999</v>
      </c>
      <c r="X62">
        <v>0.1</v>
      </c>
      <c r="Y62">
        <v>1</v>
      </c>
      <c r="Z62">
        <v>10</v>
      </c>
    </row>
    <row r="63" spans="1:26" x14ac:dyDescent="0.3">
      <c r="A63">
        <v>61</v>
      </c>
      <c r="B63">
        <v>125</v>
      </c>
      <c r="C63" t="s">
        <v>26</v>
      </c>
      <c r="D63">
        <v>10.178100000000001</v>
      </c>
      <c r="E63">
        <v>9.82</v>
      </c>
      <c r="F63">
        <v>6.78</v>
      </c>
      <c r="G63">
        <v>67.849999999999994</v>
      </c>
      <c r="H63">
        <v>1.07</v>
      </c>
      <c r="I63">
        <v>6</v>
      </c>
      <c r="J63">
        <v>270.57</v>
      </c>
      <c r="K63">
        <v>58.47</v>
      </c>
      <c r="L63">
        <v>16.25</v>
      </c>
      <c r="M63">
        <v>4</v>
      </c>
      <c r="N63">
        <v>70.84</v>
      </c>
      <c r="O63">
        <v>33604.17</v>
      </c>
      <c r="P63">
        <v>103.98</v>
      </c>
      <c r="Q63">
        <v>204.14</v>
      </c>
      <c r="R63">
        <v>24.66</v>
      </c>
      <c r="S63">
        <v>17.37</v>
      </c>
      <c r="T63">
        <v>1543.39</v>
      </c>
      <c r="U63">
        <v>0.7</v>
      </c>
      <c r="V63">
        <v>0.75</v>
      </c>
      <c r="W63">
        <v>1.1499999999999999</v>
      </c>
      <c r="X63">
        <v>0.09</v>
      </c>
      <c r="Y63">
        <v>1</v>
      </c>
      <c r="Z63">
        <v>10</v>
      </c>
    </row>
    <row r="64" spans="1:26" x14ac:dyDescent="0.3">
      <c r="A64">
        <v>62</v>
      </c>
      <c r="B64">
        <v>125</v>
      </c>
      <c r="C64" t="s">
        <v>26</v>
      </c>
      <c r="D64">
        <v>10.179600000000001</v>
      </c>
      <c r="E64">
        <v>9.82</v>
      </c>
      <c r="F64">
        <v>6.78</v>
      </c>
      <c r="G64">
        <v>67.83</v>
      </c>
      <c r="H64">
        <v>1.08</v>
      </c>
      <c r="I64">
        <v>6</v>
      </c>
      <c r="J64">
        <v>271.05</v>
      </c>
      <c r="K64">
        <v>58.47</v>
      </c>
      <c r="L64">
        <v>16.5</v>
      </c>
      <c r="M64">
        <v>4</v>
      </c>
      <c r="N64">
        <v>71.069999999999993</v>
      </c>
      <c r="O64">
        <v>33663.129999999997</v>
      </c>
      <c r="P64">
        <v>103.69</v>
      </c>
      <c r="Q64">
        <v>204.14</v>
      </c>
      <c r="R64">
        <v>24.63</v>
      </c>
      <c r="S64">
        <v>17.37</v>
      </c>
      <c r="T64">
        <v>1526.23</v>
      </c>
      <c r="U64">
        <v>0.71</v>
      </c>
      <c r="V64">
        <v>0.75</v>
      </c>
      <c r="W64">
        <v>1.1499999999999999</v>
      </c>
      <c r="X64">
        <v>0.09</v>
      </c>
      <c r="Y64">
        <v>1</v>
      </c>
      <c r="Z64">
        <v>10</v>
      </c>
    </row>
    <row r="65" spans="1:26" x14ac:dyDescent="0.3">
      <c r="A65">
        <v>63</v>
      </c>
      <c r="B65">
        <v>125</v>
      </c>
      <c r="C65" t="s">
        <v>26</v>
      </c>
      <c r="D65">
        <v>10.1778</v>
      </c>
      <c r="E65">
        <v>9.83</v>
      </c>
      <c r="F65">
        <v>6.79</v>
      </c>
      <c r="G65">
        <v>67.849999999999994</v>
      </c>
      <c r="H65">
        <v>1.1000000000000001</v>
      </c>
      <c r="I65">
        <v>6</v>
      </c>
      <c r="J65">
        <v>271.52</v>
      </c>
      <c r="K65">
        <v>58.47</v>
      </c>
      <c r="L65">
        <v>16.75</v>
      </c>
      <c r="M65">
        <v>4</v>
      </c>
      <c r="N65">
        <v>71.3</v>
      </c>
      <c r="O65">
        <v>33722.17</v>
      </c>
      <c r="P65">
        <v>103.64</v>
      </c>
      <c r="Q65">
        <v>204.14</v>
      </c>
      <c r="R65">
        <v>24.78</v>
      </c>
      <c r="S65">
        <v>17.37</v>
      </c>
      <c r="T65">
        <v>1604</v>
      </c>
      <c r="U65">
        <v>0.7</v>
      </c>
      <c r="V65">
        <v>0.75</v>
      </c>
      <c r="W65">
        <v>1.1399999999999999</v>
      </c>
      <c r="X65">
        <v>0.09</v>
      </c>
      <c r="Y65">
        <v>1</v>
      </c>
      <c r="Z65">
        <v>10</v>
      </c>
    </row>
    <row r="66" spans="1:26" x14ac:dyDescent="0.3">
      <c r="A66">
        <v>64</v>
      </c>
      <c r="B66">
        <v>125</v>
      </c>
      <c r="C66" t="s">
        <v>26</v>
      </c>
      <c r="D66">
        <v>10.1675</v>
      </c>
      <c r="E66">
        <v>9.84</v>
      </c>
      <c r="F66">
        <v>6.79</v>
      </c>
      <c r="G66">
        <v>67.95</v>
      </c>
      <c r="H66">
        <v>1.1100000000000001</v>
      </c>
      <c r="I66">
        <v>6</v>
      </c>
      <c r="J66">
        <v>272</v>
      </c>
      <c r="K66">
        <v>58.47</v>
      </c>
      <c r="L66">
        <v>17</v>
      </c>
      <c r="M66">
        <v>4</v>
      </c>
      <c r="N66">
        <v>71.53</v>
      </c>
      <c r="O66">
        <v>33781.300000000003</v>
      </c>
      <c r="P66">
        <v>103.72</v>
      </c>
      <c r="Q66">
        <v>204.14</v>
      </c>
      <c r="R66">
        <v>25.09</v>
      </c>
      <c r="S66">
        <v>17.37</v>
      </c>
      <c r="T66">
        <v>1757.58</v>
      </c>
      <c r="U66">
        <v>0.69</v>
      </c>
      <c r="V66">
        <v>0.75</v>
      </c>
      <c r="W66">
        <v>1.1499999999999999</v>
      </c>
      <c r="X66">
        <v>0.1</v>
      </c>
      <c r="Y66">
        <v>1</v>
      </c>
      <c r="Z66">
        <v>10</v>
      </c>
    </row>
    <row r="67" spans="1:26" x14ac:dyDescent="0.3">
      <c r="A67">
        <v>65</v>
      </c>
      <c r="B67">
        <v>125</v>
      </c>
      <c r="C67" t="s">
        <v>26</v>
      </c>
      <c r="D67">
        <v>10.177300000000001</v>
      </c>
      <c r="E67">
        <v>9.83</v>
      </c>
      <c r="F67">
        <v>6.79</v>
      </c>
      <c r="G67">
        <v>67.86</v>
      </c>
      <c r="H67">
        <v>1.1299999999999999</v>
      </c>
      <c r="I67">
        <v>6</v>
      </c>
      <c r="J67">
        <v>272.48</v>
      </c>
      <c r="K67">
        <v>58.47</v>
      </c>
      <c r="L67">
        <v>17.25</v>
      </c>
      <c r="M67">
        <v>4</v>
      </c>
      <c r="N67">
        <v>71.760000000000005</v>
      </c>
      <c r="O67">
        <v>33840.65</v>
      </c>
      <c r="P67">
        <v>103.33</v>
      </c>
      <c r="Q67">
        <v>204.14</v>
      </c>
      <c r="R67">
        <v>24.81</v>
      </c>
      <c r="S67">
        <v>17.37</v>
      </c>
      <c r="T67">
        <v>1615.65</v>
      </c>
      <c r="U67">
        <v>0.7</v>
      </c>
      <c r="V67">
        <v>0.75</v>
      </c>
      <c r="W67">
        <v>1.1399999999999999</v>
      </c>
      <c r="X67">
        <v>0.09</v>
      </c>
      <c r="Y67">
        <v>1</v>
      </c>
      <c r="Z67">
        <v>10</v>
      </c>
    </row>
    <row r="68" spans="1:26" x14ac:dyDescent="0.3">
      <c r="A68">
        <v>66</v>
      </c>
      <c r="B68">
        <v>125</v>
      </c>
      <c r="C68" t="s">
        <v>26</v>
      </c>
      <c r="D68">
        <v>10.1738</v>
      </c>
      <c r="E68">
        <v>9.83</v>
      </c>
      <c r="F68">
        <v>6.79</v>
      </c>
      <c r="G68">
        <v>67.89</v>
      </c>
      <c r="H68">
        <v>1.1399999999999999</v>
      </c>
      <c r="I68">
        <v>6</v>
      </c>
      <c r="J68">
        <v>272.97000000000003</v>
      </c>
      <c r="K68">
        <v>58.47</v>
      </c>
      <c r="L68">
        <v>17.5</v>
      </c>
      <c r="M68">
        <v>4</v>
      </c>
      <c r="N68">
        <v>71.989999999999995</v>
      </c>
      <c r="O68">
        <v>33899.96</v>
      </c>
      <c r="P68">
        <v>103.24</v>
      </c>
      <c r="Q68">
        <v>204.19</v>
      </c>
      <c r="R68">
        <v>24.9</v>
      </c>
      <c r="S68">
        <v>17.37</v>
      </c>
      <c r="T68">
        <v>1662.99</v>
      </c>
      <c r="U68">
        <v>0.7</v>
      </c>
      <c r="V68">
        <v>0.75</v>
      </c>
      <c r="W68">
        <v>1.1399999999999999</v>
      </c>
      <c r="X68">
        <v>0.1</v>
      </c>
      <c r="Y68">
        <v>1</v>
      </c>
      <c r="Z68">
        <v>10</v>
      </c>
    </row>
    <row r="69" spans="1:26" x14ac:dyDescent="0.3">
      <c r="A69">
        <v>67</v>
      </c>
      <c r="B69">
        <v>125</v>
      </c>
      <c r="C69" t="s">
        <v>26</v>
      </c>
      <c r="D69">
        <v>10.1761</v>
      </c>
      <c r="E69">
        <v>9.83</v>
      </c>
      <c r="F69">
        <v>6.79</v>
      </c>
      <c r="G69">
        <v>67.87</v>
      </c>
      <c r="H69">
        <v>1.1599999999999999</v>
      </c>
      <c r="I69">
        <v>6</v>
      </c>
      <c r="J69">
        <v>273.45</v>
      </c>
      <c r="K69">
        <v>58.47</v>
      </c>
      <c r="L69">
        <v>17.75</v>
      </c>
      <c r="M69">
        <v>4</v>
      </c>
      <c r="N69">
        <v>72.22</v>
      </c>
      <c r="O69">
        <v>33959.360000000001</v>
      </c>
      <c r="P69">
        <v>103.27</v>
      </c>
      <c r="Q69">
        <v>204.16</v>
      </c>
      <c r="R69">
        <v>24.83</v>
      </c>
      <c r="S69">
        <v>17.37</v>
      </c>
      <c r="T69">
        <v>1624.84</v>
      </c>
      <c r="U69">
        <v>0.7</v>
      </c>
      <c r="V69">
        <v>0.75</v>
      </c>
      <c r="W69">
        <v>1.1499999999999999</v>
      </c>
      <c r="X69">
        <v>0.1</v>
      </c>
      <c r="Y69">
        <v>1</v>
      </c>
      <c r="Z69">
        <v>10</v>
      </c>
    </row>
    <row r="70" spans="1:26" x14ac:dyDescent="0.3">
      <c r="A70">
        <v>68</v>
      </c>
      <c r="B70">
        <v>125</v>
      </c>
      <c r="C70" t="s">
        <v>26</v>
      </c>
      <c r="D70">
        <v>10.171200000000001</v>
      </c>
      <c r="E70">
        <v>9.83</v>
      </c>
      <c r="F70">
        <v>6.79</v>
      </c>
      <c r="G70">
        <v>67.91</v>
      </c>
      <c r="H70">
        <v>1.17</v>
      </c>
      <c r="I70">
        <v>6</v>
      </c>
      <c r="J70">
        <v>273.93</v>
      </c>
      <c r="K70">
        <v>58.47</v>
      </c>
      <c r="L70">
        <v>18</v>
      </c>
      <c r="M70">
        <v>4</v>
      </c>
      <c r="N70">
        <v>72.459999999999994</v>
      </c>
      <c r="O70">
        <v>34018.85</v>
      </c>
      <c r="P70">
        <v>103.06</v>
      </c>
      <c r="Q70">
        <v>204.16</v>
      </c>
      <c r="R70">
        <v>24.99</v>
      </c>
      <c r="S70">
        <v>17.37</v>
      </c>
      <c r="T70">
        <v>1705.27</v>
      </c>
      <c r="U70">
        <v>0.7</v>
      </c>
      <c r="V70">
        <v>0.75</v>
      </c>
      <c r="W70">
        <v>1.1499999999999999</v>
      </c>
      <c r="X70">
        <v>0.1</v>
      </c>
      <c r="Y70">
        <v>1</v>
      </c>
      <c r="Z70">
        <v>10</v>
      </c>
    </row>
    <row r="71" spans="1:26" x14ac:dyDescent="0.3">
      <c r="A71">
        <v>69</v>
      </c>
      <c r="B71">
        <v>125</v>
      </c>
      <c r="C71" t="s">
        <v>26</v>
      </c>
      <c r="D71">
        <v>10.174099999999999</v>
      </c>
      <c r="E71">
        <v>9.83</v>
      </c>
      <c r="F71">
        <v>6.79</v>
      </c>
      <c r="G71">
        <v>67.89</v>
      </c>
      <c r="H71">
        <v>1.18</v>
      </c>
      <c r="I71">
        <v>6</v>
      </c>
      <c r="J71">
        <v>274.41000000000003</v>
      </c>
      <c r="K71">
        <v>58.47</v>
      </c>
      <c r="L71">
        <v>18.25</v>
      </c>
      <c r="M71">
        <v>4</v>
      </c>
      <c r="N71">
        <v>72.69</v>
      </c>
      <c r="O71">
        <v>34078.44</v>
      </c>
      <c r="P71">
        <v>102.56</v>
      </c>
      <c r="Q71">
        <v>204.14</v>
      </c>
      <c r="R71">
        <v>24.96</v>
      </c>
      <c r="S71">
        <v>17.37</v>
      </c>
      <c r="T71">
        <v>1693.38</v>
      </c>
      <c r="U71">
        <v>0.7</v>
      </c>
      <c r="V71">
        <v>0.75</v>
      </c>
      <c r="W71">
        <v>1.1399999999999999</v>
      </c>
      <c r="X71">
        <v>0.1</v>
      </c>
      <c r="Y71">
        <v>1</v>
      </c>
      <c r="Z71">
        <v>10</v>
      </c>
    </row>
    <row r="72" spans="1:26" x14ac:dyDescent="0.3">
      <c r="A72">
        <v>70</v>
      </c>
      <c r="B72">
        <v>125</v>
      </c>
      <c r="C72" t="s">
        <v>26</v>
      </c>
      <c r="D72">
        <v>10.2392</v>
      </c>
      <c r="E72">
        <v>9.77</v>
      </c>
      <c r="F72">
        <v>6.77</v>
      </c>
      <c r="G72">
        <v>81.28</v>
      </c>
      <c r="H72">
        <v>1.2</v>
      </c>
      <c r="I72">
        <v>5</v>
      </c>
      <c r="J72">
        <v>274.89999999999998</v>
      </c>
      <c r="K72">
        <v>58.47</v>
      </c>
      <c r="L72">
        <v>18.5</v>
      </c>
      <c r="M72">
        <v>3</v>
      </c>
      <c r="N72">
        <v>72.92</v>
      </c>
      <c r="O72">
        <v>34138.11</v>
      </c>
      <c r="P72">
        <v>102.33</v>
      </c>
      <c r="Q72">
        <v>204.22</v>
      </c>
      <c r="R72">
        <v>24.36</v>
      </c>
      <c r="S72">
        <v>17.37</v>
      </c>
      <c r="T72">
        <v>1397.83</v>
      </c>
      <c r="U72">
        <v>0.71</v>
      </c>
      <c r="V72">
        <v>0.75</v>
      </c>
      <c r="W72">
        <v>1.1499999999999999</v>
      </c>
      <c r="X72">
        <v>0.08</v>
      </c>
      <c r="Y72">
        <v>1</v>
      </c>
      <c r="Z72">
        <v>10</v>
      </c>
    </row>
    <row r="73" spans="1:26" x14ac:dyDescent="0.3">
      <c r="A73">
        <v>71</v>
      </c>
      <c r="B73">
        <v>125</v>
      </c>
      <c r="C73" t="s">
        <v>26</v>
      </c>
      <c r="D73">
        <v>10.238300000000001</v>
      </c>
      <c r="E73">
        <v>9.77</v>
      </c>
      <c r="F73">
        <v>6.77</v>
      </c>
      <c r="G73">
        <v>81.290000000000006</v>
      </c>
      <c r="H73">
        <v>1.21</v>
      </c>
      <c r="I73">
        <v>5</v>
      </c>
      <c r="J73">
        <v>275.38</v>
      </c>
      <c r="K73">
        <v>58.47</v>
      </c>
      <c r="L73">
        <v>18.75</v>
      </c>
      <c r="M73">
        <v>3</v>
      </c>
      <c r="N73">
        <v>73.16</v>
      </c>
      <c r="O73">
        <v>34197.870000000003</v>
      </c>
      <c r="P73">
        <v>102.56</v>
      </c>
      <c r="Q73">
        <v>204.14</v>
      </c>
      <c r="R73">
        <v>24.51</v>
      </c>
      <c r="S73">
        <v>17.37</v>
      </c>
      <c r="T73">
        <v>1470.49</v>
      </c>
      <c r="U73">
        <v>0.71</v>
      </c>
      <c r="V73">
        <v>0.75</v>
      </c>
      <c r="W73">
        <v>1.1399999999999999</v>
      </c>
      <c r="X73">
        <v>0.08</v>
      </c>
      <c r="Y73">
        <v>1</v>
      </c>
      <c r="Z73">
        <v>10</v>
      </c>
    </row>
    <row r="74" spans="1:26" x14ac:dyDescent="0.3">
      <c r="A74">
        <v>72</v>
      </c>
      <c r="B74">
        <v>125</v>
      </c>
      <c r="C74" t="s">
        <v>26</v>
      </c>
      <c r="D74">
        <v>10.237500000000001</v>
      </c>
      <c r="E74">
        <v>9.77</v>
      </c>
      <c r="F74">
        <v>6.78</v>
      </c>
      <c r="G74">
        <v>81.3</v>
      </c>
      <c r="H74">
        <v>1.23</v>
      </c>
      <c r="I74">
        <v>5</v>
      </c>
      <c r="J74">
        <v>275.87</v>
      </c>
      <c r="K74">
        <v>58.47</v>
      </c>
      <c r="L74">
        <v>19</v>
      </c>
      <c r="M74">
        <v>3</v>
      </c>
      <c r="N74">
        <v>73.39</v>
      </c>
      <c r="O74">
        <v>34257.730000000003</v>
      </c>
      <c r="P74">
        <v>102.75</v>
      </c>
      <c r="Q74">
        <v>204.15</v>
      </c>
      <c r="R74">
        <v>24.49</v>
      </c>
      <c r="S74">
        <v>17.37</v>
      </c>
      <c r="T74">
        <v>1461.46</v>
      </c>
      <c r="U74">
        <v>0.71</v>
      </c>
      <c r="V74">
        <v>0.75</v>
      </c>
      <c r="W74">
        <v>1.1399999999999999</v>
      </c>
      <c r="X74">
        <v>0.08</v>
      </c>
      <c r="Y74">
        <v>1</v>
      </c>
      <c r="Z74">
        <v>10</v>
      </c>
    </row>
    <row r="75" spans="1:26" x14ac:dyDescent="0.3">
      <c r="A75">
        <v>73</v>
      </c>
      <c r="B75">
        <v>125</v>
      </c>
      <c r="C75" t="s">
        <v>26</v>
      </c>
      <c r="D75">
        <v>10.2415</v>
      </c>
      <c r="E75">
        <v>9.76</v>
      </c>
      <c r="F75">
        <v>6.77</v>
      </c>
      <c r="G75">
        <v>81.25</v>
      </c>
      <c r="H75">
        <v>1.24</v>
      </c>
      <c r="I75">
        <v>5</v>
      </c>
      <c r="J75">
        <v>276.35000000000002</v>
      </c>
      <c r="K75">
        <v>58.47</v>
      </c>
      <c r="L75">
        <v>19.25</v>
      </c>
      <c r="M75">
        <v>3</v>
      </c>
      <c r="N75">
        <v>73.63</v>
      </c>
      <c r="O75">
        <v>34317.68</v>
      </c>
      <c r="P75">
        <v>102.83</v>
      </c>
      <c r="Q75">
        <v>204.14</v>
      </c>
      <c r="R75">
        <v>24.32</v>
      </c>
      <c r="S75">
        <v>17.37</v>
      </c>
      <c r="T75">
        <v>1375.2</v>
      </c>
      <c r="U75">
        <v>0.71</v>
      </c>
      <c r="V75">
        <v>0.75</v>
      </c>
      <c r="W75">
        <v>1.1499999999999999</v>
      </c>
      <c r="X75">
        <v>0.08</v>
      </c>
      <c r="Y75">
        <v>1</v>
      </c>
      <c r="Z75">
        <v>10</v>
      </c>
    </row>
    <row r="76" spans="1:26" x14ac:dyDescent="0.3">
      <c r="A76">
        <v>74</v>
      </c>
      <c r="B76">
        <v>125</v>
      </c>
      <c r="C76" t="s">
        <v>26</v>
      </c>
      <c r="D76">
        <v>10.2372</v>
      </c>
      <c r="E76">
        <v>9.77</v>
      </c>
      <c r="F76">
        <v>6.78</v>
      </c>
      <c r="G76">
        <v>81.3</v>
      </c>
      <c r="H76">
        <v>1.25</v>
      </c>
      <c r="I76">
        <v>5</v>
      </c>
      <c r="J76">
        <v>276.83999999999997</v>
      </c>
      <c r="K76">
        <v>58.47</v>
      </c>
      <c r="L76">
        <v>19.5</v>
      </c>
      <c r="M76">
        <v>3</v>
      </c>
      <c r="N76">
        <v>73.87</v>
      </c>
      <c r="O76">
        <v>34377.72</v>
      </c>
      <c r="P76">
        <v>102.98</v>
      </c>
      <c r="Q76">
        <v>204.14</v>
      </c>
      <c r="R76">
        <v>24.52</v>
      </c>
      <c r="S76">
        <v>17.37</v>
      </c>
      <c r="T76">
        <v>1478.69</v>
      </c>
      <c r="U76">
        <v>0.71</v>
      </c>
      <c r="V76">
        <v>0.75</v>
      </c>
      <c r="W76">
        <v>1.1399999999999999</v>
      </c>
      <c r="X76">
        <v>0.08</v>
      </c>
      <c r="Y76">
        <v>1</v>
      </c>
      <c r="Z76">
        <v>10</v>
      </c>
    </row>
    <row r="77" spans="1:26" x14ac:dyDescent="0.3">
      <c r="A77">
        <v>75</v>
      </c>
      <c r="B77">
        <v>125</v>
      </c>
      <c r="C77" t="s">
        <v>26</v>
      </c>
      <c r="D77">
        <v>10.242699999999999</v>
      </c>
      <c r="E77">
        <v>9.76</v>
      </c>
      <c r="F77">
        <v>6.77</v>
      </c>
      <c r="G77">
        <v>81.239999999999995</v>
      </c>
      <c r="H77">
        <v>1.27</v>
      </c>
      <c r="I77">
        <v>5</v>
      </c>
      <c r="J77">
        <v>277.33</v>
      </c>
      <c r="K77">
        <v>58.47</v>
      </c>
      <c r="L77">
        <v>19.75</v>
      </c>
      <c r="M77">
        <v>3</v>
      </c>
      <c r="N77">
        <v>74.099999999999994</v>
      </c>
      <c r="O77">
        <v>34437.85</v>
      </c>
      <c r="P77">
        <v>102.74</v>
      </c>
      <c r="Q77">
        <v>204.14</v>
      </c>
      <c r="R77">
        <v>24.37</v>
      </c>
      <c r="S77">
        <v>17.37</v>
      </c>
      <c r="T77">
        <v>1403.48</v>
      </c>
      <c r="U77">
        <v>0.71</v>
      </c>
      <c r="V77">
        <v>0.75</v>
      </c>
      <c r="W77">
        <v>1.1399999999999999</v>
      </c>
      <c r="X77">
        <v>0.08</v>
      </c>
      <c r="Y77">
        <v>1</v>
      </c>
      <c r="Z77">
        <v>10</v>
      </c>
    </row>
    <row r="78" spans="1:26" x14ac:dyDescent="0.3">
      <c r="A78">
        <v>76</v>
      </c>
      <c r="B78">
        <v>125</v>
      </c>
      <c r="C78" t="s">
        <v>26</v>
      </c>
      <c r="D78">
        <v>10.240399999999999</v>
      </c>
      <c r="E78">
        <v>9.77</v>
      </c>
      <c r="F78">
        <v>6.77</v>
      </c>
      <c r="G78">
        <v>81.27</v>
      </c>
      <c r="H78">
        <v>1.28</v>
      </c>
      <c r="I78">
        <v>5</v>
      </c>
      <c r="J78">
        <v>277.82</v>
      </c>
      <c r="K78">
        <v>58.47</v>
      </c>
      <c r="L78">
        <v>20</v>
      </c>
      <c r="M78">
        <v>3</v>
      </c>
      <c r="N78">
        <v>74.34</v>
      </c>
      <c r="O78">
        <v>34498.07</v>
      </c>
      <c r="P78">
        <v>102.74</v>
      </c>
      <c r="Q78">
        <v>204.14</v>
      </c>
      <c r="R78">
        <v>24.47</v>
      </c>
      <c r="S78">
        <v>17.37</v>
      </c>
      <c r="T78">
        <v>1452.43</v>
      </c>
      <c r="U78">
        <v>0.71</v>
      </c>
      <c r="V78">
        <v>0.75</v>
      </c>
      <c r="W78">
        <v>1.1399999999999999</v>
      </c>
      <c r="X78">
        <v>0.08</v>
      </c>
      <c r="Y78">
        <v>1</v>
      </c>
      <c r="Z78">
        <v>10</v>
      </c>
    </row>
    <row r="79" spans="1:26" x14ac:dyDescent="0.3">
      <c r="A79">
        <v>77</v>
      </c>
      <c r="B79">
        <v>125</v>
      </c>
      <c r="C79" t="s">
        <v>26</v>
      </c>
      <c r="D79">
        <v>10.236000000000001</v>
      </c>
      <c r="E79">
        <v>9.77</v>
      </c>
      <c r="F79">
        <v>6.78</v>
      </c>
      <c r="G79">
        <v>81.319999999999993</v>
      </c>
      <c r="H79">
        <v>1.3</v>
      </c>
      <c r="I79">
        <v>5</v>
      </c>
      <c r="J79">
        <v>278.3</v>
      </c>
      <c r="K79">
        <v>58.47</v>
      </c>
      <c r="L79">
        <v>20.25</v>
      </c>
      <c r="M79">
        <v>3</v>
      </c>
      <c r="N79">
        <v>74.58</v>
      </c>
      <c r="O79">
        <v>34558.39</v>
      </c>
      <c r="P79">
        <v>102.75</v>
      </c>
      <c r="Q79">
        <v>204.14</v>
      </c>
      <c r="R79">
        <v>24.46</v>
      </c>
      <c r="S79">
        <v>17.37</v>
      </c>
      <c r="T79">
        <v>1448.96</v>
      </c>
      <c r="U79">
        <v>0.71</v>
      </c>
      <c r="V79">
        <v>0.75</v>
      </c>
      <c r="W79">
        <v>1.1499999999999999</v>
      </c>
      <c r="X79">
        <v>0.09</v>
      </c>
      <c r="Y79">
        <v>1</v>
      </c>
      <c r="Z79">
        <v>10</v>
      </c>
    </row>
    <row r="80" spans="1:26" x14ac:dyDescent="0.3">
      <c r="A80">
        <v>78</v>
      </c>
      <c r="B80">
        <v>125</v>
      </c>
      <c r="C80" t="s">
        <v>26</v>
      </c>
      <c r="D80">
        <v>10.235099999999999</v>
      </c>
      <c r="E80">
        <v>9.77</v>
      </c>
      <c r="F80">
        <v>6.78</v>
      </c>
      <c r="G80">
        <v>81.33</v>
      </c>
      <c r="H80">
        <v>1.31</v>
      </c>
      <c r="I80">
        <v>5</v>
      </c>
      <c r="J80">
        <v>278.79000000000002</v>
      </c>
      <c r="K80">
        <v>58.47</v>
      </c>
      <c r="L80">
        <v>20.5</v>
      </c>
      <c r="M80">
        <v>3</v>
      </c>
      <c r="N80">
        <v>74.819999999999993</v>
      </c>
      <c r="O80">
        <v>34618.81</v>
      </c>
      <c r="P80">
        <v>102.77</v>
      </c>
      <c r="Q80">
        <v>204.14</v>
      </c>
      <c r="R80">
        <v>24.54</v>
      </c>
      <c r="S80">
        <v>17.37</v>
      </c>
      <c r="T80">
        <v>1485.79</v>
      </c>
      <c r="U80">
        <v>0.71</v>
      </c>
      <c r="V80">
        <v>0.75</v>
      </c>
      <c r="W80">
        <v>1.1399999999999999</v>
      </c>
      <c r="X80">
        <v>0.09</v>
      </c>
      <c r="Y80">
        <v>1</v>
      </c>
      <c r="Z80">
        <v>10</v>
      </c>
    </row>
    <row r="81" spans="1:26" x14ac:dyDescent="0.3">
      <c r="A81">
        <v>79</v>
      </c>
      <c r="B81">
        <v>125</v>
      </c>
      <c r="C81" t="s">
        <v>26</v>
      </c>
      <c r="D81">
        <v>10.2395</v>
      </c>
      <c r="E81">
        <v>9.77</v>
      </c>
      <c r="F81">
        <v>6.77</v>
      </c>
      <c r="G81">
        <v>81.28</v>
      </c>
      <c r="H81">
        <v>1.32</v>
      </c>
      <c r="I81">
        <v>5</v>
      </c>
      <c r="J81">
        <v>279.27999999999997</v>
      </c>
      <c r="K81">
        <v>58.47</v>
      </c>
      <c r="L81">
        <v>20.75</v>
      </c>
      <c r="M81">
        <v>3</v>
      </c>
      <c r="N81">
        <v>75.06</v>
      </c>
      <c r="O81">
        <v>34679.32</v>
      </c>
      <c r="P81">
        <v>102.52</v>
      </c>
      <c r="Q81">
        <v>204.14</v>
      </c>
      <c r="R81">
        <v>24.45</v>
      </c>
      <c r="S81">
        <v>17.37</v>
      </c>
      <c r="T81">
        <v>1440.76</v>
      </c>
      <c r="U81">
        <v>0.71</v>
      </c>
      <c r="V81">
        <v>0.75</v>
      </c>
      <c r="W81">
        <v>1.1399999999999999</v>
      </c>
      <c r="X81">
        <v>0.08</v>
      </c>
      <c r="Y81">
        <v>1</v>
      </c>
      <c r="Z81">
        <v>10</v>
      </c>
    </row>
    <row r="82" spans="1:26" x14ac:dyDescent="0.3">
      <c r="A82">
        <v>80</v>
      </c>
      <c r="B82">
        <v>125</v>
      </c>
      <c r="C82" t="s">
        <v>26</v>
      </c>
      <c r="D82">
        <v>10.2407</v>
      </c>
      <c r="E82">
        <v>9.76</v>
      </c>
      <c r="F82">
        <v>6.77</v>
      </c>
      <c r="G82">
        <v>81.260000000000005</v>
      </c>
      <c r="H82">
        <v>1.34</v>
      </c>
      <c r="I82">
        <v>5</v>
      </c>
      <c r="J82">
        <v>279.77999999999997</v>
      </c>
      <c r="K82">
        <v>58.47</v>
      </c>
      <c r="L82">
        <v>21</v>
      </c>
      <c r="M82">
        <v>3</v>
      </c>
      <c r="N82">
        <v>75.3</v>
      </c>
      <c r="O82">
        <v>34739.919999999998</v>
      </c>
      <c r="P82">
        <v>102.42</v>
      </c>
      <c r="Q82">
        <v>204.14</v>
      </c>
      <c r="R82">
        <v>24.36</v>
      </c>
      <c r="S82">
        <v>17.37</v>
      </c>
      <c r="T82">
        <v>1395.28</v>
      </c>
      <c r="U82">
        <v>0.71</v>
      </c>
      <c r="V82">
        <v>0.75</v>
      </c>
      <c r="W82">
        <v>1.1399999999999999</v>
      </c>
      <c r="X82">
        <v>0.08</v>
      </c>
      <c r="Y82">
        <v>1</v>
      </c>
      <c r="Z82">
        <v>10</v>
      </c>
    </row>
    <row r="83" spans="1:26" x14ac:dyDescent="0.3">
      <c r="A83">
        <v>81</v>
      </c>
      <c r="B83">
        <v>125</v>
      </c>
      <c r="C83" t="s">
        <v>26</v>
      </c>
      <c r="D83">
        <v>10.245900000000001</v>
      </c>
      <c r="E83">
        <v>9.76</v>
      </c>
      <c r="F83">
        <v>6.77</v>
      </c>
      <c r="G83">
        <v>81.2</v>
      </c>
      <c r="H83">
        <v>1.35</v>
      </c>
      <c r="I83">
        <v>5</v>
      </c>
      <c r="J83">
        <v>280.27</v>
      </c>
      <c r="K83">
        <v>58.47</v>
      </c>
      <c r="L83">
        <v>21.25</v>
      </c>
      <c r="M83">
        <v>3</v>
      </c>
      <c r="N83">
        <v>75.540000000000006</v>
      </c>
      <c r="O83">
        <v>34800.620000000003</v>
      </c>
      <c r="P83">
        <v>102.17</v>
      </c>
      <c r="Q83">
        <v>204.14</v>
      </c>
      <c r="R83">
        <v>24.16</v>
      </c>
      <c r="S83">
        <v>17.37</v>
      </c>
      <c r="T83">
        <v>1296.92</v>
      </c>
      <c r="U83">
        <v>0.72</v>
      </c>
      <c r="V83">
        <v>0.75</v>
      </c>
      <c r="W83">
        <v>1.1399999999999999</v>
      </c>
      <c r="X83">
        <v>0.08</v>
      </c>
      <c r="Y83">
        <v>1</v>
      </c>
      <c r="Z83">
        <v>10</v>
      </c>
    </row>
    <row r="84" spans="1:26" x14ac:dyDescent="0.3">
      <c r="A84">
        <v>82</v>
      </c>
      <c r="B84">
        <v>125</v>
      </c>
      <c r="C84" t="s">
        <v>26</v>
      </c>
      <c r="D84">
        <v>10.25</v>
      </c>
      <c r="E84">
        <v>9.76</v>
      </c>
      <c r="F84">
        <v>6.76</v>
      </c>
      <c r="G84">
        <v>81.16</v>
      </c>
      <c r="H84">
        <v>1.36</v>
      </c>
      <c r="I84">
        <v>5</v>
      </c>
      <c r="J84">
        <v>280.76</v>
      </c>
      <c r="K84">
        <v>58.47</v>
      </c>
      <c r="L84">
        <v>21.5</v>
      </c>
      <c r="M84">
        <v>3</v>
      </c>
      <c r="N84">
        <v>75.790000000000006</v>
      </c>
      <c r="O84">
        <v>34861.410000000003</v>
      </c>
      <c r="P84">
        <v>101.82</v>
      </c>
      <c r="Q84">
        <v>204.15</v>
      </c>
      <c r="R84">
        <v>24.09</v>
      </c>
      <c r="S84">
        <v>17.37</v>
      </c>
      <c r="T84">
        <v>1261.99</v>
      </c>
      <c r="U84">
        <v>0.72</v>
      </c>
      <c r="V84">
        <v>0.76</v>
      </c>
      <c r="W84">
        <v>1.1399999999999999</v>
      </c>
      <c r="X84">
        <v>7.0000000000000007E-2</v>
      </c>
      <c r="Y84">
        <v>1</v>
      </c>
      <c r="Z84">
        <v>10</v>
      </c>
    </row>
    <row r="85" spans="1:26" x14ac:dyDescent="0.3">
      <c r="A85">
        <v>83</v>
      </c>
      <c r="B85">
        <v>125</v>
      </c>
      <c r="C85" t="s">
        <v>26</v>
      </c>
      <c r="D85">
        <v>10.2514</v>
      </c>
      <c r="E85">
        <v>9.75</v>
      </c>
      <c r="F85">
        <v>6.76</v>
      </c>
      <c r="G85">
        <v>81.14</v>
      </c>
      <c r="H85">
        <v>1.38</v>
      </c>
      <c r="I85">
        <v>5</v>
      </c>
      <c r="J85">
        <v>281.25</v>
      </c>
      <c r="K85">
        <v>58.47</v>
      </c>
      <c r="L85">
        <v>21.75</v>
      </c>
      <c r="M85">
        <v>3</v>
      </c>
      <c r="N85">
        <v>76.03</v>
      </c>
      <c r="O85">
        <v>34922.31</v>
      </c>
      <c r="P85">
        <v>101.55</v>
      </c>
      <c r="Q85">
        <v>204.15</v>
      </c>
      <c r="R85">
        <v>24.05</v>
      </c>
      <c r="S85">
        <v>17.37</v>
      </c>
      <c r="T85">
        <v>1242.6199999999999</v>
      </c>
      <c r="U85">
        <v>0.72</v>
      </c>
      <c r="V85">
        <v>0.76</v>
      </c>
      <c r="W85">
        <v>1.1399999999999999</v>
      </c>
      <c r="X85">
        <v>7.0000000000000007E-2</v>
      </c>
      <c r="Y85">
        <v>1</v>
      </c>
      <c r="Z85">
        <v>10</v>
      </c>
    </row>
    <row r="86" spans="1:26" x14ac:dyDescent="0.3">
      <c r="A86">
        <v>84</v>
      </c>
      <c r="B86">
        <v>125</v>
      </c>
      <c r="C86" t="s">
        <v>26</v>
      </c>
      <c r="D86">
        <v>10.2468</v>
      </c>
      <c r="E86">
        <v>9.76</v>
      </c>
      <c r="F86">
        <v>6.77</v>
      </c>
      <c r="G86">
        <v>81.19</v>
      </c>
      <c r="H86">
        <v>1.39</v>
      </c>
      <c r="I86">
        <v>5</v>
      </c>
      <c r="J86">
        <v>281.75</v>
      </c>
      <c r="K86">
        <v>58.47</v>
      </c>
      <c r="L86">
        <v>22</v>
      </c>
      <c r="M86">
        <v>3</v>
      </c>
      <c r="N86">
        <v>76.28</v>
      </c>
      <c r="O86">
        <v>34983.29</v>
      </c>
      <c r="P86">
        <v>101.34</v>
      </c>
      <c r="Q86">
        <v>204.14</v>
      </c>
      <c r="R86">
        <v>24.14</v>
      </c>
      <c r="S86">
        <v>17.37</v>
      </c>
      <c r="T86">
        <v>1286.83</v>
      </c>
      <c r="U86">
        <v>0.72</v>
      </c>
      <c r="V86">
        <v>0.75</v>
      </c>
      <c r="W86">
        <v>1.1399999999999999</v>
      </c>
      <c r="X86">
        <v>7.0000000000000007E-2</v>
      </c>
      <c r="Y86">
        <v>1</v>
      </c>
      <c r="Z86">
        <v>10</v>
      </c>
    </row>
    <row r="87" spans="1:26" x14ac:dyDescent="0.3">
      <c r="A87">
        <v>85</v>
      </c>
      <c r="B87">
        <v>125</v>
      </c>
      <c r="C87" t="s">
        <v>26</v>
      </c>
      <c r="D87">
        <v>10.2468</v>
      </c>
      <c r="E87">
        <v>9.76</v>
      </c>
      <c r="F87">
        <v>6.77</v>
      </c>
      <c r="G87">
        <v>81.19</v>
      </c>
      <c r="H87">
        <v>1.4</v>
      </c>
      <c r="I87">
        <v>5</v>
      </c>
      <c r="J87">
        <v>282.24</v>
      </c>
      <c r="K87">
        <v>58.47</v>
      </c>
      <c r="L87">
        <v>22.25</v>
      </c>
      <c r="M87">
        <v>3</v>
      </c>
      <c r="N87">
        <v>76.52</v>
      </c>
      <c r="O87">
        <v>35044.379999999997</v>
      </c>
      <c r="P87">
        <v>100.98</v>
      </c>
      <c r="Q87">
        <v>204.14</v>
      </c>
      <c r="R87">
        <v>24.2</v>
      </c>
      <c r="S87">
        <v>17.37</v>
      </c>
      <c r="T87">
        <v>1317.22</v>
      </c>
      <c r="U87">
        <v>0.72</v>
      </c>
      <c r="V87">
        <v>0.75</v>
      </c>
      <c r="W87">
        <v>1.1399999999999999</v>
      </c>
      <c r="X87">
        <v>7.0000000000000007E-2</v>
      </c>
      <c r="Y87">
        <v>1</v>
      </c>
      <c r="Z87">
        <v>10</v>
      </c>
    </row>
    <row r="88" spans="1:26" x14ac:dyDescent="0.3">
      <c r="A88">
        <v>86</v>
      </c>
      <c r="B88">
        <v>125</v>
      </c>
      <c r="C88" t="s">
        <v>26</v>
      </c>
      <c r="D88">
        <v>10.2433</v>
      </c>
      <c r="E88">
        <v>9.76</v>
      </c>
      <c r="F88">
        <v>6.77</v>
      </c>
      <c r="G88">
        <v>81.23</v>
      </c>
      <c r="H88">
        <v>1.42</v>
      </c>
      <c r="I88">
        <v>5</v>
      </c>
      <c r="J88">
        <v>282.74</v>
      </c>
      <c r="K88">
        <v>58.47</v>
      </c>
      <c r="L88">
        <v>22.5</v>
      </c>
      <c r="M88">
        <v>3</v>
      </c>
      <c r="N88">
        <v>76.77</v>
      </c>
      <c r="O88">
        <v>35105.56</v>
      </c>
      <c r="P88">
        <v>100.93</v>
      </c>
      <c r="Q88">
        <v>204.15</v>
      </c>
      <c r="R88">
        <v>24.23</v>
      </c>
      <c r="S88">
        <v>17.37</v>
      </c>
      <c r="T88">
        <v>1332.15</v>
      </c>
      <c r="U88">
        <v>0.72</v>
      </c>
      <c r="V88">
        <v>0.75</v>
      </c>
      <c r="W88">
        <v>1.1499999999999999</v>
      </c>
      <c r="X88">
        <v>0.08</v>
      </c>
      <c r="Y88">
        <v>1</v>
      </c>
      <c r="Z88">
        <v>10</v>
      </c>
    </row>
    <row r="89" spans="1:26" x14ac:dyDescent="0.3">
      <c r="A89">
        <v>87</v>
      </c>
      <c r="B89">
        <v>125</v>
      </c>
      <c r="C89" t="s">
        <v>26</v>
      </c>
      <c r="D89">
        <v>10.2453</v>
      </c>
      <c r="E89">
        <v>9.76</v>
      </c>
      <c r="F89">
        <v>6.77</v>
      </c>
      <c r="G89">
        <v>81.209999999999994</v>
      </c>
      <c r="H89">
        <v>1.43</v>
      </c>
      <c r="I89">
        <v>5</v>
      </c>
      <c r="J89">
        <v>283.24</v>
      </c>
      <c r="K89">
        <v>58.47</v>
      </c>
      <c r="L89">
        <v>22.75</v>
      </c>
      <c r="M89">
        <v>3</v>
      </c>
      <c r="N89">
        <v>77.010000000000005</v>
      </c>
      <c r="O89">
        <v>35166.85</v>
      </c>
      <c r="P89">
        <v>100.89</v>
      </c>
      <c r="Q89">
        <v>204.14</v>
      </c>
      <c r="R89">
        <v>24.22</v>
      </c>
      <c r="S89">
        <v>17.37</v>
      </c>
      <c r="T89">
        <v>1329.1</v>
      </c>
      <c r="U89">
        <v>0.72</v>
      </c>
      <c r="V89">
        <v>0.75</v>
      </c>
      <c r="W89">
        <v>1.1399999999999999</v>
      </c>
      <c r="X89">
        <v>0.08</v>
      </c>
      <c r="Y89">
        <v>1</v>
      </c>
      <c r="Z89">
        <v>10</v>
      </c>
    </row>
    <row r="90" spans="1:26" x14ac:dyDescent="0.3">
      <c r="A90">
        <v>88</v>
      </c>
      <c r="B90">
        <v>125</v>
      </c>
      <c r="C90" t="s">
        <v>26</v>
      </c>
      <c r="D90">
        <v>10.2409</v>
      </c>
      <c r="E90">
        <v>9.76</v>
      </c>
      <c r="F90">
        <v>6.77</v>
      </c>
      <c r="G90">
        <v>81.260000000000005</v>
      </c>
      <c r="H90">
        <v>1.44</v>
      </c>
      <c r="I90">
        <v>5</v>
      </c>
      <c r="J90">
        <v>283.74</v>
      </c>
      <c r="K90">
        <v>58.47</v>
      </c>
      <c r="L90">
        <v>23</v>
      </c>
      <c r="M90">
        <v>3</v>
      </c>
      <c r="N90">
        <v>77.260000000000005</v>
      </c>
      <c r="O90">
        <v>35228.230000000003</v>
      </c>
      <c r="P90">
        <v>100.73</v>
      </c>
      <c r="Q90">
        <v>204.14</v>
      </c>
      <c r="R90">
        <v>24.39</v>
      </c>
      <c r="S90">
        <v>17.37</v>
      </c>
      <c r="T90">
        <v>1412.15</v>
      </c>
      <c r="U90">
        <v>0.71</v>
      </c>
      <c r="V90">
        <v>0.75</v>
      </c>
      <c r="W90">
        <v>1.1399999999999999</v>
      </c>
      <c r="X90">
        <v>0.08</v>
      </c>
      <c r="Y90">
        <v>1</v>
      </c>
      <c r="Z90">
        <v>10</v>
      </c>
    </row>
    <row r="91" spans="1:26" x14ac:dyDescent="0.3">
      <c r="A91">
        <v>89</v>
      </c>
      <c r="B91">
        <v>125</v>
      </c>
      <c r="C91" t="s">
        <v>26</v>
      </c>
      <c r="D91">
        <v>10.2407</v>
      </c>
      <c r="E91">
        <v>9.76</v>
      </c>
      <c r="F91">
        <v>6.77</v>
      </c>
      <c r="G91">
        <v>81.260000000000005</v>
      </c>
      <c r="H91">
        <v>1.46</v>
      </c>
      <c r="I91">
        <v>5</v>
      </c>
      <c r="J91">
        <v>284.23</v>
      </c>
      <c r="K91">
        <v>58.47</v>
      </c>
      <c r="L91">
        <v>23.25</v>
      </c>
      <c r="M91">
        <v>3</v>
      </c>
      <c r="N91">
        <v>77.510000000000005</v>
      </c>
      <c r="O91">
        <v>35289.71</v>
      </c>
      <c r="P91">
        <v>100.6</v>
      </c>
      <c r="Q91">
        <v>204.15</v>
      </c>
      <c r="R91">
        <v>24.37</v>
      </c>
      <c r="S91">
        <v>17.37</v>
      </c>
      <c r="T91">
        <v>1400.83</v>
      </c>
      <c r="U91">
        <v>0.71</v>
      </c>
      <c r="V91">
        <v>0.75</v>
      </c>
      <c r="W91">
        <v>1.1399999999999999</v>
      </c>
      <c r="X91">
        <v>0.08</v>
      </c>
      <c r="Y91">
        <v>1</v>
      </c>
      <c r="Z91">
        <v>10</v>
      </c>
    </row>
    <row r="92" spans="1:26" x14ac:dyDescent="0.3">
      <c r="A92">
        <v>90</v>
      </c>
      <c r="B92">
        <v>125</v>
      </c>
      <c r="C92" t="s">
        <v>26</v>
      </c>
      <c r="D92">
        <v>10.246499999999999</v>
      </c>
      <c r="E92">
        <v>9.76</v>
      </c>
      <c r="F92">
        <v>6.77</v>
      </c>
      <c r="G92">
        <v>81.2</v>
      </c>
      <c r="H92">
        <v>1.47</v>
      </c>
      <c r="I92">
        <v>5</v>
      </c>
      <c r="J92">
        <v>284.73</v>
      </c>
      <c r="K92">
        <v>58.47</v>
      </c>
      <c r="L92">
        <v>23.5</v>
      </c>
      <c r="M92">
        <v>3</v>
      </c>
      <c r="N92">
        <v>77.760000000000005</v>
      </c>
      <c r="O92">
        <v>35351.29</v>
      </c>
      <c r="P92">
        <v>100.17</v>
      </c>
      <c r="Q92">
        <v>204.18</v>
      </c>
      <c r="R92">
        <v>24.17</v>
      </c>
      <c r="S92">
        <v>17.37</v>
      </c>
      <c r="T92">
        <v>1303.55</v>
      </c>
      <c r="U92">
        <v>0.72</v>
      </c>
      <c r="V92">
        <v>0.75</v>
      </c>
      <c r="W92">
        <v>1.1399999999999999</v>
      </c>
      <c r="X92">
        <v>7.0000000000000007E-2</v>
      </c>
      <c r="Y92">
        <v>1</v>
      </c>
      <c r="Z92">
        <v>10</v>
      </c>
    </row>
    <row r="93" spans="1:26" x14ac:dyDescent="0.3">
      <c r="A93">
        <v>91</v>
      </c>
      <c r="B93">
        <v>125</v>
      </c>
      <c r="C93" t="s">
        <v>26</v>
      </c>
      <c r="D93">
        <v>10.3217</v>
      </c>
      <c r="E93">
        <v>9.69</v>
      </c>
      <c r="F93">
        <v>6.74</v>
      </c>
      <c r="G93">
        <v>101.14</v>
      </c>
      <c r="H93">
        <v>1.48</v>
      </c>
      <c r="I93">
        <v>4</v>
      </c>
      <c r="J93">
        <v>285.23</v>
      </c>
      <c r="K93">
        <v>58.47</v>
      </c>
      <c r="L93">
        <v>23.75</v>
      </c>
      <c r="M93">
        <v>2</v>
      </c>
      <c r="N93">
        <v>78.010000000000005</v>
      </c>
      <c r="O93">
        <v>35412.959999999999</v>
      </c>
      <c r="P93">
        <v>99.48</v>
      </c>
      <c r="Q93">
        <v>204.15</v>
      </c>
      <c r="R93">
        <v>23.44</v>
      </c>
      <c r="S93">
        <v>17.37</v>
      </c>
      <c r="T93">
        <v>941.84</v>
      </c>
      <c r="U93">
        <v>0.74</v>
      </c>
      <c r="V93">
        <v>0.76</v>
      </c>
      <c r="W93">
        <v>1.1399999999999999</v>
      </c>
      <c r="X93">
        <v>0.05</v>
      </c>
      <c r="Y93">
        <v>1</v>
      </c>
      <c r="Z93">
        <v>10</v>
      </c>
    </row>
    <row r="94" spans="1:26" x14ac:dyDescent="0.3">
      <c r="A94">
        <v>92</v>
      </c>
      <c r="B94">
        <v>125</v>
      </c>
      <c r="C94" t="s">
        <v>26</v>
      </c>
      <c r="D94">
        <v>10.321400000000001</v>
      </c>
      <c r="E94">
        <v>9.69</v>
      </c>
      <c r="F94">
        <v>6.74</v>
      </c>
      <c r="G94">
        <v>101.14</v>
      </c>
      <c r="H94">
        <v>1.5</v>
      </c>
      <c r="I94">
        <v>4</v>
      </c>
      <c r="J94">
        <v>285.73</v>
      </c>
      <c r="K94">
        <v>58.47</v>
      </c>
      <c r="L94">
        <v>24</v>
      </c>
      <c r="M94">
        <v>2</v>
      </c>
      <c r="N94">
        <v>78.260000000000005</v>
      </c>
      <c r="O94">
        <v>35474.75</v>
      </c>
      <c r="P94">
        <v>99.46</v>
      </c>
      <c r="Q94">
        <v>204.16</v>
      </c>
      <c r="R94">
        <v>23.46</v>
      </c>
      <c r="S94">
        <v>17.37</v>
      </c>
      <c r="T94">
        <v>952.02</v>
      </c>
      <c r="U94">
        <v>0.74</v>
      </c>
      <c r="V94">
        <v>0.76</v>
      </c>
      <c r="W94">
        <v>1.1399999999999999</v>
      </c>
      <c r="X94">
        <v>0.05</v>
      </c>
      <c r="Y94">
        <v>1</v>
      </c>
      <c r="Z94">
        <v>10</v>
      </c>
    </row>
    <row r="95" spans="1:26" x14ac:dyDescent="0.3">
      <c r="A95">
        <v>93</v>
      </c>
      <c r="B95">
        <v>125</v>
      </c>
      <c r="C95" t="s">
        <v>26</v>
      </c>
      <c r="D95">
        <v>10.3217</v>
      </c>
      <c r="E95">
        <v>9.69</v>
      </c>
      <c r="F95">
        <v>6.74</v>
      </c>
      <c r="G95">
        <v>101.14</v>
      </c>
      <c r="H95">
        <v>1.51</v>
      </c>
      <c r="I95">
        <v>4</v>
      </c>
      <c r="J95">
        <v>286.24</v>
      </c>
      <c r="K95">
        <v>58.47</v>
      </c>
      <c r="L95">
        <v>24.25</v>
      </c>
      <c r="M95">
        <v>2</v>
      </c>
      <c r="N95">
        <v>78.510000000000005</v>
      </c>
      <c r="O95">
        <v>35536.629999999997</v>
      </c>
      <c r="P95">
        <v>99.59</v>
      </c>
      <c r="Q95">
        <v>204.14</v>
      </c>
      <c r="R95">
        <v>23.46</v>
      </c>
      <c r="S95">
        <v>17.37</v>
      </c>
      <c r="T95">
        <v>954.55</v>
      </c>
      <c r="U95">
        <v>0.74</v>
      </c>
      <c r="V95">
        <v>0.76</v>
      </c>
      <c r="W95">
        <v>1.1399999999999999</v>
      </c>
      <c r="X95">
        <v>0.05</v>
      </c>
      <c r="Y95">
        <v>1</v>
      </c>
      <c r="Z95">
        <v>10</v>
      </c>
    </row>
    <row r="96" spans="1:26" x14ac:dyDescent="0.3">
      <c r="A96">
        <v>94</v>
      </c>
      <c r="B96">
        <v>125</v>
      </c>
      <c r="C96" t="s">
        <v>26</v>
      </c>
      <c r="D96">
        <v>10.3161</v>
      </c>
      <c r="E96">
        <v>9.69</v>
      </c>
      <c r="F96">
        <v>6.75</v>
      </c>
      <c r="G96">
        <v>101.22</v>
      </c>
      <c r="H96">
        <v>1.52</v>
      </c>
      <c r="I96">
        <v>4</v>
      </c>
      <c r="J96">
        <v>286.74</v>
      </c>
      <c r="K96">
        <v>58.47</v>
      </c>
      <c r="L96">
        <v>24.5</v>
      </c>
      <c r="M96">
        <v>2</v>
      </c>
      <c r="N96">
        <v>78.77</v>
      </c>
      <c r="O96">
        <v>35598.74</v>
      </c>
      <c r="P96">
        <v>99.81</v>
      </c>
      <c r="Q96">
        <v>204.14</v>
      </c>
      <c r="R96">
        <v>23.64</v>
      </c>
      <c r="S96">
        <v>17.37</v>
      </c>
      <c r="T96">
        <v>1041.21</v>
      </c>
      <c r="U96">
        <v>0.73</v>
      </c>
      <c r="V96">
        <v>0.76</v>
      </c>
      <c r="W96">
        <v>1.1399999999999999</v>
      </c>
      <c r="X96">
        <v>0.06</v>
      </c>
      <c r="Y96">
        <v>1</v>
      </c>
      <c r="Z96">
        <v>10</v>
      </c>
    </row>
    <row r="97" spans="1:26" x14ac:dyDescent="0.3">
      <c r="A97">
        <v>95</v>
      </c>
      <c r="B97">
        <v>125</v>
      </c>
      <c r="C97" t="s">
        <v>26</v>
      </c>
      <c r="D97">
        <v>10.317600000000001</v>
      </c>
      <c r="E97">
        <v>9.69</v>
      </c>
      <c r="F97">
        <v>6.75</v>
      </c>
      <c r="G97">
        <v>101.2</v>
      </c>
      <c r="H97">
        <v>1.53</v>
      </c>
      <c r="I97">
        <v>4</v>
      </c>
      <c r="J97">
        <v>287.24</v>
      </c>
      <c r="K97">
        <v>58.47</v>
      </c>
      <c r="L97">
        <v>24.75</v>
      </c>
      <c r="M97">
        <v>2</v>
      </c>
      <c r="N97">
        <v>79.02</v>
      </c>
      <c r="O97">
        <v>35660.82</v>
      </c>
      <c r="P97">
        <v>99.98</v>
      </c>
      <c r="Q97">
        <v>204.14</v>
      </c>
      <c r="R97">
        <v>23.61</v>
      </c>
      <c r="S97">
        <v>17.37</v>
      </c>
      <c r="T97">
        <v>1025.3800000000001</v>
      </c>
      <c r="U97">
        <v>0.74</v>
      </c>
      <c r="V97">
        <v>0.76</v>
      </c>
      <c r="W97">
        <v>1.1399999999999999</v>
      </c>
      <c r="X97">
        <v>0.06</v>
      </c>
      <c r="Y97">
        <v>1</v>
      </c>
      <c r="Z97">
        <v>10</v>
      </c>
    </row>
    <row r="98" spans="1:26" x14ac:dyDescent="0.3">
      <c r="A98">
        <v>96</v>
      </c>
      <c r="B98">
        <v>125</v>
      </c>
      <c r="C98" t="s">
        <v>26</v>
      </c>
      <c r="D98">
        <v>10.315200000000001</v>
      </c>
      <c r="E98">
        <v>9.69</v>
      </c>
      <c r="F98">
        <v>6.75</v>
      </c>
      <c r="G98">
        <v>101.23</v>
      </c>
      <c r="H98">
        <v>1.55</v>
      </c>
      <c r="I98">
        <v>4</v>
      </c>
      <c r="J98">
        <v>287.75</v>
      </c>
      <c r="K98">
        <v>58.47</v>
      </c>
      <c r="L98">
        <v>25</v>
      </c>
      <c r="M98">
        <v>2</v>
      </c>
      <c r="N98">
        <v>79.27</v>
      </c>
      <c r="O98">
        <v>35723.019999999997</v>
      </c>
      <c r="P98">
        <v>100.13</v>
      </c>
      <c r="Q98">
        <v>204.15</v>
      </c>
      <c r="R98">
        <v>23.61</v>
      </c>
      <c r="S98">
        <v>17.37</v>
      </c>
      <c r="T98">
        <v>1024.94</v>
      </c>
      <c r="U98">
        <v>0.74</v>
      </c>
      <c r="V98">
        <v>0.76</v>
      </c>
      <c r="W98">
        <v>1.1399999999999999</v>
      </c>
      <c r="X98">
        <v>0.06</v>
      </c>
      <c r="Y98">
        <v>1</v>
      </c>
      <c r="Z98">
        <v>10</v>
      </c>
    </row>
    <row r="99" spans="1:26" x14ac:dyDescent="0.3">
      <c r="A99">
        <v>97</v>
      </c>
      <c r="B99">
        <v>125</v>
      </c>
      <c r="C99" t="s">
        <v>26</v>
      </c>
      <c r="D99">
        <v>10.3116</v>
      </c>
      <c r="E99">
        <v>9.6999999999999993</v>
      </c>
      <c r="F99">
        <v>6.75</v>
      </c>
      <c r="G99">
        <v>101.28</v>
      </c>
      <c r="H99">
        <v>1.56</v>
      </c>
      <c r="I99">
        <v>4</v>
      </c>
      <c r="J99">
        <v>288.25</v>
      </c>
      <c r="K99">
        <v>58.47</v>
      </c>
      <c r="L99">
        <v>25.25</v>
      </c>
      <c r="M99">
        <v>2</v>
      </c>
      <c r="N99">
        <v>79.53</v>
      </c>
      <c r="O99">
        <v>35785.31</v>
      </c>
      <c r="P99">
        <v>100.18</v>
      </c>
      <c r="Q99">
        <v>204.14</v>
      </c>
      <c r="R99">
        <v>23.74</v>
      </c>
      <c r="S99">
        <v>17.37</v>
      </c>
      <c r="T99">
        <v>1092.54</v>
      </c>
      <c r="U99">
        <v>0.73</v>
      </c>
      <c r="V99">
        <v>0.76</v>
      </c>
      <c r="W99">
        <v>1.1399999999999999</v>
      </c>
      <c r="X99">
        <v>0.06</v>
      </c>
      <c r="Y99">
        <v>1</v>
      </c>
      <c r="Z99">
        <v>10</v>
      </c>
    </row>
    <row r="100" spans="1:26" x14ac:dyDescent="0.3">
      <c r="A100">
        <v>98</v>
      </c>
      <c r="B100">
        <v>125</v>
      </c>
      <c r="C100" t="s">
        <v>26</v>
      </c>
      <c r="D100">
        <v>10.315799999999999</v>
      </c>
      <c r="E100">
        <v>9.69</v>
      </c>
      <c r="F100">
        <v>6.75</v>
      </c>
      <c r="G100">
        <v>101.22</v>
      </c>
      <c r="H100">
        <v>1.57</v>
      </c>
      <c r="I100">
        <v>4</v>
      </c>
      <c r="J100">
        <v>288.76</v>
      </c>
      <c r="K100">
        <v>58.47</v>
      </c>
      <c r="L100">
        <v>25.5</v>
      </c>
      <c r="M100">
        <v>2</v>
      </c>
      <c r="N100">
        <v>79.78</v>
      </c>
      <c r="O100">
        <v>35847.71</v>
      </c>
      <c r="P100">
        <v>100.35</v>
      </c>
      <c r="Q100">
        <v>204.14</v>
      </c>
      <c r="R100">
        <v>23.62</v>
      </c>
      <c r="S100">
        <v>17.37</v>
      </c>
      <c r="T100">
        <v>1031.44</v>
      </c>
      <c r="U100">
        <v>0.74</v>
      </c>
      <c r="V100">
        <v>0.76</v>
      </c>
      <c r="W100">
        <v>1.1399999999999999</v>
      </c>
      <c r="X100">
        <v>0.06</v>
      </c>
      <c r="Y100">
        <v>1</v>
      </c>
      <c r="Z100">
        <v>10</v>
      </c>
    </row>
    <row r="101" spans="1:26" x14ac:dyDescent="0.3">
      <c r="A101">
        <v>99</v>
      </c>
      <c r="B101">
        <v>125</v>
      </c>
      <c r="C101" t="s">
        <v>26</v>
      </c>
      <c r="D101">
        <v>10.3184</v>
      </c>
      <c r="E101">
        <v>9.69</v>
      </c>
      <c r="F101">
        <v>6.75</v>
      </c>
      <c r="G101">
        <v>101.18</v>
      </c>
      <c r="H101">
        <v>1.59</v>
      </c>
      <c r="I101">
        <v>4</v>
      </c>
      <c r="J101">
        <v>289.26</v>
      </c>
      <c r="K101">
        <v>58.47</v>
      </c>
      <c r="L101">
        <v>25.75</v>
      </c>
      <c r="M101">
        <v>2</v>
      </c>
      <c r="N101">
        <v>80.040000000000006</v>
      </c>
      <c r="O101">
        <v>35910.21</v>
      </c>
      <c r="P101">
        <v>100.31</v>
      </c>
      <c r="Q101">
        <v>204.14</v>
      </c>
      <c r="R101">
        <v>23.51</v>
      </c>
      <c r="S101">
        <v>17.37</v>
      </c>
      <c r="T101">
        <v>979.18</v>
      </c>
      <c r="U101">
        <v>0.74</v>
      </c>
      <c r="V101">
        <v>0.76</v>
      </c>
      <c r="W101">
        <v>1.1399999999999999</v>
      </c>
      <c r="X101">
        <v>0.05</v>
      </c>
      <c r="Y101">
        <v>1</v>
      </c>
      <c r="Z101">
        <v>10</v>
      </c>
    </row>
    <row r="102" spans="1:26" x14ac:dyDescent="0.3">
      <c r="A102">
        <v>100</v>
      </c>
      <c r="B102">
        <v>125</v>
      </c>
      <c r="C102" t="s">
        <v>26</v>
      </c>
      <c r="D102">
        <v>10.3232</v>
      </c>
      <c r="E102">
        <v>9.69</v>
      </c>
      <c r="F102">
        <v>6.74</v>
      </c>
      <c r="G102">
        <v>101.12</v>
      </c>
      <c r="H102">
        <v>1.6</v>
      </c>
      <c r="I102">
        <v>4</v>
      </c>
      <c r="J102">
        <v>289.77</v>
      </c>
      <c r="K102">
        <v>58.47</v>
      </c>
      <c r="L102">
        <v>26</v>
      </c>
      <c r="M102">
        <v>2</v>
      </c>
      <c r="N102">
        <v>80.3</v>
      </c>
      <c r="O102">
        <v>35972.82</v>
      </c>
      <c r="P102">
        <v>100.35</v>
      </c>
      <c r="Q102">
        <v>204.14</v>
      </c>
      <c r="R102">
        <v>23.43</v>
      </c>
      <c r="S102">
        <v>17.37</v>
      </c>
      <c r="T102">
        <v>939.36</v>
      </c>
      <c r="U102">
        <v>0.74</v>
      </c>
      <c r="V102">
        <v>0.76</v>
      </c>
      <c r="W102">
        <v>1.1399999999999999</v>
      </c>
      <c r="X102">
        <v>0.05</v>
      </c>
      <c r="Y102">
        <v>1</v>
      </c>
      <c r="Z102">
        <v>10</v>
      </c>
    </row>
    <row r="103" spans="1:26" x14ac:dyDescent="0.3">
      <c r="A103">
        <v>101</v>
      </c>
      <c r="B103">
        <v>125</v>
      </c>
      <c r="C103" t="s">
        <v>26</v>
      </c>
      <c r="D103">
        <v>10.316700000000001</v>
      </c>
      <c r="E103">
        <v>9.69</v>
      </c>
      <c r="F103">
        <v>6.75</v>
      </c>
      <c r="G103">
        <v>101.21</v>
      </c>
      <c r="H103">
        <v>1.61</v>
      </c>
      <c r="I103">
        <v>4</v>
      </c>
      <c r="J103">
        <v>290.27999999999997</v>
      </c>
      <c r="K103">
        <v>58.47</v>
      </c>
      <c r="L103">
        <v>26.25</v>
      </c>
      <c r="M103">
        <v>2</v>
      </c>
      <c r="N103">
        <v>80.56</v>
      </c>
      <c r="O103">
        <v>36035.53</v>
      </c>
      <c r="P103">
        <v>100.47</v>
      </c>
      <c r="Q103">
        <v>204.14</v>
      </c>
      <c r="R103">
        <v>23.52</v>
      </c>
      <c r="S103">
        <v>17.37</v>
      </c>
      <c r="T103">
        <v>979.93</v>
      </c>
      <c r="U103">
        <v>0.74</v>
      </c>
      <c r="V103">
        <v>0.76</v>
      </c>
      <c r="W103">
        <v>1.1399999999999999</v>
      </c>
      <c r="X103">
        <v>0.06</v>
      </c>
      <c r="Y103">
        <v>1</v>
      </c>
      <c r="Z103">
        <v>10</v>
      </c>
    </row>
    <row r="104" spans="1:26" x14ac:dyDescent="0.3">
      <c r="A104">
        <v>102</v>
      </c>
      <c r="B104">
        <v>125</v>
      </c>
      <c r="C104" t="s">
        <v>26</v>
      </c>
      <c r="D104">
        <v>10.3178</v>
      </c>
      <c r="E104">
        <v>9.69</v>
      </c>
      <c r="F104">
        <v>6.75</v>
      </c>
      <c r="G104">
        <v>101.19</v>
      </c>
      <c r="H104">
        <v>1.62</v>
      </c>
      <c r="I104">
        <v>4</v>
      </c>
      <c r="J104">
        <v>290.79000000000002</v>
      </c>
      <c r="K104">
        <v>58.47</v>
      </c>
      <c r="L104">
        <v>26.5</v>
      </c>
      <c r="M104">
        <v>2</v>
      </c>
      <c r="N104">
        <v>80.819999999999993</v>
      </c>
      <c r="O104">
        <v>36098.35</v>
      </c>
      <c r="P104">
        <v>100.42</v>
      </c>
      <c r="Q104">
        <v>204.15</v>
      </c>
      <c r="R104">
        <v>23.56</v>
      </c>
      <c r="S104">
        <v>17.37</v>
      </c>
      <c r="T104">
        <v>1004.71</v>
      </c>
      <c r="U104">
        <v>0.74</v>
      </c>
      <c r="V104">
        <v>0.76</v>
      </c>
      <c r="W104">
        <v>1.1399999999999999</v>
      </c>
      <c r="X104">
        <v>0.05</v>
      </c>
      <c r="Y104">
        <v>1</v>
      </c>
      <c r="Z104">
        <v>10</v>
      </c>
    </row>
    <row r="105" spans="1:26" x14ac:dyDescent="0.3">
      <c r="A105">
        <v>103</v>
      </c>
      <c r="B105">
        <v>125</v>
      </c>
      <c r="C105" t="s">
        <v>26</v>
      </c>
      <c r="D105">
        <v>10.309900000000001</v>
      </c>
      <c r="E105">
        <v>9.6999999999999993</v>
      </c>
      <c r="F105">
        <v>6.75</v>
      </c>
      <c r="G105">
        <v>101.3</v>
      </c>
      <c r="H105">
        <v>1.64</v>
      </c>
      <c r="I105">
        <v>4</v>
      </c>
      <c r="J105">
        <v>291.3</v>
      </c>
      <c r="K105">
        <v>58.47</v>
      </c>
      <c r="L105">
        <v>26.75</v>
      </c>
      <c r="M105">
        <v>2</v>
      </c>
      <c r="N105">
        <v>81.08</v>
      </c>
      <c r="O105">
        <v>36161.269999999997</v>
      </c>
      <c r="P105">
        <v>100.54</v>
      </c>
      <c r="Q105">
        <v>204.14</v>
      </c>
      <c r="R105">
        <v>23.75</v>
      </c>
      <c r="S105">
        <v>17.37</v>
      </c>
      <c r="T105">
        <v>1098.58</v>
      </c>
      <c r="U105">
        <v>0.73</v>
      </c>
      <c r="V105">
        <v>0.76</v>
      </c>
      <c r="W105">
        <v>1.1399999999999999</v>
      </c>
      <c r="X105">
        <v>0.06</v>
      </c>
      <c r="Y105">
        <v>1</v>
      </c>
      <c r="Z105">
        <v>10</v>
      </c>
    </row>
    <row r="106" spans="1:26" x14ac:dyDescent="0.3">
      <c r="A106">
        <v>104</v>
      </c>
      <c r="B106">
        <v>125</v>
      </c>
      <c r="C106" t="s">
        <v>26</v>
      </c>
      <c r="D106">
        <v>10.3155</v>
      </c>
      <c r="E106">
        <v>9.69</v>
      </c>
      <c r="F106">
        <v>6.75</v>
      </c>
      <c r="G106">
        <v>101.22</v>
      </c>
      <c r="H106">
        <v>1.65</v>
      </c>
      <c r="I106">
        <v>4</v>
      </c>
      <c r="J106">
        <v>291.81</v>
      </c>
      <c r="K106">
        <v>58.47</v>
      </c>
      <c r="L106">
        <v>27</v>
      </c>
      <c r="M106">
        <v>2</v>
      </c>
      <c r="N106">
        <v>81.34</v>
      </c>
      <c r="O106">
        <v>36224.300000000003</v>
      </c>
      <c r="P106">
        <v>100.44</v>
      </c>
      <c r="Q106">
        <v>204.14</v>
      </c>
      <c r="R106">
        <v>23.66</v>
      </c>
      <c r="S106">
        <v>17.37</v>
      </c>
      <c r="T106">
        <v>1053.8499999999999</v>
      </c>
      <c r="U106">
        <v>0.73</v>
      </c>
      <c r="V106">
        <v>0.76</v>
      </c>
      <c r="W106">
        <v>1.1399999999999999</v>
      </c>
      <c r="X106">
        <v>0.06</v>
      </c>
      <c r="Y106">
        <v>1</v>
      </c>
      <c r="Z106">
        <v>10</v>
      </c>
    </row>
    <row r="107" spans="1:26" x14ac:dyDescent="0.3">
      <c r="A107">
        <v>105</v>
      </c>
      <c r="B107">
        <v>125</v>
      </c>
      <c r="C107" t="s">
        <v>26</v>
      </c>
      <c r="D107">
        <v>10.3116</v>
      </c>
      <c r="E107">
        <v>9.6999999999999993</v>
      </c>
      <c r="F107">
        <v>6.75</v>
      </c>
      <c r="G107">
        <v>101.28</v>
      </c>
      <c r="H107">
        <v>1.66</v>
      </c>
      <c r="I107">
        <v>4</v>
      </c>
      <c r="J107">
        <v>292.32</v>
      </c>
      <c r="K107">
        <v>58.47</v>
      </c>
      <c r="L107">
        <v>27.25</v>
      </c>
      <c r="M107">
        <v>2</v>
      </c>
      <c r="N107">
        <v>81.599999999999994</v>
      </c>
      <c r="O107">
        <v>36287.440000000002</v>
      </c>
      <c r="P107">
        <v>100.47</v>
      </c>
      <c r="Q107">
        <v>204.14</v>
      </c>
      <c r="R107">
        <v>23.75</v>
      </c>
      <c r="S107">
        <v>17.37</v>
      </c>
      <c r="T107">
        <v>1095.92</v>
      </c>
      <c r="U107">
        <v>0.73</v>
      </c>
      <c r="V107">
        <v>0.76</v>
      </c>
      <c r="W107">
        <v>1.1399999999999999</v>
      </c>
      <c r="X107">
        <v>0.06</v>
      </c>
      <c r="Y107">
        <v>1</v>
      </c>
      <c r="Z107">
        <v>10</v>
      </c>
    </row>
    <row r="108" spans="1:26" x14ac:dyDescent="0.3">
      <c r="A108">
        <v>106</v>
      </c>
      <c r="B108">
        <v>125</v>
      </c>
      <c r="C108" t="s">
        <v>26</v>
      </c>
      <c r="D108">
        <v>10.317</v>
      </c>
      <c r="E108">
        <v>9.69</v>
      </c>
      <c r="F108">
        <v>6.75</v>
      </c>
      <c r="G108">
        <v>101.2</v>
      </c>
      <c r="H108">
        <v>1.67</v>
      </c>
      <c r="I108">
        <v>4</v>
      </c>
      <c r="J108">
        <v>292.83999999999997</v>
      </c>
      <c r="K108">
        <v>58.47</v>
      </c>
      <c r="L108">
        <v>27.5</v>
      </c>
      <c r="M108">
        <v>2</v>
      </c>
      <c r="N108">
        <v>81.86</v>
      </c>
      <c r="O108">
        <v>36350.69</v>
      </c>
      <c r="P108">
        <v>100.28</v>
      </c>
      <c r="Q108">
        <v>204.14</v>
      </c>
      <c r="R108">
        <v>23.59</v>
      </c>
      <c r="S108">
        <v>17.37</v>
      </c>
      <c r="T108">
        <v>1016.05</v>
      </c>
      <c r="U108">
        <v>0.74</v>
      </c>
      <c r="V108">
        <v>0.76</v>
      </c>
      <c r="W108">
        <v>1.1399999999999999</v>
      </c>
      <c r="X108">
        <v>0.06</v>
      </c>
      <c r="Y108">
        <v>1</v>
      </c>
      <c r="Z108">
        <v>10</v>
      </c>
    </row>
    <row r="109" spans="1:26" x14ac:dyDescent="0.3">
      <c r="A109">
        <v>107</v>
      </c>
      <c r="B109">
        <v>125</v>
      </c>
      <c r="C109" t="s">
        <v>26</v>
      </c>
      <c r="D109">
        <v>10.3164</v>
      </c>
      <c r="E109">
        <v>9.69</v>
      </c>
      <c r="F109">
        <v>6.75</v>
      </c>
      <c r="G109">
        <v>101.21</v>
      </c>
      <c r="H109">
        <v>1.68</v>
      </c>
      <c r="I109">
        <v>4</v>
      </c>
      <c r="J109">
        <v>293.35000000000002</v>
      </c>
      <c r="K109">
        <v>58.47</v>
      </c>
      <c r="L109">
        <v>27.75</v>
      </c>
      <c r="M109">
        <v>2</v>
      </c>
      <c r="N109">
        <v>82.13</v>
      </c>
      <c r="O109">
        <v>36414.050000000003</v>
      </c>
      <c r="P109">
        <v>100.28</v>
      </c>
      <c r="Q109">
        <v>204.14</v>
      </c>
      <c r="R109">
        <v>23.59</v>
      </c>
      <c r="S109">
        <v>17.37</v>
      </c>
      <c r="T109">
        <v>1018.7</v>
      </c>
      <c r="U109">
        <v>0.74</v>
      </c>
      <c r="V109">
        <v>0.76</v>
      </c>
      <c r="W109">
        <v>1.1399999999999999</v>
      </c>
      <c r="X109">
        <v>0.06</v>
      </c>
      <c r="Y109">
        <v>1</v>
      </c>
      <c r="Z109">
        <v>10</v>
      </c>
    </row>
    <row r="110" spans="1:26" x14ac:dyDescent="0.3">
      <c r="A110">
        <v>108</v>
      </c>
      <c r="B110">
        <v>125</v>
      </c>
      <c r="C110" t="s">
        <v>26</v>
      </c>
      <c r="D110">
        <v>10.316700000000001</v>
      </c>
      <c r="E110">
        <v>9.69</v>
      </c>
      <c r="F110">
        <v>6.75</v>
      </c>
      <c r="G110">
        <v>101.21</v>
      </c>
      <c r="H110">
        <v>1.7</v>
      </c>
      <c r="I110">
        <v>4</v>
      </c>
      <c r="J110">
        <v>293.86</v>
      </c>
      <c r="K110">
        <v>58.47</v>
      </c>
      <c r="L110">
        <v>28</v>
      </c>
      <c r="M110">
        <v>2</v>
      </c>
      <c r="N110">
        <v>82.39</v>
      </c>
      <c r="O110">
        <v>36477.51</v>
      </c>
      <c r="P110">
        <v>100.22</v>
      </c>
      <c r="Q110">
        <v>204.14</v>
      </c>
      <c r="R110">
        <v>23.58</v>
      </c>
      <c r="S110">
        <v>17.37</v>
      </c>
      <c r="T110">
        <v>1011.26</v>
      </c>
      <c r="U110">
        <v>0.74</v>
      </c>
      <c r="V110">
        <v>0.76</v>
      </c>
      <c r="W110">
        <v>1.1399999999999999</v>
      </c>
      <c r="X110">
        <v>0.06</v>
      </c>
      <c r="Y110">
        <v>1</v>
      </c>
      <c r="Z110">
        <v>10</v>
      </c>
    </row>
    <row r="111" spans="1:26" x14ac:dyDescent="0.3">
      <c r="A111">
        <v>109</v>
      </c>
      <c r="B111">
        <v>125</v>
      </c>
      <c r="C111" t="s">
        <v>26</v>
      </c>
      <c r="D111">
        <v>10.319900000000001</v>
      </c>
      <c r="E111">
        <v>9.69</v>
      </c>
      <c r="F111">
        <v>6.74</v>
      </c>
      <c r="G111">
        <v>101.16</v>
      </c>
      <c r="H111">
        <v>1.71</v>
      </c>
      <c r="I111">
        <v>4</v>
      </c>
      <c r="J111">
        <v>294.38</v>
      </c>
      <c r="K111">
        <v>58.47</v>
      </c>
      <c r="L111">
        <v>28.25</v>
      </c>
      <c r="M111">
        <v>2</v>
      </c>
      <c r="N111">
        <v>82.66</v>
      </c>
      <c r="O111">
        <v>36541.089999999997</v>
      </c>
      <c r="P111">
        <v>100.09</v>
      </c>
      <c r="Q111">
        <v>204.14</v>
      </c>
      <c r="R111">
        <v>23.45</v>
      </c>
      <c r="S111">
        <v>17.37</v>
      </c>
      <c r="T111">
        <v>948.4</v>
      </c>
      <c r="U111">
        <v>0.74</v>
      </c>
      <c r="V111">
        <v>0.76</v>
      </c>
      <c r="W111">
        <v>1.1399999999999999</v>
      </c>
      <c r="X111">
        <v>0.05</v>
      </c>
      <c r="Y111">
        <v>1</v>
      </c>
      <c r="Z111">
        <v>10</v>
      </c>
    </row>
    <row r="112" spans="1:26" x14ac:dyDescent="0.3">
      <c r="A112">
        <v>110</v>
      </c>
      <c r="B112">
        <v>125</v>
      </c>
      <c r="C112" t="s">
        <v>26</v>
      </c>
      <c r="D112">
        <v>10.319900000000001</v>
      </c>
      <c r="E112">
        <v>9.69</v>
      </c>
      <c r="F112">
        <v>6.74</v>
      </c>
      <c r="G112">
        <v>101.16</v>
      </c>
      <c r="H112">
        <v>1.72</v>
      </c>
      <c r="I112">
        <v>4</v>
      </c>
      <c r="J112">
        <v>294.89999999999998</v>
      </c>
      <c r="K112">
        <v>58.47</v>
      </c>
      <c r="L112">
        <v>28.5</v>
      </c>
      <c r="M112">
        <v>2</v>
      </c>
      <c r="N112">
        <v>82.92</v>
      </c>
      <c r="O112">
        <v>36604.769999999997</v>
      </c>
      <c r="P112">
        <v>99.93</v>
      </c>
      <c r="Q112">
        <v>204.14</v>
      </c>
      <c r="R112">
        <v>23.42</v>
      </c>
      <c r="S112">
        <v>17.37</v>
      </c>
      <c r="T112">
        <v>931.25</v>
      </c>
      <c r="U112">
        <v>0.74</v>
      </c>
      <c r="V112">
        <v>0.76</v>
      </c>
      <c r="W112">
        <v>1.1399999999999999</v>
      </c>
      <c r="X112">
        <v>0.05</v>
      </c>
      <c r="Y112">
        <v>1</v>
      </c>
      <c r="Z112">
        <v>10</v>
      </c>
    </row>
    <row r="113" spans="1:26" x14ac:dyDescent="0.3">
      <c r="A113">
        <v>111</v>
      </c>
      <c r="B113">
        <v>125</v>
      </c>
      <c r="C113" t="s">
        <v>26</v>
      </c>
      <c r="D113">
        <v>10.3161</v>
      </c>
      <c r="E113">
        <v>9.69</v>
      </c>
      <c r="F113">
        <v>6.75</v>
      </c>
      <c r="G113">
        <v>101.22</v>
      </c>
      <c r="H113">
        <v>1.73</v>
      </c>
      <c r="I113">
        <v>4</v>
      </c>
      <c r="J113">
        <v>295.41000000000003</v>
      </c>
      <c r="K113">
        <v>58.47</v>
      </c>
      <c r="L113">
        <v>28.75</v>
      </c>
      <c r="M113">
        <v>2</v>
      </c>
      <c r="N113">
        <v>83.19</v>
      </c>
      <c r="O113">
        <v>36668.57</v>
      </c>
      <c r="P113">
        <v>99.88</v>
      </c>
      <c r="Q113">
        <v>204.14</v>
      </c>
      <c r="R113">
        <v>23.47</v>
      </c>
      <c r="S113">
        <v>17.37</v>
      </c>
      <c r="T113">
        <v>956.86</v>
      </c>
      <c r="U113">
        <v>0.74</v>
      </c>
      <c r="V113">
        <v>0.76</v>
      </c>
      <c r="W113">
        <v>1.1499999999999999</v>
      </c>
      <c r="X113">
        <v>0.06</v>
      </c>
      <c r="Y113">
        <v>1</v>
      </c>
      <c r="Z113">
        <v>10</v>
      </c>
    </row>
    <row r="114" spans="1:26" x14ac:dyDescent="0.3">
      <c r="A114">
        <v>112</v>
      </c>
      <c r="B114">
        <v>125</v>
      </c>
      <c r="C114" t="s">
        <v>26</v>
      </c>
      <c r="D114">
        <v>10.3226</v>
      </c>
      <c r="E114">
        <v>9.69</v>
      </c>
      <c r="F114">
        <v>6.74</v>
      </c>
      <c r="G114">
        <v>101.12</v>
      </c>
      <c r="H114">
        <v>1.75</v>
      </c>
      <c r="I114">
        <v>4</v>
      </c>
      <c r="J114">
        <v>295.93</v>
      </c>
      <c r="K114">
        <v>58.47</v>
      </c>
      <c r="L114">
        <v>29</v>
      </c>
      <c r="M114">
        <v>2</v>
      </c>
      <c r="N114">
        <v>83.46</v>
      </c>
      <c r="O114">
        <v>36732.47</v>
      </c>
      <c r="P114">
        <v>99.61</v>
      </c>
      <c r="Q114">
        <v>204.14</v>
      </c>
      <c r="R114">
        <v>23.41</v>
      </c>
      <c r="S114">
        <v>17.37</v>
      </c>
      <c r="T114">
        <v>925.69</v>
      </c>
      <c r="U114">
        <v>0.74</v>
      </c>
      <c r="V114">
        <v>0.76</v>
      </c>
      <c r="W114">
        <v>1.1399999999999999</v>
      </c>
      <c r="X114">
        <v>0.05</v>
      </c>
      <c r="Y114">
        <v>1</v>
      </c>
      <c r="Z114">
        <v>10</v>
      </c>
    </row>
    <row r="115" spans="1:26" x14ac:dyDescent="0.3">
      <c r="A115">
        <v>113</v>
      </c>
      <c r="B115">
        <v>125</v>
      </c>
      <c r="C115" t="s">
        <v>26</v>
      </c>
      <c r="D115">
        <v>10.322900000000001</v>
      </c>
      <c r="E115">
        <v>9.69</v>
      </c>
      <c r="F115">
        <v>6.74</v>
      </c>
      <c r="G115">
        <v>101.12</v>
      </c>
      <c r="H115">
        <v>1.76</v>
      </c>
      <c r="I115">
        <v>4</v>
      </c>
      <c r="J115">
        <v>296.45</v>
      </c>
      <c r="K115">
        <v>58.47</v>
      </c>
      <c r="L115">
        <v>29.25</v>
      </c>
      <c r="M115">
        <v>2</v>
      </c>
      <c r="N115">
        <v>83.73</v>
      </c>
      <c r="O115">
        <v>36796.49</v>
      </c>
      <c r="P115">
        <v>99.5</v>
      </c>
      <c r="Q115">
        <v>204.14</v>
      </c>
      <c r="R115">
        <v>23.39</v>
      </c>
      <c r="S115">
        <v>17.37</v>
      </c>
      <c r="T115">
        <v>916.03</v>
      </c>
      <c r="U115">
        <v>0.74</v>
      </c>
      <c r="V115">
        <v>0.76</v>
      </c>
      <c r="W115">
        <v>1.1399999999999999</v>
      </c>
      <c r="X115">
        <v>0.05</v>
      </c>
      <c r="Y115">
        <v>1</v>
      </c>
      <c r="Z115">
        <v>10</v>
      </c>
    </row>
    <row r="116" spans="1:26" x14ac:dyDescent="0.3">
      <c r="A116">
        <v>114</v>
      </c>
      <c r="B116">
        <v>125</v>
      </c>
      <c r="C116" t="s">
        <v>26</v>
      </c>
      <c r="D116">
        <v>10.323499999999999</v>
      </c>
      <c r="E116">
        <v>9.69</v>
      </c>
      <c r="F116">
        <v>6.74</v>
      </c>
      <c r="G116">
        <v>101.11</v>
      </c>
      <c r="H116">
        <v>1.77</v>
      </c>
      <c r="I116">
        <v>4</v>
      </c>
      <c r="J116">
        <v>296.97000000000003</v>
      </c>
      <c r="K116">
        <v>58.47</v>
      </c>
      <c r="L116">
        <v>29.5</v>
      </c>
      <c r="M116">
        <v>2</v>
      </c>
      <c r="N116">
        <v>84</v>
      </c>
      <c r="O116">
        <v>36860.620000000003</v>
      </c>
      <c r="P116">
        <v>99.23</v>
      </c>
      <c r="Q116">
        <v>204.17</v>
      </c>
      <c r="R116">
        <v>23.36</v>
      </c>
      <c r="S116">
        <v>17.37</v>
      </c>
      <c r="T116">
        <v>902.99</v>
      </c>
      <c r="U116">
        <v>0.74</v>
      </c>
      <c r="V116">
        <v>0.76</v>
      </c>
      <c r="W116">
        <v>1.1399999999999999</v>
      </c>
      <c r="X116">
        <v>0.05</v>
      </c>
      <c r="Y116">
        <v>1</v>
      </c>
      <c r="Z116">
        <v>10</v>
      </c>
    </row>
    <row r="117" spans="1:26" x14ac:dyDescent="0.3">
      <c r="A117">
        <v>115</v>
      </c>
      <c r="B117">
        <v>125</v>
      </c>
      <c r="C117" t="s">
        <v>26</v>
      </c>
      <c r="D117">
        <v>10.322900000000001</v>
      </c>
      <c r="E117">
        <v>9.69</v>
      </c>
      <c r="F117">
        <v>6.74</v>
      </c>
      <c r="G117">
        <v>101.12</v>
      </c>
      <c r="H117">
        <v>1.78</v>
      </c>
      <c r="I117">
        <v>4</v>
      </c>
      <c r="J117">
        <v>297.49</v>
      </c>
      <c r="K117">
        <v>58.47</v>
      </c>
      <c r="L117">
        <v>29.75</v>
      </c>
      <c r="M117">
        <v>2</v>
      </c>
      <c r="N117">
        <v>84.27</v>
      </c>
      <c r="O117">
        <v>36924.870000000003</v>
      </c>
      <c r="P117">
        <v>99.05</v>
      </c>
      <c r="Q117">
        <v>204.14</v>
      </c>
      <c r="R117">
        <v>23.42</v>
      </c>
      <c r="S117">
        <v>17.37</v>
      </c>
      <c r="T117">
        <v>929.92</v>
      </c>
      <c r="U117">
        <v>0.74</v>
      </c>
      <c r="V117">
        <v>0.76</v>
      </c>
      <c r="W117">
        <v>1.1399999999999999</v>
      </c>
      <c r="X117">
        <v>0.05</v>
      </c>
      <c r="Y117">
        <v>1</v>
      </c>
      <c r="Z117">
        <v>10</v>
      </c>
    </row>
    <row r="118" spans="1:26" x14ac:dyDescent="0.3">
      <c r="A118">
        <v>116</v>
      </c>
      <c r="B118">
        <v>125</v>
      </c>
      <c r="C118" t="s">
        <v>26</v>
      </c>
      <c r="D118">
        <v>10.328200000000001</v>
      </c>
      <c r="E118">
        <v>9.68</v>
      </c>
      <c r="F118">
        <v>6.74</v>
      </c>
      <c r="G118">
        <v>101.05</v>
      </c>
      <c r="H118">
        <v>1.79</v>
      </c>
      <c r="I118">
        <v>4</v>
      </c>
      <c r="J118">
        <v>298.01</v>
      </c>
      <c r="K118">
        <v>58.47</v>
      </c>
      <c r="L118">
        <v>30</v>
      </c>
      <c r="M118">
        <v>2</v>
      </c>
      <c r="N118">
        <v>84.54</v>
      </c>
      <c r="O118">
        <v>36989.230000000003</v>
      </c>
      <c r="P118">
        <v>98.82</v>
      </c>
      <c r="Q118">
        <v>204.14</v>
      </c>
      <c r="R118">
        <v>23.16</v>
      </c>
      <c r="S118">
        <v>17.37</v>
      </c>
      <c r="T118">
        <v>803.03</v>
      </c>
      <c r="U118">
        <v>0.75</v>
      </c>
      <c r="V118">
        <v>0.76</v>
      </c>
      <c r="W118">
        <v>1.1399999999999999</v>
      </c>
      <c r="X118">
        <v>0.05</v>
      </c>
      <c r="Y118">
        <v>1</v>
      </c>
      <c r="Z118">
        <v>10</v>
      </c>
    </row>
    <row r="119" spans="1:26" x14ac:dyDescent="0.3">
      <c r="A119">
        <v>117</v>
      </c>
      <c r="B119">
        <v>125</v>
      </c>
      <c r="C119" t="s">
        <v>26</v>
      </c>
      <c r="D119">
        <v>10.33</v>
      </c>
      <c r="E119">
        <v>9.68</v>
      </c>
      <c r="F119">
        <v>6.73</v>
      </c>
      <c r="G119">
        <v>101.02</v>
      </c>
      <c r="H119">
        <v>1.8</v>
      </c>
      <c r="I119">
        <v>4</v>
      </c>
      <c r="J119">
        <v>298.54000000000002</v>
      </c>
      <c r="K119">
        <v>58.47</v>
      </c>
      <c r="L119">
        <v>30.25</v>
      </c>
      <c r="M119">
        <v>2</v>
      </c>
      <c r="N119">
        <v>84.81</v>
      </c>
      <c r="O119">
        <v>37053.699999999997</v>
      </c>
      <c r="P119">
        <v>98.65</v>
      </c>
      <c r="Q119">
        <v>204.14</v>
      </c>
      <c r="R119">
        <v>23.14</v>
      </c>
      <c r="S119">
        <v>17.37</v>
      </c>
      <c r="T119">
        <v>790.09</v>
      </c>
      <c r="U119">
        <v>0.75</v>
      </c>
      <c r="V119">
        <v>0.76</v>
      </c>
      <c r="W119">
        <v>1.1399999999999999</v>
      </c>
      <c r="X119">
        <v>0.04</v>
      </c>
      <c r="Y119">
        <v>1</v>
      </c>
      <c r="Z119">
        <v>10</v>
      </c>
    </row>
    <row r="120" spans="1:26" x14ac:dyDescent="0.3">
      <c r="A120">
        <v>118</v>
      </c>
      <c r="B120">
        <v>125</v>
      </c>
      <c r="C120" t="s">
        <v>26</v>
      </c>
      <c r="D120">
        <v>10.330299999999999</v>
      </c>
      <c r="E120">
        <v>9.68</v>
      </c>
      <c r="F120">
        <v>6.73</v>
      </c>
      <c r="G120">
        <v>101.02</v>
      </c>
      <c r="H120">
        <v>1.82</v>
      </c>
      <c r="I120">
        <v>4</v>
      </c>
      <c r="J120">
        <v>299.06</v>
      </c>
      <c r="K120">
        <v>58.47</v>
      </c>
      <c r="L120">
        <v>30.5</v>
      </c>
      <c r="M120">
        <v>2</v>
      </c>
      <c r="N120">
        <v>85.09</v>
      </c>
      <c r="O120">
        <v>37118.29</v>
      </c>
      <c r="P120">
        <v>98.44</v>
      </c>
      <c r="Q120">
        <v>204.14</v>
      </c>
      <c r="R120">
        <v>23.13</v>
      </c>
      <c r="S120">
        <v>17.37</v>
      </c>
      <c r="T120">
        <v>787.49</v>
      </c>
      <c r="U120">
        <v>0.75</v>
      </c>
      <c r="V120">
        <v>0.76</v>
      </c>
      <c r="W120">
        <v>1.1399999999999999</v>
      </c>
      <c r="X120">
        <v>0.04</v>
      </c>
      <c r="Y120">
        <v>1</v>
      </c>
      <c r="Z120">
        <v>10</v>
      </c>
    </row>
    <row r="121" spans="1:26" x14ac:dyDescent="0.3">
      <c r="A121">
        <v>119</v>
      </c>
      <c r="B121">
        <v>125</v>
      </c>
      <c r="C121" t="s">
        <v>26</v>
      </c>
      <c r="D121">
        <v>10.3261</v>
      </c>
      <c r="E121">
        <v>9.68</v>
      </c>
      <c r="F121">
        <v>6.74</v>
      </c>
      <c r="G121">
        <v>101.08</v>
      </c>
      <c r="H121">
        <v>1.83</v>
      </c>
      <c r="I121">
        <v>4</v>
      </c>
      <c r="J121">
        <v>299.58999999999997</v>
      </c>
      <c r="K121">
        <v>58.47</v>
      </c>
      <c r="L121">
        <v>30.75</v>
      </c>
      <c r="M121">
        <v>2</v>
      </c>
      <c r="N121">
        <v>85.36</v>
      </c>
      <c r="O121">
        <v>37183.120000000003</v>
      </c>
      <c r="P121">
        <v>98.29</v>
      </c>
      <c r="Q121">
        <v>204.14</v>
      </c>
      <c r="R121">
        <v>23.19</v>
      </c>
      <c r="S121">
        <v>17.37</v>
      </c>
      <c r="T121">
        <v>817.91</v>
      </c>
      <c r="U121">
        <v>0.75</v>
      </c>
      <c r="V121">
        <v>0.76</v>
      </c>
      <c r="W121">
        <v>1.1399999999999999</v>
      </c>
      <c r="X121">
        <v>0.05</v>
      </c>
      <c r="Y121">
        <v>1</v>
      </c>
      <c r="Z121">
        <v>10</v>
      </c>
    </row>
    <row r="122" spans="1:26" x14ac:dyDescent="0.3">
      <c r="A122">
        <v>120</v>
      </c>
      <c r="B122">
        <v>125</v>
      </c>
      <c r="C122" t="s">
        <v>26</v>
      </c>
      <c r="D122">
        <v>10.3279</v>
      </c>
      <c r="E122">
        <v>9.68</v>
      </c>
      <c r="F122">
        <v>6.74</v>
      </c>
      <c r="G122">
        <v>101.05</v>
      </c>
      <c r="H122">
        <v>1.84</v>
      </c>
      <c r="I122">
        <v>4</v>
      </c>
      <c r="J122">
        <v>300.11</v>
      </c>
      <c r="K122">
        <v>58.47</v>
      </c>
      <c r="L122">
        <v>31</v>
      </c>
      <c r="M122">
        <v>2</v>
      </c>
      <c r="N122">
        <v>85.64</v>
      </c>
      <c r="O122">
        <v>37247.94</v>
      </c>
      <c r="P122">
        <v>98.16</v>
      </c>
      <c r="Q122">
        <v>204.14</v>
      </c>
      <c r="R122">
        <v>23.24</v>
      </c>
      <c r="S122">
        <v>17.37</v>
      </c>
      <c r="T122">
        <v>843.54</v>
      </c>
      <c r="U122">
        <v>0.75</v>
      </c>
      <c r="V122">
        <v>0.76</v>
      </c>
      <c r="W122">
        <v>1.1399999999999999</v>
      </c>
      <c r="X122">
        <v>0.05</v>
      </c>
      <c r="Y122">
        <v>1</v>
      </c>
      <c r="Z122">
        <v>10</v>
      </c>
    </row>
    <row r="123" spans="1:26" x14ac:dyDescent="0.3">
      <c r="A123">
        <v>121</v>
      </c>
      <c r="B123">
        <v>125</v>
      </c>
      <c r="C123" t="s">
        <v>26</v>
      </c>
      <c r="D123">
        <v>10.327</v>
      </c>
      <c r="E123">
        <v>9.68</v>
      </c>
      <c r="F123">
        <v>6.74</v>
      </c>
      <c r="G123">
        <v>101.06</v>
      </c>
      <c r="H123">
        <v>1.85</v>
      </c>
      <c r="I123">
        <v>4</v>
      </c>
      <c r="J123">
        <v>300.64</v>
      </c>
      <c r="K123">
        <v>58.47</v>
      </c>
      <c r="L123">
        <v>31.25</v>
      </c>
      <c r="M123">
        <v>2</v>
      </c>
      <c r="N123">
        <v>85.91</v>
      </c>
      <c r="O123">
        <v>37312.879999999997</v>
      </c>
      <c r="P123">
        <v>97.98</v>
      </c>
      <c r="Q123">
        <v>204.14</v>
      </c>
      <c r="R123">
        <v>23.25</v>
      </c>
      <c r="S123">
        <v>17.37</v>
      </c>
      <c r="T123">
        <v>846.02</v>
      </c>
      <c r="U123">
        <v>0.75</v>
      </c>
      <c r="V123">
        <v>0.76</v>
      </c>
      <c r="W123">
        <v>1.1399999999999999</v>
      </c>
      <c r="X123">
        <v>0.05</v>
      </c>
      <c r="Y123">
        <v>1</v>
      </c>
      <c r="Z123">
        <v>10</v>
      </c>
    </row>
    <row r="124" spans="1:26" x14ac:dyDescent="0.3">
      <c r="A124">
        <v>122</v>
      </c>
      <c r="B124">
        <v>125</v>
      </c>
      <c r="C124" t="s">
        <v>26</v>
      </c>
      <c r="D124">
        <v>10.3226</v>
      </c>
      <c r="E124">
        <v>9.69</v>
      </c>
      <c r="F124">
        <v>6.74</v>
      </c>
      <c r="G124">
        <v>101.12</v>
      </c>
      <c r="H124">
        <v>1.86</v>
      </c>
      <c r="I124">
        <v>4</v>
      </c>
      <c r="J124">
        <v>301.17</v>
      </c>
      <c r="K124">
        <v>58.47</v>
      </c>
      <c r="L124">
        <v>31.5</v>
      </c>
      <c r="M124">
        <v>2</v>
      </c>
      <c r="N124">
        <v>86.19</v>
      </c>
      <c r="O124">
        <v>37377.94</v>
      </c>
      <c r="P124">
        <v>97.87</v>
      </c>
      <c r="Q124">
        <v>204.14</v>
      </c>
      <c r="R124">
        <v>23.35</v>
      </c>
      <c r="S124">
        <v>17.37</v>
      </c>
      <c r="T124">
        <v>897.9</v>
      </c>
      <c r="U124">
        <v>0.74</v>
      </c>
      <c r="V124">
        <v>0.76</v>
      </c>
      <c r="W124">
        <v>1.1399999999999999</v>
      </c>
      <c r="X124">
        <v>0.05</v>
      </c>
      <c r="Y124">
        <v>1</v>
      </c>
      <c r="Z124">
        <v>10</v>
      </c>
    </row>
    <row r="125" spans="1:26" x14ac:dyDescent="0.3">
      <c r="A125">
        <v>123</v>
      </c>
      <c r="B125">
        <v>125</v>
      </c>
      <c r="C125" t="s">
        <v>26</v>
      </c>
      <c r="D125">
        <v>10.324400000000001</v>
      </c>
      <c r="E125">
        <v>9.69</v>
      </c>
      <c r="F125">
        <v>6.74</v>
      </c>
      <c r="G125">
        <v>101.1</v>
      </c>
      <c r="H125">
        <v>1.87</v>
      </c>
      <c r="I125">
        <v>4</v>
      </c>
      <c r="J125">
        <v>301.69</v>
      </c>
      <c r="K125">
        <v>58.47</v>
      </c>
      <c r="L125">
        <v>31.75</v>
      </c>
      <c r="M125">
        <v>2</v>
      </c>
      <c r="N125">
        <v>86.47</v>
      </c>
      <c r="O125">
        <v>37443.11</v>
      </c>
      <c r="P125">
        <v>97.44</v>
      </c>
      <c r="Q125">
        <v>204.15</v>
      </c>
      <c r="R125">
        <v>23.39</v>
      </c>
      <c r="S125">
        <v>17.37</v>
      </c>
      <c r="T125">
        <v>919.7</v>
      </c>
      <c r="U125">
        <v>0.74</v>
      </c>
      <c r="V125">
        <v>0.76</v>
      </c>
      <c r="W125">
        <v>1.1399999999999999</v>
      </c>
      <c r="X125">
        <v>0.05</v>
      </c>
      <c r="Y125">
        <v>1</v>
      </c>
      <c r="Z125">
        <v>10</v>
      </c>
    </row>
    <row r="126" spans="1:26" x14ac:dyDescent="0.3">
      <c r="A126">
        <v>124</v>
      </c>
      <c r="B126">
        <v>125</v>
      </c>
      <c r="C126" t="s">
        <v>26</v>
      </c>
      <c r="D126">
        <v>10.3232</v>
      </c>
      <c r="E126">
        <v>9.69</v>
      </c>
      <c r="F126">
        <v>6.74</v>
      </c>
      <c r="G126">
        <v>101.12</v>
      </c>
      <c r="H126">
        <v>1.89</v>
      </c>
      <c r="I126">
        <v>4</v>
      </c>
      <c r="J126">
        <v>302.22000000000003</v>
      </c>
      <c r="K126">
        <v>58.47</v>
      </c>
      <c r="L126">
        <v>32</v>
      </c>
      <c r="M126">
        <v>2</v>
      </c>
      <c r="N126">
        <v>86.75</v>
      </c>
      <c r="O126">
        <v>37508.410000000003</v>
      </c>
      <c r="P126">
        <v>97.35</v>
      </c>
      <c r="Q126">
        <v>204.14</v>
      </c>
      <c r="R126">
        <v>23.39</v>
      </c>
      <c r="S126">
        <v>17.37</v>
      </c>
      <c r="T126">
        <v>917.88</v>
      </c>
      <c r="U126">
        <v>0.74</v>
      </c>
      <c r="V126">
        <v>0.76</v>
      </c>
      <c r="W126">
        <v>1.1399999999999999</v>
      </c>
      <c r="X126">
        <v>0.05</v>
      </c>
      <c r="Y126">
        <v>1</v>
      </c>
      <c r="Z126">
        <v>10</v>
      </c>
    </row>
    <row r="127" spans="1:26" x14ac:dyDescent="0.3">
      <c r="A127">
        <v>125</v>
      </c>
      <c r="B127">
        <v>125</v>
      </c>
      <c r="C127" t="s">
        <v>26</v>
      </c>
      <c r="D127">
        <v>10.324400000000001</v>
      </c>
      <c r="E127">
        <v>9.69</v>
      </c>
      <c r="F127">
        <v>6.74</v>
      </c>
      <c r="G127">
        <v>101.1</v>
      </c>
      <c r="H127">
        <v>1.9</v>
      </c>
      <c r="I127">
        <v>4</v>
      </c>
      <c r="J127">
        <v>302.75</v>
      </c>
      <c r="K127">
        <v>58.47</v>
      </c>
      <c r="L127">
        <v>32.25</v>
      </c>
      <c r="M127">
        <v>2</v>
      </c>
      <c r="N127">
        <v>87.03</v>
      </c>
      <c r="O127">
        <v>37573.82</v>
      </c>
      <c r="P127">
        <v>97.09</v>
      </c>
      <c r="Q127">
        <v>204.14</v>
      </c>
      <c r="R127">
        <v>23.25</v>
      </c>
      <c r="S127">
        <v>17.37</v>
      </c>
      <c r="T127">
        <v>845.95</v>
      </c>
      <c r="U127">
        <v>0.75</v>
      </c>
      <c r="V127">
        <v>0.76</v>
      </c>
      <c r="W127">
        <v>1.1399999999999999</v>
      </c>
      <c r="X127">
        <v>0.05</v>
      </c>
      <c r="Y127">
        <v>1</v>
      </c>
      <c r="Z127">
        <v>10</v>
      </c>
    </row>
    <row r="128" spans="1:26" x14ac:dyDescent="0.3">
      <c r="A128">
        <v>126</v>
      </c>
      <c r="B128">
        <v>125</v>
      </c>
      <c r="C128" t="s">
        <v>26</v>
      </c>
      <c r="D128">
        <v>10.3261</v>
      </c>
      <c r="E128">
        <v>9.68</v>
      </c>
      <c r="F128">
        <v>6.74</v>
      </c>
      <c r="G128">
        <v>101.08</v>
      </c>
      <c r="H128">
        <v>1.91</v>
      </c>
      <c r="I128">
        <v>4</v>
      </c>
      <c r="J128">
        <v>303.27999999999997</v>
      </c>
      <c r="K128">
        <v>58.47</v>
      </c>
      <c r="L128">
        <v>32.5</v>
      </c>
      <c r="M128">
        <v>2</v>
      </c>
      <c r="N128">
        <v>87.31</v>
      </c>
      <c r="O128">
        <v>37639.360000000001</v>
      </c>
      <c r="P128">
        <v>96.95</v>
      </c>
      <c r="Q128">
        <v>204.14</v>
      </c>
      <c r="R128">
        <v>23.29</v>
      </c>
      <c r="S128">
        <v>17.37</v>
      </c>
      <c r="T128">
        <v>868.17</v>
      </c>
      <c r="U128">
        <v>0.75</v>
      </c>
      <c r="V128">
        <v>0.76</v>
      </c>
      <c r="W128">
        <v>1.1399999999999999</v>
      </c>
      <c r="X128">
        <v>0.05</v>
      </c>
      <c r="Y128">
        <v>1</v>
      </c>
      <c r="Z128">
        <v>10</v>
      </c>
    </row>
    <row r="129" spans="1:26" x14ac:dyDescent="0.3">
      <c r="A129">
        <v>127</v>
      </c>
      <c r="B129">
        <v>125</v>
      </c>
      <c r="C129" t="s">
        <v>26</v>
      </c>
      <c r="D129">
        <v>10.3241</v>
      </c>
      <c r="E129">
        <v>9.69</v>
      </c>
      <c r="F129">
        <v>6.74</v>
      </c>
      <c r="G129">
        <v>101.1</v>
      </c>
      <c r="H129">
        <v>1.92</v>
      </c>
      <c r="I129">
        <v>4</v>
      </c>
      <c r="J129">
        <v>303.82</v>
      </c>
      <c r="K129">
        <v>58.47</v>
      </c>
      <c r="L129">
        <v>32.75</v>
      </c>
      <c r="M129">
        <v>2</v>
      </c>
      <c r="N129">
        <v>87.59</v>
      </c>
      <c r="O129">
        <v>37705.01</v>
      </c>
      <c r="P129">
        <v>96.83</v>
      </c>
      <c r="Q129">
        <v>204.14</v>
      </c>
      <c r="R129">
        <v>23.29</v>
      </c>
      <c r="S129">
        <v>17.37</v>
      </c>
      <c r="T129">
        <v>868.62</v>
      </c>
      <c r="U129">
        <v>0.75</v>
      </c>
      <c r="V129">
        <v>0.76</v>
      </c>
      <c r="W129">
        <v>1.1399999999999999</v>
      </c>
      <c r="X129">
        <v>0.05</v>
      </c>
      <c r="Y129">
        <v>1</v>
      </c>
      <c r="Z129">
        <v>10</v>
      </c>
    </row>
    <row r="130" spans="1:26" x14ac:dyDescent="0.3">
      <c r="A130">
        <v>128</v>
      </c>
      <c r="B130">
        <v>125</v>
      </c>
      <c r="C130" t="s">
        <v>26</v>
      </c>
      <c r="D130">
        <v>10.3261</v>
      </c>
      <c r="E130">
        <v>9.68</v>
      </c>
      <c r="F130">
        <v>6.74</v>
      </c>
      <c r="G130">
        <v>101.08</v>
      </c>
      <c r="H130">
        <v>1.93</v>
      </c>
      <c r="I130">
        <v>4</v>
      </c>
      <c r="J130">
        <v>304.35000000000002</v>
      </c>
      <c r="K130">
        <v>58.47</v>
      </c>
      <c r="L130">
        <v>33</v>
      </c>
      <c r="M130">
        <v>2</v>
      </c>
      <c r="N130">
        <v>87.88</v>
      </c>
      <c r="O130">
        <v>37770.79</v>
      </c>
      <c r="P130">
        <v>96.55</v>
      </c>
      <c r="Q130">
        <v>204.14</v>
      </c>
      <c r="R130">
        <v>23.3</v>
      </c>
      <c r="S130">
        <v>17.37</v>
      </c>
      <c r="T130">
        <v>873.61</v>
      </c>
      <c r="U130">
        <v>0.75</v>
      </c>
      <c r="V130">
        <v>0.76</v>
      </c>
      <c r="W130">
        <v>1.1399999999999999</v>
      </c>
      <c r="X130">
        <v>0.05</v>
      </c>
      <c r="Y130">
        <v>1</v>
      </c>
      <c r="Z130">
        <v>10</v>
      </c>
    </row>
    <row r="131" spans="1:26" x14ac:dyDescent="0.3">
      <c r="A131">
        <v>129</v>
      </c>
      <c r="B131">
        <v>125</v>
      </c>
      <c r="C131" t="s">
        <v>26</v>
      </c>
      <c r="D131">
        <v>10.3232</v>
      </c>
      <c r="E131">
        <v>9.69</v>
      </c>
      <c r="F131">
        <v>6.74</v>
      </c>
      <c r="G131">
        <v>101.12</v>
      </c>
      <c r="H131">
        <v>1.94</v>
      </c>
      <c r="I131">
        <v>4</v>
      </c>
      <c r="J131">
        <v>304.88</v>
      </c>
      <c r="K131">
        <v>58.47</v>
      </c>
      <c r="L131">
        <v>33.25</v>
      </c>
      <c r="M131">
        <v>2</v>
      </c>
      <c r="N131">
        <v>88.16</v>
      </c>
      <c r="O131">
        <v>37836.69</v>
      </c>
      <c r="P131">
        <v>96.28</v>
      </c>
      <c r="Q131">
        <v>204.14</v>
      </c>
      <c r="R131">
        <v>23.37</v>
      </c>
      <c r="S131">
        <v>17.37</v>
      </c>
      <c r="T131">
        <v>905.45</v>
      </c>
      <c r="U131">
        <v>0.74</v>
      </c>
      <c r="V131">
        <v>0.76</v>
      </c>
      <c r="W131">
        <v>1.1399999999999999</v>
      </c>
      <c r="X131">
        <v>0.05</v>
      </c>
      <c r="Y131">
        <v>1</v>
      </c>
      <c r="Z131">
        <v>10</v>
      </c>
    </row>
    <row r="132" spans="1:26" x14ac:dyDescent="0.3">
      <c r="A132">
        <v>130</v>
      </c>
      <c r="B132">
        <v>125</v>
      </c>
      <c r="C132" t="s">
        <v>26</v>
      </c>
      <c r="D132">
        <v>10.322900000000001</v>
      </c>
      <c r="E132">
        <v>9.69</v>
      </c>
      <c r="F132">
        <v>6.74</v>
      </c>
      <c r="G132">
        <v>101.12</v>
      </c>
      <c r="H132">
        <v>1.95</v>
      </c>
      <c r="I132">
        <v>4</v>
      </c>
      <c r="J132">
        <v>305.42</v>
      </c>
      <c r="K132">
        <v>58.47</v>
      </c>
      <c r="L132">
        <v>33.5</v>
      </c>
      <c r="M132">
        <v>2</v>
      </c>
      <c r="N132">
        <v>88.45</v>
      </c>
      <c r="O132">
        <v>37902.71</v>
      </c>
      <c r="P132">
        <v>95.88</v>
      </c>
      <c r="Q132">
        <v>204.14</v>
      </c>
      <c r="R132">
        <v>23.43</v>
      </c>
      <c r="S132">
        <v>17.37</v>
      </c>
      <c r="T132">
        <v>935.83</v>
      </c>
      <c r="U132">
        <v>0.74</v>
      </c>
      <c r="V132">
        <v>0.76</v>
      </c>
      <c r="W132">
        <v>1.1399999999999999</v>
      </c>
      <c r="X132">
        <v>0.05</v>
      </c>
      <c r="Y132">
        <v>1</v>
      </c>
      <c r="Z132">
        <v>10</v>
      </c>
    </row>
    <row r="133" spans="1:26" x14ac:dyDescent="0.3">
      <c r="A133">
        <v>131</v>
      </c>
      <c r="B133">
        <v>125</v>
      </c>
      <c r="C133" t="s">
        <v>26</v>
      </c>
      <c r="D133">
        <v>10.3249</v>
      </c>
      <c r="E133">
        <v>9.69</v>
      </c>
      <c r="F133">
        <v>6.74</v>
      </c>
      <c r="G133">
        <v>101.09</v>
      </c>
      <c r="H133">
        <v>1.97</v>
      </c>
      <c r="I133">
        <v>4</v>
      </c>
      <c r="J133">
        <v>305.95999999999998</v>
      </c>
      <c r="K133">
        <v>58.47</v>
      </c>
      <c r="L133">
        <v>33.75</v>
      </c>
      <c r="M133">
        <v>2</v>
      </c>
      <c r="N133">
        <v>88.73</v>
      </c>
      <c r="O133">
        <v>37968.85</v>
      </c>
      <c r="P133">
        <v>95.6</v>
      </c>
      <c r="Q133">
        <v>204.14</v>
      </c>
      <c r="R133">
        <v>23.33</v>
      </c>
      <c r="S133">
        <v>17.37</v>
      </c>
      <c r="T133">
        <v>885.98</v>
      </c>
      <c r="U133">
        <v>0.74</v>
      </c>
      <c r="V133">
        <v>0.76</v>
      </c>
      <c r="W133">
        <v>1.1399999999999999</v>
      </c>
      <c r="X133">
        <v>0.05</v>
      </c>
      <c r="Y133">
        <v>1</v>
      </c>
      <c r="Z133">
        <v>10</v>
      </c>
    </row>
    <row r="134" spans="1:26" x14ac:dyDescent="0.3">
      <c r="A134">
        <v>132</v>
      </c>
      <c r="B134">
        <v>125</v>
      </c>
      <c r="C134" t="s">
        <v>26</v>
      </c>
      <c r="D134">
        <v>10.401300000000001</v>
      </c>
      <c r="E134">
        <v>9.61</v>
      </c>
      <c r="F134">
        <v>6.72</v>
      </c>
      <c r="G134">
        <v>134.31</v>
      </c>
      <c r="H134">
        <v>1.98</v>
      </c>
      <c r="I134">
        <v>3</v>
      </c>
      <c r="J134">
        <v>306.49</v>
      </c>
      <c r="K134">
        <v>58.47</v>
      </c>
      <c r="L134">
        <v>34</v>
      </c>
      <c r="M134">
        <v>1</v>
      </c>
      <c r="N134">
        <v>89.02</v>
      </c>
      <c r="O134">
        <v>38035.120000000003</v>
      </c>
      <c r="P134">
        <v>94.81</v>
      </c>
      <c r="Q134">
        <v>204.14</v>
      </c>
      <c r="R134">
        <v>22.58</v>
      </c>
      <c r="S134">
        <v>17.37</v>
      </c>
      <c r="T134">
        <v>518.59</v>
      </c>
      <c r="U134">
        <v>0.77</v>
      </c>
      <c r="V134">
        <v>0.76</v>
      </c>
      <c r="W134">
        <v>1.1399999999999999</v>
      </c>
      <c r="X134">
        <v>0.02</v>
      </c>
      <c r="Y134">
        <v>1</v>
      </c>
      <c r="Z134">
        <v>10</v>
      </c>
    </row>
    <row r="135" spans="1:26" x14ac:dyDescent="0.3">
      <c r="A135">
        <v>133</v>
      </c>
      <c r="B135">
        <v>125</v>
      </c>
      <c r="C135" t="s">
        <v>26</v>
      </c>
      <c r="D135">
        <v>10.398</v>
      </c>
      <c r="E135">
        <v>9.6199999999999992</v>
      </c>
      <c r="F135">
        <v>6.72</v>
      </c>
      <c r="G135">
        <v>134.37</v>
      </c>
      <c r="H135">
        <v>1.99</v>
      </c>
      <c r="I135">
        <v>3</v>
      </c>
      <c r="J135">
        <v>307.02999999999997</v>
      </c>
      <c r="K135">
        <v>58.47</v>
      </c>
      <c r="L135">
        <v>34.25</v>
      </c>
      <c r="M135">
        <v>1</v>
      </c>
      <c r="N135">
        <v>89.31</v>
      </c>
      <c r="O135">
        <v>38101.519999999997</v>
      </c>
      <c r="P135">
        <v>95.21</v>
      </c>
      <c r="Q135">
        <v>204.14</v>
      </c>
      <c r="R135">
        <v>22.62</v>
      </c>
      <c r="S135">
        <v>17.37</v>
      </c>
      <c r="T135">
        <v>539.65</v>
      </c>
      <c r="U135">
        <v>0.77</v>
      </c>
      <c r="V135">
        <v>0.76</v>
      </c>
      <c r="W135">
        <v>1.1399999999999999</v>
      </c>
      <c r="X135">
        <v>0.03</v>
      </c>
      <c r="Y135">
        <v>1</v>
      </c>
      <c r="Z135">
        <v>10</v>
      </c>
    </row>
    <row r="136" spans="1:26" x14ac:dyDescent="0.3">
      <c r="A136">
        <v>134</v>
      </c>
      <c r="B136">
        <v>125</v>
      </c>
      <c r="C136" t="s">
        <v>26</v>
      </c>
      <c r="D136">
        <v>10.398</v>
      </c>
      <c r="E136">
        <v>9.6199999999999992</v>
      </c>
      <c r="F136">
        <v>6.72</v>
      </c>
      <c r="G136">
        <v>134.37</v>
      </c>
      <c r="H136">
        <v>2</v>
      </c>
      <c r="I136">
        <v>3</v>
      </c>
      <c r="J136">
        <v>307.57</v>
      </c>
      <c r="K136">
        <v>58.47</v>
      </c>
      <c r="L136">
        <v>34.5</v>
      </c>
      <c r="M136">
        <v>1</v>
      </c>
      <c r="N136">
        <v>89.6</v>
      </c>
      <c r="O136">
        <v>38168.04</v>
      </c>
      <c r="P136">
        <v>95.33</v>
      </c>
      <c r="Q136">
        <v>204.14</v>
      </c>
      <c r="R136">
        <v>22.66</v>
      </c>
      <c r="S136">
        <v>17.37</v>
      </c>
      <c r="T136">
        <v>557.16999999999996</v>
      </c>
      <c r="U136">
        <v>0.77</v>
      </c>
      <c r="V136">
        <v>0.76</v>
      </c>
      <c r="W136">
        <v>1.1399999999999999</v>
      </c>
      <c r="X136">
        <v>0.03</v>
      </c>
      <c r="Y136">
        <v>1</v>
      </c>
      <c r="Z136">
        <v>10</v>
      </c>
    </row>
    <row r="137" spans="1:26" x14ac:dyDescent="0.3">
      <c r="A137">
        <v>135</v>
      </c>
      <c r="B137">
        <v>125</v>
      </c>
      <c r="C137" t="s">
        <v>26</v>
      </c>
      <c r="D137">
        <v>10.397399999999999</v>
      </c>
      <c r="E137">
        <v>9.6199999999999992</v>
      </c>
      <c r="F137">
        <v>6.72</v>
      </c>
      <c r="G137">
        <v>134.38</v>
      </c>
      <c r="H137">
        <v>2.0099999999999998</v>
      </c>
      <c r="I137">
        <v>3</v>
      </c>
      <c r="J137">
        <v>308.11</v>
      </c>
      <c r="K137">
        <v>58.47</v>
      </c>
      <c r="L137">
        <v>34.75</v>
      </c>
      <c r="M137">
        <v>1</v>
      </c>
      <c r="N137">
        <v>89.89</v>
      </c>
      <c r="O137">
        <v>38234.68</v>
      </c>
      <c r="P137">
        <v>95.65</v>
      </c>
      <c r="Q137">
        <v>204.14</v>
      </c>
      <c r="R137">
        <v>22.68</v>
      </c>
      <c r="S137">
        <v>17.37</v>
      </c>
      <c r="T137">
        <v>566.37</v>
      </c>
      <c r="U137">
        <v>0.77</v>
      </c>
      <c r="V137">
        <v>0.76</v>
      </c>
      <c r="W137">
        <v>1.1399999999999999</v>
      </c>
      <c r="X137">
        <v>0.03</v>
      </c>
      <c r="Y137">
        <v>1</v>
      </c>
      <c r="Z137">
        <v>10</v>
      </c>
    </row>
    <row r="138" spans="1:26" x14ac:dyDescent="0.3">
      <c r="A138">
        <v>136</v>
      </c>
      <c r="B138">
        <v>125</v>
      </c>
      <c r="C138" t="s">
        <v>26</v>
      </c>
      <c r="D138">
        <v>10.398</v>
      </c>
      <c r="E138">
        <v>9.6199999999999992</v>
      </c>
      <c r="F138">
        <v>6.72</v>
      </c>
      <c r="G138">
        <v>134.37</v>
      </c>
      <c r="H138">
        <v>2.02</v>
      </c>
      <c r="I138">
        <v>3</v>
      </c>
      <c r="J138">
        <v>308.64999999999998</v>
      </c>
      <c r="K138">
        <v>58.47</v>
      </c>
      <c r="L138">
        <v>35</v>
      </c>
      <c r="M138">
        <v>1</v>
      </c>
      <c r="N138">
        <v>90.18</v>
      </c>
      <c r="O138">
        <v>38301.46</v>
      </c>
      <c r="P138">
        <v>95.72</v>
      </c>
      <c r="Q138">
        <v>204.14</v>
      </c>
      <c r="R138">
        <v>22.68</v>
      </c>
      <c r="S138">
        <v>17.37</v>
      </c>
      <c r="T138">
        <v>565.99</v>
      </c>
      <c r="U138">
        <v>0.77</v>
      </c>
      <c r="V138">
        <v>0.76</v>
      </c>
      <c r="W138">
        <v>1.1399999999999999</v>
      </c>
      <c r="X138">
        <v>0.03</v>
      </c>
      <c r="Y138">
        <v>1</v>
      </c>
      <c r="Z138">
        <v>10</v>
      </c>
    </row>
    <row r="139" spans="1:26" x14ac:dyDescent="0.3">
      <c r="A139">
        <v>137</v>
      </c>
      <c r="B139">
        <v>125</v>
      </c>
      <c r="C139" t="s">
        <v>26</v>
      </c>
      <c r="D139">
        <v>10.3992</v>
      </c>
      <c r="E139">
        <v>9.6199999999999992</v>
      </c>
      <c r="F139">
        <v>6.72</v>
      </c>
      <c r="G139">
        <v>134.35</v>
      </c>
      <c r="H139">
        <v>2.0299999999999998</v>
      </c>
      <c r="I139">
        <v>3</v>
      </c>
      <c r="J139">
        <v>309.2</v>
      </c>
      <c r="K139">
        <v>58.47</v>
      </c>
      <c r="L139">
        <v>35.25</v>
      </c>
      <c r="M139">
        <v>1</v>
      </c>
      <c r="N139">
        <v>90.47</v>
      </c>
      <c r="O139">
        <v>38368.36</v>
      </c>
      <c r="P139">
        <v>95.75</v>
      </c>
      <c r="Q139">
        <v>204.14</v>
      </c>
      <c r="R139">
        <v>22.65</v>
      </c>
      <c r="S139">
        <v>17.37</v>
      </c>
      <c r="T139">
        <v>551.76</v>
      </c>
      <c r="U139">
        <v>0.77</v>
      </c>
      <c r="V139">
        <v>0.76</v>
      </c>
      <c r="W139">
        <v>1.1399999999999999</v>
      </c>
      <c r="X139">
        <v>0.03</v>
      </c>
      <c r="Y139">
        <v>1</v>
      </c>
      <c r="Z139">
        <v>10</v>
      </c>
    </row>
    <row r="140" spans="1:26" x14ac:dyDescent="0.3">
      <c r="A140">
        <v>138</v>
      </c>
      <c r="B140">
        <v>125</v>
      </c>
      <c r="C140" t="s">
        <v>26</v>
      </c>
      <c r="D140">
        <v>10.3995</v>
      </c>
      <c r="E140">
        <v>9.6199999999999992</v>
      </c>
      <c r="F140">
        <v>6.72</v>
      </c>
      <c r="G140">
        <v>134.34</v>
      </c>
      <c r="H140">
        <v>2.04</v>
      </c>
      <c r="I140">
        <v>3</v>
      </c>
      <c r="J140">
        <v>309.74</v>
      </c>
      <c r="K140">
        <v>58.47</v>
      </c>
      <c r="L140">
        <v>35.5</v>
      </c>
      <c r="M140">
        <v>1</v>
      </c>
      <c r="N140">
        <v>90.77</v>
      </c>
      <c r="O140">
        <v>38435.39</v>
      </c>
      <c r="P140">
        <v>96.06</v>
      </c>
      <c r="Q140">
        <v>204.14</v>
      </c>
      <c r="R140">
        <v>22.59</v>
      </c>
      <c r="S140">
        <v>17.37</v>
      </c>
      <c r="T140">
        <v>523.17999999999995</v>
      </c>
      <c r="U140">
        <v>0.77</v>
      </c>
      <c r="V140">
        <v>0.76</v>
      </c>
      <c r="W140">
        <v>1.1399999999999999</v>
      </c>
      <c r="X140">
        <v>0.03</v>
      </c>
      <c r="Y140">
        <v>1</v>
      </c>
      <c r="Z140">
        <v>10</v>
      </c>
    </row>
    <row r="141" spans="1:26" x14ac:dyDescent="0.3">
      <c r="A141">
        <v>139</v>
      </c>
      <c r="B141">
        <v>125</v>
      </c>
      <c r="C141" t="s">
        <v>26</v>
      </c>
      <c r="D141">
        <v>10.3995</v>
      </c>
      <c r="E141">
        <v>9.6199999999999992</v>
      </c>
      <c r="F141">
        <v>6.72</v>
      </c>
      <c r="G141">
        <v>134.34</v>
      </c>
      <c r="H141">
        <v>2.0499999999999998</v>
      </c>
      <c r="I141">
        <v>3</v>
      </c>
      <c r="J141">
        <v>310.27999999999997</v>
      </c>
      <c r="K141">
        <v>58.47</v>
      </c>
      <c r="L141">
        <v>35.75</v>
      </c>
      <c r="M141">
        <v>1</v>
      </c>
      <c r="N141">
        <v>91.06</v>
      </c>
      <c r="O141">
        <v>38502.550000000003</v>
      </c>
      <c r="P141">
        <v>96.16</v>
      </c>
      <c r="Q141">
        <v>204.14</v>
      </c>
      <c r="R141">
        <v>22.63</v>
      </c>
      <c r="S141">
        <v>17.37</v>
      </c>
      <c r="T141">
        <v>540.92999999999995</v>
      </c>
      <c r="U141">
        <v>0.77</v>
      </c>
      <c r="V141">
        <v>0.76</v>
      </c>
      <c r="W141">
        <v>1.1399999999999999</v>
      </c>
      <c r="X141">
        <v>0.03</v>
      </c>
      <c r="Y141">
        <v>1</v>
      </c>
      <c r="Z141">
        <v>10</v>
      </c>
    </row>
    <row r="142" spans="1:26" x14ac:dyDescent="0.3">
      <c r="A142">
        <v>140</v>
      </c>
      <c r="B142">
        <v>125</v>
      </c>
      <c r="C142" t="s">
        <v>26</v>
      </c>
      <c r="D142">
        <v>10.396800000000001</v>
      </c>
      <c r="E142">
        <v>9.6199999999999992</v>
      </c>
      <c r="F142">
        <v>6.72</v>
      </c>
      <c r="G142">
        <v>134.38999999999999</v>
      </c>
      <c r="H142">
        <v>2.06</v>
      </c>
      <c r="I142">
        <v>3</v>
      </c>
      <c r="J142">
        <v>310.83</v>
      </c>
      <c r="K142">
        <v>58.47</v>
      </c>
      <c r="L142">
        <v>36</v>
      </c>
      <c r="M142">
        <v>1</v>
      </c>
      <c r="N142">
        <v>91.36</v>
      </c>
      <c r="O142">
        <v>38569.839999999997</v>
      </c>
      <c r="P142">
        <v>96.26</v>
      </c>
      <c r="Q142">
        <v>204.14</v>
      </c>
      <c r="R142">
        <v>22.73</v>
      </c>
      <c r="S142">
        <v>17.37</v>
      </c>
      <c r="T142">
        <v>590.89</v>
      </c>
      <c r="U142">
        <v>0.76</v>
      </c>
      <c r="V142">
        <v>0.76</v>
      </c>
      <c r="W142">
        <v>1.1399999999999999</v>
      </c>
      <c r="X142">
        <v>0.03</v>
      </c>
      <c r="Y142">
        <v>1</v>
      </c>
      <c r="Z142">
        <v>10</v>
      </c>
    </row>
    <row r="143" spans="1:26" x14ac:dyDescent="0.3">
      <c r="A143">
        <v>141</v>
      </c>
      <c r="B143">
        <v>125</v>
      </c>
      <c r="C143" t="s">
        <v>26</v>
      </c>
      <c r="D143">
        <v>10.3956</v>
      </c>
      <c r="E143">
        <v>9.6199999999999992</v>
      </c>
      <c r="F143">
        <v>6.72</v>
      </c>
      <c r="G143">
        <v>134.41999999999999</v>
      </c>
      <c r="H143">
        <v>2.0699999999999998</v>
      </c>
      <c r="I143">
        <v>3</v>
      </c>
      <c r="J143">
        <v>311.38</v>
      </c>
      <c r="K143">
        <v>58.47</v>
      </c>
      <c r="L143">
        <v>36.25</v>
      </c>
      <c r="M143">
        <v>1</v>
      </c>
      <c r="N143">
        <v>91.65</v>
      </c>
      <c r="O143">
        <v>38637.26</v>
      </c>
      <c r="P143">
        <v>96.31</v>
      </c>
      <c r="Q143">
        <v>204.14</v>
      </c>
      <c r="R143">
        <v>22.76</v>
      </c>
      <c r="S143">
        <v>17.37</v>
      </c>
      <c r="T143">
        <v>609.59</v>
      </c>
      <c r="U143">
        <v>0.76</v>
      </c>
      <c r="V143">
        <v>0.76</v>
      </c>
      <c r="W143">
        <v>1.1399999999999999</v>
      </c>
      <c r="X143">
        <v>0.03</v>
      </c>
      <c r="Y143">
        <v>1</v>
      </c>
      <c r="Z143">
        <v>10</v>
      </c>
    </row>
    <row r="144" spans="1:26" x14ac:dyDescent="0.3">
      <c r="A144">
        <v>142</v>
      </c>
      <c r="B144">
        <v>125</v>
      </c>
      <c r="C144" t="s">
        <v>26</v>
      </c>
      <c r="D144">
        <v>10.397399999999999</v>
      </c>
      <c r="E144">
        <v>9.6199999999999992</v>
      </c>
      <c r="F144">
        <v>6.72</v>
      </c>
      <c r="G144">
        <v>134.38</v>
      </c>
      <c r="H144">
        <v>2.08</v>
      </c>
      <c r="I144">
        <v>3</v>
      </c>
      <c r="J144">
        <v>311.92</v>
      </c>
      <c r="K144">
        <v>58.47</v>
      </c>
      <c r="L144">
        <v>36.5</v>
      </c>
      <c r="M144">
        <v>1</v>
      </c>
      <c r="N144">
        <v>91.95</v>
      </c>
      <c r="O144">
        <v>38704.93</v>
      </c>
      <c r="P144">
        <v>96.34</v>
      </c>
      <c r="Q144">
        <v>204.14</v>
      </c>
      <c r="R144">
        <v>22.69</v>
      </c>
      <c r="S144">
        <v>17.37</v>
      </c>
      <c r="T144">
        <v>572.73</v>
      </c>
      <c r="U144">
        <v>0.77</v>
      </c>
      <c r="V144">
        <v>0.76</v>
      </c>
      <c r="W144">
        <v>1.1399999999999999</v>
      </c>
      <c r="X144">
        <v>0.03</v>
      </c>
      <c r="Y144">
        <v>1</v>
      </c>
      <c r="Z144">
        <v>10</v>
      </c>
    </row>
    <row r="145" spans="1:26" x14ac:dyDescent="0.3">
      <c r="A145">
        <v>143</v>
      </c>
      <c r="B145">
        <v>125</v>
      </c>
      <c r="C145" t="s">
        <v>26</v>
      </c>
      <c r="D145">
        <v>10.3956</v>
      </c>
      <c r="E145">
        <v>9.6199999999999992</v>
      </c>
      <c r="F145">
        <v>6.72</v>
      </c>
      <c r="G145">
        <v>134.41999999999999</v>
      </c>
      <c r="H145">
        <v>2.1</v>
      </c>
      <c r="I145">
        <v>3</v>
      </c>
      <c r="J145">
        <v>312.47000000000003</v>
      </c>
      <c r="K145">
        <v>58.47</v>
      </c>
      <c r="L145">
        <v>36.75</v>
      </c>
      <c r="M145">
        <v>1</v>
      </c>
      <c r="N145">
        <v>92.25</v>
      </c>
      <c r="O145">
        <v>38772.620000000003</v>
      </c>
      <c r="P145">
        <v>96.43</v>
      </c>
      <c r="Q145">
        <v>204.14</v>
      </c>
      <c r="R145">
        <v>22.74</v>
      </c>
      <c r="S145">
        <v>17.37</v>
      </c>
      <c r="T145">
        <v>596.44000000000005</v>
      </c>
      <c r="U145">
        <v>0.76</v>
      </c>
      <c r="V145">
        <v>0.76</v>
      </c>
      <c r="W145">
        <v>1.1399999999999999</v>
      </c>
      <c r="X145">
        <v>0.03</v>
      </c>
      <c r="Y145">
        <v>1</v>
      </c>
      <c r="Z145">
        <v>10</v>
      </c>
    </row>
    <row r="146" spans="1:26" x14ac:dyDescent="0.3">
      <c r="A146">
        <v>144</v>
      </c>
      <c r="B146">
        <v>125</v>
      </c>
      <c r="C146" t="s">
        <v>26</v>
      </c>
      <c r="D146">
        <v>10.395300000000001</v>
      </c>
      <c r="E146">
        <v>9.6199999999999992</v>
      </c>
      <c r="F146">
        <v>6.72</v>
      </c>
      <c r="G146">
        <v>134.41999999999999</v>
      </c>
      <c r="H146">
        <v>2.11</v>
      </c>
      <c r="I146">
        <v>3</v>
      </c>
      <c r="J146">
        <v>313.02</v>
      </c>
      <c r="K146">
        <v>58.47</v>
      </c>
      <c r="L146">
        <v>37</v>
      </c>
      <c r="M146">
        <v>1</v>
      </c>
      <c r="N146">
        <v>92.55</v>
      </c>
      <c r="O146">
        <v>38840.44</v>
      </c>
      <c r="P146">
        <v>96.57</v>
      </c>
      <c r="Q146">
        <v>204.14</v>
      </c>
      <c r="R146">
        <v>22.75</v>
      </c>
      <c r="S146">
        <v>17.37</v>
      </c>
      <c r="T146">
        <v>603.21</v>
      </c>
      <c r="U146">
        <v>0.76</v>
      </c>
      <c r="V146">
        <v>0.76</v>
      </c>
      <c r="W146">
        <v>1.1399999999999999</v>
      </c>
      <c r="X146">
        <v>0.03</v>
      </c>
      <c r="Y146">
        <v>1</v>
      </c>
      <c r="Z146">
        <v>10</v>
      </c>
    </row>
    <row r="147" spans="1:26" x14ac:dyDescent="0.3">
      <c r="A147">
        <v>145</v>
      </c>
      <c r="B147">
        <v>125</v>
      </c>
      <c r="C147" t="s">
        <v>26</v>
      </c>
      <c r="D147">
        <v>10.395300000000001</v>
      </c>
      <c r="E147">
        <v>9.6199999999999992</v>
      </c>
      <c r="F147">
        <v>6.72</v>
      </c>
      <c r="G147">
        <v>134.41999999999999</v>
      </c>
      <c r="H147">
        <v>2.12</v>
      </c>
      <c r="I147">
        <v>3</v>
      </c>
      <c r="J147">
        <v>313.57</v>
      </c>
      <c r="K147">
        <v>58.47</v>
      </c>
      <c r="L147">
        <v>37.25</v>
      </c>
      <c r="M147">
        <v>1</v>
      </c>
      <c r="N147">
        <v>92.85</v>
      </c>
      <c r="O147">
        <v>38908.39</v>
      </c>
      <c r="P147">
        <v>96.55</v>
      </c>
      <c r="Q147">
        <v>204.14</v>
      </c>
      <c r="R147">
        <v>22.75</v>
      </c>
      <c r="S147">
        <v>17.37</v>
      </c>
      <c r="T147">
        <v>600.80999999999995</v>
      </c>
      <c r="U147">
        <v>0.76</v>
      </c>
      <c r="V147">
        <v>0.76</v>
      </c>
      <c r="W147">
        <v>1.1399999999999999</v>
      </c>
      <c r="X147">
        <v>0.03</v>
      </c>
      <c r="Y147">
        <v>1</v>
      </c>
      <c r="Z147">
        <v>10</v>
      </c>
    </row>
    <row r="148" spans="1:26" x14ac:dyDescent="0.3">
      <c r="A148">
        <v>146</v>
      </c>
      <c r="B148">
        <v>125</v>
      </c>
      <c r="C148" t="s">
        <v>26</v>
      </c>
      <c r="D148">
        <v>10.3935</v>
      </c>
      <c r="E148">
        <v>9.6199999999999992</v>
      </c>
      <c r="F148">
        <v>6.72</v>
      </c>
      <c r="G148">
        <v>134.46</v>
      </c>
      <c r="H148">
        <v>2.13</v>
      </c>
      <c r="I148">
        <v>3</v>
      </c>
      <c r="J148">
        <v>314.13</v>
      </c>
      <c r="K148">
        <v>58.47</v>
      </c>
      <c r="L148">
        <v>37.5</v>
      </c>
      <c r="M148">
        <v>1</v>
      </c>
      <c r="N148">
        <v>93.15</v>
      </c>
      <c r="O148">
        <v>38976.480000000003</v>
      </c>
      <c r="P148">
        <v>96.67</v>
      </c>
      <c r="Q148">
        <v>204.14</v>
      </c>
      <c r="R148">
        <v>22.82</v>
      </c>
      <c r="S148">
        <v>17.37</v>
      </c>
      <c r="T148">
        <v>637.86</v>
      </c>
      <c r="U148">
        <v>0.76</v>
      </c>
      <c r="V148">
        <v>0.76</v>
      </c>
      <c r="W148">
        <v>1.1399999999999999</v>
      </c>
      <c r="X148">
        <v>0.03</v>
      </c>
      <c r="Y148">
        <v>1</v>
      </c>
      <c r="Z148">
        <v>10</v>
      </c>
    </row>
    <row r="149" spans="1:26" x14ac:dyDescent="0.3">
      <c r="A149">
        <v>147</v>
      </c>
      <c r="B149">
        <v>125</v>
      </c>
      <c r="C149" t="s">
        <v>26</v>
      </c>
      <c r="D149">
        <v>10.3947</v>
      </c>
      <c r="E149">
        <v>9.6199999999999992</v>
      </c>
      <c r="F149">
        <v>6.72</v>
      </c>
      <c r="G149">
        <v>134.43</v>
      </c>
      <c r="H149">
        <v>2.14</v>
      </c>
      <c r="I149">
        <v>3</v>
      </c>
      <c r="J149">
        <v>314.68</v>
      </c>
      <c r="K149">
        <v>58.47</v>
      </c>
      <c r="L149">
        <v>37.75</v>
      </c>
      <c r="M149">
        <v>1</v>
      </c>
      <c r="N149">
        <v>93.46</v>
      </c>
      <c r="O149">
        <v>39044.699999999997</v>
      </c>
      <c r="P149">
        <v>96.71</v>
      </c>
      <c r="Q149">
        <v>204.14</v>
      </c>
      <c r="R149">
        <v>22.8</v>
      </c>
      <c r="S149">
        <v>17.37</v>
      </c>
      <c r="T149">
        <v>624.88</v>
      </c>
      <c r="U149">
        <v>0.76</v>
      </c>
      <c r="V149">
        <v>0.76</v>
      </c>
      <c r="W149">
        <v>1.1399999999999999</v>
      </c>
      <c r="X149">
        <v>0.03</v>
      </c>
      <c r="Y149">
        <v>1</v>
      </c>
      <c r="Z149">
        <v>10</v>
      </c>
    </row>
    <row r="150" spans="1:26" x14ac:dyDescent="0.3">
      <c r="A150">
        <v>148</v>
      </c>
      <c r="B150">
        <v>125</v>
      </c>
      <c r="C150" t="s">
        <v>26</v>
      </c>
      <c r="D150">
        <v>10.395899999999999</v>
      </c>
      <c r="E150">
        <v>9.6199999999999992</v>
      </c>
      <c r="F150">
        <v>6.72</v>
      </c>
      <c r="G150">
        <v>134.41</v>
      </c>
      <c r="H150">
        <v>2.15</v>
      </c>
      <c r="I150">
        <v>3</v>
      </c>
      <c r="J150">
        <v>315.23</v>
      </c>
      <c r="K150">
        <v>58.47</v>
      </c>
      <c r="L150">
        <v>38</v>
      </c>
      <c r="M150">
        <v>1</v>
      </c>
      <c r="N150">
        <v>93.76</v>
      </c>
      <c r="O150">
        <v>39113.07</v>
      </c>
      <c r="P150">
        <v>96.67</v>
      </c>
      <c r="Q150">
        <v>204.14</v>
      </c>
      <c r="R150">
        <v>22.72</v>
      </c>
      <c r="S150">
        <v>17.37</v>
      </c>
      <c r="T150">
        <v>586.4</v>
      </c>
      <c r="U150">
        <v>0.76</v>
      </c>
      <c r="V150">
        <v>0.76</v>
      </c>
      <c r="W150">
        <v>1.1399999999999999</v>
      </c>
      <c r="X150">
        <v>0.03</v>
      </c>
      <c r="Y150">
        <v>1</v>
      </c>
      <c r="Z150">
        <v>10</v>
      </c>
    </row>
    <row r="151" spans="1:26" x14ac:dyDescent="0.3">
      <c r="A151">
        <v>149</v>
      </c>
      <c r="B151">
        <v>125</v>
      </c>
      <c r="C151" t="s">
        <v>26</v>
      </c>
      <c r="D151">
        <v>10.3932</v>
      </c>
      <c r="E151">
        <v>9.6199999999999992</v>
      </c>
      <c r="F151">
        <v>6.72</v>
      </c>
      <c r="G151">
        <v>134.46</v>
      </c>
      <c r="H151">
        <v>2.16</v>
      </c>
      <c r="I151">
        <v>3</v>
      </c>
      <c r="J151">
        <v>315.79000000000002</v>
      </c>
      <c r="K151">
        <v>58.47</v>
      </c>
      <c r="L151">
        <v>38.25</v>
      </c>
      <c r="M151">
        <v>1</v>
      </c>
      <c r="N151">
        <v>94.07</v>
      </c>
      <c r="O151">
        <v>39181.56</v>
      </c>
      <c r="P151">
        <v>96.83</v>
      </c>
      <c r="Q151">
        <v>204.16</v>
      </c>
      <c r="R151">
        <v>22.78</v>
      </c>
      <c r="S151">
        <v>17.37</v>
      </c>
      <c r="T151">
        <v>617.54999999999995</v>
      </c>
      <c r="U151">
        <v>0.76</v>
      </c>
      <c r="V151">
        <v>0.76</v>
      </c>
      <c r="W151">
        <v>1.1399999999999999</v>
      </c>
      <c r="X151">
        <v>0.03</v>
      </c>
      <c r="Y151">
        <v>1</v>
      </c>
      <c r="Z151">
        <v>10</v>
      </c>
    </row>
    <row r="152" spans="1:26" x14ac:dyDescent="0.3">
      <c r="A152">
        <v>150</v>
      </c>
      <c r="B152">
        <v>125</v>
      </c>
      <c r="C152" t="s">
        <v>26</v>
      </c>
      <c r="D152">
        <v>10.3932</v>
      </c>
      <c r="E152">
        <v>9.6199999999999992</v>
      </c>
      <c r="F152">
        <v>6.72</v>
      </c>
      <c r="G152">
        <v>134.46</v>
      </c>
      <c r="H152">
        <v>2.17</v>
      </c>
      <c r="I152">
        <v>3</v>
      </c>
      <c r="J152">
        <v>316.35000000000002</v>
      </c>
      <c r="K152">
        <v>58.47</v>
      </c>
      <c r="L152">
        <v>38.5</v>
      </c>
      <c r="M152">
        <v>1</v>
      </c>
      <c r="N152">
        <v>94.37</v>
      </c>
      <c r="O152">
        <v>39250.199999999997</v>
      </c>
      <c r="P152">
        <v>96.94</v>
      </c>
      <c r="Q152">
        <v>204.14</v>
      </c>
      <c r="R152">
        <v>22.82</v>
      </c>
      <c r="S152">
        <v>17.37</v>
      </c>
      <c r="T152">
        <v>637.66</v>
      </c>
      <c r="U152">
        <v>0.76</v>
      </c>
      <c r="V152">
        <v>0.76</v>
      </c>
      <c r="W152">
        <v>1.1399999999999999</v>
      </c>
      <c r="X152">
        <v>0.03</v>
      </c>
      <c r="Y152">
        <v>1</v>
      </c>
      <c r="Z152">
        <v>10</v>
      </c>
    </row>
    <row r="153" spans="1:26" x14ac:dyDescent="0.3">
      <c r="A153">
        <v>151</v>
      </c>
      <c r="B153">
        <v>125</v>
      </c>
      <c r="C153" t="s">
        <v>26</v>
      </c>
      <c r="D153">
        <v>10.392899999999999</v>
      </c>
      <c r="E153">
        <v>9.6199999999999992</v>
      </c>
      <c r="F153">
        <v>6.72</v>
      </c>
      <c r="G153">
        <v>134.47</v>
      </c>
      <c r="H153">
        <v>2.1800000000000002</v>
      </c>
      <c r="I153">
        <v>3</v>
      </c>
      <c r="J153">
        <v>316.89999999999998</v>
      </c>
      <c r="K153">
        <v>58.47</v>
      </c>
      <c r="L153">
        <v>38.75</v>
      </c>
      <c r="M153">
        <v>1</v>
      </c>
      <c r="N153">
        <v>94.68</v>
      </c>
      <c r="O153">
        <v>39318.97</v>
      </c>
      <c r="P153">
        <v>97.04</v>
      </c>
      <c r="Q153">
        <v>204.14</v>
      </c>
      <c r="R153">
        <v>22.79</v>
      </c>
      <c r="S153">
        <v>17.37</v>
      </c>
      <c r="T153">
        <v>622.47</v>
      </c>
      <c r="U153">
        <v>0.76</v>
      </c>
      <c r="V153">
        <v>0.76</v>
      </c>
      <c r="W153">
        <v>1.1399999999999999</v>
      </c>
      <c r="X153">
        <v>0.03</v>
      </c>
      <c r="Y153">
        <v>1</v>
      </c>
      <c r="Z153">
        <v>10</v>
      </c>
    </row>
    <row r="154" spans="1:26" x14ac:dyDescent="0.3">
      <c r="A154">
        <v>152</v>
      </c>
      <c r="B154">
        <v>125</v>
      </c>
      <c r="C154" t="s">
        <v>26</v>
      </c>
      <c r="D154">
        <v>10.3947</v>
      </c>
      <c r="E154">
        <v>9.6199999999999992</v>
      </c>
      <c r="F154">
        <v>6.72</v>
      </c>
      <c r="G154">
        <v>134.43</v>
      </c>
      <c r="H154">
        <v>2.19</v>
      </c>
      <c r="I154">
        <v>3</v>
      </c>
      <c r="J154">
        <v>317.45999999999998</v>
      </c>
      <c r="K154">
        <v>58.47</v>
      </c>
      <c r="L154">
        <v>39</v>
      </c>
      <c r="M154">
        <v>0</v>
      </c>
      <c r="N154">
        <v>94.99</v>
      </c>
      <c r="O154">
        <v>39387.89</v>
      </c>
      <c r="P154">
        <v>97.12</v>
      </c>
      <c r="Q154">
        <v>204.14</v>
      </c>
      <c r="R154">
        <v>22.77</v>
      </c>
      <c r="S154">
        <v>17.37</v>
      </c>
      <c r="T154">
        <v>610.63</v>
      </c>
      <c r="U154">
        <v>0.76</v>
      </c>
      <c r="V154">
        <v>0.76</v>
      </c>
      <c r="W154">
        <v>1.1399999999999999</v>
      </c>
      <c r="X154">
        <v>0.03</v>
      </c>
      <c r="Y154">
        <v>1</v>
      </c>
      <c r="Z154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Planilha5"/>
  <dimension ref="A1:Z16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30</v>
      </c>
      <c r="C2" t="s">
        <v>26</v>
      </c>
      <c r="D2">
        <v>10.0939</v>
      </c>
      <c r="E2">
        <v>9.91</v>
      </c>
      <c r="F2">
        <v>7.46</v>
      </c>
      <c r="G2">
        <v>11.47</v>
      </c>
      <c r="H2">
        <v>0.24</v>
      </c>
      <c r="I2">
        <v>39</v>
      </c>
      <c r="J2">
        <v>71.52</v>
      </c>
      <c r="K2">
        <v>32.270000000000003</v>
      </c>
      <c r="L2">
        <v>1</v>
      </c>
      <c r="M2">
        <v>37</v>
      </c>
      <c r="N2">
        <v>8.25</v>
      </c>
      <c r="O2">
        <v>9054.6</v>
      </c>
      <c r="P2">
        <v>52.28</v>
      </c>
      <c r="Q2">
        <v>204.17</v>
      </c>
      <c r="R2">
        <v>45.89</v>
      </c>
      <c r="S2">
        <v>17.37</v>
      </c>
      <c r="T2">
        <v>11990.73</v>
      </c>
      <c r="U2">
        <v>0.38</v>
      </c>
      <c r="V2">
        <v>0.68</v>
      </c>
      <c r="W2">
        <v>1.19</v>
      </c>
      <c r="X2">
        <v>0.76</v>
      </c>
      <c r="Y2">
        <v>1</v>
      </c>
      <c r="Z2">
        <v>10</v>
      </c>
    </row>
    <row r="3" spans="1:26" x14ac:dyDescent="0.3">
      <c r="A3">
        <v>1</v>
      </c>
      <c r="B3">
        <v>30</v>
      </c>
      <c r="C3" t="s">
        <v>26</v>
      </c>
      <c r="D3">
        <v>10.4209</v>
      </c>
      <c r="E3">
        <v>9.6</v>
      </c>
      <c r="F3">
        <v>7.29</v>
      </c>
      <c r="G3">
        <v>14.57</v>
      </c>
      <c r="H3">
        <v>0.3</v>
      </c>
      <c r="I3">
        <v>30</v>
      </c>
      <c r="J3">
        <v>71.81</v>
      </c>
      <c r="K3">
        <v>32.270000000000003</v>
      </c>
      <c r="L3">
        <v>1.25</v>
      </c>
      <c r="M3">
        <v>28</v>
      </c>
      <c r="N3">
        <v>8.2899999999999991</v>
      </c>
      <c r="O3">
        <v>9090.98</v>
      </c>
      <c r="P3">
        <v>50.58</v>
      </c>
      <c r="Q3">
        <v>204.15</v>
      </c>
      <c r="R3">
        <v>40.28</v>
      </c>
      <c r="S3">
        <v>17.37</v>
      </c>
      <c r="T3">
        <v>9233.57</v>
      </c>
      <c r="U3">
        <v>0.43</v>
      </c>
      <c r="V3">
        <v>0.7</v>
      </c>
      <c r="W3">
        <v>1.19</v>
      </c>
      <c r="X3">
        <v>0.59</v>
      </c>
      <c r="Y3">
        <v>1</v>
      </c>
      <c r="Z3">
        <v>10</v>
      </c>
    </row>
    <row r="4" spans="1:26" x14ac:dyDescent="0.3">
      <c r="A4">
        <v>2</v>
      </c>
      <c r="B4">
        <v>30</v>
      </c>
      <c r="C4" t="s">
        <v>26</v>
      </c>
      <c r="D4">
        <v>10.632300000000001</v>
      </c>
      <c r="E4">
        <v>9.41</v>
      </c>
      <c r="F4">
        <v>7.17</v>
      </c>
      <c r="G4">
        <v>17.21</v>
      </c>
      <c r="H4">
        <v>0.36</v>
      </c>
      <c r="I4">
        <v>25</v>
      </c>
      <c r="J4">
        <v>72.11</v>
      </c>
      <c r="K4">
        <v>32.270000000000003</v>
      </c>
      <c r="L4">
        <v>1.5</v>
      </c>
      <c r="M4">
        <v>23</v>
      </c>
      <c r="N4">
        <v>8.34</v>
      </c>
      <c r="O4">
        <v>9127.3799999999992</v>
      </c>
      <c r="P4">
        <v>49.17</v>
      </c>
      <c r="Q4">
        <v>204.17</v>
      </c>
      <c r="R4">
        <v>36.799999999999997</v>
      </c>
      <c r="S4">
        <v>17.37</v>
      </c>
      <c r="T4">
        <v>7519.19</v>
      </c>
      <c r="U4">
        <v>0.47</v>
      </c>
      <c r="V4">
        <v>0.71</v>
      </c>
      <c r="W4">
        <v>1.18</v>
      </c>
      <c r="X4">
        <v>0.48</v>
      </c>
      <c r="Y4">
        <v>1</v>
      </c>
      <c r="Z4">
        <v>10</v>
      </c>
    </row>
    <row r="5" spans="1:26" x14ac:dyDescent="0.3">
      <c r="A5">
        <v>3</v>
      </c>
      <c r="B5">
        <v>30</v>
      </c>
      <c r="C5" t="s">
        <v>26</v>
      </c>
      <c r="D5">
        <v>10.7936</v>
      </c>
      <c r="E5">
        <v>9.26</v>
      </c>
      <c r="F5">
        <v>7.09</v>
      </c>
      <c r="G5">
        <v>20.27</v>
      </c>
      <c r="H5">
        <v>0.42</v>
      </c>
      <c r="I5">
        <v>21</v>
      </c>
      <c r="J5">
        <v>72.400000000000006</v>
      </c>
      <c r="K5">
        <v>32.270000000000003</v>
      </c>
      <c r="L5">
        <v>1.75</v>
      </c>
      <c r="M5">
        <v>19</v>
      </c>
      <c r="N5">
        <v>8.3800000000000008</v>
      </c>
      <c r="O5">
        <v>9163.7999999999993</v>
      </c>
      <c r="P5">
        <v>48.08</v>
      </c>
      <c r="Q5">
        <v>204.18</v>
      </c>
      <c r="R5">
        <v>34.26</v>
      </c>
      <c r="S5">
        <v>17.37</v>
      </c>
      <c r="T5">
        <v>6268.82</v>
      </c>
      <c r="U5">
        <v>0.51</v>
      </c>
      <c r="V5">
        <v>0.72</v>
      </c>
      <c r="W5">
        <v>1.17</v>
      </c>
      <c r="X5">
        <v>0.4</v>
      </c>
      <c r="Y5">
        <v>1</v>
      </c>
      <c r="Z5">
        <v>10</v>
      </c>
    </row>
    <row r="6" spans="1:26" x14ac:dyDescent="0.3">
      <c r="A6">
        <v>4</v>
      </c>
      <c r="B6">
        <v>30</v>
      </c>
      <c r="C6" t="s">
        <v>26</v>
      </c>
      <c r="D6">
        <v>10.930999999999999</v>
      </c>
      <c r="E6">
        <v>9.15</v>
      </c>
      <c r="F6">
        <v>7.02</v>
      </c>
      <c r="G6">
        <v>23.41</v>
      </c>
      <c r="H6">
        <v>0.48</v>
      </c>
      <c r="I6">
        <v>18</v>
      </c>
      <c r="J6">
        <v>72.7</v>
      </c>
      <c r="K6">
        <v>32.270000000000003</v>
      </c>
      <c r="L6">
        <v>2</v>
      </c>
      <c r="M6">
        <v>16</v>
      </c>
      <c r="N6">
        <v>8.43</v>
      </c>
      <c r="O6">
        <v>9200.25</v>
      </c>
      <c r="P6">
        <v>47.05</v>
      </c>
      <c r="Q6">
        <v>204.15</v>
      </c>
      <c r="R6">
        <v>32.19</v>
      </c>
      <c r="S6">
        <v>17.37</v>
      </c>
      <c r="T6">
        <v>5246.14</v>
      </c>
      <c r="U6">
        <v>0.54</v>
      </c>
      <c r="V6">
        <v>0.73</v>
      </c>
      <c r="W6">
        <v>1.1599999999999999</v>
      </c>
      <c r="X6">
        <v>0.33</v>
      </c>
      <c r="Y6">
        <v>1</v>
      </c>
      <c r="Z6">
        <v>10</v>
      </c>
    </row>
    <row r="7" spans="1:26" x14ac:dyDescent="0.3">
      <c r="A7">
        <v>5</v>
      </c>
      <c r="B7">
        <v>30</v>
      </c>
      <c r="C7" t="s">
        <v>26</v>
      </c>
      <c r="D7">
        <v>11.0146</v>
      </c>
      <c r="E7">
        <v>9.08</v>
      </c>
      <c r="F7">
        <v>6.99</v>
      </c>
      <c r="G7">
        <v>26.2</v>
      </c>
      <c r="H7">
        <v>0.54</v>
      </c>
      <c r="I7">
        <v>16</v>
      </c>
      <c r="J7">
        <v>73</v>
      </c>
      <c r="K7">
        <v>32.270000000000003</v>
      </c>
      <c r="L7">
        <v>2.25</v>
      </c>
      <c r="M7">
        <v>14</v>
      </c>
      <c r="N7">
        <v>8.48</v>
      </c>
      <c r="O7">
        <v>9236.7099999999991</v>
      </c>
      <c r="P7">
        <v>46.15</v>
      </c>
      <c r="Q7">
        <v>204.15</v>
      </c>
      <c r="R7">
        <v>31.17</v>
      </c>
      <c r="S7">
        <v>17.37</v>
      </c>
      <c r="T7">
        <v>4746.7</v>
      </c>
      <c r="U7">
        <v>0.56000000000000005</v>
      </c>
      <c r="V7">
        <v>0.73</v>
      </c>
      <c r="W7">
        <v>1.1599999999999999</v>
      </c>
      <c r="X7">
        <v>0.28999999999999998</v>
      </c>
      <c r="Y7">
        <v>1</v>
      </c>
      <c r="Z7">
        <v>10</v>
      </c>
    </row>
    <row r="8" spans="1:26" x14ac:dyDescent="0.3">
      <c r="A8">
        <v>6</v>
      </c>
      <c r="B8">
        <v>30</v>
      </c>
      <c r="C8" t="s">
        <v>26</v>
      </c>
      <c r="D8">
        <v>11.097099999999999</v>
      </c>
      <c r="E8">
        <v>9.01</v>
      </c>
      <c r="F8">
        <v>6.95</v>
      </c>
      <c r="G8">
        <v>29.78</v>
      </c>
      <c r="H8">
        <v>0.6</v>
      </c>
      <c r="I8">
        <v>14</v>
      </c>
      <c r="J8">
        <v>73.290000000000006</v>
      </c>
      <c r="K8">
        <v>32.270000000000003</v>
      </c>
      <c r="L8">
        <v>2.5</v>
      </c>
      <c r="M8">
        <v>12</v>
      </c>
      <c r="N8">
        <v>8.52</v>
      </c>
      <c r="O8">
        <v>9273.2000000000007</v>
      </c>
      <c r="P8">
        <v>45.28</v>
      </c>
      <c r="Q8">
        <v>204.14</v>
      </c>
      <c r="R8">
        <v>30.11</v>
      </c>
      <c r="S8">
        <v>17.37</v>
      </c>
      <c r="T8">
        <v>4229.1099999999997</v>
      </c>
      <c r="U8">
        <v>0.57999999999999996</v>
      </c>
      <c r="V8">
        <v>0.73</v>
      </c>
      <c r="W8">
        <v>1.1499999999999999</v>
      </c>
      <c r="X8">
        <v>0.26</v>
      </c>
      <c r="Y8">
        <v>1</v>
      </c>
      <c r="Z8">
        <v>10</v>
      </c>
    </row>
    <row r="9" spans="1:26" x14ac:dyDescent="0.3">
      <c r="A9">
        <v>7</v>
      </c>
      <c r="B9">
        <v>30</v>
      </c>
      <c r="C9" t="s">
        <v>26</v>
      </c>
      <c r="D9">
        <v>11.1417</v>
      </c>
      <c r="E9">
        <v>8.98</v>
      </c>
      <c r="F9">
        <v>6.93</v>
      </c>
      <c r="G9">
        <v>31.98</v>
      </c>
      <c r="H9">
        <v>0.65</v>
      </c>
      <c r="I9">
        <v>13</v>
      </c>
      <c r="J9">
        <v>73.59</v>
      </c>
      <c r="K9">
        <v>32.270000000000003</v>
      </c>
      <c r="L9">
        <v>2.75</v>
      </c>
      <c r="M9">
        <v>11</v>
      </c>
      <c r="N9">
        <v>8.57</v>
      </c>
      <c r="O9">
        <v>9309.7000000000007</v>
      </c>
      <c r="P9">
        <v>44.73</v>
      </c>
      <c r="Q9">
        <v>204.14</v>
      </c>
      <c r="R9">
        <v>29.23</v>
      </c>
      <c r="S9">
        <v>17.37</v>
      </c>
      <c r="T9">
        <v>3793.8</v>
      </c>
      <c r="U9">
        <v>0.59</v>
      </c>
      <c r="V9">
        <v>0.74</v>
      </c>
      <c r="W9">
        <v>1.1599999999999999</v>
      </c>
      <c r="X9">
        <v>0.24</v>
      </c>
      <c r="Y9">
        <v>1</v>
      </c>
      <c r="Z9">
        <v>10</v>
      </c>
    </row>
    <row r="10" spans="1:26" x14ac:dyDescent="0.3">
      <c r="A10">
        <v>8</v>
      </c>
      <c r="B10">
        <v>30</v>
      </c>
      <c r="C10" t="s">
        <v>26</v>
      </c>
      <c r="D10">
        <v>11.177300000000001</v>
      </c>
      <c r="E10">
        <v>8.9499999999999993</v>
      </c>
      <c r="F10">
        <v>6.92</v>
      </c>
      <c r="G10">
        <v>34.58</v>
      </c>
      <c r="H10">
        <v>0.71</v>
      </c>
      <c r="I10">
        <v>12</v>
      </c>
      <c r="J10">
        <v>73.88</v>
      </c>
      <c r="K10">
        <v>32.270000000000003</v>
      </c>
      <c r="L10">
        <v>3</v>
      </c>
      <c r="M10">
        <v>10</v>
      </c>
      <c r="N10">
        <v>8.61</v>
      </c>
      <c r="O10">
        <v>9346.23</v>
      </c>
      <c r="P10">
        <v>44.03</v>
      </c>
      <c r="Q10">
        <v>204.14</v>
      </c>
      <c r="R10">
        <v>28.89</v>
      </c>
      <c r="S10">
        <v>17.37</v>
      </c>
      <c r="T10">
        <v>3629.2</v>
      </c>
      <c r="U10">
        <v>0.6</v>
      </c>
      <c r="V10">
        <v>0.74</v>
      </c>
      <c r="W10">
        <v>1.1599999999999999</v>
      </c>
      <c r="X10">
        <v>0.22</v>
      </c>
      <c r="Y10">
        <v>1</v>
      </c>
      <c r="Z10">
        <v>10</v>
      </c>
    </row>
    <row r="11" spans="1:26" x14ac:dyDescent="0.3">
      <c r="A11">
        <v>9</v>
      </c>
      <c r="B11">
        <v>30</v>
      </c>
      <c r="C11" t="s">
        <v>26</v>
      </c>
      <c r="D11">
        <v>11.226800000000001</v>
      </c>
      <c r="E11">
        <v>8.91</v>
      </c>
      <c r="F11">
        <v>6.89</v>
      </c>
      <c r="G11">
        <v>37.590000000000003</v>
      </c>
      <c r="H11">
        <v>0.77</v>
      </c>
      <c r="I11">
        <v>11</v>
      </c>
      <c r="J11">
        <v>74.180000000000007</v>
      </c>
      <c r="K11">
        <v>32.270000000000003</v>
      </c>
      <c r="L11">
        <v>3.25</v>
      </c>
      <c r="M11">
        <v>9</v>
      </c>
      <c r="N11">
        <v>8.66</v>
      </c>
      <c r="O11">
        <v>9382.7800000000007</v>
      </c>
      <c r="P11">
        <v>43.02</v>
      </c>
      <c r="Q11">
        <v>204.14</v>
      </c>
      <c r="R11">
        <v>28.15</v>
      </c>
      <c r="S11">
        <v>17.37</v>
      </c>
      <c r="T11">
        <v>3263.97</v>
      </c>
      <c r="U11">
        <v>0.62</v>
      </c>
      <c r="V11">
        <v>0.74</v>
      </c>
      <c r="W11">
        <v>1.1499999999999999</v>
      </c>
      <c r="X11">
        <v>0.2</v>
      </c>
      <c r="Y11">
        <v>1</v>
      </c>
      <c r="Z11">
        <v>10</v>
      </c>
    </row>
    <row r="12" spans="1:26" x14ac:dyDescent="0.3">
      <c r="A12">
        <v>10</v>
      </c>
      <c r="B12">
        <v>30</v>
      </c>
      <c r="C12" t="s">
        <v>26</v>
      </c>
      <c r="D12">
        <v>11.275700000000001</v>
      </c>
      <c r="E12">
        <v>8.8699999999999992</v>
      </c>
      <c r="F12">
        <v>6.87</v>
      </c>
      <c r="G12">
        <v>41.22</v>
      </c>
      <c r="H12">
        <v>0.82</v>
      </c>
      <c r="I12">
        <v>10</v>
      </c>
      <c r="J12">
        <v>74.48</v>
      </c>
      <c r="K12">
        <v>32.270000000000003</v>
      </c>
      <c r="L12">
        <v>3.5</v>
      </c>
      <c r="M12">
        <v>8</v>
      </c>
      <c r="N12">
        <v>8.7100000000000009</v>
      </c>
      <c r="O12">
        <v>9419.35</v>
      </c>
      <c r="P12">
        <v>42.13</v>
      </c>
      <c r="Q12">
        <v>204.15</v>
      </c>
      <c r="R12">
        <v>27.37</v>
      </c>
      <c r="S12">
        <v>17.37</v>
      </c>
      <c r="T12">
        <v>2878.84</v>
      </c>
      <c r="U12">
        <v>0.63</v>
      </c>
      <c r="V12">
        <v>0.74</v>
      </c>
      <c r="W12">
        <v>1.1499999999999999</v>
      </c>
      <c r="X12">
        <v>0.18</v>
      </c>
      <c r="Y12">
        <v>1</v>
      </c>
      <c r="Z12">
        <v>10</v>
      </c>
    </row>
    <row r="13" spans="1:26" x14ac:dyDescent="0.3">
      <c r="A13">
        <v>11</v>
      </c>
      <c r="B13">
        <v>30</v>
      </c>
      <c r="C13" t="s">
        <v>26</v>
      </c>
      <c r="D13">
        <v>11.3218</v>
      </c>
      <c r="E13">
        <v>8.83</v>
      </c>
      <c r="F13">
        <v>6.85</v>
      </c>
      <c r="G13">
        <v>45.66</v>
      </c>
      <c r="H13">
        <v>0.88</v>
      </c>
      <c r="I13">
        <v>9</v>
      </c>
      <c r="J13">
        <v>74.77</v>
      </c>
      <c r="K13">
        <v>32.270000000000003</v>
      </c>
      <c r="L13">
        <v>3.75</v>
      </c>
      <c r="M13">
        <v>6</v>
      </c>
      <c r="N13">
        <v>8.75</v>
      </c>
      <c r="O13">
        <v>9455.94</v>
      </c>
      <c r="P13">
        <v>41.31</v>
      </c>
      <c r="Q13">
        <v>204.14</v>
      </c>
      <c r="R13">
        <v>26.7</v>
      </c>
      <c r="S13">
        <v>17.37</v>
      </c>
      <c r="T13">
        <v>2546.64</v>
      </c>
      <c r="U13">
        <v>0.65</v>
      </c>
      <c r="V13">
        <v>0.75</v>
      </c>
      <c r="W13">
        <v>1.1499999999999999</v>
      </c>
      <c r="X13">
        <v>0.16</v>
      </c>
      <c r="Y13">
        <v>1</v>
      </c>
      <c r="Z13">
        <v>10</v>
      </c>
    </row>
    <row r="14" spans="1:26" x14ac:dyDescent="0.3">
      <c r="A14">
        <v>12</v>
      </c>
      <c r="B14">
        <v>30</v>
      </c>
      <c r="C14" t="s">
        <v>26</v>
      </c>
      <c r="D14">
        <v>11.3222</v>
      </c>
      <c r="E14">
        <v>8.83</v>
      </c>
      <c r="F14">
        <v>6.85</v>
      </c>
      <c r="G14">
        <v>45.66</v>
      </c>
      <c r="H14">
        <v>0.93</v>
      </c>
      <c r="I14">
        <v>9</v>
      </c>
      <c r="J14">
        <v>75.069999999999993</v>
      </c>
      <c r="K14">
        <v>32.270000000000003</v>
      </c>
      <c r="L14">
        <v>4</v>
      </c>
      <c r="M14">
        <v>6</v>
      </c>
      <c r="N14">
        <v>8.8000000000000007</v>
      </c>
      <c r="O14">
        <v>9492.5499999999993</v>
      </c>
      <c r="P14">
        <v>41.24</v>
      </c>
      <c r="Q14">
        <v>204.14</v>
      </c>
      <c r="R14">
        <v>26.72</v>
      </c>
      <c r="S14">
        <v>17.37</v>
      </c>
      <c r="T14">
        <v>2558.5100000000002</v>
      </c>
      <c r="U14">
        <v>0.65</v>
      </c>
      <c r="V14">
        <v>0.75</v>
      </c>
      <c r="W14">
        <v>1.1499999999999999</v>
      </c>
      <c r="X14">
        <v>0.16</v>
      </c>
      <c r="Y14">
        <v>1</v>
      </c>
      <c r="Z14">
        <v>10</v>
      </c>
    </row>
    <row r="15" spans="1:26" x14ac:dyDescent="0.3">
      <c r="A15">
        <v>13</v>
      </c>
      <c r="B15">
        <v>30</v>
      </c>
      <c r="C15" t="s">
        <v>26</v>
      </c>
      <c r="D15">
        <v>11.307600000000001</v>
      </c>
      <c r="E15">
        <v>8.84</v>
      </c>
      <c r="F15">
        <v>6.86</v>
      </c>
      <c r="G15">
        <v>45.73</v>
      </c>
      <c r="H15">
        <v>0.99</v>
      </c>
      <c r="I15">
        <v>9</v>
      </c>
      <c r="J15">
        <v>75.37</v>
      </c>
      <c r="K15">
        <v>32.270000000000003</v>
      </c>
      <c r="L15">
        <v>4.25</v>
      </c>
      <c r="M15">
        <v>3</v>
      </c>
      <c r="N15">
        <v>8.85</v>
      </c>
      <c r="O15">
        <v>9529.18</v>
      </c>
      <c r="P15">
        <v>41.04</v>
      </c>
      <c r="Q15">
        <v>204.18</v>
      </c>
      <c r="R15">
        <v>26.99</v>
      </c>
      <c r="S15">
        <v>17.37</v>
      </c>
      <c r="T15">
        <v>2692.03</v>
      </c>
      <c r="U15">
        <v>0.64</v>
      </c>
      <c r="V15">
        <v>0.74</v>
      </c>
      <c r="W15">
        <v>1.1499999999999999</v>
      </c>
      <c r="X15">
        <v>0.17</v>
      </c>
      <c r="Y15">
        <v>1</v>
      </c>
      <c r="Z15">
        <v>10</v>
      </c>
    </row>
    <row r="16" spans="1:26" x14ac:dyDescent="0.3">
      <c r="A16">
        <v>14</v>
      </c>
      <c r="B16">
        <v>30</v>
      </c>
      <c r="C16" t="s">
        <v>26</v>
      </c>
      <c r="D16">
        <v>11.3583</v>
      </c>
      <c r="E16">
        <v>8.8000000000000007</v>
      </c>
      <c r="F16">
        <v>6.84</v>
      </c>
      <c r="G16">
        <v>51.27</v>
      </c>
      <c r="H16">
        <v>1.04</v>
      </c>
      <c r="I16">
        <v>8</v>
      </c>
      <c r="J16">
        <v>75.66</v>
      </c>
      <c r="K16">
        <v>32.270000000000003</v>
      </c>
      <c r="L16">
        <v>4.5</v>
      </c>
      <c r="M16">
        <v>0</v>
      </c>
      <c r="N16">
        <v>8.89</v>
      </c>
      <c r="O16">
        <v>9565.83</v>
      </c>
      <c r="P16">
        <v>40.61</v>
      </c>
      <c r="Q16">
        <v>204.14</v>
      </c>
      <c r="R16">
        <v>26.15</v>
      </c>
      <c r="S16">
        <v>17.37</v>
      </c>
      <c r="T16">
        <v>2277.83</v>
      </c>
      <c r="U16">
        <v>0.66</v>
      </c>
      <c r="V16">
        <v>0.75</v>
      </c>
      <c r="W16">
        <v>1.1599999999999999</v>
      </c>
      <c r="X16">
        <v>0.14000000000000001</v>
      </c>
      <c r="Y16">
        <v>1</v>
      </c>
      <c r="Z1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Planilha6"/>
  <dimension ref="A1:Z6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15</v>
      </c>
      <c r="C2" t="s">
        <v>26</v>
      </c>
      <c r="D2">
        <v>10.993399999999999</v>
      </c>
      <c r="E2">
        <v>9.1</v>
      </c>
      <c r="F2">
        <v>7.14</v>
      </c>
      <c r="G2">
        <v>18.63</v>
      </c>
      <c r="H2">
        <v>0.43</v>
      </c>
      <c r="I2">
        <v>23</v>
      </c>
      <c r="J2">
        <v>39.78</v>
      </c>
      <c r="K2">
        <v>19.54</v>
      </c>
      <c r="L2">
        <v>1</v>
      </c>
      <c r="M2">
        <v>21</v>
      </c>
      <c r="N2">
        <v>4.24</v>
      </c>
      <c r="O2">
        <v>5140</v>
      </c>
      <c r="P2">
        <v>30.42</v>
      </c>
      <c r="Q2">
        <v>204.15</v>
      </c>
      <c r="R2">
        <v>35.950000000000003</v>
      </c>
      <c r="S2">
        <v>17.37</v>
      </c>
      <c r="T2">
        <v>7102.87</v>
      </c>
      <c r="U2">
        <v>0.48</v>
      </c>
      <c r="V2">
        <v>0.72</v>
      </c>
      <c r="W2">
        <v>1.17</v>
      </c>
      <c r="X2">
        <v>0.45</v>
      </c>
      <c r="Y2">
        <v>1</v>
      </c>
      <c r="Z2">
        <v>10</v>
      </c>
    </row>
    <row r="3" spans="1:26" x14ac:dyDescent="0.3">
      <c r="A3">
        <v>1</v>
      </c>
      <c r="B3">
        <v>15</v>
      </c>
      <c r="C3" t="s">
        <v>26</v>
      </c>
      <c r="D3">
        <v>11.2202</v>
      </c>
      <c r="E3">
        <v>8.91</v>
      </c>
      <c r="F3">
        <v>7.01</v>
      </c>
      <c r="G3">
        <v>23.38</v>
      </c>
      <c r="H3">
        <v>0.53</v>
      </c>
      <c r="I3">
        <v>18</v>
      </c>
      <c r="J3">
        <v>40.06</v>
      </c>
      <c r="K3">
        <v>19.54</v>
      </c>
      <c r="L3">
        <v>1.25</v>
      </c>
      <c r="M3">
        <v>15</v>
      </c>
      <c r="N3">
        <v>4.26</v>
      </c>
      <c r="O3">
        <v>5174.29</v>
      </c>
      <c r="P3">
        <v>28.7</v>
      </c>
      <c r="Q3">
        <v>204.16</v>
      </c>
      <c r="R3">
        <v>31.86</v>
      </c>
      <c r="S3">
        <v>17.37</v>
      </c>
      <c r="T3">
        <v>5084.3100000000004</v>
      </c>
      <c r="U3">
        <v>0.55000000000000004</v>
      </c>
      <c r="V3">
        <v>0.73</v>
      </c>
      <c r="W3">
        <v>1.1599999999999999</v>
      </c>
      <c r="X3">
        <v>0.32</v>
      </c>
      <c r="Y3">
        <v>1</v>
      </c>
      <c r="Z3">
        <v>10</v>
      </c>
    </row>
    <row r="4" spans="1:26" x14ac:dyDescent="0.3">
      <c r="A4">
        <v>2</v>
      </c>
      <c r="B4">
        <v>15</v>
      </c>
      <c r="C4" t="s">
        <v>26</v>
      </c>
      <c r="D4">
        <v>11.25</v>
      </c>
      <c r="E4">
        <v>8.89</v>
      </c>
      <c r="F4">
        <v>7.01</v>
      </c>
      <c r="G4">
        <v>26.3</v>
      </c>
      <c r="H4">
        <v>0.64</v>
      </c>
      <c r="I4">
        <v>16</v>
      </c>
      <c r="J4">
        <v>40.340000000000003</v>
      </c>
      <c r="K4">
        <v>19.54</v>
      </c>
      <c r="L4">
        <v>1.5</v>
      </c>
      <c r="M4">
        <v>6</v>
      </c>
      <c r="N4">
        <v>4.29</v>
      </c>
      <c r="O4">
        <v>5208.6000000000004</v>
      </c>
      <c r="P4">
        <v>27.89</v>
      </c>
      <c r="Q4">
        <v>204.22</v>
      </c>
      <c r="R4">
        <v>31.48</v>
      </c>
      <c r="S4">
        <v>17.37</v>
      </c>
      <c r="T4">
        <v>4902.08</v>
      </c>
      <c r="U4">
        <v>0.55000000000000004</v>
      </c>
      <c r="V4">
        <v>0.73</v>
      </c>
      <c r="W4">
        <v>1.17</v>
      </c>
      <c r="X4">
        <v>0.32</v>
      </c>
      <c r="Y4">
        <v>1</v>
      </c>
      <c r="Z4">
        <v>10</v>
      </c>
    </row>
    <row r="5" spans="1:26" x14ac:dyDescent="0.3">
      <c r="A5">
        <v>3</v>
      </c>
      <c r="B5">
        <v>15</v>
      </c>
      <c r="C5" t="s">
        <v>26</v>
      </c>
      <c r="D5">
        <v>11.286</v>
      </c>
      <c r="E5">
        <v>8.86</v>
      </c>
      <c r="F5">
        <v>7</v>
      </c>
      <c r="G5">
        <v>27.98</v>
      </c>
      <c r="H5">
        <v>0.74</v>
      </c>
      <c r="I5">
        <v>15</v>
      </c>
      <c r="J5">
        <v>40.61</v>
      </c>
      <c r="K5">
        <v>19.54</v>
      </c>
      <c r="L5">
        <v>1.75</v>
      </c>
      <c r="M5">
        <v>1</v>
      </c>
      <c r="N5">
        <v>4.32</v>
      </c>
      <c r="O5">
        <v>5242.92</v>
      </c>
      <c r="P5">
        <v>27.78</v>
      </c>
      <c r="Q5">
        <v>204.18</v>
      </c>
      <c r="R5">
        <v>30.8</v>
      </c>
      <c r="S5">
        <v>17.37</v>
      </c>
      <c r="T5">
        <v>4568.1099999999997</v>
      </c>
      <c r="U5">
        <v>0.56000000000000005</v>
      </c>
      <c r="V5">
        <v>0.73</v>
      </c>
      <c r="W5">
        <v>1.18</v>
      </c>
      <c r="X5">
        <v>0.3</v>
      </c>
      <c r="Y5">
        <v>1</v>
      </c>
      <c r="Z5">
        <v>10</v>
      </c>
    </row>
    <row r="6" spans="1:26" x14ac:dyDescent="0.3">
      <c r="A6">
        <v>4</v>
      </c>
      <c r="B6">
        <v>15</v>
      </c>
      <c r="C6" t="s">
        <v>26</v>
      </c>
      <c r="D6">
        <v>11.2835</v>
      </c>
      <c r="E6">
        <v>8.86</v>
      </c>
      <c r="F6">
        <v>7</v>
      </c>
      <c r="G6">
        <v>27.99</v>
      </c>
      <c r="H6">
        <v>0.84</v>
      </c>
      <c r="I6">
        <v>15</v>
      </c>
      <c r="J6">
        <v>40.89</v>
      </c>
      <c r="K6">
        <v>19.54</v>
      </c>
      <c r="L6">
        <v>2</v>
      </c>
      <c r="M6">
        <v>0</v>
      </c>
      <c r="N6">
        <v>4.3499999999999996</v>
      </c>
      <c r="O6">
        <v>5277.26</v>
      </c>
      <c r="P6">
        <v>27.93</v>
      </c>
      <c r="Q6">
        <v>204.18</v>
      </c>
      <c r="R6">
        <v>30.85</v>
      </c>
      <c r="S6">
        <v>17.37</v>
      </c>
      <c r="T6">
        <v>4592.3100000000004</v>
      </c>
      <c r="U6">
        <v>0.56000000000000005</v>
      </c>
      <c r="V6">
        <v>0.73</v>
      </c>
      <c r="W6">
        <v>1.18</v>
      </c>
      <c r="X6">
        <v>0.31</v>
      </c>
      <c r="Y6">
        <v>1</v>
      </c>
      <c r="Z6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Planilha7"/>
  <dimension ref="A1:Z60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70</v>
      </c>
      <c r="C2" t="s">
        <v>26</v>
      </c>
      <c r="D2">
        <v>8.1827000000000005</v>
      </c>
      <c r="E2">
        <v>12.22</v>
      </c>
      <c r="F2">
        <v>8.06</v>
      </c>
      <c r="G2">
        <v>7.22</v>
      </c>
      <c r="H2">
        <v>0.12</v>
      </c>
      <c r="I2">
        <v>67</v>
      </c>
      <c r="J2">
        <v>141.81</v>
      </c>
      <c r="K2">
        <v>47.83</v>
      </c>
      <c r="L2">
        <v>1</v>
      </c>
      <c r="M2">
        <v>65</v>
      </c>
      <c r="N2">
        <v>22.98</v>
      </c>
      <c r="O2">
        <v>17723.39</v>
      </c>
      <c r="P2">
        <v>91.54</v>
      </c>
      <c r="Q2">
        <v>204.21</v>
      </c>
      <c r="R2">
        <v>63.88</v>
      </c>
      <c r="S2">
        <v>17.37</v>
      </c>
      <c r="T2">
        <v>20847.419999999998</v>
      </c>
      <c r="U2">
        <v>0.27</v>
      </c>
      <c r="V2">
        <v>0.63</v>
      </c>
      <c r="W2">
        <v>1.26</v>
      </c>
      <c r="X2">
        <v>1.36</v>
      </c>
      <c r="Y2">
        <v>1</v>
      </c>
      <c r="Z2">
        <v>10</v>
      </c>
    </row>
    <row r="3" spans="1:26" x14ac:dyDescent="0.3">
      <c r="A3">
        <v>1</v>
      </c>
      <c r="B3">
        <v>70</v>
      </c>
      <c r="C3" t="s">
        <v>26</v>
      </c>
      <c r="D3">
        <v>8.7674000000000003</v>
      </c>
      <c r="E3">
        <v>11.41</v>
      </c>
      <c r="F3">
        <v>7.7</v>
      </c>
      <c r="G3">
        <v>9.06</v>
      </c>
      <c r="H3">
        <v>0.16</v>
      </c>
      <c r="I3">
        <v>51</v>
      </c>
      <c r="J3">
        <v>142.15</v>
      </c>
      <c r="K3">
        <v>47.83</v>
      </c>
      <c r="L3">
        <v>1.25</v>
      </c>
      <c r="M3">
        <v>49</v>
      </c>
      <c r="N3">
        <v>23.07</v>
      </c>
      <c r="O3">
        <v>17765.46</v>
      </c>
      <c r="P3">
        <v>87.24</v>
      </c>
      <c r="Q3">
        <v>204.21</v>
      </c>
      <c r="R3">
        <v>53.56</v>
      </c>
      <c r="S3">
        <v>17.37</v>
      </c>
      <c r="T3">
        <v>15769.29</v>
      </c>
      <c r="U3">
        <v>0.32</v>
      </c>
      <c r="V3">
        <v>0.66</v>
      </c>
      <c r="W3">
        <v>1.21</v>
      </c>
      <c r="X3">
        <v>1.01</v>
      </c>
      <c r="Y3">
        <v>1</v>
      </c>
      <c r="Z3">
        <v>10</v>
      </c>
    </row>
    <row r="4" spans="1:26" x14ac:dyDescent="0.3">
      <c r="A4">
        <v>2</v>
      </c>
      <c r="B4">
        <v>70</v>
      </c>
      <c r="C4" t="s">
        <v>26</v>
      </c>
      <c r="D4">
        <v>9.1136999999999997</v>
      </c>
      <c r="E4">
        <v>10.97</v>
      </c>
      <c r="F4">
        <v>7.53</v>
      </c>
      <c r="G4">
        <v>10.76</v>
      </c>
      <c r="H4">
        <v>0.19</v>
      </c>
      <c r="I4">
        <v>42</v>
      </c>
      <c r="J4">
        <v>142.49</v>
      </c>
      <c r="K4">
        <v>47.83</v>
      </c>
      <c r="L4">
        <v>1.5</v>
      </c>
      <c r="M4">
        <v>40</v>
      </c>
      <c r="N4">
        <v>23.16</v>
      </c>
      <c r="O4">
        <v>17807.560000000001</v>
      </c>
      <c r="P4">
        <v>85.05</v>
      </c>
      <c r="Q4">
        <v>204.15</v>
      </c>
      <c r="R4">
        <v>47.83</v>
      </c>
      <c r="S4">
        <v>17.37</v>
      </c>
      <c r="T4">
        <v>12948.82</v>
      </c>
      <c r="U4">
        <v>0.36</v>
      </c>
      <c r="V4">
        <v>0.68</v>
      </c>
      <c r="W4">
        <v>1.21</v>
      </c>
      <c r="X4">
        <v>0.84</v>
      </c>
      <c r="Y4">
        <v>1</v>
      </c>
      <c r="Z4">
        <v>10</v>
      </c>
    </row>
    <row r="5" spans="1:26" x14ac:dyDescent="0.3">
      <c r="A5">
        <v>3</v>
      </c>
      <c r="B5">
        <v>70</v>
      </c>
      <c r="C5" t="s">
        <v>26</v>
      </c>
      <c r="D5">
        <v>9.4163999999999994</v>
      </c>
      <c r="E5">
        <v>10.62</v>
      </c>
      <c r="F5">
        <v>7.38</v>
      </c>
      <c r="G5">
        <v>12.65</v>
      </c>
      <c r="H5">
        <v>0.22</v>
      </c>
      <c r="I5">
        <v>35</v>
      </c>
      <c r="J5">
        <v>142.83000000000001</v>
      </c>
      <c r="K5">
        <v>47.83</v>
      </c>
      <c r="L5">
        <v>1.75</v>
      </c>
      <c r="M5">
        <v>33</v>
      </c>
      <c r="N5">
        <v>23.25</v>
      </c>
      <c r="O5">
        <v>17849.7</v>
      </c>
      <c r="P5">
        <v>83.09</v>
      </c>
      <c r="Q5">
        <v>204.14</v>
      </c>
      <c r="R5">
        <v>43.19</v>
      </c>
      <c r="S5">
        <v>17.37</v>
      </c>
      <c r="T5">
        <v>10663.23</v>
      </c>
      <c r="U5">
        <v>0.4</v>
      </c>
      <c r="V5">
        <v>0.69</v>
      </c>
      <c r="W5">
        <v>1.19</v>
      </c>
      <c r="X5">
        <v>0.69</v>
      </c>
      <c r="Y5">
        <v>1</v>
      </c>
      <c r="Z5">
        <v>10</v>
      </c>
    </row>
    <row r="6" spans="1:26" x14ac:dyDescent="0.3">
      <c r="A6">
        <v>4</v>
      </c>
      <c r="B6">
        <v>70</v>
      </c>
      <c r="C6" t="s">
        <v>26</v>
      </c>
      <c r="D6">
        <v>9.6003000000000007</v>
      </c>
      <c r="E6">
        <v>10.42</v>
      </c>
      <c r="F6">
        <v>7.29</v>
      </c>
      <c r="G6">
        <v>14.11</v>
      </c>
      <c r="H6">
        <v>0.25</v>
      </c>
      <c r="I6">
        <v>31</v>
      </c>
      <c r="J6">
        <v>143.16999999999999</v>
      </c>
      <c r="K6">
        <v>47.83</v>
      </c>
      <c r="L6">
        <v>2</v>
      </c>
      <c r="M6">
        <v>29</v>
      </c>
      <c r="N6">
        <v>23.34</v>
      </c>
      <c r="O6">
        <v>17891.86</v>
      </c>
      <c r="P6">
        <v>81.89</v>
      </c>
      <c r="Q6">
        <v>204.15</v>
      </c>
      <c r="R6">
        <v>40.42</v>
      </c>
      <c r="S6">
        <v>17.37</v>
      </c>
      <c r="T6">
        <v>9298.77</v>
      </c>
      <c r="U6">
        <v>0.43</v>
      </c>
      <c r="V6">
        <v>0.7</v>
      </c>
      <c r="W6">
        <v>1.19</v>
      </c>
      <c r="X6">
        <v>0.6</v>
      </c>
      <c r="Y6">
        <v>1</v>
      </c>
      <c r="Z6">
        <v>10</v>
      </c>
    </row>
    <row r="7" spans="1:26" x14ac:dyDescent="0.3">
      <c r="A7">
        <v>5</v>
      </c>
      <c r="B7">
        <v>70</v>
      </c>
      <c r="C7" t="s">
        <v>26</v>
      </c>
      <c r="D7">
        <v>9.7871000000000006</v>
      </c>
      <c r="E7">
        <v>10.220000000000001</v>
      </c>
      <c r="F7">
        <v>7.21</v>
      </c>
      <c r="G7">
        <v>16.02</v>
      </c>
      <c r="H7">
        <v>0.28000000000000003</v>
      </c>
      <c r="I7">
        <v>27</v>
      </c>
      <c r="J7">
        <v>143.51</v>
      </c>
      <c r="K7">
        <v>47.83</v>
      </c>
      <c r="L7">
        <v>2.25</v>
      </c>
      <c r="M7">
        <v>25</v>
      </c>
      <c r="N7">
        <v>23.44</v>
      </c>
      <c r="O7">
        <v>17934.060000000001</v>
      </c>
      <c r="P7">
        <v>80.66</v>
      </c>
      <c r="Q7">
        <v>204.16</v>
      </c>
      <c r="R7">
        <v>37.94</v>
      </c>
      <c r="S7">
        <v>17.37</v>
      </c>
      <c r="T7">
        <v>8078.56</v>
      </c>
      <c r="U7">
        <v>0.46</v>
      </c>
      <c r="V7">
        <v>0.71</v>
      </c>
      <c r="W7">
        <v>1.18</v>
      </c>
      <c r="X7">
        <v>0.52</v>
      </c>
      <c r="Y7">
        <v>1</v>
      </c>
      <c r="Z7">
        <v>10</v>
      </c>
    </row>
    <row r="8" spans="1:26" x14ac:dyDescent="0.3">
      <c r="A8">
        <v>6</v>
      </c>
      <c r="B8">
        <v>70</v>
      </c>
      <c r="C8" t="s">
        <v>26</v>
      </c>
      <c r="D8">
        <v>9.9230999999999998</v>
      </c>
      <c r="E8">
        <v>10.08</v>
      </c>
      <c r="F8">
        <v>7.16</v>
      </c>
      <c r="G8">
        <v>17.89</v>
      </c>
      <c r="H8">
        <v>0.31</v>
      </c>
      <c r="I8">
        <v>24</v>
      </c>
      <c r="J8">
        <v>143.86000000000001</v>
      </c>
      <c r="K8">
        <v>47.83</v>
      </c>
      <c r="L8">
        <v>2.5</v>
      </c>
      <c r="M8">
        <v>22</v>
      </c>
      <c r="N8">
        <v>23.53</v>
      </c>
      <c r="O8">
        <v>17976.29</v>
      </c>
      <c r="P8">
        <v>79.84</v>
      </c>
      <c r="Q8">
        <v>204.16</v>
      </c>
      <c r="R8">
        <v>36.19</v>
      </c>
      <c r="S8">
        <v>17.37</v>
      </c>
      <c r="T8">
        <v>7218.05</v>
      </c>
      <c r="U8">
        <v>0.48</v>
      </c>
      <c r="V8">
        <v>0.71</v>
      </c>
      <c r="W8">
        <v>1.18</v>
      </c>
      <c r="X8">
        <v>0.46</v>
      </c>
      <c r="Y8">
        <v>1</v>
      </c>
      <c r="Z8">
        <v>10</v>
      </c>
    </row>
    <row r="9" spans="1:26" x14ac:dyDescent="0.3">
      <c r="A9">
        <v>7</v>
      </c>
      <c r="B9">
        <v>70</v>
      </c>
      <c r="C9" t="s">
        <v>26</v>
      </c>
      <c r="D9">
        <v>10.019500000000001</v>
      </c>
      <c r="E9">
        <v>9.98</v>
      </c>
      <c r="F9">
        <v>7.12</v>
      </c>
      <c r="G9">
        <v>19.41</v>
      </c>
      <c r="H9">
        <v>0.34</v>
      </c>
      <c r="I9">
        <v>22</v>
      </c>
      <c r="J9">
        <v>144.19999999999999</v>
      </c>
      <c r="K9">
        <v>47.83</v>
      </c>
      <c r="L9">
        <v>2.75</v>
      </c>
      <c r="M9">
        <v>20</v>
      </c>
      <c r="N9">
        <v>23.62</v>
      </c>
      <c r="O9">
        <v>18018.55</v>
      </c>
      <c r="P9">
        <v>79.22</v>
      </c>
      <c r="Q9">
        <v>204.15</v>
      </c>
      <c r="R9">
        <v>35.1</v>
      </c>
      <c r="S9">
        <v>17.37</v>
      </c>
      <c r="T9">
        <v>6682.37</v>
      </c>
      <c r="U9">
        <v>0.49</v>
      </c>
      <c r="V9">
        <v>0.72</v>
      </c>
      <c r="W9">
        <v>1.17</v>
      </c>
      <c r="X9">
        <v>0.42</v>
      </c>
      <c r="Y9">
        <v>1</v>
      </c>
      <c r="Z9">
        <v>10</v>
      </c>
    </row>
    <row r="10" spans="1:26" x14ac:dyDescent="0.3">
      <c r="A10">
        <v>8</v>
      </c>
      <c r="B10">
        <v>70</v>
      </c>
      <c r="C10" t="s">
        <v>26</v>
      </c>
      <c r="D10">
        <v>10.130000000000001</v>
      </c>
      <c r="E10">
        <v>9.8699999999999992</v>
      </c>
      <c r="F10">
        <v>7.07</v>
      </c>
      <c r="G10">
        <v>21.2</v>
      </c>
      <c r="H10">
        <v>0.37</v>
      </c>
      <c r="I10">
        <v>20</v>
      </c>
      <c r="J10">
        <v>144.54</v>
      </c>
      <c r="K10">
        <v>47.83</v>
      </c>
      <c r="L10">
        <v>3</v>
      </c>
      <c r="M10">
        <v>18</v>
      </c>
      <c r="N10">
        <v>23.71</v>
      </c>
      <c r="O10">
        <v>18060.849999999999</v>
      </c>
      <c r="P10">
        <v>78.42</v>
      </c>
      <c r="Q10">
        <v>204.15</v>
      </c>
      <c r="R10">
        <v>33.69</v>
      </c>
      <c r="S10">
        <v>17.37</v>
      </c>
      <c r="T10">
        <v>5985.28</v>
      </c>
      <c r="U10">
        <v>0.52</v>
      </c>
      <c r="V10">
        <v>0.72</v>
      </c>
      <c r="W10">
        <v>1.1599999999999999</v>
      </c>
      <c r="X10">
        <v>0.37</v>
      </c>
      <c r="Y10">
        <v>1</v>
      </c>
      <c r="Z10">
        <v>10</v>
      </c>
    </row>
    <row r="11" spans="1:26" x14ac:dyDescent="0.3">
      <c r="A11">
        <v>9</v>
      </c>
      <c r="B11">
        <v>70</v>
      </c>
      <c r="C11" t="s">
        <v>26</v>
      </c>
      <c r="D11">
        <v>10.1793</v>
      </c>
      <c r="E11">
        <v>9.82</v>
      </c>
      <c r="F11">
        <v>7.05</v>
      </c>
      <c r="G11">
        <v>22.25</v>
      </c>
      <c r="H11">
        <v>0.4</v>
      </c>
      <c r="I11">
        <v>19</v>
      </c>
      <c r="J11">
        <v>144.88999999999999</v>
      </c>
      <c r="K11">
        <v>47.83</v>
      </c>
      <c r="L11">
        <v>3.25</v>
      </c>
      <c r="M11">
        <v>17</v>
      </c>
      <c r="N11">
        <v>23.81</v>
      </c>
      <c r="O11">
        <v>18103.18</v>
      </c>
      <c r="P11">
        <v>77.94</v>
      </c>
      <c r="Q11">
        <v>204.15</v>
      </c>
      <c r="R11">
        <v>32.979999999999997</v>
      </c>
      <c r="S11">
        <v>17.37</v>
      </c>
      <c r="T11">
        <v>5635.04</v>
      </c>
      <c r="U11">
        <v>0.53</v>
      </c>
      <c r="V11">
        <v>0.72</v>
      </c>
      <c r="W11">
        <v>1.1599999999999999</v>
      </c>
      <c r="X11">
        <v>0.35</v>
      </c>
      <c r="Y11">
        <v>1</v>
      </c>
      <c r="Z11">
        <v>10</v>
      </c>
    </row>
    <row r="12" spans="1:26" x14ac:dyDescent="0.3">
      <c r="A12">
        <v>10</v>
      </c>
      <c r="B12">
        <v>70</v>
      </c>
      <c r="C12" t="s">
        <v>26</v>
      </c>
      <c r="D12">
        <v>10.2743</v>
      </c>
      <c r="E12">
        <v>9.73</v>
      </c>
      <c r="F12">
        <v>7.01</v>
      </c>
      <c r="G12">
        <v>24.75</v>
      </c>
      <c r="H12">
        <v>0.43</v>
      </c>
      <c r="I12">
        <v>17</v>
      </c>
      <c r="J12">
        <v>145.22999999999999</v>
      </c>
      <c r="K12">
        <v>47.83</v>
      </c>
      <c r="L12">
        <v>3.5</v>
      </c>
      <c r="M12">
        <v>15</v>
      </c>
      <c r="N12">
        <v>23.9</v>
      </c>
      <c r="O12">
        <v>18145.54</v>
      </c>
      <c r="P12">
        <v>77.22</v>
      </c>
      <c r="Q12">
        <v>204.14</v>
      </c>
      <c r="R12">
        <v>31.9</v>
      </c>
      <c r="S12">
        <v>17.37</v>
      </c>
      <c r="T12">
        <v>5105.07</v>
      </c>
      <c r="U12">
        <v>0.54</v>
      </c>
      <c r="V12">
        <v>0.73</v>
      </c>
      <c r="W12">
        <v>1.1599999999999999</v>
      </c>
      <c r="X12">
        <v>0.32</v>
      </c>
      <c r="Y12">
        <v>1</v>
      </c>
      <c r="Z12">
        <v>10</v>
      </c>
    </row>
    <row r="13" spans="1:26" x14ac:dyDescent="0.3">
      <c r="A13">
        <v>11</v>
      </c>
      <c r="B13">
        <v>70</v>
      </c>
      <c r="C13" t="s">
        <v>26</v>
      </c>
      <c r="D13">
        <v>10.33</v>
      </c>
      <c r="E13">
        <v>9.68</v>
      </c>
      <c r="F13">
        <v>6.99</v>
      </c>
      <c r="G13">
        <v>26.21</v>
      </c>
      <c r="H13">
        <v>0.46</v>
      </c>
      <c r="I13">
        <v>16</v>
      </c>
      <c r="J13">
        <v>145.57</v>
      </c>
      <c r="K13">
        <v>47.83</v>
      </c>
      <c r="L13">
        <v>3.75</v>
      </c>
      <c r="M13">
        <v>14</v>
      </c>
      <c r="N13">
        <v>23.99</v>
      </c>
      <c r="O13">
        <v>18187.93</v>
      </c>
      <c r="P13">
        <v>76.760000000000005</v>
      </c>
      <c r="Q13">
        <v>204.16</v>
      </c>
      <c r="R13">
        <v>31.24</v>
      </c>
      <c r="S13">
        <v>17.37</v>
      </c>
      <c r="T13">
        <v>4782.13</v>
      </c>
      <c r="U13">
        <v>0.56000000000000005</v>
      </c>
      <c r="V13">
        <v>0.73</v>
      </c>
      <c r="W13">
        <v>1.1599999999999999</v>
      </c>
      <c r="X13">
        <v>0.3</v>
      </c>
      <c r="Y13">
        <v>1</v>
      </c>
      <c r="Z13">
        <v>10</v>
      </c>
    </row>
    <row r="14" spans="1:26" x14ac:dyDescent="0.3">
      <c r="A14">
        <v>12</v>
      </c>
      <c r="B14">
        <v>70</v>
      </c>
      <c r="C14" t="s">
        <v>26</v>
      </c>
      <c r="D14">
        <v>10.3932</v>
      </c>
      <c r="E14">
        <v>9.6199999999999992</v>
      </c>
      <c r="F14">
        <v>6.96</v>
      </c>
      <c r="G14">
        <v>27.84</v>
      </c>
      <c r="H14">
        <v>0.49</v>
      </c>
      <c r="I14">
        <v>15</v>
      </c>
      <c r="J14">
        <v>145.91999999999999</v>
      </c>
      <c r="K14">
        <v>47.83</v>
      </c>
      <c r="L14">
        <v>4</v>
      </c>
      <c r="M14">
        <v>13</v>
      </c>
      <c r="N14">
        <v>24.09</v>
      </c>
      <c r="O14">
        <v>18230.349999999999</v>
      </c>
      <c r="P14">
        <v>76.36</v>
      </c>
      <c r="Q14">
        <v>204.19</v>
      </c>
      <c r="R14">
        <v>30.26</v>
      </c>
      <c r="S14">
        <v>17.37</v>
      </c>
      <c r="T14">
        <v>4296.53</v>
      </c>
      <c r="U14">
        <v>0.56999999999999995</v>
      </c>
      <c r="V14">
        <v>0.73</v>
      </c>
      <c r="W14">
        <v>1.1599999999999999</v>
      </c>
      <c r="X14">
        <v>0.27</v>
      </c>
      <c r="Y14">
        <v>1</v>
      </c>
      <c r="Z14">
        <v>10</v>
      </c>
    </row>
    <row r="15" spans="1:26" x14ac:dyDescent="0.3">
      <c r="A15">
        <v>13</v>
      </c>
      <c r="B15">
        <v>70</v>
      </c>
      <c r="C15" t="s">
        <v>26</v>
      </c>
      <c r="D15">
        <v>10.435700000000001</v>
      </c>
      <c r="E15">
        <v>9.58</v>
      </c>
      <c r="F15">
        <v>6.95</v>
      </c>
      <c r="G15">
        <v>29.78</v>
      </c>
      <c r="H15">
        <v>0.51</v>
      </c>
      <c r="I15">
        <v>14</v>
      </c>
      <c r="J15">
        <v>146.26</v>
      </c>
      <c r="K15">
        <v>47.83</v>
      </c>
      <c r="L15">
        <v>4.25</v>
      </c>
      <c r="M15">
        <v>12</v>
      </c>
      <c r="N15">
        <v>24.18</v>
      </c>
      <c r="O15">
        <v>18272.810000000001</v>
      </c>
      <c r="P15">
        <v>75.87</v>
      </c>
      <c r="Q15">
        <v>204.14</v>
      </c>
      <c r="R15">
        <v>29.93</v>
      </c>
      <c r="S15">
        <v>17.37</v>
      </c>
      <c r="T15">
        <v>4135.63</v>
      </c>
      <c r="U15">
        <v>0.57999999999999996</v>
      </c>
      <c r="V15">
        <v>0.73</v>
      </c>
      <c r="W15">
        <v>1.1599999999999999</v>
      </c>
      <c r="X15">
        <v>0.26</v>
      </c>
      <c r="Y15">
        <v>1</v>
      </c>
      <c r="Z15">
        <v>10</v>
      </c>
    </row>
    <row r="16" spans="1:26" x14ac:dyDescent="0.3">
      <c r="A16">
        <v>14</v>
      </c>
      <c r="B16">
        <v>70</v>
      </c>
      <c r="C16" t="s">
        <v>26</v>
      </c>
      <c r="D16">
        <v>10.494999999999999</v>
      </c>
      <c r="E16">
        <v>9.5299999999999994</v>
      </c>
      <c r="F16">
        <v>6.92</v>
      </c>
      <c r="G16">
        <v>31.96</v>
      </c>
      <c r="H16">
        <v>0.54</v>
      </c>
      <c r="I16">
        <v>13</v>
      </c>
      <c r="J16">
        <v>146.61000000000001</v>
      </c>
      <c r="K16">
        <v>47.83</v>
      </c>
      <c r="L16">
        <v>4.5</v>
      </c>
      <c r="M16">
        <v>11</v>
      </c>
      <c r="N16">
        <v>24.28</v>
      </c>
      <c r="O16">
        <v>18315.3</v>
      </c>
      <c r="P16">
        <v>75.239999999999995</v>
      </c>
      <c r="Q16">
        <v>204.17</v>
      </c>
      <c r="R16">
        <v>29.17</v>
      </c>
      <c r="S16">
        <v>17.37</v>
      </c>
      <c r="T16">
        <v>3762.82</v>
      </c>
      <c r="U16">
        <v>0.6</v>
      </c>
      <c r="V16">
        <v>0.74</v>
      </c>
      <c r="W16">
        <v>1.1499999999999999</v>
      </c>
      <c r="X16">
        <v>0.23</v>
      </c>
      <c r="Y16">
        <v>1</v>
      </c>
      <c r="Z16">
        <v>10</v>
      </c>
    </row>
    <row r="17" spans="1:26" x14ac:dyDescent="0.3">
      <c r="A17">
        <v>15</v>
      </c>
      <c r="B17">
        <v>70</v>
      </c>
      <c r="C17" t="s">
        <v>26</v>
      </c>
      <c r="D17">
        <v>10.491</v>
      </c>
      <c r="E17">
        <v>9.5299999999999994</v>
      </c>
      <c r="F17">
        <v>6.93</v>
      </c>
      <c r="G17">
        <v>31.98</v>
      </c>
      <c r="H17">
        <v>0.56999999999999995</v>
      </c>
      <c r="I17">
        <v>13</v>
      </c>
      <c r="J17">
        <v>146.94999999999999</v>
      </c>
      <c r="K17">
        <v>47.83</v>
      </c>
      <c r="L17">
        <v>4.75</v>
      </c>
      <c r="M17">
        <v>11</v>
      </c>
      <c r="N17">
        <v>24.37</v>
      </c>
      <c r="O17">
        <v>18357.82</v>
      </c>
      <c r="P17">
        <v>75.239999999999995</v>
      </c>
      <c r="Q17">
        <v>204.17</v>
      </c>
      <c r="R17">
        <v>29.09</v>
      </c>
      <c r="S17">
        <v>17.37</v>
      </c>
      <c r="T17">
        <v>3723.34</v>
      </c>
      <c r="U17">
        <v>0.6</v>
      </c>
      <c r="V17">
        <v>0.74</v>
      </c>
      <c r="W17">
        <v>1.1599999999999999</v>
      </c>
      <c r="X17">
        <v>0.24</v>
      </c>
      <c r="Y17">
        <v>1</v>
      </c>
      <c r="Z17">
        <v>10</v>
      </c>
    </row>
    <row r="18" spans="1:26" x14ac:dyDescent="0.3">
      <c r="A18">
        <v>16</v>
      </c>
      <c r="B18">
        <v>70</v>
      </c>
      <c r="C18" t="s">
        <v>26</v>
      </c>
      <c r="D18">
        <v>10.537100000000001</v>
      </c>
      <c r="E18">
        <v>9.49</v>
      </c>
      <c r="F18">
        <v>6.92</v>
      </c>
      <c r="G18">
        <v>34.58</v>
      </c>
      <c r="H18">
        <v>0.6</v>
      </c>
      <c r="I18">
        <v>12</v>
      </c>
      <c r="J18">
        <v>147.30000000000001</v>
      </c>
      <c r="K18">
        <v>47.83</v>
      </c>
      <c r="L18">
        <v>5</v>
      </c>
      <c r="M18">
        <v>10</v>
      </c>
      <c r="N18">
        <v>24.47</v>
      </c>
      <c r="O18">
        <v>18400.38</v>
      </c>
      <c r="P18">
        <v>74.91</v>
      </c>
      <c r="Q18">
        <v>204.15</v>
      </c>
      <c r="R18">
        <v>28.91</v>
      </c>
      <c r="S18">
        <v>17.37</v>
      </c>
      <c r="T18">
        <v>3635.82</v>
      </c>
      <c r="U18">
        <v>0.6</v>
      </c>
      <c r="V18">
        <v>0.74</v>
      </c>
      <c r="W18">
        <v>1.1499999999999999</v>
      </c>
      <c r="X18">
        <v>0.22</v>
      </c>
      <c r="Y18">
        <v>1</v>
      </c>
      <c r="Z18">
        <v>10</v>
      </c>
    </row>
    <row r="19" spans="1:26" x14ac:dyDescent="0.3">
      <c r="A19">
        <v>17</v>
      </c>
      <c r="B19">
        <v>70</v>
      </c>
      <c r="C19" t="s">
        <v>26</v>
      </c>
      <c r="D19">
        <v>10.542</v>
      </c>
      <c r="E19">
        <v>9.49</v>
      </c>
      <c r="F19">
        <v>6.91</v>
      </c>
      <c r="G19">
        <v>34.549999999999997</v>
      </c>
      <c r="H19">
        <v>0.63</v>
      </c>
      <c r="I19">
        <v>12</v>
      </c>
      <c r="J19">
        <v>147.63999999999999</v>
      </c>
      <c r="K19">
        <v>47.83</v>
      </c>
      <c r="L19">
        <v>5.25</v>
      </c>
      <c r="M19">
        <v>10</v>
      </c>
      <c r="N19">
        <v>24.56</v>
      </c>
      <c r="O19">
        <v>18442.97</v>
      </c>
      <c r="P19">
        <v>74.42</v>
      </c>
      <c r="Q19">
        <v>204.14</v>
      </c>
      <c r="R19">
        <v>28.67</v>
      </c>
      <c r="S19">
        <v>17.37</v>
      </c>
      <c r="T19">
        <v>3515.14</v>
      </c>
      <c r="U19">
        <v>0.61</v>
      </c>
      <c r="V19">
        <v>0.74</v>
      </c>
      <c r="W19">
        <v>1.1599999999999999</v>
      </c>
      <c r="X19">
        <v>0.22</v>
      </c>
      <c r="Y19">
        <v>1</v>
      </c>
      <c r="Z19">
        <v>10</v>
      </c>
    </row>
    <row r="20" spans="1:26" x14ac:dyDescent="0.3">
      <c r="A20">
        <v>18</v>
      </c>
      <c r="B20">
        <v>70</v>
      </c>
      <c r="C20" t="s">
        <v>26</v>
      </c>
      <c r="D20">
        <v>10.6107</v>
      </c>
      <c r="E20">
        <v>9.42</v>
      </c>
      <c r="F20">
        <v>6.88</v>
      </c>
      <c r="G20">
        <v>37.520000000000003</v>
      </c>
      <c r="H20">
        <v>0.66</v>
      </c>
      <c r="I20">
        <v>11</v>
      </c>
      <c r="J20">
        <v>147.99</v>
      </c>
      <c r="K20">
        <v>47.83</v>
      </c>
      <c r="L20">
        <v>5.5</v>
      </c>
      <c r="M20">
        <v>9</v>
      </c>
      <c r="N20">
        <v>24.66</v>
      </c>
      <c r="O20">
        <v>18485.59</v>
      </c>
      <c r="P20">
        <v>73.89</v>
      </c>
      <c r="Q20">
        <v>204.18</v>
      </c>
      <c r="R20">
        <v>27.65</v>
      </c>
      <c r="S20">
        <v>17.37</v>
      </c>
      <c r="T20">
        <v>3010.86</v>
      </c>
      <c r="U20">
        <v>0.63</v>
      </c>
      <c r="V20">
        <v>0.74</v>
      </c>
      <c r="W20">
        <v>1.1499999999999999</v>
      </c>
      <c r="X20">
        <v>0.19</v>
      </c>
      <c r="Y20">
        <v>1</v>
      </c>
      <c r="Z20">
        <v>10</v>
      </c>
    </row>
    <row r="21" spans="1:26" x14ac:dyDescent="0.3">
      <c r="A21">
        <v>19</v>
      </c>
      <c r="B21">
        <v>70</v>
      </c>
      <c r="C21" t="s">
        <v>26</v>
      </c>
      <c r="D21">
        <v>10.6013</v>
      </c>
      <c r="E21">
        <v>9.43</v>
      </c>
      <c r="F21">
        <v>6.89</v>
      </c>
      <c r="G21">
        <v>37.56</v>
      </c>
      <c r="H21">
        <v>0.69</v>
      </c>
      <c r="I21">
        <v>11</v>
      </c>
      <c r="J21">
        <v>148.33000000000001</v>
      </c>
      <c r="K21">
        <v>47.83</v>
      </c>
      <c r="L21">
        <v>5.75</v>
      </c>
      <c r="M21">
        <v>9</v>
      </c>
      <c r="N21">
        <v>24.75</v>
      </c>
      <c r="O21">
        <v>18528.25</v>
      </c>
      <c r="P21">
        <v>73.58</v>
      </c>
      <c r="Q21">
        <v>204.14</v>
      </c>
      <c r="R21">
        <v>27.93</v>
      </c>
      <c r="S21">
        <v>17.37</v>
      </c>
      <c r="T21">
        <v>3152.35</v>
      </c>
      <c r="U21">
        <v>0.62</v>
      </c>
      <c r="V21">
        <v>0.74</v>
      </c>
      <c r="W21">
        <v>1.1499999999999999</v>
      </c>
      <c r="X21">
        <v>0.2</v>
      </c>
      <c r="Y21">
        <v>1</v>
      </c>
      <c r="Z21">
        <v>10</v>
      </c>
    </row>
    <row r="22" spans="1:26" x14ac:dyDescent="0.3">
      <c r="A22">
        <v>20</v>
      </c>
      <c r="B22">
        <v>70</v>
      </c>
      <c r="C22" t="s">
        <v>26</v>
      </c>
      <c r="D22">
        <v>10.6503</v>
      </c>
      <c r="E22">
        <v>9.39</v>
      </c>
      <c r="F22">
        <v>6.87</v>
      </c>
      <c r="G22">
        <v>41.23</v>
      </c>
      <c r="H22">
        <v>0.71</v>
      </c>
      <c r="I22">
        <v>10</v>
      </c>
      <c r="J22">
        <v>148.68</v>
      </c>
      <c r="K22">
        <v>47.83</v>
      </c>
      <c r="L22">
        <v>6</v>
      </c>
      <c r="M22">
        <v>8</v>
      </c>
      <c r="N22">
        <v>24.85</v>
      </c>
      <c r="O22">
        <v>18570.939999999999</v>
      </c>
      <c r="P22">
        <v>73.06</v>
      </c>
      <c r="Q22">
        <v>204.14</v>
      </c>
      <c r="R22">
        <v>27.51</v>
      </c>
      <c r="S22">
        <v>17.37</v>
      </c>
      <c r="T22">
        <v>2948.55</v>
      </c>
      <c r="U22">
        <v>0.63</v>
      </c>
      <c r="V22">
        <v>0.74</v>
      </c>
      <c r="W22">
        <v>1.1499999999999999</v>
      </c>
      <c r="X22">
        <v>0.18</v>
      </c>
      <c r="Y22">
        <v>1</v>
      </c>
      <c r="Z22">
        <v>10</v>
      </c>
    </row>
    <row r="23" spans="1:26" x14ac:dyDescent="0.3">
      <c r="A23">
        <v>21</v>
      </c>
      <c r="B23">
        <v>70</v>
      </c>
      <c r="C23" t="s">
        <v>26</v>
      </c>
      <c r="D23">
        <v>10.6645</v>
      </c>
      <c r="E23">
        <v>9.3800000000000008</v>
      </c>
      <c r="F23">
        <v>6.86</v>
      </c>
      <c r="G23">
        <v>41.16</v>
      </c>
      <c r="H23">
        <v>0.74</v>
      </c>
      <c r="I23">
        <v>10</v>
      </c>
      <c r="J23">
        <v>149.02000000000001</v>
      </c>
      <c r="K23">
        <v>47.83</v>
      </c>
      <c r="L23">
        <v>6.25</v>
      </c>
      <c r="M23">
        <v>8</v>
      </c>
      <c r="N23">
        <v>24.95</v>
      </c>
      <c r="O23">
        <v>18613.66</v>
      </c>
      <c r="P23">
        <v>73.02</v>
      </c>
      <c r="Q23">
        <v>204.15</v>
      </c>
      <c r="R23">
        <v>27.05</v>
      </c>
      <c r="S23">
        <v>17.37</v>
      </c>
      <c r="T23">
        <v>2715.82</v>
      </c>
      <c r="U23">
        <v>0.64</v>
      </c>
      <c r="V23">
        <v>0.74</v>
      </c>
      <c r="W23">
        <v>1.1499999999999999</v>
      </c>
      <c r="X23">
        <v>0.17</v>
      </c>
      <c r="Y23">
        <v>1</v>
      </c>
      <c r="Z23">
        <v>10</v>
      </c>
    </row>
    <row r="24" spans="1:26" x14ac:dyDescent="0.3">
      <c r="A24">
        <v>22</v>
      </c>
      <c r="B24">
        <v>70</v>
      </c>
      <c r="C24" t="s">
        <v>26</v>
      </c>
      <c r="D24">
        <v>10.7136</v>
      </c>
      <c r="E24">
        <v>9.33</v>
      </c>
      <c r="F24">
        <v>6.85</v>
      </c>
      <c r="G24">
        <v>45.64</v>
      </c>
      <c r="H24">
        <v>0.77</v>
      </c>
      <c r="I24">
        <v>9</v>
      </c>
      <c r="J24">
        <v>149.37</v>
      </c>
      <c r="K24">
        <v>47.83</v>
      </c>
      <c r="L24">
        <v>6.5</v>
      </c>
      <c r="M24">
        <v>7</v>
      </c>
      <c r="N24">
        <v>25.04</v>
      </c>
      <c r="O24">
        <v>18656.419999999998</v>
      </c>
      <c r="P24">
        <v>72.239999999999995</v>
      </c>
      <c r="Q24">
        <v>204.14</v>
      </c>
      <c r="R24">
        <v>26.66</v>
      </c>
      <c r="S24">
        <v>17.37</v>
      </c>
      <c r="T24">
        <v>2527.5300000000002</v>
      </c>
      <c r="U24">
        <v>0.65</v>
      </c>
      <c r="V24">
        <v>0.75</v>
      </c>
      <c r="W24">
        <v>1.1499999999999999</v>
      </c>
      <c r="X24">
        <v>0.15</v>
      </c>
      <c r="Y24">
        <v>1</v>
      </c>
      <c r="Z24">
        <v>10</v>
      </c>
    </row>
    <row r="25" spans="1:26" x14ac:dyDescent="0.3">
      <c r="A25">
        <v>23</v>
      </c>
      <c r="B25">
        <v>70</v>
      </c>
      <c r="C25" t="s">
        <v>26</v>
      </c>
      <c r="D25">
        <v>10.699299999999999</v>
      </c>
      <c r="E25">
        <v>9.35</v>
      </c>
      <c r="F25">
        <v>6.86</v>
      </c>
      <c r="G25">
        <v>45.72</v>
      </c>
      <c r="H25">
        <v>0.8</v>
      </c>
      <c r="I25">
        <v>9</v>
      </c>
      <c r="J25">
        <v>149.72</v>
      </c>
      <c r="K25">
        <v>47.83</v>
      </c>
      <c r="L25">
        <v>6.75</v>
      </c>
      <c r="M25">
        <v>7</v>
      </c>
      <c r="N25">
        <v>25.14</v>
      </c>
      <c r="O25">
        <v>18699.2</v>
      </c>
      <c r="P25">
        <v>72.64</v>
      </c>
      <c r="Q25">
        <v>204.15</v>
      </c>
      <c r="R25">
        <v>27.05</v>
      </c>
      <c r="S25">
        <v>17.37</v>
      </c>
      <c r="T25">
        <v>2721.39</v>
      </c>
      <c r="U25">
        <v>0.64</v>
      </c>
      <c r="V25">
        <v>0.74</v>
      </c>
      <c r="W25">
        <v>1.1499999999999999</v>
      </c>
      <c r="X25">
        <v>0.17</v>
      </c>
      <c r="Y25">
        <v>1</v>
      </c>
      <c r="Z25">
        <v>10</v>
      </c>
    </row>
    <row r="26" spans="1:26" x14ac:dyDescent="0.3">
      <c r="A26">
        <v>24</v>
      </c>
      <c r="B26">
        <v>70</v>
      </c>
      <c r="C26" t="s">
        <v>26</v>
      </c>
      <c r="D26">
        <v>10.697699999999999</v>
      </c>
      <c r="E26">
        <v>9.35</v>
      </c>
      <c r="F26">
        <v>6.86</v>
      </c>
      <c r="G26">
        <v>45.73</v>
      </c>
      <c r="H26">
        <v>0.83</v>
      </c>
      <c r="I26">
        <v>9</v>
      </c>
      <c r="J26">
        <v>150.07</v>
      </c>
      <c r="K26">
        <v>47.83</v>
      </c>
      <c r="L26">
        <v>7</v>
      </c>
      <c r="M26">
        <v>7</v>
      </c>
      <c r="N26">
        <v>25.24</v>
      </c>
      <c r="O26">
        <v>18742.03</v>
      </c>
      <c r="P26">
        <v>72.319999999999993</v>
      </c>
      <c r="Q26">
        <v>204.16</v>
      </c>
      <c r="R26">
        <v>27.04</v>
      </c>
      <c r="S26">
        <v>17.37</v>
      </c>
      <c r="T26">
        <v>2717.91</v>
      </c>
      <c r="U26">
        <v>0.64</v>
      </c>
      <c r="V26">
        <v>0.74</v>
      </c>
      <c r="W26">
        <v>1.1499999999999999</v>
      </c>
      <c r="X26">
        <v>0.17</v>
      </c>
      <c r="Y26">
        <v>1</v>
      </c>
      <c r="Z26">
        <v>10</v>
      </c>
    </row>
    <row r="27" spans="1:26" x14ac:dyDescent="0.3">
      <c r="A27">
        <v>25</v>
      </c>
      <c r="B27">
        <v>70</v>
      </c>
      <c r="C27" t="s">
        <v>26</v>
      </c>
      <c r="D27">
        <v>10.703799999999999</v>
      </c>
      <c r="E27">
        <v>9.34</v>
      </c>
      <c r="F27">
        <v>6.85</v>
      </c>
      <c r="G27">
        <v>45.69</v>
      </c>
      <c r="H27">
        <v>0.85</v>
      </c>
      <c r="I27">
        <v>9</v>
      </c>
      <c r="J27">
        <v>150.41</v>
      </c>
      <c r="K27">
        <v>47.83</v>
      </c>
      <c r="L27">
        <v>7.25</v>
      </c>
      <c r="M27">
        <v>7</v>
      </c>
      <c r="N27">
        <v>25.33</v>
      </c>
      <c r="O27">
        <v>18784.88</v>
      </c>
      <c r="P27">
        <v>71.849999999999994</v>
      </c>
      <c r="Q27">
        <v>204.14</v>
      </c>
      <c r="R27">
        <v>26.88</v>
      </c>
      <c r="S27">
        <v>17.37</v>
      </c>
      <c r="T27">
        <v>2636.91</v>
      </c>
      <c r="U27">
        <v>0.65</v>
      </c>
      <c r="V27">
        <v>0.75</v>
      </c>
      <c r="W27">
        <v>1.1499999999999999</v>
      </c>
      <c r="X27">
        <v>0.16</v>
      </c>
      <c r="Y27">
        <v>1</v>
      </c>
      <c r="Z27">
        <v>10</v>
      </c>
    </row>
    <row r="28" spans="1:26" x14ac:dyDescent="0.3">
      <c r="A28">
        <v>26</v>
      </c>
      <c r="B28">
        <v>70</v>
      </c>
      <c r="C28" t="s">
        <v>26</v>
      </c>
      <c r="D28">
        <v>10.7752</v>
      </c>
      <c r="E28">
        <v>9.2799999999999994</v>
      </c>
      <c r="F28">
        <v>6.82</v>
      </c>
      <c r="G28">
        <v>51.16</v>
      </c>
      <c r="H28">
        <v>0.88</v>
      </c>
      <c r="I28">
        <v>8</v>
      </c>
      <c r="J28">
        <v>150.76</v>
      </c>
      <c r="K28">
        <v>47.83</v>
      </c>
      <c r="L28">
        <v>7.5</v>
      </c>
      <c r="M28">
        <v>6</v>
      </c>
      <c r="N28">
        <v>25.43</v>
      </c>
      <c r="O28">
        <v>18827.77</v>
      </c>
      <c r="P28">
        <v>71.22</v>
      </c>
      <c r="Q28">
        <v>204.14</v>
      </c>
      <c r="R28">
        <v>25.85</v>
      </c>
      <c r="S28">
        <v>17.37</v>
      </c>
      <c r="T28">
        <v>2127.5500000000002</v>
      </c>
      <c r="U28">
        <v>0.67</v>
      </c>
      <c r="V28">
        <v>0.75</v>
      </c>
      <c r="W28">
        <v>1.1499999999999999</v>
      </c>
      <c r="X28">
        <v>0.13</v>
      </c>
      <c r="Y28">
        <v>1</v>
      </c>
      <c r="Z28">
        <v>10</v>
      </c>
    </row>
    <row r="29" spans="1:26" x14ac:dyDescent="0.3">
      <c r="A29">
        <v>27</v>
      </c>
      <c r="B29">
        <v>70</v>
      </c>
      <c r="C29" t="s">
        <v>26</v>
      </c>
      <c r="D29">
        <v>10.7598</v>
      </c>
      <c r="E29">
        <v>9.2899999999999991</v>
      </c>
      <c r="F29">
        <v>6.83</v>
      </c>
      <c r="G29">
        <v>51.26</v>
      </c>
      <c r="H29">
        <v>0.91</v>
      </c>
      <c r="I29">
        <v>8</v>
      </c>
      <c r="J29">
        <v>151.11000000000001</v>
      </c>
      <c r="K29">
        <v>47.83</v>
      </c>
      <c r="L29">
        <v>7.75</v>
      </c>
      <c r="M29">
        <v>6</v>
      </c>
      <c r="N29">
        <v>25.53</v>
      </c>
      <c r="O29">
        <v>18870.7</v>
      </c>
      <c r="P29">
        <v>70.930000000000007</v>
      </c>
      <c r="Q29">
        <v>204.15</v>
      </c>
      <c r="R29">
        <v>26.33</v>
      </c>
      <c r="S29">
        <v>17.37</v>
      </c>
      <c r="T29">
        <v>2366.61</v>
      </c>
      <c r="U29">
        <v>0.66</v>
      </c>
      <c r="V29">
        <v>0.75</v>
      </c>
      <c r="W29">
        <v>1.1499999999999999</v>
      </c>
      <c r="X29">
        <v>0.14000000000000001</v>
      </c>
      <c r="Y29">
        <v>1</v>
      </c>
      <c r="Z29">
        <v>10</v>
      </c>
    </row>
    <row r="30" spans="1:26" x14ac:dyDescent="0.3">
      <c r="A30">
        <v>28</v>
      </c>
      <c r="B30">
        <v>70</v>
      </c>
      <c r="C30" t="s">
        <v>26</v>
      </c>
      <c r="D30">
        <v>10.769399999999999</v>
      </c>
      <c r="E30">
        <v>9.2899999999999991</v>
      </c>
      <c r="F30">
        <v>6.83</v>
      </c>
      <c r="G30">
        <v>51.2</v>
      </c>
      <c r="H30">
        <v>0.94</v>
      </c>
      <c r="I30">
        <v>8</v>
      </c>
      <c r="J30">
        <v>151.46</v>
      </c>
      <c r="K30">
        <v>47.83</v>
      </c>
      <c r="L30">
        <v>8</v>
      </c>
      <c r="M30">
        <v>6</v>
      </c>
      <c r="N30">
        <v>25.63</v>
      </c>
      <c r="O30">
        <v>18913.66</v>
      </c>
      <c r="P30">
        <v>70.760000000000005</v>
      </c>
      <c r="Q30">
        <v>204.17</v>
      </c>
      <c r="R30">
        <v>26.06</v>
      </c>
      <c r="S30">
        <v>17.37</v>
      </c>
      <c r="T30">
        <v>2230.09</v>
      </c>
      <c r="U30">
        <v>0.67</v>
      </c>
      <c r="V30">
        <v>0.75</v>
      </c>
      <c r="W30">
        <v>1.1499999999999999</v>
      </c>
      <c r="X30">
        <v>0.13</v>
      </c>
      <c r="Y30">
        <v>1</v>
      </c>
      <c r="Z30">
        <v>10</v>
      </c>
    </row>
    <row r="31" spans="1:26" x14ac:dyDescent="0.3">
      <c r="A31">
        <v>29</v>
      </c>
      <c r="B31">
        <v>70</v>
      </c>
      <c r="C31" t="s">
        <v>26</v>
      </c>
      <c r="D31">
        <v>10.7643</v>
      </c>
      <c r="E31">
        <v>9.2899999999999991</v>
      </c>
      <c r="F31">
        <v>6.83</v>
      </c>
      <c r="G31">
        <v>51.23</v>
      </c>
      <c r="H31">
        <v>0.96</v>
      </c>
      <c r="I31">
        <v>8</v>
      </c>
      <c r="J31">
        <v>151.81</v>
      </c>
      <c r="K31">
        <v>47.83</v>
      </c>
      <c r="L31">
        <v>8.25</v>
      </c>
      <c r="M31">
        <v>6</v>
      </c>
      <c r="N31">
        <v>25.73</v>
      </c>
      <c r="O31">
        <v>18956.650000000001</v>
      </c>
      <c r="P31">
        <v>70.28</v>
      </c>
      <c r="Q31">
        <v>204.14</v>
      </c>
      <c r="R31">
        <v>26.07</v>
      </c>
      <c r="S31">
        <v>17.37</v>
      </c>
      <c r="T31">
        <v>2235.9699999999998</v>
      </c>
      <c r="U31">
        <v>0.67</v>
      </c>
      <c r="V31">
        <v>0.75</v>
      </c>
      <c r="W31">
        <v>1.1499999999999999</v>
      </c>
      <c r="X31">
        <v>0.14000000000000001</v>
      </c>
      <c r="Y31">
        <v>1</v>
      </c>
      <c r="Z31">
        <v>10</v>
      </c>
    </row>
    <row r="32" spans="1:26" x14ac:dyDescent="0.3">
      <c r="A32">
        <v>30</v>
      </c>
      <c r="B32">
        <v>70</v>
      </c>
      <c r="C32" t="s">
        <v>26</v>
      </c>
      <c r="D32">
        <v>10.833299999999999</v>
      </c>
      <c r="E32">
        <v>9.23</v>
      </c>
      <c r="F32">
        <v>6.8</v>
      </c>
      <c r="G32">
        <v>58.29</v>
      </c>
      <c r="H32">
        <v>0.99</v>
      </c>
      <c r="I32">
        <v>7</v>
      </c>
      <c r="J32">
        <v>152.15</v>
      </c>
      <c r="K32">
        <v>47.83</v>
      </c>
      <c r="L32">
        <v>8.5</v>
      </c>
      <c r="M32">
        <v>5</v>
      </c>
      <c r="N32">
        <v>25.83</v>
      </c>
      <c r="O32">
        <v>18999.669999999998</v>
      </c>
      <c r="P32">
        <v>69.959999999999994</v>
      </c>
      <c r="Q32">
        <v>204.18</v>
      </c>
      <c r="R32">
        <v>25.24</v>
      </c>
      <c r="S32">
        <v>17.37</v>
      </c>
      <c r="T32">
        <v>1828.75</v>
      </c>
      <c r="U32">
        <v>0.69</v>
      </c>
      <c r="V32">
        <v>0.75</v>
      </c>
      <c r="W32">
        <v>1.1499999999999999</v>
      </c>
      <c r="X32">
        <v>0.11</v>
      </c>
      <c r="Y32">
        <v>1</v>
      </c>
      <c r="Z32">
        <v>10</v>
      </c>
    </row>
    <row r="33" spans="1:26" x14ac:dyDescent="0.3">
      <c r="A33">
        <v>31</v>
      </c>
      <c r="B33">
        <v>70</v>
      </c>
      <c r="C33" t="s">
        <v>26</v>
      </c>
      <c r="D33">
        <v>10.8287</v>
      </c>
      <c r="E33">
        <v>9.23</v>
      </c>
      <c r="F33">
        <v>6.8</v>
      </c>
      <c r="G33">
        <v>58.32</v>
      </c>
      <c r="H33">
        <v>1.02</v>
      </c>
      <c r="I33">
        <v>7</v>
      </c>
      <c r="J33">
        <v>152.5</v>
      </c>
      <c r="K33">
        <v>47.83</v>
      </c>
      <c r="L33">
        <v>8.75</v>
      </c>
      <c r="M33">
        <v>5</v>
      </c>
      <c r="N33">
        <v>25.93</v>
      </c>
      <c r="O33">
        <v>19042.73</v>
      </c>
      <c r="P33">
        <v>70.13</v>
      </c>
      <c r="Q33">
        <v>204.17</v>
      </c>
      <c r="R33">
        <v>25.31</v>
      </c>
      <c r="S33">
        <v>17.37</v>
      </c>
      <c r="T33">
        <v>1863.52</v>
      </c>
      <c r="U33">
        <v>0.69</v>
      </c>
      <c r="V33">
        <v>0.75</v>
      </c>
      <c r="W33">
        <v>1.1499999999999999</v>
      </c>
      <c r="X33">
        <v>0.11</v>
      </c>
      <c r="Y33">
        <v>1</v>
      </c>
      <c r="Z33">
        <v>10</v>
      </c>
    </row>
    <row r="34" spans="1:26" x14ac:dyDescent="0.3">
      <c r="A34">
        <v>32</v>
      </c>
      <c r="B34">
        <v>70</v>
      </c>
      <c r="C34" t="s">
        <v>26</v>
      </c>
      <c r="D34">
        <v>10.8225</v>
      </c>
      <c r="E34">
        <v>9.24</v>
      </c>
      <c r="F34">
        <v>6.81</v>
      </c>
      <c r="G34">
        <v>58.37</v>
      </c>
      <c r="H34">
        <v>1.04</v>
      </c>
      <c r="I34">
        <v>7</v>
      </c>
      <c r="J34">
        <v>152.85</v>
      </c>
      <c r="K34">
        <v>47.83</v>
      </c>
      <c r="L34">
        <v>9</v>
      </c>
      <c r="M34">
        <v>5</v>
      </c>
      <c r="N34">
        <v>26.03</v>
      </c>
      <c r="O34">
        <v>19085.830000000002</v>
      </c>
      <c r="P34">
        <v>69.959999999999994</v>
      </c>
      <c r="Q34">
        <v>204.14</v>
      </c>
      <c r="R34">
        <v>25.53</v>
      </c>
      <c r="S34">
        <v>17.37</v>
      </c>
      <c r="T34">
        <v>1973.95</v>
      </c>
      <c r="U34">
        <v>0.68</v>
      </c>
      <c r="V34">
        <v>0.75</v>
      </c>
      <c r="W34">
        <v>1.1499999999999999</v>
      </c>
      <c r="X34">
        <v>0.12</v>
      </c>
      <c r="Y34">
        <v>1</v>
      </c>
      <c r="Z34">
        <v>10</v>
      </c>
    </row>
    <row r="35" spans="1:26" x14ac:dyDescent="0.3">
      <c r="A35">
        <v>33</v>
      </c>
      <c r="B35">
        <v>70</v>
      </c>
      <c r="C35" t="s">
        <v>26</v>
      </c>
      <c r="D35">
        <v>10.8202</v>
      </c>
      <c r="E35">
        <v>9.24</v>
      </c>
      <c r="F35">
        <v>6.81</v>
      </c>
      <c r="G35">
        <v>58.38</v>
      </c>
      <c r="H35">
        <v>1.07</v>
      </c>
      <c r="I35">
        <v>7</v>
      </c>
      <c r="J35">
        <v>153.19999999999999</v>
      </c>
      <c r="K35">
        <v>47.83</v>
      </c>
      <c r="L35">
        <v>9.25</v>
      </c>
      <c r="M35">
        <v>5</v>
      </c>
      <c r="N35">
        <v>26.12</v>
      </c>
      <c r="O35">
        <v>19128.96</v>
      </c>
      <c r="P35">
        <v>69.56</v>
      </c>
      <c r="Q35">
        <v>204.14</v>
      </c>
      <c r="R35">
        <v>25.63</v>
      </c>
      <c r="S35">
        <v>17.37</v>
      </c>
      <c r="T35">
        <v>2022.81</v>
      </c>
      <c r="U35">
        <v>0.68</v>
      </c>
      <c r="V35">
        <v>0.75</v>
      </c>
      <c r="W35">
        <v>1.1499999999999999</v>
      </c>
      <c r="X35">
        <v>0.12</v>
      </c>
      <c r="Y35">
        <v>1</v>
      </c>
      <c r="Z35">
        <v>10</v>
      </c>
    </row>
    <row r="36" spans="1:26" x14ac:dyDescent="0.3">
      <c r="A36">
        <v>34</v>
      </c>
      <c r="B36">
        <v>70</v>
      </c>
      <c r="C36" t="s">
        <v>26</v>
      </c>
      <c r="D36">
        <v>10.8111</v>
      </c>
      <c r="E36">
        <v>9.25</v>
      </c>
      <c r="F36">
        <v>6.82</v>
      </c>
      <c r="G36">
        <v>58.45</v>
      </c>
      <c r="H36">
        <v>1.1000000000000001</v>
      </c>
      <c r="I36">
        <v>7</v>
      </c>
      <c r="J36">
        <v>153.55000000000001</v>
      </c>
      <c r="K36">
        <v>47.83</v>
      </c>
      <c r="L36">
        <v>9.5</v>
      </c>
      <c r="M36">
        <v>5</v>
      </c>
      <c r="N36">
        <v>26.22</v>
      </c>
      <c r="O36">
        <v>19172.12</v>
      </c>
      <c r="P36">
        <v>69.2</v>
      </c>
      <c r="Q36">
        <v>204.14</v>
      </c>
      <c r="R36">
        <v>25.87</v>
      </c>
      <c r="S36">
        <v>17.37</v>
      </c>
      <c r="T36">
        <v>2141.9299999999998</v>
      </c>
      <c r="U36">
        <v>0.67</v>
      </c>
      <c r="V36">
        <v>0.75</v>
      </c>
      <c r="W36">
        <v>1.1499999999999999</v>
      </c>
      <c r="X36">
        <v>0.13</v>
      </c>
      <c r="Y36">
        <v>1</v>
      </c>
      <c r="Z36">
        <v>10</v>
      </c>
    </row>
    <row r="37" spans="1:26" x14ac:dyDescent="0.3">
      <c r="A37">
        <v>35</v>
      </c>
      <c r="B37">
        <v>70</v>
      </c>
      <c r="C37" t="s">
        <v>26</v>
      </c>
      <c r="D37">
        <v>10.829000000000001</v>
      </c>
      <c r="E37">
        <v>9.23</v>
      </c>
      <c r="F37">
        <v>6.8</v>
      </c>
      <c r="G37">
        <v>58.32</v>
      </c>
      <c r="H37">
        <v>1.1200000000000001</v>
      </c>
      <c r="I37">
        <v>7</v>
      </c>
      <c r="J37">
        <v>153.9</v>
      </c>
      <c r="K37">
        <v>47.83</v>
      </c>
      <c r="L37">
        <v>9.75</v>
      </c>
      <c r="M37">
        <v>5</v>
      </c>
      <c r="N37">
        <v>26.32</v>
      </c>
      <c r="O37">
        <v>19215.32</v>
      </c>
      <c r="P37">
        <v>68.48</v>
      </c>
      <c r="Q37">
        <v>204.14</v>
      </c>
      <c r="R37">
        <v>25.4</v>
      </c>
      <c r="S37">
        <v>17.37</v>
      </c>
      <c r="T37">
        <v>1905.21</v>
      </c>
      <c r="U37">
        <v>0.68</v>
      </c>
      <c r="V37">
        <v>0.75</v>
      </c>
      <c r="W37">
        <v>1.1499999999999999</v>
      </c>
      <c r="X37">
        <v>0.11</v>
      </c>
      <c r="Y37">
        <v>1</v>
      </c>
      <c r="Z37">
        <v>10</v>
      </c>
    </row>
    <row r="38" spans="1:26" x14ac:dyDescent="0.3">
      <c r="A38">
        <v>36</v>
      </c>
      <c r="B38">
        <v>70</v>
      </c>
      <c r="C38" t="s">
        <v>26</v>
      </c>
      <c r="D38">
        <v>10.8847</v>
      </c>
      <c r="E38">
        <v>9.19</v>
      </c>
      <c r="F38">
        <v>6.79</v>
      </c>
      <c r="G38">
        <v>67.86</v>
      </c>
      <c r="H38">
        <v>1.1499999999999999</v>
      </c>
      <c r="I38">
        <v>6</v>
      </c>
      <c r="J38">
        <v>154.25</v>
      </c>
      <c r="K38">
        <v>47.83</v>
      </c>
      <c r="L38">
        <v>10</v>
      </c>
      <c r="M38">
        <v>4</v>
      </c>
      <c r="N38">
        <v>26.43</v>
      </c>
      <c r="O38">
        <v>19258.55</v>
      </c>
      <c r="P38">
        <v>68.150000000000006</v>
      </c>
      <c r="Q38">
        <v>204.15</v>
      </c>
      <c r="R38">
        <v>24.84</v>
      </c>
      <c r="S38">
        <v>17.37</v>
      </c>
      <c r="T38">
        <v>1633.22</v>
      </c>
      <c r="U38">
        <v>0.7</v>
      </c>
      <c r="V38">
        <v>0.75</v>
      </c>
      <c r="W38">
        <v>1.1399999999999999</v>
      </c>
      <c r="X38">
        <v>0.09</v>
      </c>
      <c r="Y38">
        <v>1</v>
      </c>
      <c r="Z38">
        <v>10</v>
      </c>
    </row>
    <row r="39" spans="1:26" x14ac:dyDescent="0.3">
      <c r="A39">
        <v>37</v>
      </c>
      <c r="B39">
        <v>70</v>
      </c>
      <c r="C39" t="s">
        <v>26</v>
      </c>
      <c r="D39">
        <v>10.8804</v>
      </c>
      <c r="E39">
        <v>9.19</v>
      </c>
      <c r="F39">
        <v>6.79</v>
      </c>
      <c r="G39">
        <v>67.89</v>
      </c>
      <c r="H39">
        <v>1.17</v>
      </c>
      <c r="I39">
        <v>6</v>
      </c>
      <c r="J39">
        <v>154.6</v>
      </c>
      <c r="K39">
        <v>47.83</v>
      </c>
      <c r="L39">
        <v>10.25</v>
      </c>
      <c r="M39">
        <v>4</v>
      </c>
      <c r="N39">
        <v>26.53</v>
      </c>
      <c r="O39">
        <v>19301.82</v>
      </c>
      <c r="P39">
        <v>68.25</v>
      </c>
      <c r="Q39">
        <v>204.14</v>
      </c>
      <c r="R39">
        <v>24.88</v>
      </c>
      <c r="S39">
        <v>17.37</v>
      </c>
      <c r="T39">
        <v>1650.41</v>
      </c>
      <c r="U39">
        <v>0.7</v>
      </c>
      <c r="V39">
        <v>0.75</v>
      </c>
      <c r="W39">
        <v>1.1499999999999999</v>
      </c>
      <c r="X39">
        <v>0.1</v>
      </c>
      <c r="Y39">
        <v>1</v>
      </c>
      <c r="Z39">
        <v>10</v>
      </c>
    </row>
    <row r="40" spans="1:26" x14ac:dyDescent="0.3">
      <c r="A40">
        <v>38</v>
      </c>
      <c r="B40">
        <v>70</v>
      </c>
      <c r="C40" t="s">
        <v>26</v>
      </c>
      <c r="D40">
        <v>10.888999999999999</v>
      </c>
      <c r="E40">
        <v>9.18</v>
      </c>
      <c r="F40">
        <v>6.78</v>
      </c>
      <c r="G40">
        <v>67.819999999999993</v>
      </c>
      <c r="H40">
        <v>1.2</v>
      </c>
      <c r="I40">
        <v>6</v>
      </c>
      <c r="J40">
        <v>154.94999999999999</v>
      </c>
      <c r="K40">
        <v>47.83</v>
      </c>
      <c r="L40">
        <v>10.5</v>
      </c>
      <c r="M40">
        <v>4</v>
      </c>
      <c r="N40">
        <v>26.63</v>
      </c>
      <c r="O40">
        <v>19345.12</v>
      </c>
      <c r="P40">
        <v>68.040000000000006</v>
      </c>
      <c r="Q40">
        <v>204.14</v>
      </c>
      <c r="R40">
        <v>24.68</v>
      </c>
      <c r="S40">
        <v>17.37</v>
      </c>
      <c r="T40">
        <v>1552.22</v>
      </c>
      <c r="U40">
        <v>0.7</v>
      </c>
      <c r="V40">
        <v>0.75</v>
      </c>
      <c r="W40">
        <v>1.1399999999999999</v>
      </c>
      <c r="X40">
        <v>0.09</v>
      </c>
      <c r="Y40">
        <v>1</v>
      </c>
      <c r="Z40">
        <v>10</v>
      </c>
    </row>
    <row r="41" spans="1:26" x14ac:dyDescent="0.3">
      <c r="A41">
        <v>39</v>
      </c>
      <c r="B41">
        <v>70</v>
      </c>
      <c r="C41" t="s">
        <v>26</v>
      </c>
      <c r="D41">
        <v>10.8873</v>
      </c>
      <c r="E41">
        <v>9.18</v>
      </c>
      <c r="F41">
        <v>6.78</v>
      </c>
      <c r="G41">
        <v>67.83</v>
      </c>
      <c r="H41">
        <v>1.23</v>
      </c>
      <c r="I41">
        <v>6</v>
      </c>
      <c r="J41">
        <v>155.31</v>
      </c>
      <c r="K41">
        <v>47.83</v>
      </c>
      <c r="L41">
        <v>10.75</v>
      </c>
      <c r="M41">
        <v>4</v>
      </c>
      <c r="N41">
        <v>26.73</v>
      </c>
      <c r="O41">
        <v>19388.45</v>
      </c>
      <c r="P41">
        <v>67.55</v>
      </c>
      <c r="Q41">
        <v>204.14</v>
      </c>
      <c r="R41">
        <v>24.76</v>
      </c>
      <c r="S41">
        <v>17.37</v>
      </c>
      <c r="T41">
        <v>1590.91</v>
      </c>
      <c r="U41">
        <v>0.7</v>
      </c>
      <c r="V41">
        <v>0.75</v>
      </c>
      <c r="W41">
        <v>1.1399999999999999</v>
      </c>
      <c r="X41">
        <v>0.09</v>
      </c>
      <c r="Y41">
        <v>1</v>
      </c>
      <c r="Z41">
        <v>10</v>
      </c>
    </row>
    <row r="42" spans="1:26" x14ac:dyDescent="0.3">
      <c r="A42">
        <v>40</v>
      </c>
      <c r="B42">
        <v>70</v>
      </c>
      <c r="C42" t="s">
        <v>26</v>
      </c>
      <c r="D42">
        <v>10.8765</v>
      </c>
      <c r="E42">
        <v>9.19</v>
      </c>
      <c r="F42">
        <v>6.79</v>
      </c>
      <c r="G42">
        <v>67.92</v>
      </c>
      <c r="H42">
        <v>1.25</v>
      </c>
      <c r="I42">
        <v>6</v>
      </c>
      <c r="J42">
        <v>155.66</v>
      </c>
      <c r="K42">
        <v>47.83</v>
      </c>
      <c r="L42">
        <v>11</v>
      </c>
      <c r="M42">
        <v>4</v>
      </c>
      <c r="N42">
        <v>26.83</v>
      </c>
      <c r="O42">
        <v>19431.82</v>
      </c>
      <c r="P42">
        <v>67.430000000000007</v>
      </c>
      <c r="Q42">
        <v>204.14</v>
      </c>
      <c r="R42">
        <v>25.1</v>
      </c>
      <c r="S42">
        <v>17.37</v>
      </c>
      <c r="T42">
        <v>1763.77</v>
      </c>
      <c r="U42">
        <v>0.69</v>
      </c>
      <c r="V42">
        <v>0.75</v>
      </c>
      <c r="W42">
        <v>1.1399999999999999</v>
      </c>
      <c r="X42">
        <v>0.1</v>
      </c>
      <c r="Y42">
        <v>1</v>
      </c>
      <c r="Z42">
        <v>10</v>
      </c>
    </row>
    <row r="43" spans="1:26" x14ac:dyDescent="0.3">
      <c r="A43">
        <v>41</v>
      </c>
      <c r="B43">
        <v>70</v>
      </c>
      <c r="C43" t="s">
        <v>26</v>
      </c>
      <c r="D43">
        <v>10.882400000000001</v>
      </c>
      <c r="E43">
        <v>9.19</v>
      </c>
      <c r="F43">
        <v>6.79</v>
      </c>
      <c r="G43">
        <v>67.88</v>
      </c>
      <c r="H43">
        <v>1.28</v>
      </c>
      <c r="I43">
        <v>6</v>
      </c>
      <c r="J43">
        <v>156.01</v>
      </c>
      <c r="K43">
        <v>47.83</v>
      </c>
      <c r="L43">
        <v>11.25</v>
      </c>
      <c r="M43">
        <v>4</v>
      </c>
      <c r="N43">
        <v>26.93</v>
      </c>
      <c r="O43">
        <v>19475.23</v>
      </c>
      <c r="P43">
        <v>66.89</v>
      </c>
      <c r="Q43">
        <v>204.14</v>
      </c>
      <c r="R43">
        <v>24.87</v>
      </c>
      <c r="S43">
        <v>17.37</v>
      </c>
      <c r="T43">
        <v>1645.32</v>
      </c>
      <c r="U43">
        <v>0.7</v>
      </c>
      <c r="V43">
        <v>0.75</v>
      </c>
      <c r="W43">
        <v>1.1399999999999999</v>
      </c>
      <c r="X43">
        <v>0.1</v>
      </c>
      <c r="Y43">
        <v>1</v>
      </c>
      <c r="Z43">
        <v>10</v>
      </c>
    </row>
    <row r="44" spans="1:26" x14ac:dyDescent="0.3">
      <c r="A44">
        <v>42</v>
      </c>
      <c r="B44">
        <v>70</v>
      </c>
      <c r="C44" t="s">
        <v>26</v>
      </c>
      <c r="D44">
        <v>10.880699999999999</v>
      </c>
      <c r="E44">
        <v>9.19</v>
      </c>
      <c r="F44">
        <v>6.79</v>
      </c>
      <c r="G44">
        <v>67.89</v>
      </c>
      <c r="H44">
        <v>1.3</v>
      </c>
      <c r="I44">
        <v>6</v>
      </c>
      <c r="J44">
        <v>156.36000000000001</v>
      </c>
      <c r="K44">
        <v>47.83</v>
      </c>
      <c r="L44">
        <v>11.5</v>
      </c>
      <c r="M44">
        <v>4</v>
      </c>
      <c r="N44">
        <v>27.03</v>
      </c>
      <c r="O44">
        <v>19518.669999999998</v>
      </c>
      <c r="P44">
        <v>66.709999999999994</v>
      </c>
      <c r="Q44">
        <v>204.16</v>
      </c>
      <c r="R44">
        <v>24.84</v>
      </c>
      <c r="S44">
        <v>17.37</v>
      </c>
      <c r="T44">
        <v>1631.56</v>
      </c>
      <c r="U44">
        <v>0.7</v>
      </c>
      <c r="V44">
        <v>0.75</v>
      </c>
      <c r="W44">
        <v>1.1499999999999999</v>
      </c>
      <c r="X44">
        <v>0.1</v>
      </c>
      <c r="Y44">
        <v>1</v>
      </c>
      <c r="Z44">
        <v>10</v>
      </c>
    </row>
    <row r="45" spans="1:26" x14ac:dyDescent="0.3">
      <c r="A45">
        <v>43</v>
      </c>
      <c r="B45">
        <v>70</v>
      </c>
      <c r="C45" t="s">
        <v>26</v>
      </c>
      <c r="D45">
        <v>10.9399</v>
      </c>
      <c r="E45">
        <v>9.14</v>
      </c>
      <c r="F45">
        <v>6.77</v>
      </c>
      <c r="G45">
        <v>81.22</v>
      </c>
      <c r="H45">
        <v>1.33</v>
      </c>
      <c r="I45">
        <v>5</v>
      </c>
      <c r="J45">
        <v>156.71</v>
      </c>
      <c r="K45">
        <v>47.83</v>
      </c>
      <c r="L45">
        <v>11.75</v>
      </c>
      <c r="M45">
        <v>3</v>
      </c>
      <c r="N45">
        <v>27.14</v>
      </c>
      <c r="O45">
        <v>19562.150000000001</v>
      </c>
      <c r="P45">
        <v>65.5</v>
      </c>
      <c r="Q45">
        <v>204.14</v>
      </c>
      <c r="R45">
        <v>24.26</v>
      </c>
      <c r="S45">
        <v>17.37</v>
      </c>
      <c r="T45">
        <v>1349.66</v>
      </c>
      <c r="U45">
        <v>0.72</v>
      </c>
      <c r="V45">
        <v>0.75</v>
      </c>
      <c r="W45">
        <v>1.1399999999999999</v>
      </c>
      <c r="X45">
        <v>0.08</v>
      </c>
      <c r="Y45">
        <v>1</v>
      </c>
      <c r="Z45">
        <v>10</v>
      </c>
    </row>
    <row r="46" spans="1:26" x14ac:dyDescent="0.3">
      <c r="A46">
        <v>44</v>
      </c>
      <c r="B46">
        <v>70</v>
      </c>
      <c r="C46" t="s">
        <v>26</v>
      </c>
      <c r="D46">
        <v>10.9283</v>
      </c>
      <c r="E46">
        <v>9.15</v>
      </c>
      <c r="F46">
        <v>6.78</v>
      </c>
      <c r="G46">
        <v>81.33</v>
      </c>
      <c r="H46">
        <v>1.35</v>
      </c>
      <c r="I46">
        <v>5</v>
      </c>
      <c r="J46">
        <v>157.07</v>
      </c>
      <c r="K46">
        <v>47.83</v>
      </c>
      <c r="L46">
        <v>12</v>
      </c>
      <c r="M46">
        <v>3</v>
      </c>
      <c r="N46">
        <v>27.24</v>
      </c>
      <c r="O46">
        <v>19605.66</v>
      </c>
      <c r="P46">
        <v>65.900000000000006</v>
      </c>
      <c r="Q46">
        <v>204.14</v>
      </c>
      <c r="R46">
        <v>24.58</v>
      </c>
      <c r="S46">
        <v>17.37</v>
      </c>
      <c r="T46">
        <v>1505.96</v>
      </c>
      <c r="U46">
        <v>0.71</v>
      </c>
      <c r="V46">
        <v>0.75</v>
      </c>
      <c r="W46">
        <v>1.1399999999999999</v>
      </c>
      <c r="X46">
        <v>0.09</v>
      </c>
      <c r="Y46">
        <v>1</v>
      </c>
      <c r="Z46">
        <v>10</v>
      </c>
    </row>
    <row r="47" spans="1:26" x14ac:dyDescent="0.3">
      <c r="A47">
        <v>45</v>
      </c>
      <c r="B47">
        <v>70</v>
      </c>
      <c r="C47" t="s">
        <v>26</v>
      </c>
      <c r="D47">
        <v>10.931900000000001</v>
      </c>
      <c r="E47">
        <v>9.15</v>
      </c>
      <c r="F47">
        <v>6.77</v>
      </c>
      <c r="G47">
        <v>81.3</v>
      </c>
      <c r="H47">
        <v>1.38</v>
      </c>
      <c r="I47">
        <v>5</v>
      </c>
      <c r="J47">
        <v>157.41999999999999</v>
      </c>
      <c r="K47">
        <v>47.83</v>
      </c>
      <c r="L47">
        <v>12.25</v>
      </c>
      <c r="M47">
        <v>3</v>
      </c>
      <c r="N47">
        <v>27.34</v>
      </c>
      <c r="O47">
        <v>19649.2</v>
      </c>
      <c r="P47">
        <v>66.06</v>
      </c>
      <c r="Q47">
        <v>204.18</v>
      </c>
      <c r="R47">
        <v>24.38</v>
      </c>
      <c r="S47">
        <v>17.37</v>
      </c>
      <c r="T47">
        <v>1406.23</v>
      </c>
      <c r="U47">
        <v>0.71</v>
      </c>
      <c r="V47">
        <v>0.75</v>
      </c>
      <c r="W47">
        <v>1.1499999999999999</v>
      </c>
      <c r="X47">
        <v>0.08</v>
      </c>
      <c r="Y47">
        <v>1</v>
      </c>
      <c r="Z47">
        <v>10</v>
      </c>
    </row>
    <row r="48" spans="1:26" x14ac:dyDescent="0.3">
      <c r="A48">
        <v>46</v>
      </c>
      <c r="B48">
        <v>70</v>
      </c>
      <c r="C48" t="s">
        <v>26</v>
      </c>
      <c r="D48">
        <v>10.9339</v>
      </c>
      <c r="E48">
        <v>9.15</v>
      </c>
      <c r="F48">
        <v>6.77</v>
      </c>
      <c r="G48">
        <v>81.28</v>
      </c>
      <c r="H48">
        <v>1.4</v>
      </c>
      <c r="I48">
        <v>5</v>
      </c>
      <c r="J48">
        <v>157.77000000000001</v>
      </c>
      <c r="K48">
        <v>47.83</v>
      </c>
      <c r="L48">
        <v>12.5</v>
      </c>
      <c r="M48">
        <v>3</v>
      </c>
      <c r="N48">
        <v>27.45</v>
      </c>
      <c r="O48">
        <v>19692.79</v>
      </c>
      <c r="P48">
        <v>65.84</v>
      </c>
      <c r="Q48">
        <v>204.14</v>
      </c>
      <c r="R48">
        <v>24.44</v>
      </c>
      <c r="S48">
        <v>17.37</v>
      </c>
      <c r="T48">
        <v>1439.23</v>
      </c>
      <c r="U48">
        <v>0.71</v>
      </c>
      <c r="V48">
        <v>0.75</v>
      </c>
      <c r="W48">
        <v>1.1399999999999999</v>
      </c>
      <c r="X48">
        <v>0.08</v>
      </c>
      <c r="Y48">
        <v>1</v>
      </c>
      <c r="Z48">
        <v>10</v>
      </c>
    </row>
    <row r="49" spans="1:26" x14ac:dyDescent="0.3">
      <c r="A49">
        <v>47</v>
      </c>
      <c r="B49">
        <v>70</v>
      </c>
      <c r="C49" t="s">
        <v>26</v>
      </c>
      <c r="D49">
        <v>10.9276</v>
      </c>
      <c r="E49">
        <v>9.15</v>
      </c>
      <c r="F49">
        <v>6.78</v>
      </c>
      <c r="G49">
        <v>81.34</v>
      </c>
      <c r="H49">
        <v>1.43</v>
      </c>
      <c r="I49">
        <v>5</v>
      </c>
      <c r="J49">
        <v>158.13</v>
      </c>
      <c r="K49">
        <v>47.83</v>
      </c>
      <c r="L49">
        <v>12.75</v>
      </c>
      <c r="M49">
        <v>3</v>
      </c>
      <c r="N49">
        <v>27.55</v>
      </c>
      <c r="O49">
        <v>19736.400000000001</v>
      </c>
      <c r="P49">
        <v>65.7</v>
      </c>
      <c r="Q49">
        <v>204.15</v>
      </c>
      <c r="R49">
        <v>24.54</v>
      </c>
      <c r="S49">
        <v>17.37</v>
      </c>
      <c r="T49">
        <v>1486.98</v>
      </c>
      <c r="U49">
        <v>0.71</v>
      </c>
      <c r="V49">
        <v>0.75</v>
      </c>
      <c r="W49">
        <v>1.1499999999999999</v>
      </c>
      <c r="X49">
        <v>0.09</v>
      </c>
      <c r="Y49">
        <v>1</v>
      </c>
      <c r="Z49">
        <v>10</v>
      </c>
    </row>
    <row r="50" spans="1:26" x14ac:dyDescent="0.3">
      <c r="A50">
        <v>48</v>
      </c>
      <c r="B50">
        <v>70</v>
      </c>
      <c r="C50" t="s">
        <v>26</v>
      </c>
      <c r="D50">
        <v>10.938599999999999</v>
      </c>
      <c r="E50">
        <v>9.14</v>
      </c>
      <c r="F50">
        <v>6.77</v>
      </c>
      <c r="G50">
        <v>81.23</v>
      </c>
      <c r="H50">
        <v>1.45</v>
      </c>
      <c r="I50">
        <v>5</v>
      </c>
      <c r="J50">
        <v>158.47999999999999</v>
      </c>
      <c r="K50">
        <v>47.83</v>
      </c>
      <c r="L50">
        <v>13</v>
      </c>
      <c r="M50">
        <v>3</v>
      </c>
      <c r="N50">
        <v>27.65</v>
      </c>
      <c r="O50">
        <v>19780.060000000001</v>
      </c>
      <c r="P50">
        <v>65.14</v>
      </c>
      <c r="Q50">
        <v>204.14</v>
      </c>
      <c r="R50">
        <v>24.31</v>
      </c>
      <c r="S50">
        <v>17.37</v>
      </c>
      <c r="T50">
        <v>1370.07</v>
      </c>
      <c r="U50">
        <v>0.71</v>
      </c>
      <c r="V50">
        <v>0.75</v>
      </c>
      <c r="W50">
        <v>1.1399999999999999</v>
      </c>
      <c r="X50">
        <v>0.08</v>
      </c>
      <c r="Y50">
        <v>1</v>
      </c>
      <c r="Z50">
        <v>10</v>
      </c>
    </row>
    <row r="51" spans="1:26" x14ac:dyDescent="0.3">
      <c r="A51">
        <v>49</v>
      </c>
      <c r="B51">
        <v>70</v>
      </c>
      <c r="C51" t="s">
        <v>26</v>
      </c>
      <c r="D51">
        <v>10.9442</v>
      </c>
      <c r="E51">
        <v>9.14</v>
      </c>
      <c r="F51">
        <v>6.76</v>
      </c>
      <c r="G51">
        <v>81.17</v>
      </c>
      <c r="H51">
        <v>1.48</v>
      </c>
      <c r="I51">
        <v>5</v>
      </c>
      <c r="J51">
        <v>158.84</v>
      </c>
      <c r="K51">
        <v>47.83</v>
      </c>
      <c r="L51">
        <v>13.25</v>
      </c>
      <c r="M51">
        <v>3</v>
      </c>
      <c r="N51">
        <v>27.76</v>
      </c>
      <c r="O51">
        <v>19823.75</v>
      </c>
      <c r="P51">
        <v>64.67</v>
      </c>
      <c r="Q51">
        <v>204.16</v>
      </c>
      <c r="R51">
        <v>24.17</v>
      </c>
      <c r="S51">
        <v>17.37</v>
      </c>
      <c r="T51">
        <v>1301.6500000000001</v>
      </c>
      <c r="U51">
        <v>0.72</v>
      </c>
      <c r="V51">
        <v>0.75</v>
      </c>
      <c r="W51">
        <v>1.1399999999999999</v>
      </c>
      <c r="X51">
        <v>7.0000000000000007E-2</v>
      </c>
      <c r="Y51">
        <v>1</v>
      </c>
      <c r="Z51">
        <v>10</v>
      </c>
    </row>
    <row r="52" spans="1:26" x14ac:dyDescent="0.3">
      <c r="A52">
        <v>50</v>
      </c>
      <c r="B52">
        <v>70</v>
      </c>
      <c r="C52" t="s">
        <v>26</v>
      </c>
      <c r="D52">
        <v>10.9466</v>
      </c>
      <c r="E52">
        <v>9.14</v>
      </c>
      <c r="F52">
        <v>6.76</v>
      </c>
      <c r="G52">
        <v>81.150000000000006</v>
      </c>
      <c r="H52">
        <v>1.5</v>
      </c>
      <c r="I52">
        <v>5</v>
      </c>
      <c r="J52">
        <v>159.19</v>
      </c>
      <c r="K52">
        <v>47.83</v>
      </c>
      <c r="L52">
        <v>13.5</v>
      </c>
      <c r="M52">
        <v>3</v>
      </c>
      <c r="N52">
        <v>27.86</v>
      </c>
      <c r="O52">
        <v>19867.59</v>
      </c>
      <c r="P52">
        <v>63.91</v>
      </c>
      <c r="Q52">
        <v>204.14</v>
      </c>
      <c r="R52">
        <v>24.03</v>
      </c>
      <c r="S52">
        <v>17.37</v>
      </c>
      <c r="T52">
        <v>1230.6600000000001</v>
      </c>
      <c r="U52">
        <v>0.72</v>
      </c>
      <c r="V52">
        <v>0.76</v>
      </c>
      <c r="W52">
        <v>1.1399999999999999</v>
      </c>
      <c r="X52">
        <v>7.0000000000000007E-2</v>
      </c>
      <c r="Y52">
        <v>1</v>
      </c>
      <c r="Z52">
        <v>10</v>
      </c>
    </row>
    <row r="53" spans="1:26" x14ac:dyDescent="0.3">
      <c r="A53">
        <v>51</v>
      </c>
      <c r="B53">
        <v>70</v>
      </c>
      <c r="C53" t="s">
        <v>26</v>
      </c>
      <c r="D53">
        <v>10.9383</v>
      </c>
      <c r="E53">
        <v>9.14</v>
      </c>
      <c r="F53">
        <v>6.77</v>
      </c>
      <c r="G53">
        <v>81.23</v>
      </c>
      <c r="H53">
        <v>1.53</v>
      </c>
      <c r="I53">
        <v>5</v>
      </c>
      <c r="J53">
        <v>159.55000000000001</v>
      </c>
      <c r="K53">
        <v>47.83</v>
      </c>
      <c r="L53">
        <v>13.75</v>
      </c>
      <c r="M53">
        <v>3</v>
      </c>
      <c r="N53">
        <v>27.97</v>
      </c>
      <c r="O53">
        <v>19911.36</v>
      </c>
      <c r="P53">
        <v>63.14</v>
      </c>
      <c r="Q53">
        <v>204.14</v>
      </c>
      <c r="R53">
        <v>24.18</v>
      </c>
      <c r="S53">
        <v>17.37</v>
      </c>
      <c r="T53">
        <v>1306.72</v>
      </c>
      <c r="U53">
        <v>0.72</v>
      </c>
      <c r="V53">
        <v>0.75</v>
      </c>
      <c r="W53">
        <v>1.1499999999999999</v>
      </c>
      <c r="X53">
        <v>0.08</v>
      </c>
      <c r="Y53">
        <v>1</v>
      </c>
      <c r="Z53">
        <v>10</v>
      </c>
    </row>
    <row r="54" spans="1:26" x14ac:dyDescent="0.3">
      <c r="A54">
        <v>52</v>
      </c>
      <c r="B54">
        <v>70</v>
      </c>
      <c r="C54" t="s">
        <v>26</v>
      </c>
      <c r="D54">
        <v>10.9396</v>
      </c>
      <c r="E54">
        <v>9.14</v>
      </c>
      <c r="F54">
        <v>6.77</v>
      </c>
      <c r="G54">
        <v>81.22</v>
      </c>
      <c r="H54">
        <v>1.55</v>
      </c>
      <c r="I54">
        <v>5</v>
      </c>
      <c r="J54">
        <v>159.9</v>
      </c>
      <c r="K54">
        <v>47.83</v>
      </c>
      <c r="L54">
        <v>14</v>
      </c>
      <c r="M54">
        <v>3</v>
      </c>
      <c r="N54">
        <v>28.07</v>
      </c>
      <c r="O54">
        <v>19955.16</v>
      </c>
      <c r="P54">
        <v>62.95</v>
      </c>
      <c r="Q54">
        <v>204.14</v>
      </c>
      <c r="R54">
        <v>24.2</v>
      </c>
      <c r="S54">
        <v>17.37</v>
      </c>
      <c r="T54">
        <v>1318.73</v>
      </c>
      <c r="U54">
        <v>0.72</v>
      </c>
      <c r="V54">
        <v>0.75</v>
      </c>
      <c r="W54">
        <v>1.1499999999999999</v>
      </c>
      <c r="X54">
        <v>0.08</v>
      </c>
      <c r="Y54">
        <v>1</v>
      </c>
      <c r="Z54">
        <v>10</v>
      </c>
    </row>
    <row r="55" spans="1:26" x14ac:dyDescent="0.3">
      <c r="A55">
        <v>53</v>
      </c>
      <c r="B55">
        <v>70</v>
      </c>
      <c r="C55" t="s">
        <v>26</v>
      </c>
      <c r="D55">
        <v>10.933299999999999</v>
      </c>
      <c r="E55">
        <v>9.15</v>
      </c>
      <c r="F55">
        <v>6.77</v>
      </c>
      <c r="G55">
        <v>81.28</v>
      </c>
      <c r="H55">
        <v>1.58</v>
      </c>
      <c r="I55">
        <v>5</v>
      </c>
      <c r="J55">
        <v>160.26</v>
      </c>
      <c r="K55">
        <v>47.83</v>
      </c>
      <c r="L55">
        <v>14.25</v>
      </c>
      <c r="M55">
        <v>2</v>
      </c>
      <c r="N55">
        <v>28.18</v>
      </c>
      <c r="O55">
        <v>19998.990000000002</v>
      </c>
      <c r="P55">
        <v>62.6</v>
      </c>
      <c r="Q55">
        <v>204.14</v>
      </c>
      <c r="R55">
        <v>24.45</v>
      </c>
      <c r="S55">
        <v>17.37</v>
      </c>
      <c r="T55">
        <v>1440.48</v>
      </c>
      <c r="U55">
        <v>0.71</v>
      </c>
      <c r="V55">
        <v>0.75</v>
      </c>
      <c r="W55">
        <v>1.1399999999999999</v>
      </c>
      <c r="X55">
        <v>0.08</v>
      </c>
      <c r="Y55">
        <v>1</v>
      </c>
      <c r="Z55">
        <v>10</v>
      </c>
    </row>
    <row r="56" spans="1:26" x14ac:dyDescent="0.3">
      <c r="A56">
        <v>54</v>
      </c>
      <c r="B56">
        <v>70</v>
      </c>
      <c r="C56" t="s">
        <v>26</v>
      </c>
      <c r="D56">
        <v>10.9316</v>
      </c>
      <c r="E56">
        <v>9.15</v>
      </c>
      <c r="F56">
        <v>6.78</v>
      </c>
      <c r="G56">
        <v>81.3</v>
      </c>
      <c r="H56">
        <v>1.6</v>
      </c>
      <c r="I56">
        <v>5</v>
      </c>
      <c r="J56">
        <v>160.61000000000001</v>
      </c>
      <c r="K56">
        <v>47.83</v>
      </c>
      <c r="L56">
        <v>14.5</v>
      </c>
      <c r="M56">
        <v>1</v>
      </c>
      <c r="N56">
        <v>28.28</v>
      </c>
      <c r="O56">
        <v>20042.86</v>
      </c>
      <c r="P56">
        <v>62.5</v>
      </c>
      <c r="Q56">
        <v>204.14</v>
      </c>
      <c r="R56">
        <v>24.36</v>
      </c>
      <c r="S56">
        <v>17.37</v>
      </c>
      <c r="T56">
        <v>1398.51</v>
      </c>
      <c r="U56">
        <v>0.71</v>
      </c>
      <c r="V56">
        <v>0.75</v>
      </c>
      <c r="W56">
        <v>1.1499999999999999</v>
      </c>
      <c r="X56">
        <v>0.08</v>
      </c>
      <c r="Y56">
        <v>1</v>
      </c>
      <c r="Z56">
        <v>10</v>
      </c>
    </row>
    <row r="57" spans="1:26" x14ac:dyDescent="0.3">
      <c r="A57">
        <v>55</v>
      </c>
      <c r="B57">
        <v>70</v>
      </c>
      <c r="C57" t="s">
        <v>26</v>
      </c>
      <c r="D57">
        <v>10.930999999999999</v>
      </c>
      <c r="E57">
        <v>9.15</v>
      </c>
      <c r="F57">
        <v>6.78</v>
      </c>
      <c r="G57">
        <v>81.31</v>
      </c>
      <c r="H57">
        <v>1.62</v>
      </c>
      <c r="I57">
        <v>5</v>
      </c>
      <c r="J57">
        <v>160.97</v>
      </c>
      <c r="K57">
        <v>47.83</v>
      </c>
      <c r="L57">
        <v>14.75</v>
      </c>
      <c r="M57">
        <v>1</v>
      </c>
      <c r="N57">
        <v>28.39</v>
      </c>
      <c r="O57">
        <v>20086.77</v>
      </c>
      <c r="P57">
        <v>62.39</v>
      </c>
      <c r="Q57">
        <v>204.14</v>
      </c>
      <c r="R57">
        <v>24.4</v>
      </c>
      <c r="S57">
        <v>17.37</v>
      </c>
      <c r="T57">
        <v>1417.13</v>
      </c>
      <c r="U57">
        <v>0.71</v>
      </c>
      <c r="V57">
        <v>0.75</v>
      </c>
      <c r="W57">
        <v>1.1499999999999999</v>
      </c>
      <c r="X57">
        <v>0.08</v>
      </c>
      <c r="Y57">
        <v>1</v>
      </c>
      <c r="Z57">
        <v>10</v>
      </c>
    </row>
    <row r="58" spans="1:26" x14ac:dyDescent="0.3">
      <c r="A58">
        <v>56</v>
      </c>
      <c r="B58">
        <v>70</v>
      </c>
      <c r="C58" t="s">
        <v>26</v>
      </c>
      <c r="D58">
        <v>10.9353</v>
      </c>
      <c r="E58">
        <v>9.14</v>
      </c>
      <c r="F58">
        <v>6.77</v>
      </c>
      <c r="G58">
        <v>81.260000000000005</v>
      </c>
      <c r="H58">
        <v>1.65</v>
      </c>
      <c r="I58">
        <v>5</v>
      </c>
      <c r="J58">
        <v>161.32</v>
      </c>
      <c r="K58">
        <v>47.83</v>
      </c>
      <c r="L58">
        <v>15</v>
      </c>
      <c r="M58">
        <v>1</v>
      </c>
      <c r="N58">
        <v>28.5</v>
      </c>
      <c r="O58">
        <v>20130.71</v>
      </c>
      <c r="P58">
        <v>62.19</v>
      </c>
      <c r="Q58">
        <v>204.14</v>
      </c>
      <c r="R58">
        <v>24.3</v>
      </c>
      <c r="S58">
        <v>17.37</v>
      </c>
      <c r="T58">
        <v>1367.07</v>
      </c>
      <c r="U58">
        <v>0.71</v>
      </c>
      <c r="V58">
        <v>0.75</v>
      </c>
      <c r="W58">
        <v>1.1499999999999999</v>
      </c>
      <c r="X58">
        <v>0.08</v>
      </c>
      <c r="Y58">
        <v>1</v>
      </c>
      <c r="Z58">
        <v>10</v>
      </c>
    </row>
    <row r="59" spans="1:26" x14ac:dyDescent="0.3">
      <c r="A59">
        <v>57</v>
      </c>
      <c r="B59">
        <v>70</v>
      </c>
      <c r="C59" t="s">
        <v>26</v>
      </c>
      <c r="D59">
        <v>10.9343</v>
      </c>
      <c r="E59">
        <v>9.15</v>
      </c>
      <c r="F59">
        <v>6.77</v>
      </c>
      <c r="G59">
        <v>81.27</v>
      </c>
      <c r="H59">
        <v>1.67</v>
      </c>
      <c r="I59">
        <v>5</v>
      </c>
      <c r="J59">
        <v>161.68</v>
      </c>
      <c r="K59">
        <v>47.83</v>
      </c>
      <c r="L59">
        <v>15.25</v>
      </c>
      <c r="M59">
        <v>1</v>
      </c>
      <c r="N59">
        <v>28.6</v>
      </c>
      <c r="O59">
        <v>20174.689999999999</v>
      </c>
      <c r="P59">
        <v>62.03</v>
      </c>
      <c r="Q59">
        <v>204.14</v>
      </c>
      <c r="R59">
        <v>24.28</v>
      </c>
      <c r="S59">
        <v>17.37</v>
      </c>
      <c r="T59">
        <v>1355.61</v>
      </c>
      <c r="U59">
        <v>0.72</v>
      </c>
      <c r="V59">
        <v>0.75</v>
      </c>
      <c r="W59">
        <v>1.1499999999999999</v>
      </c>
      <c r="X59">
        <v>0.08</v>
      </c>
      <c r="Y59">
        <v>1</v>
      </c>
      <c r="Z59">
        <v>10</v>
      </c>
    </row>
    <row r="60" spans="1:26" x14ac:dyDescent="0.3">
      <c r="A60">
        <v>58</v>
      </c>
      <c r="B60">
        <v>70</v>
      </c>
      <c r="C60" t="s">
        <v>26</v>
      </c>
      <c r="D60">
        <v>10.9937</v>
      </c>
      <c r="E60">
        <v>9.1</v>
      </c>
      <c r="F60">
        <v>6.75</v>
      </c>
      <c r="G60">
        <v>101.28</v>
      </c>
      <c r="H60">
        <v>1.69</v>
      </c>
      <c r="I60">
        <v>4</v>
      </c>
      <c r="J60">
        <v>162.04</v>
      </c>
      <c r="K60">
        <v>47.83</v>
      </c>
      <c r="L60">
        <v>15.5</v>
      </c>
      <c r="M60">
        <v>0</v>
      </c>
      <c r="N60">
        <v>28.71</v>
      </c>
      <c r="O60">
        <v>20218.71</v>
      </c>
      <c r="P60">
        <v>61.77</v>
      </c>
      <c r="Q60">
        <v>204.14</v>
      </c>
      <c r="R60">
        <v>23.65</v>
      </c>
      <c r="S60">
        <v>17.37</v>
      </c>
      <c r="T60">
        <v>1049.3399999999999</v>
      </c>
      <c r="U60">
        <v>0.73</v>
      </c>
      <c r="V60">
        <v>0.76</v>
      </c>
      <c r="W60">
        <v>1.1499999999999999</v>
      </c>
      <c r="X60">
        <v>0.06</v>
      </c>
      <c r="Y60">
        <v>1</v>
      </c>
      <c r="Z60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Planilha8"/>
  <dimension ref="A1:Z87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90</v>
      </c>
      <c r="C2" t="s">
        <v>26</v>
      </c>
      <c r="D2">
        <v>7.3918999999999997</v>
      </c>
      <c r="E2">
        <v>13.53</v>
      </c>
      <c r="F2">
        <v>8.3000000000000007</v>
      </c>
      <c r="G2">
        <v>6.3</v>
      </c>
      <c r="H2">
        <v>0.1</v>
      </c>
      <c r="I2">
        <v>79</v>
      </c>
      <c r="J2">
        <v>176.73</v>
      </c>
      <c r="K2">
        <v>52.44</v>
      </c>
      <c r="L2">
        <v>1</v>
      </c>
      <c r="M2">
        <v>77</v>
      </c>
      <c r="N2">
        <v>33.29</v>
      </c>
      <c r="O2">
        <v>22031.19</v>
      </c>
      <c r="P2">
        <v>108.92</v>
      </c>
      <c r="Q2">
        <v>204.2</v>
      </c>
      <c r="R2">
        <v>71.78</v>
      </c>
      <c r="S2">
        <v>17.37</v>
      </c>
      <c r="T2">
        <v>24736.31</v>
      </c>
      <c r="U2">
        <v>0.24</v>
      </c>
      <c r="V2">
        <v>0.62</v>
      </c>
      <c r="W2">
        <v>1.27</v>
      </c>
      <c r="X2">
        <v>1.6</v>
      </c>
      <c r="Y2">
        <v>1</v>
      </c>
      <c r="Z2">
        <v>10</v>
      </c>
    </row>
    <row r="3" spans="1:26" x14ac:dyDescent="0.3">
      <c r="A3">
        <v>1</v>
      </c>
      <c r="B3">
        <v>90</v>
      </c>
      <c r="C3" t="s">
        <v>26</v>
      </c>
      <c r="D3">
        <v>8.0023</v>
      </c>
      <c r="E3">
        <v>12.5</v>
      </c>
      <c r="F3">
        <v>7.91</v>
      </c>
      <c r="G3">
        <v>7.78</v>
      </c>
      <c r="H3">
        <v>0.13</v>
      </c>
      <c r="I3">
        <v>61</v>
      </c>
      <c r="J3">
        <v>177.1</v>
      </c>
      <c r="K3">
        <v>52.44</v>
      </c>
      <c r="L3">
        <v>1.25</v>
      </c>
      <c r="M3">
        <v>59</v>
      </c>
      <c r="N3">
        <v>33.409999999999997</v>
      </c>
      <c r="O3">
        <v>22076.81</v>
      </c>
      <c r="P3">
        <v>103.55</v>
      </c>
      <c r="Q3">
        <v>204.17</v>
      </c>
      <c r="R3">
        <v>59.85</v>
      </c>
      <c r="S3">
        <v>17.37</v>
      </c>
      <c r="T3">
        <v>18860.71</v>
      </c>
      <c r="U3">
        <v>0.28999999999999998</v>
      </c>
      <c r="V3">
        <v>0.65</v>
      </c>
      <c r="W3">
        <v>1.23</v>
      </c>
      <c r="X3">
        <v>1.21</v>
      </c>
      <c r="Y3">
        <v>1</v>
      </c>
      <c r="Z3">
        <v>10</v>
      </c>
    </row>
    <row r="4" spans="1:26" x14ac:dyDescent="0.3">
      <c r="A4">
        <v>2</v>
      </c>
      <c r="B4">
        <v>90</v>
      </c>
      <c r="C4" t="s">
        <v>26</v>
      </c>
      <c r="D4">
        <v>8.4459</v>
      </c>
      <c r="E4">
        <v>11.84</v>
      </c>
      <c r="F4">
        <v>7.68</v>
      </c>
      <c r="G4">
        <v>9.4</v>
      </c>
      <c r="H4">
        <v>0.15</v>
      </c>
      <c r="I4">
        <v>49</v>
      </c>
      <c r="J4">
        <v>177.47</v>
      </c>
      <c r="K4">
        <v>52.44</v>
      </c>
      <c r="L4">
        <v>1.5</v>
      </c>
      <c r="M4">
        <v>47</v>
      </c>
      <c r="N4">
        <v>33.53</v>
      </c>
      <c r="O4">
        <v>22122.46</v>
      </c>
      <c r="P4">
        <v>100.39</v>
      </c>
      <c r="Q4">
        <v>204.19</v>
      </c>
      <c r="R4">
        <v>52.54</v>
      </c>
      <c r="S4">
        <v>17.37</v>
      </c>
      <c r="T4">
        <v>15269.67</v>
      </c>
      <c r="U4">
        <v>0.33</v>
      </c>
      <c r="V4">
        <v>0.67</v>
      </c>
      <c r="W4">
        <v>1.22</v>
      </c>
      <c r="X4">
        <v>0.98</v>
      </c>
      <c r="Y4">
        <v>1</v>
      </c>
      <c r="Z4">
        <v>10</v>
      </c>
    </row>
    <row r="5" spans="1:26" x14ac:dyDescent="0.3">
      <c r="A5">
        <v>3</v>
      </c>
      <c r="B5">
        <v>90</v>
      </c>
      <c r="C5" t="s">
        <v>26</v>
      </c>
      <c r="D5">
        <v>8.7922999999999991</v>
      </c>
      <c r="E5">
        <v>11.37</v>
      </c>
      <c r="F5">
        <v>7.5</v>
      </c>
      <c r="G5">
        <v>10.97</v>
      </c>
      <c r="H5">
        <v>0.17</v>
      </c>
      <c r="I5">
        <v>41</v>
      </c>
      <c r="J5">
        <v>177.84</v>
      </c>
      <c r="K5">
        <v>52.44</v>
      </c>
      <c r="L5">
        <v>1.75</v>
      </c>
      <c r="M5">
        <v>39</v>
      </c>
      <c r="N5">
        <v>33.65</v>
      </c>
      <c r="O5">
        <v>22168.15</v>
      </c>
      <c r="P5">
        <v>97.82</v>
      </c>
      <c r="Q5">
        <v>204.15</v>
      </c>
      <c r="R5">
        <v>46.69</v>
      </c>
      <c r="S5">
        <v>17.37</v>
      </c>
      <c r="T5">
        <v>12380.37</v>
      </c>
      <c r="U5">
        <v>0.37</v>
      </c>
      <c r="V5">
        <v>0.68</v>
      </c>
      <c r="W5">
        <v>1.21</v>
      </c>
      <c r="X5">
        <v>0.8</v>
      </c>
      <c r="Y5">
        <v>1</v>
      </c>
      <c r="Z5">
        <v>10</v>
      </c>
    </row>
    <row r="6" spans="1:26" x14ac:dyDescent="0.3">
      <c r="A6">
        <v>4</v>
      </c>
      <c r="B6">
        <v>90</v>
      </c>
      <c r="C6" t="s">
        <v>26</v>
      </c>
      <c r="D6">
        <v>9.0036000000000005</v>
      </c>
      <c r="E6">
        <v>11.11</v>
      </c>
      <c r="F6">
        <v>7.41</v>
      </c>
      <c r="G6">
        <v>12.34</v>
      </c>
      <c r="H6">
        <v>0.2</v>
      </c>
      <c r="I6">
        <v>36</v>
      </c>
      <c r="J6">
        <v>178.21</v>
      </c>
      <c r="K6">
        <v>52.44</v>
      </c>
      <c r="L6">
        <v>2</v>
      </c>
      <c r="M6">
        <v>34</v>
      </c>
      <c r="N6">
        <v>33.770000000000003</v>
      </c>
      <c r="O6">
        <v>22213.89</v>
      </c>
      <c r="P6">
        <v>96.49</v>
      </c>
      <c r="Q6">
        <v>204.2</v>
      </c>
      <c r="R6">
        <v>43.76</v>
      </c>
      <c r="S6">
        <v>17.37</v>
      </c>
      <c r="T6">
        <v>10940.41</v>
      </c>
      <c r="U6">
        <v>0.4</v>
      </c>
      <c r="V6">
        <v>0.69</v>
      </c>
      <c r="W6">
        <v>1.2</v>
      </c>
      <c r="X6">
        <v>0.71</v>
      </c>
      <c r="Y6">
        <v>1</v>
      </c>
      <c r="Z6">
        <v>10</v>
      </c>
    </row>
    <row r="7" spans="1:26" x14ac:dyDescent="0.3">
      <c r="A7">
        <v>5</v>
      </c>
      <c r="B7">
        <v>90</v>
      </c>
      <c r="C7" t="s">
        <v>26</v>
      </c>
      <c r="D7">
        <v>9.2027000000000001</v>
      </c>
      <c r="E7">
        <v>10.87</v>
      </c>
      <c r="F7">
        <v>7.31</v>
      </c>
      <c r="G7">
        <v>13.7</v>
      </c>
      <c r="H7">
        <v>0.22</v>
      </c>
      <c r="I7">
        <v>32</v>
      </c>
      <c r="J7">
        <v>178.59</v>
      </c>
      <c r="K7">
        <v>52.44</v>
      </c>
      <c r="L7">
        <v>2.25</v>
      </c>
      <c r="M7">
        <v>30</v>
      </c>
      <c r="N7">
        <v>33.89</v>
      </c>
      <c r="O7">
        <v>22259.66</v>
      </c>
      <c r="P7">
        <v>94.99</v>
      </c>
      <c r="Q7">
        <v>204.17</v>
      </c>
      <c r="R7">
        <v>41.19</v>
      </c>
      <c r="S7">
        <v>17.37</v>
      </c>
      <c r="T7">
        <v>9678.59</v>
      </c>
      <c r="U7">
        <v>0.42</v>
      </c>
      <c r="V7">
        <v>0.7</v>
      </c>
      <c r="W7">
        <v>1.18</v>
      </c>
      <c r="X7">
        <v>0.62</v>
      </c>
      <c r="Y7">
        <v>1</v>
      </c>
      <c r="Z7">
        <v>10</v>
      </c>
    </row>
    <row r="8" spans="1:26" x14ac:dyDescent="0.3">
      <c r="A8">
        <v>6</v>
      </c>
      <c r="B8">
        <v>90</v>
      </c>
      <c r="C8" t="s">
        <v>26</v>
      </c>
      <c r="D8">
        <v>9.3970000000000002</v>
      </c>
      <c r="E8">
        <v>10.64</v>
      </c>
      <c r="F8">
        <v>7.23</v>
      </c>
      <c r="G8">
        <v>15.48</v>
      </c>
      <c r="H8">
        <v>0.25</v>
      </c>
      <c r="I8">
        <v>28</v>
      </c>
      <c r="J8">
        <v>178.96</v>
      </c>
      <c r="K8">
        <v>52.44</v>
      </c>
      <c r="L8">
        <v>2.5</v>
      </c>
      <c r="M8">
        <v>26</v>
      </c>
      <c r="N8">
        <v>34.020000000000003</v>
      </c>
      <c r="O8">
        <v>22305.48</v>
      </c>
      <c r="P8">
        <v>93.74</v>
      </c>
      <c r="Q8">
        <v>204.14</v>
      </c>
      <c r="R8">
        <v>38.729999999999997</v>
      </c>
      <c r="S8">
        <v>17.37</v>
      </c>
      <c r="T8">
        <v>8465.99</v>
      </c>
      <c r="U8">
        <v>0.45</v>
      </c>
      <c r="V8">
        <v>0.71</v>
      </c>
      <c r="W8">
        <v>1.17</v>
      </c>
      <c r="X8">
        <v>0.53</v>
      </c>
      <c r="Y8">
        <v>1</v>
      </c>
      <c r="Z8">
        <v>10</v>
      </c>
    </row>
    <row r="9" spans="1:26" x14ac:dyDescent="0.3">
      <c r="A9">
        <v>7</v>
      </c>
      <c r="B9">
        <v>90</v>
      </c>
      <c r="C9" t="s">
        <v>26</v>
      </c>
      <c r="D9">
        <v>9.4829000000000008</v>
      </c>
      <c r="E9">
        <v>10.55</v>
      </c>
      <c r="F9">
        <v>7.2</v>
      </c>
      <c r="G9">
        <v>16.62</v>
      </c>
      <c r="H9">
        <v>0.27</v>
      </c>
      <c r="I9">
        <v>26</v>
      </c>
      <c r="J9">
        <v>179.33</v>
      </c>
      <c r="K9">
        <v>52.44</v>
      </c>
      <c r="L9">
        <v>2.75</v>
      </c>
      <c r="M9">
        <v>24</v>
      </c>
      <c r="N9">
        <v>34.14</v>
      </c>
      <c r="O9">
        <v>22351.34</v>
      </c>
      <c r="P9">
        <v>93.23</v>
      </c>
      <c r="Q9">
        <v>204.16</v>
      </c>
      <c r="R9">
        <v>37.33</v>
      </c>
      <c r="S9">
        <v>17.37</v>
      </c>
      <c r="T9">
        <v>7778.13</v>
      </c>
      <c r="U9">
        <v>0.47</v>
      </c>
      <c r="V9">
        <v>0.71</v>
      </c>
      <c r="W9">
        <v>1.19</v>
      </c>
      <c r="X9">
        <v>0.51</v>
      </c>
      <c r="Y9">
        <v>1</v>
      </c>
      <c r="Z9">
        <v>10</v>
      </c>
    </row>
    <row r="10" spans="1:26" x14ac:dyDescent="0.3">
      <c r="A10">
        <v>8</v>
      </c>
      <c r="B10">
        <v>90</v>
      </c>
      <c r="C10" t="s">
        <v>26</v>
      </c>
      <c r="D10">
        <v>9.6397999999999993</v>
      </c>
      <c r="E10">
        <v>10.37</v>
      </c>
      <c r="F10">
        <v>7.14</v>
      </c>
      <c r="G10">
        <v>18.61</v>
      </c>
      <c r="H10">
        <v>0.3</v>
      </c>
      <c r="I10">
        <v>23</v>
      </c>
      <c r="J10">
        <v>179.7</v>
      </c>
      <c r="K10">
        <v>52.44</v>
      </c>
      <c r="L10">
        <v>3</v>
      </c>
      <c r="M10">
        <v>21</v>
      </c>
      <c r="N10">
        <v>34.26</v>
      </c>
      <c r="O10">
        <v>22397.24</v>
      </c>
      <c r="P10">
        <v>92.2</v>
      </c>
      <c r="Q10">
        <v>204.14</v>
      </c>
      <c r="R10">
        <v>35.729999999999997</v>
      </c>
      <c r="S10">
        <v>17.37</v>
      </c>
      <c r="T10">
        <v>6991.6</v>
      </c>
      <c r="U10">
        <v>0.49</v>
      </c>
      <c r="V10">
        <v>0.72</v>
      </c>
      <c r="W10">
        <v>1.17</v>
      </c>
      <c r="X10">
        <v>0.44</v>
      </c>
      <c r="Y10">
        <v>1</v>
      </c>
      <c r="Z10">
        <v>10</v>
      </c>
    </row>
    <row r="11" spans="1:26" x14ac:dyDescent="0.3">
      <c r="A11">
        <v>9</v>
      </c>
      <c r="B11">
        <v>90</v>
      </c>
      <c r="C11" t="s">
        <v>26</v>
      </c>
      <c r="D11">
        <v>9.7017000000000007</v>
      </c>
      <c r="E11">
        <v>10.31</v>
      </c>
      <c r="F11">
        <v>7.1</v>
      </c>
      <c r="G11">
        <v>19.38</v>
      </c>
      <c r="H11">
        <v>0.32</v>
      </c>
      <c r="I11">
        <v>22</v>
      </c>
      <c r="J11">
        <v>180.07</v>
      </c>
      <c r="K11">
        <v>52.44</v>
      </c>
      <c r="L11">
        <v>3.25</v>
      </c>
      <c r="M11">
        <v>20</v>
      </c>
      <c r="N11">
        <v>34.380000000000003</v>
      </c>
      <c r="O11">
        <v>22443.18</v>
      </c>
      <c r="P11">
        <v>91.62</v>
      </c>
      <c r="Q11">
        <v>204.17</v>
      </c>
      <c r="R11">
        <v>34.67</v>
      </c>
      <c r="S11">
        <v>17.37</v>
      </c>
      <c r="T11">
        <v>6469.38</v>
      </c>
      <c r="U11">
        <v>0.5</v>
      </c>
      <c r="V11">
        <v>0.72</v>
      </c>
      <c r="W11">
        <v>1.17</v>
      </c>
      <c r="X11">
        <v>0.41</v>
      </c>
      <c r="Y11">
        <v>1</v>
      </c>
      <c r="Z11">
        <v>10</v>
      </c>
    </row>
    <row r="12" spans="1:26" x14ac:dyDescent="0.3">
      <c r="A12">
        <v>10</v>
      </c>
      <c r="B12">
        <v>90</v>
      </c>
      <c r="C12" t="s">
        <v>26</v>
      </c>
      <c r="D12">
        <v>9.8012999999999995</v>
      </c>
      <c r="E12">
        <v>10.199999999999999</v>
      </c>
      <c r="F12">
        <v>7.07</v>
      </c>
      <c r="G12">
        <v>21.21</v>
      </c>
      <c r="H12">
        <v>0.34</v>
      </c>
      <c r="I12">
        <v>20</v>
      </c>
      <c r="J12">
        <v>180.45</v>
      </c>
      <c r="K12">
        <v>52.44</v>
      </c>
      <c r="L12">
        <v>3.5</v>
      </c>
      <c r="M12">
        <v>18</v>
      </c>
      <c r="N12">
        <v>34.51</v>
      </c>
      <c r="O12">
        <v>22489.16</v>
      </c>
      <c r="P12">
        <v>91.09</v>
      </c>
      <c r="Q12">
        <v>204.15</v>
      </c>
      <c r="R12">
        <v>33.81</v>
      </c>
      <c r="S12">
        <v>17.37</v>
      </c>
      <c r="T12">
        <v>6045.62</v>
      </c>
      <c r="U12">
        <v>0.51</v>
      </c>
      <c r="V12">
        <v>0.72</v>
      </c>
      <c r="W12">
        <v>1.1599999999999999</v>
      </c>
      <c r="X12">
        <v>0.38</v>
      </c>
      <c r="Y12">
        <v>1</v>
      </c>
      <c r="Z12">
        <v>10</v>
      </c>
    </row>
    <row r="13" spans="1:26" x14ac:dyDescent="0.3">
      <c r="A13">
        <v>11</v>
      </c>
      <c r="B13">
        <v>90</v>
      </c>
      <c r="C13" t="s">
        <v>26</v>
      </c>
      <c r="D13">
        <v>9.8567999999999998</v>
      </c>
      <c r="E13">
        <v>10.15</v>
      </c>
      <c r="F13">
        <v>7.05</v>
      </c>
      <c r="G13">
        <v>22.26</v>
      </c>
      <c r="H13">
        <v>0.37</v>
      </c>
      <c r="I13">
        <v>19</v>
      </c>
      <c r="J13">
        <v>180.82</v>
      </c>
      <c r="K13">
        <v>52.44</v>
      </c>
      <c r="L13">
        <v>3.75</v>
      </c>
      <c r="M13">
        <v>17</v>
      </c>
      <c r="N13">
        <v>34.630000000000003</v>
      </c>
      <c r="O13">
        <v>22535.19</v>
      </c>
      <c r="P13">
        <v>90.66</v>
      </c>
      <c r="Q13">
        <v>204.15</v>
      </c>
      <c r="R13">
        <v>33.07</v>
      </c>
      <c r="S13">
        <v>17.37</v>
      </c>
      <c r="T13">
        <v>5682.92</v>
      </c>
      <c r="U13">
        <v>0.53</v>
      </c>
      <c r="V13">
        <v>0.72</v>
      </c>
      <c r="W13">
        <v>1.1599999999999999</v>
      </c>
      <c r="X13">
        <v>0.36</v>
      </c>
      <c r="Y13">
        <v>1</v>
      </c>
      <c r="Z13">
        <v>10</v>
      </c>
    </row>
    <row r="14" spans="1:26" x14ac:dyDescent="0.3">
      <c r="A14">
        <v>12</v>
      </c>
      <c r="B14">
        <v>90</v>
      </c>
      <c r="C14" t="s">
        <v>26</v>
      </c>
      <c r="D14">
        <v>9.9206000000000003</v>
      </c>
      <c r="E14">
        <v>10.08</v>
      </c>
      <c r="F14">
        <v>7.02</v>
      </c>
      <c r="G14">
        <v>23.4</v>
      </c>
      <c r="H14">
        <v>0.39</v>
      </c>
      <c r="I14">
        <v>18</v>
      </c>
      <c r="J14">
        <v>181.19</v>
      </c>
      <c r="K14">
        <v>52.44</v>
      </c>
      <c r="L14">
        <v>4</v>
      </c>
      <c r="M14">
        <v>16</v>
      </c>
      <c r="N14">
        <v>34.75</v>
      </c>
      <c r="O14">
        <v>22581.25</v>
      </c>
      <c r="P14">
        <v>89.8</v>
      </c>
      <c r="Q14">
        <v>204.14</v>
      </c>
      <c r="R14">
        <v>32.1</v>
      </c>
      <c r="S14">
        <v>17.37</v>
      </c>
      <c r="T14">
        <v>5204.22</v>
      </c>
      <c r="U14">
        <v>0.54</v>
      </c>
      <c r="V14">
        <v>0.73</v>
      </c>
      <c r="W14">
        <v>1.1599999999999999</v>
      </c>
      <c r="X14">
        <v>0.33</v>
      </c>
      <c r="Y14">
        <v>1</v>
      </c>
      <c r="Z14">
        <v>10</v>
      </c>
    </row>
    <row r="15" spans="1:26" x14ac:dyDescent="0.3">
      <c r="A15">
        <v>13</v>
      </c>
      <c r="B15">
        <v>90</v>
      </c>
      <c r="C15" t="s">
        <v>26</v>
      </c>
      <c r="D15">
        <v>9.9580000000000002</v>
      </c>
      <c r="E15">
        <v>10.039999999999999</v>
      </c>
      <c r="F15">
        <v>7.02</v>
      </c>
      <c r="G15">
        <v>24.77</v>
      </c>
      <c r="H15">
        <v>0.42</v>
      </c>
      <c r="I15">
        <v>17</v>
      </c>
      <c r="J15">
        <v>181.57</v>
      </c>
      <c r="K15">
        <v>52.44</v>
      </c>
      <c r="L15">
        <v>4.25</v>
      </c>
      <c r="M15">
        <v>15</v>
      </c>
      <c r="N15">
        <v>34.880000000000003</v>
      </c>
      <c r="O15">
        <v>22627.360000000001</v>
      </c>
      <c r="P15">
        <v>89.88</v>
      </c>
      <c r="Q15">
        <v>204.16</v>
      </c>
      <c r="R15">
        <v>31.95</v>
      </c>
      <c r="S15">
        <v>17.37</v>
      </c>
      <c r="T15">
        <v>5131.46</v>
      </c>
      <c r="U15">
        <v>0.54</v>
      </c>
      <c r="V15">
        <v>0.73</v>
      </c>
      <c r="W15">
        <v>1.1599999999999999</v>
      </c>
      <c r="X15">
        <v>0.33</v>
      </c>
      <c r="Y15">
        <v>1</v>
      </c>
      <c r="Z15">
        <v>10</v>
      </c>
    </row>
    <row r="16" spans="1:26" x14ac:dyDescent="0.3">
      <c r="A16">
        <v>14</v>
      </c>
      <c r="B16">
        <v>90</v>
      </c>
      <c r="C16" t="s">
        <v>26</v>
      </c>
      <c r="D16">
        <v>10.0008</v>
      </c>
      <c r="E16">
        <v>10</v>
      </c>
      <c r="F16">
        <v>7.01</v>
      </c>
      <c r="G16">
        <v>26.29</v>
      </c>
      <c r="H16">
        <v>0.44</v>
      </c>
      <c r="I16">
        <v>16</v>
      </c>
      <c r="J16">
        <v>181.94</v>
      </c>
      <c r="K16">
        <v>52.44</v>
      </c>
      <c r="L16">
        <v>4.5</v>
      </c>
      <c r="M16">
        <v>14</v>
      </c>
      <c r="N16">
        <v>35</v>
      </c>
      <c r="O16">
        <v>22673.63</v>
      </c>
      <c r="P16">
        <v>89.6</v>
      </c>
      <c r="Q16">
        <v>204.17</v>
      </c>
      <c r="R16">
        <v>31.81</v>
      </c>
      <c r="S16">
        <v>17.37</v>
      </c>
      <c r="T16">
        <v>5066.5200000000004</v>
      </c>
      <c r="U16">
        <v>0.55000000000000004</v>
      </c>
      <c r="V16">
        <v>0.73</v>
      </c>
      <c r="W16">
        <v>1.1599999999999999</v>
      </c>
      <c r="X16">
        <v>0.32</v>
      </c>
      <c r="Y16">
        <v>1</v>
      </c>
      <c r="Z16">
        <v>10</v>
      </c>
    </row>
    <row r="17" spans="1:26" x14ac:dyDescent="0.3">
      <c r="A17">
        <v>15</v>
      </c>
      <c r="B17">
        <v>90</v>
      </c>
      <c r="C17" t="s">
        <v>26</v>
      </c>
      <c r="D17">
        <v>10.088800000000001</v>
      </c>
      <c r="E17">
        <v>9.91</v>
      </c>
      <c r="F17">
        <v>6.96</v>
      </c>
      <c r="G17">
        <v>27.83</v>
      </c>
      <c r="H17">
        <v>0.46</v>
      </c>
      <c r="I17">
        <v>15</v>
      </c>
      <c r="J17">
        <v>182.32</v>
      </c>
      <c r="K17">
        <v>52.44</v>
      </c>
      <c r="L17">
        <v>4.75</v>
      </c>
      <c r="M17">
        <v>13</v>
      </c>
      <c r="N17">
        <v>35.119999999999997</v>
      </c>
      <c r="O17">
        <v>22719.83</v>
      </c>
      <c r="P17">
        <v>88.71</v>
      </c>
      <c r="Q17">
        <v>204.18</v>
      </c>
      <c r="R17">
        <v>30.17</v>
      </c>
      <c r="S17">
        <v>17.37</v>
      </c>
      <c r="T17">
        <v>4253.9799999999996</v>
      </c>
      <c r="U17">
        <v>0.57999999999999996</v>
      </c>
      <c r="V17">
        <v>0.73</v>
      </c>
      <c r="W17">
        <v>1.1599999999999999</v>
      </c>
      <c r="X17">
        <v>0.27</v>
      </c>
      <c r="Y17">
        <v>1</v>
      </c>
      <c r="Z17">
        <v>10</v>
      </c>
    </row>
    <row r="18" spans="1:26" x14ac:dyDescent="0.3">
      <c r="A18">
        <v>16</v>
      </c>
      <c r="B18">
        <v>90</v>
      </c>
      <c r="C18" t="s">
        <v>26</v>
      </c>
      <c r="D18">
        <v>10.133100000000001</v>
      </c>
      <c r="E18">
        <v>9.8699999999999992</v>
      </c>
      <c r="F18">
        <v>6.95</v>
      </c>
      <c r="G18">
        <v>29.79</v>
      </c>
      <c r="H18">
        <v>0.49</v>
      </c>
      <c r="I18">
        <v>14</v>
      </c>
      <c r="J18">
        <v>182.69</v>
      </c>
      <c r="K18">
        <v>52.44</v>
      </c>
      <c r="L18">
        <v>5</v>
      </c>
      <c r="M18">
        <v>12</v>
      </c>
      <c r="N18">
        <v>35.25</v>
      </c>
      <c r="O18">
        <v>22766.06</v>
      </c>
      <c r="P18">
        <v>88.47</v>
      </c>
      <c r="Q18">
        <v>204.14</v>
      </c>
      <c r="R18">
        <v>29.82</v>
      </c>
      <c r="S18">
        <v>17.37</v>
      </c>
      <c r="T18">
        <v>4080.9</v>
      </c>
      <c r="U18">
        <v>0.57999999999999996</v>
      </c>
      <c r="V18">
        <v>0.73</v>
      </c>
      <c r="W18">
        <v>1.1599999999999999</v>
      </c>
      <c r="X18">
        <v>0.26</v>
      </c>
      <c r="Y18">
        <v>1</v>
      </c>
      <c r="Z18">
        <v>10</v>
      </c>
    </row>
    <row r="19" spans="1:26" x14ac:dyDescent="0.3">
      <c r="A19">
        <v>17</v>
      </c>
      <c r="B19">
        <v>90</v>
      </c>
      <c r="C19" t="s">
        <v>26</v>
      </c>
      <c r="D19">
        <v>10.1989</v>
      </c>
      <c r="E19">
        <v>9.8000000000000007</v>
      </c>
      <c r="F19">
        <v>6.92</v>
      </c>
      <c r="G19">
        <v>31.95</v>
      </c>
      <c r="H19">
        <v>0.51</v>
      </c>
      <c r="I19">
        <v>13</v>
      </c>
      <c r="J19">
        <v>183.07</v>
      </c>
      <c r="K19">
        <v>52.44</v>
      </c>
      <c r="L19">
        <v>5.25</v>
      </c>
      <c r="M19">
        <v>11</v>
      </c>
      <c r="N19">
        <v>35.369999999999997</v>
      </c>
      <c r="O19">
        <v>22812.34</v>
      </c>
      <c r="P19">
        <v>87.82</v>
      </c>
      <c r="Q19">
        <v>204.14</v>
      </c>
      <c r="R19">
        <v>29.18</v>
      </c>
      <c r="S19">
        <v>17.37</v>
      </c>
      <c r="T19">
        <v>3766.87</v>
      </c>
      <c r="U19">
        <v>0.6</v>
      </c>
      <c r="V19">
        <v>0.74</v>
      </c>
      <c r="W19">
        <v>1.1499999999999999</v>
      </c>
      <c r="X19">
        <v>0.23</v>
      </c>
      <c r="Y19">
        <v>1</v>
      </c>
      <c r="Z19">
        <v>10</v>
      </c>
    </row>
    <row r="20" spans="1:26" x14ac:dyDescent="0.3">
      <c r="A20">
        <v>18</v>
      </c>
      <c r="B20">
        <v>90</v>
      </c>
      <c r="C20" t="s">
        <v>26</v>
      </c>
      <c r="D20">
        <v>10.199199999999999</v>
      </c>
      <c r="E20">
        <v>9.8000000000000007</v>
      </c>
      <c r="F20">
        <v>6.92</v>
      </c>
      <c r="G20">
        <v>31.95</v>
      </c>
      <c r="H20">
        <v>0.53</v>
      </c>
      <c r="I20">
        <v>13</v>
      </c>
      <c r="J20">
        <v>183.44</v>
      </c>
      <c r="K20">
        <v>52.44</v>
      </c>
      <c r="L20">
        <v>5.5</v>
      </c>
      <c r="M20">
        <v>11</v>
      </c>
      <c r="N20">
        <v>35.5</v>
      </c>
      <c r="O20">
        <v>22858.66</v>
      </c>
      <c r="P20">
        <v>87.86</v>
      </c>
      <c r="Q20">
        <v>204.15</v>
      </c>
      <c r="R20">
        <v>28.98</v>
      </c>
      <c r="S20">
        <v>17.37</v>
      </c>
      <c r="T20">
        <v>3668.69</v>
      </c>
      <c r="U20">
        <v>0.6</v>
      </c>
      <c r="V20">
        <v>0.74</v>
      </c>
      <c r="W20">
        <v>1.1599999999999999</v>
      </c>
      <c r="X20">
        <v>0.23</v>
      </c>
      <c r="Y20">
        <v>1</v>
      </c>
      <c r="Z20">
        <v>10</v>
      </c>
    </row>
    <row r="21" spans="1:26" x14ac:dyDescent="0.3">
      <c r="A21">
        <v>19</v>
      </c>
      <c r="B21">
        <v>90</v>
      </c>
      <c r="C21" t="s">
        <v>26</v>
      </c>
      <c r="D21">
        <v>10.248200000000001</v>
      </c>
      <c r="E21">
        <v>9.76</v>
      </c>
      <c r="F21">
        <v>6.91</v>
      </c>
      <c r="G21">
        <v>34.549999999999997</v>
      </c>
      <c r="H21">
        <v>0.55000000000000004</v>
      </c>
      <c r="I21">
        <v>12</v>
      </c>
      <c r="J21">
        <v>183.82</v>
      </c>
      <c r="K21">
        <v>52.44</v>
      </c>
      <c r="L21">
        <v>5.75</v>
      </c>
      <c r="M21">
        <v>10</v>
      </c>
      <c r="N21">
        <v>35.630000000000003</v>
      </c>
      <c r="O21">
        <v>22905.03</v>
      </c>
      <c r="P21">
        <v>87.48</v>
      </c>
      <c r="Q21">
        <v>204.16</v>
      </c>
      <c r="R21">
        <v>28.82</v>
      </c>
      <c r="S21">
        <v>17.37</v>
      </c>
      <c r="T21">
        <v>3590.47</v>
      </c>
      <c r="U21">
        <v>0.6</v>
      </c>
      <c r="V21">
        <v>0.74</v>
      </c>
      <c r="W21">
        <v>1.1499999999999999</v>
      </c>
      <c r="X21">
        <v>0.22</v>
      </c>
      <c r="Y21">
        <v>1</v>
      </c>
      <c r="Z21">
        <v>10</v>
      </c>
    </row>
    <row r="22" spans="1:26" x14ac:dyDescent="0.3">
      <c r="A22">
        <v>20</v>
      </c>
      <c r="B22">
        <v>90</v>
      </c>
      <c r="C22" t="s">
        <v>26</v>
      </c>
      <c r="D22">
        <v>10.2439</v>
      </c>
      <c r="E22">
        <v>9.76</v>
      </c>
      <c r="F22">
        <v>6.91</v>
      </c>
      <c r="G22">
        <v>34.57</v>
      </c>
      <c r="H22">
        <v>0.57999999999999996</v>
      </c>
      <c r="I22">
        <v>12</v>
      </c>
      <c r="J22">
        <v>184.19</v>
      </c>
      <c r="K22">
        <v>52.44</v>
      </c>
      <c r="L22">
        <v>6</v>
      </c>
      <c r="M22">
        <v>10</v>
      </c>
      <c r="N22">
        <v>35.75</v>
      </c>
      <c r="O22">
        <v>22951.43</v>
      </c>
      <c r="P22">
        <v>87.4</v>
      </c>
      <c r="Q22">
        <v>204.14</v>
      </c>
      <c r="R22">
        <v>28.81</v>
      </c>
      <c r="S22">
        <v>17.37</v>
      </c>
      <c r="T22">
        <v>3587.63</v>
      </c>
      <c r="U22">
        <v>0.6</v>
      </c>
      <c r="V22">
        <v>0.74</v>
      </c>
      <c r="W22">
        <v>1.1599999999999999</v>
      </c>
      <c r="X22">
        <v>0.22</v>
      </c>
      <c r="Y22">
        <v>1</v>
      </c>
      <c r="Z22">
        <v>10</v>
      </c>
    </row>
    <row r="23" spans="1:26" x14ac:dyDescent="0.3">
      <c r="A23">
        <v>21</v>
      </c>
      <c r="B23">
        <v>90</v>
      </c>
      <c r="C23" t="s">
        <v>26</v>
      </c>
      <c r="D23">
        <v>10.3217</v>
      </c>
      <c r="E23">
        <v>9.69</v>
      </c>
      <c r="F23">
        <v>6.88</v>
      </c>
      <c r="G23">
        <v>37.51</v>
      </c>
      <c r="H23">
        <v>0.6</v>
      </c>
      <c r="I23">
        <v>11</v>
      </c>
      <c r="J23">
        <v>184.57</v>
      </c>
      <c r="K23">
        <v>52.44</v>
      </c>
      <c r="L23">
        <v>6.25</v>
      </c>
      <c r="M23">
        <v>9</v>
      </c>
      <c r="N23">
        <v>35.880000000000003</v>
      </c>
      <c r="O23">
        <v>22997.88</v>
      </c>
      <c r="P23">
        <v>86.51</v>
      </c>
      <c r="Q23">
        <v>204.15</v>
      </c>
      <c r="R23">
        <v>27.64</v>
      </c>
      <c r="S23">
        <v>17.37</v>
      </c>
      <c r="T23">
        <v>3008.11</v>
      </c>
      <c r="U23">
        <v>0.63</v>
      </c>
      <c r="V23">
        <v>0.74</v>
      </c>
      <c r="W23">
        <v>1.1499999999999999</v>
      </c>
      <c r="X23">
        <v>0.19</v>
      </c>
      <c r="Y23">
        <v>1</v>
      </c>
      <c r="Z23">
        <v>10</v>
      </c>
    </row>
    <row r="24" spans="1:26" x14ac:dyDescent="0.3">
      <c r="A24">
        <v>22</v>
      </c>
      <c r="B24">
        <v>90</v>
      </c>
      <c r="C24" t="s">
        <v>26</v>
      </c>
      <c r="D24">
        <v>10.319000000000001</v>
      </c>
      <c r="E24">
        <v>9.69</v>
      </c>
      <c r="F24">
        <v>6.88</v>
      </c>
      <c r="G24">
        <v>37.520000000000003</v>
      </c>
      <c r="H24">
        <v>0.62</v>
      </c>
      <c r="I24">
        <v>11</v>
      </c>
      <c r="J24">
        <v>184.95</v>
      </c>
      <c r="K24">
        <v>52.44</v>
      </c>
      <c r="L24">
        <v>6.5</v>
      </c>
      <c r="M24">
        <v>9</v>
      </c>
      <c r="N24">
        <v>36.01</v>
      </c>
      <c r="O24">
        <v>23044.38</v>
      </c>
      <c r="P24">
        <v>86.52</v>
      </c>
      <c r="Q24">
        <v>204.14</v>
      </c>
      <c r="R24">
        <v>27.72</v>
      </c>
      <c r="S24">
        <v>17.37</v>
      </c>
      <c r="T24">
        <v>3046.77</v>
      </c>
      <c r="U24">
        <v>0.63</v>
      </c>
      <c r="V24">
        <v>0.74</v>
      </c>
      <c r="W24">
        <v>1.1499999999999999</v>
      </c>
      <c r="X24">
        <v>0.19</v>
      </c>
      <c r="Y24">
        <v>1</v>
      </c>
      <c r="Z24">
        <v>10</v>
      </c>
    </row>
    <row r="25" spans="1:26" x14ac:dyDescent="0.3">
      <c r="A25">
        <v>23</v>
      </c>
      <c r="B25">
        <v>90</v>
      </c>
      <c r="C25" t="s">
        <v>26</v>
      </c>
      <c r="D25">
        <v>10.312799999999999</v>
      </c>
      <c r="E25">
        <v>9.6999999999999993</v>
      </c>
      <c r="F25">
        <v>6.88</v>
      </c>
      <c r="G25">
        <v>37.549999999999997</v>
      </c>
      <c r="H25">
        <v>0.65</v>
      </c>
      <c r="I25">
        <v>11</v>
      </c>
      <c r="J25">
        <v>185.33</v>
      </c>
      <c r="K25">
        <v>52.44</v>
      </c>
      <c r="L25">
        <v>6.75</v>
      </c>
      <c r="M25">
        <v>9</v>
      </c>
      <c r="N25">
        <v>36.130000000000003</v>
      </c>
      <c r="O25">
        <v>23090.91</v>
      </c>
      <c r="P25">
        <v>86.26</v>
      </c>
      <c r="Q25">
        <v>204.15</v>
      </c>
      <c r="R25">
        <v>27.91</v>
      </c>
      <c r="S25">
        <v>17.37</v>
      </c>
      <c r="T25">
        <v>3143.24</v>
      </c>
      <c r="U25">
        <v>0.62</v>
      </c>
      <c r="V25">
        <v>0.74</v>
      </c>
      <c r="W25">
        <v>1.1499999999999999</v>
      </c>
      <c r="X25">
        <v>0.19</v>
      </c>
      <c r="Y25">
        <v>1</v>
      </c>
      <c r="Z25">
        <v>10</v>
      </c>
    </row>
    <row r="26" spans="1:26" x14ac:dyDescent="0.3">
      <c r="A26">
        <v>24</v>
      </c>
      <c r="B26">
        <v>90</v>
      </c>
      <c r="C26" t="s">
        <v>26</v>
      </c>
      <c r="D26">
        <v>10.369899999999999</v>
      </c>
      <c r="E26">
        <v>9.64</v>
      </c>
      <c r="F26">
        <v>6.87</v>
      </c>
      <c r="G26">
        <v>41.2</v>
      </c>
      <c r="H26">
        <v>0.67</v>
      </c>
      <c r="I26">
        <v>10</v>
      </c>
      <c r="J26">
        <v>185.7</v>
      </c>
      <c r="K26">
        <v>52.44</v>
      </c>
      <c r="L26">
        <v>7</v>
      </c>
      <c r="M26">
        <v>8</v>
      </c>
      <c r="N26">
        <v>36.26</v>
      </c>
      <c r="O26">
        <v>23137.49</v>
      </c>
      <c r="P26">
        <v>85.78</v>
      </c>
      <c r="Q26">
        <v>204.14</v>
      </c>
      <c r="R26">
        <v>27.3</v>
      </c>
      <c r="S26">
        <v>17.37</v>
      </c>
      <c r="T26">
        <v>2843.36</v>
      </c>
      <c r="U26">
        <v>0.64</v>
      </c>
      <c r="V26">
        <v>0.74</v>
      </c>
      <c r="W26">
        <v>1.1499999999999999</v>
      </c>
      <c r="X26">
        <v>0.18</v>
      </c>
      <c r="Y26">
        <v>1</v>
      </c>
      <c r="Z26">
        <v>10</v>
      </c>
    </row>
    <row r="27" spans="1:26" x14ac:dyDescent="0.3">
      <c r="A27">
        <v>25</v>
      </c>
      <c r="B27">
        <v>90</v>
      </c>
      <c r="C27" t="s">
        <v>26</v>
      </c>
      <c r="D27">
        <v>10.3705</v>
      </c>
      <c r="E27">
        <v>9.64</v>
      </c>
      <c r="F27">
        <v>6.87</v>
      </c>
      <c r="G27">
        <v>41.2</v>
      </c>
      <c r="H27">
        <v>0.69</v>
      </c>
      <c r="I27">
        <v>10</v>
      </c>
      <c r="J27">
        <v>186.08</v>
      </c>
      <c r="K27">
        <v>52.44</v>
      </c>
      <c r="L27">
        <v>7.25</v>
      </c>
      <c r="M27">
        <v>8</v>
      </c>
      <c r="N27">
        <v>36.39</v>
      </c>
      <c r="O27">
        <v>23184.11</v>
      </c>
      <c r="P27">
        <v>85.72</v>
      </c>
      <c r="Q27">
        <v>204.17</v>
      </c>
      <c r="R27">
        <v>27.35</v>
      </c>
      <c r="S27">
        <v>17.37</v>
      </c>
      <c r="T27">
        <v>2865.42</v>
      </c>
      <c r="U27">
        <v>0.64</v>
      </c>
      <c r="V27">
        <v>0.74</v>
      </c>
      <c r="W27">
        <v>1.1499999999999999</v>
      </c>
      <c r="X27">
        <v>0.17</v>
      </c>
      <c r="Y27">
        <v>1</v>
      </c>
      <c r="Z27">
        <v>10</v>
      </c>
    </row>
    <row r="28" spans="1:26" x14ac:dyDescent="0.3">
      <c r="A28">
        <v>26</v>
      </c>
      <c r="B28">
        <v>90</v>
      </c>
      <c r="C28" t="s">
        <v>26</v>
      </c>
      <c r="D28">
        <v>10.365399999999999</v>
      </c>
      <c r="E28">
        <v>9.65</v>
      </c>
      <c r="F28">
        <v>6.87</v>
      </c>
      <c r="G28">
        <v>41.23</v>
      </c>
      <c r="H28">
        <v>0.71</v>
      </c>
      <c r="I28">
        <v>10</v>
      </c>
      <c r="J28">
        <v>186.46</v>
      </c>
      <c r="K28">
        <v>52.44</v>
      </c>
      <c r="L28">
        <v>7.5</v>
      </c>
      <c r="M28">
        <v>8</v>
      </c>
      <c r="N28">
        <v>36.520000000000003</v>
      </c>
      <c r="O28">
        <v>23230.78</v>
      </c>
      <c r="P28">
        <v>85.65</v>
      </c>
      <c r="Q28">
        <v>204.14</v>
      </c>
      <c r="R28">
        <v>27.4</v>
      </c>
      <c r="S28">
        <v>17.37</v>
      </c>
      <c r="T28">
        <v>2891.86</v>
      </c>
      <c r="U28">
        <v>0.63</v>
      </c>
      <c r="V28">
        <v>0.74</v>
      </c>
      <c r="W28">
        <v>1.1499999999999999</v>
      </c>
      <c r="X28">
        <v>0.18</v>
      </c>
      <c r="Y28">
        <v>1</v>
      </c>
      <c r="Z28">
        <v>10</v>
      </c>
    </row>
    <row r="29" spans="1:26" x14ac:dyDescent="0.3">
      <c r="A29">
        <v>27</v>
      </c>
      <c r="B29">
        <v>90</v>
      </c>
      <c r="C29" t="s">
        <v>26</v>
      </c>
      <c r="D29">
        <v>10.4191</v>
      </c>
      <c r="E29">
        <v>9.6</v>
      </c>
      <c r="F29">
        <v>6.86</v>
      </c>
      <c r="G29">
        <v>45.71</v>
      </c>
      <c r="H29">
        <v>0.74</v>
      </c>
      <c r="I29">
        <v>9</v>
      </c>
      <c r="J29">
        <v>186.84</v>
      </c>
      <c r="K29">
        <v>52.44</v>
      </c>
      <c r="L29">
        <v>7.75</v>
      </c>
      <c r="M29">
        <v>7</v>
      </c>
      <c r="N29">
        <v>36.65</v>
      </c>
      <c r="O29">
        <v>23277.49</v>
      </c>
      <c r="P29">
        <v>85.33</v>
      </c>
      <c r="Q29">
        <v>204.14</v>
      </c>
      <c r="R29">
        <v>26.91</v>
      </c>
      <c r="S29">
        <v>17.37</v>
      </c>
      <c r="T29">
        <v>2652.45</v>
      </c>
      <c r="U29">
        <v>0.65</v>
      </c>
      <c r="V29">
        <v>0.74</v>
      </c>
      <c r="W29">
        <v>1.1499999999999999</v>
      </c>
      <c r="X29">
        <v>0.17</v>
      </c>
      <c r="Y29">
        <v>1</v>
      </c>
      <c r="Z29">
        <v>10</v>
      </c>
    </row>
    <row r="30" spans="1:26" x14ac:dyDescent="0.3">
      <c r="A30">
        <v>28</v>
      </c>
      <c r="B30">
        <v>90</v>
      </c>
      <c r="C30" t="s">
        <v>26</v>
      </c>
      <c r="D30">
        <v>10.4251</v>
      </c>
      <c r="E30">
        <v>9.59</v>
      </c>
      <c r="F30">
        <v>6.85</v>
      </c>
      <c r="G30">
        <v>45.68</v>
      </c>
      <c r="H30">
        <v>0.76</v>
      </c>
      <c r="I30">
        <v>9</v>
      </c>
      <c r="J30">
        <v>187.22</v>
      </c>
      <c r="K30">
        <v>52.44</v>
      </c>
      <c r="L30">
        <v>8</v>
      </c>
      <c r="M30">
        <v>7</v>
      </c>
      <c r="N30">
        <v>36.78</v>
      </c>
      <c r="O30">
        <v>23324.240000000002</v>
      </c>
      <c r="P30">
        <v>85.4</v>
      </c>
      <c r="Q30">
        <v>204.2</v>
      </c>
      <c r="R30">
        <v>26.86</v>
      </c>
      <c r="S30">
        <v>17.37</v>
      </c>
      <c r="T30">
        <v>2629.27</v>
      </c>
      <c r="U30">
        <v>0.65</v>
      </c>
      <c r="V30">
        <v>0.75</v>
      </c>
      <c r="W30">
        <v>1.1499999999999999</v>
      </c>
      <c r="X30">
        <v>0.16</v>
      </c>
      <c r="Y30">
        <v>1</v>
      </c>
      <c r="Z30">
        <v>10</v>
      </c>
    </row>
    <row r="31" spans="1:26" x14ac:dyDescent="0.3">
      <c r="A31">
        <v>29</v>
      </c>
      <c r="B31">
        <v>90</v>
      </c>
      <c r="C31" t="s">
        <v>26</v>
      </c>
      <c r="D31">
        <v>10.4176</v>
      </c>
      <c r="E31">
        <v>9.6</v>
      </c>
      <c r="F31">
        <v>6.86</v>
      </c>
      <c r="G31">
        <v>45.72</v>
      </c>
      <c r="H31">
        <v>0.78</v>
      </c>
      <c r="I31">
        <v>9</v>
      </c>
      <c r="J31">
        <v>187.6</v>
      </c>
      <c r="K31">
        <v>52.44</v>
      </c>
      <c r="L31">
        <v>8.25</v>
      </c>
      <c r="M31">
        <v>7</v>
      </c>
      <c r="N31">
        <v>36.9</v>
      </c>
      <c r="O31">
        <v>23371.040000000001</v>
      </c>
      <c r="P31">
        <v>85.15</v>
      </c>
      <c r="Q31">
        <v>204.14</v>
      </c>
      <c r="R31">
        <v>27.05</v>
      </c>
      <c r="S31">
        <v>17.37</v>
      </c>
      <c r="T31">
        <v>2721.14</v>
      </c>
      <c r="U31">
        <v>0.64</v>
      </c>
      <c r="V31">
        <v>0.74</v>
      </c>
      <c r="W31">
        <v>1.1499999999999999</v>
      </c>
      <c r="X31">
        <v>0.17</v>
      </c>
      <c r="Y31">
        <v>1</v>
      </c>
      <c r="Z31">
        <v>10</v>
      </c>
    </row>
    <row r="32" spans="1:26" x14ac:dyDescent="0.3">
      <c r="A32">
        <v>30</v>
      </c>
      <c r="B32">
        <v>90</v>
      </c>
      <c r="C32" t="s">
        <v>26</v>
      </c>
      <c r="D32">
        <v>10.422700000000001</v>
      </c>
      <c r="E32">
        <v>9.59</v>
      </c>
      <c r="F32">
        <v>6.85</v>
      </c>
      <c r="G32">
        <v>45.69</v>
      </c>
      <c r="H32">
        <v>0.8</v>
      </c>
      <c r="I32">
        <v>9</v>
      </c>
      <c r="J32">
        <v>187.98</v>
      </c>
      <c r="K32">
        <v>52.44</v>
      </c>
      <c r="L32">
        <v>8.5</v>
      </c>
      <c r="M32">
        <v>7</v>
      </c>
      <c r="N32">
        <v>37.03</v>
      </c>
      <c r="O32">
        <v>23417.88</v>
      </c>
      <c r="P32">
        <v>84.79</v>
      </c>
      <c r="Q32">
        <v>204.22</v>
      </c>
      <c r="R32">
        <v>26.94</v>
      </c>
      <c r="S32">
        <v>17.37</v>
      </c>
      <c r="T32">
        <v>2666.5</v>
      </c>
      <c r="U32">
        <v>0.64</v>
      </c>
      <c r="V32">
        <v>0.75</v>
      </c>
      <c r="W32">
        <v>1.1499999999999999</v>
      </c>
      <c r="X32">
        <v>0.16</v>
      </c>
      <c r="Y32">
        <v>1</v>
      </c>
      <c r="Z32">
        <v>10</v>
      </c>
    </row>
    <row r="33" spans="1:26" x14ac:dyDescent="0.3">
      <c r="A33">
        <v>31</v>
      </c>
      <c r="B33">
        <v>90</v>
      </c>
      <c r="C33" t="s">
        <v>26</v>
      </c>
      <c r="D33">
        <v>10.4969</v>
      </c>
      <c r="E33">
        <v>9.5299999999999994</v>
      </c>
      <c r="F33">
        <v>6.82</v>
      </c>
      <c r="G33">
        <v>51.16</v>
      </c>
      <c r="H33">
        <v>0.82</v>
      </c>
      <c r="I33">
        <v>8</v>
      </c>
      <c r="J33">
        <v>188.36</v>
      </c>
      <c r="K33">
        <v>52.44</v>
      </c>
      <c r="L33">
        <v>8.75</v>
      </c>
      <c r="M33">
        <v>6</v>
      </c>
      <c r="N33">
        <v>37.159999999999997</v>
      </c>
      <c r="O33">
        <v>23464.76</v>
      </c>
      <c r="P33">
        <v>84.19</v>
      </c>
      <c r="Q33">
        <v>204.14</v>
      </c>
      <c r="R33">
        <v>25.99</v>
      </c>
      <c r="S33">
        <v>17.37</v>
      </c>
      <c r="T33">
        <v>2196.4899999999998</v>
      </c>
      <c r="U33">
        <v>0.67</v>
      </c>
      <c r="V33">
        <v>0.75</v>
      </c>
      <c r="W33">
        <v>1.1499999999999999</v>
      </c>
      <c r="X33">
        <v>0.13</v>
      </c>
      <c r="Y33">
        <v>1</v>
      </c>
      <c r="Z33">
        <v>10</v>
      </c>
    </row>
    <row r="34" spans="1:26" x14ac:dyDescent="0.3">
      <c r="A34">
        <v>32</v>
      </c>
      <c r="B34">
        <v>90</v>
      </c>
      <c r="C34" t="s">
        <v>26</v>
      </c>
      <c r="D34">
        <v>10.497199999999999</v>
      </c>
      <c r="E34">
        <v>9.5299999999999994</v>
      </c>
      <c r="F34">
        <v>6.82</v>
      </c>
      <c r="G34">
        <v>51.16</v>
      </c>
      <c r="H34">
        <v>0.85</v>
      </c>
      <c r="I34">
        <v>8</v>
      </c>
      <c r="J34">
        <v>188.74</v>
      </c>
      <c r="K34">
        <v>52.44</v>
      </c>
      <c r="L34">
        <v>9</v>
      </c>
      <c r="M34">
        <v>6</v>
      </c>
      <c r="N34">
        <v>37.299999999999997</v>
      </c>
      <c r="O34">
        <v>23511.69</v>
      </c>
      <c r="P34">
        <v>83.88</v>
      </c>
      <c r="Q34">
        <v>204.15</v>
      </c>
      <c r="R34">
        <v>25.88</v>
      </c>
      <c r="S34">
        <v>17.37</v>
      </c>
      <c r="T34">
        <v>2141.63</v>
      </c>
      <c r="U34">
        <v>0.67</v>
      </c>
      <c r="V34">
        <v>0.75</v>
      </c>
      <c r="W34">
        <v>1.1499999999999999</v>
      </c>
      <c r="X34">
        <v>0.13</v>
      </c>
      <c r="Y34">
        <v>1</v>
      </c>
      <c r="Z34">
        <v>10</v>
      </c>
    </row>
    <row r="35" spans="1:26" x14ac:dyDescent="0.3">
      <c r="A35">
        <v>33</v>
      </c>
      <c r="B35">
        <v>90</v>
      </c>
      <c r="C35" t="s">
        <v>26</v>
      </c>
      <c r="D35">
        <v>10.4819</v>
      </c>
      <c r="E35">
        <v>9.5399999999999991</v>
      </c>
      <c r="F35">
        <v>6.84</v>
      </c>
      <c r="G35">
        <v>51.26</v>
      </c>
      <c r="H35">
        <v>0.87</v>
      </c>
      <c r="I35">
        <v>8</v>
      </c>
      <c r="J35">
        <v>189.12</v>
      </c>
      <c r="K35">
        <v>52.44</v>
      </c>
      <c r="L35">
        <v>9.25</v>
      </c>
      <c r="M35">
        <v>6</v>
      </c>
      <c r="N35">
        <v>37.43</v>
      </c>
      <c r="O35">
        <v>23558.67</v>
      </c>
      <c r="P35">
        <v>83.89</v>
      </c>
      <c r="Q35">
        <v>204.15</v>
      </c>
      <c r="R35">
        <v>26.31</v>
      </c>
      <c r="S35">
        <v>17.37</v>
      </c>
      <c r="T35">
        <v>2359.81</v>
      </c>
      <c r="U35">
        <v>0.66</v>
      </c>
      <c r="V35">
        <v>0.75</v>
      </c>
      <c r="W35">
        <v>1.1499999999999999</v>
      </c>
      <c r="X35">
        <v>0.14000000000000001</v>
      </c>
      <c r="Y35">
        <v>1</v>
      </c>
      <c r="Z35">
        <v>10</v>
      </c>
    </row>
    <row r="36" spans="1:26" x14ac:dyDescent="0.3">
      <c r="A36">
        <v>34</v>
      </c>
      <c r="B36">
        <v>90</v>
      </c>
      <c r="C36" t="s">
        <v>26</v>
      </c>
      <c r="D36">
        <v>10.487399999999999</v>
      </c>
      <c r="E36">
        <v>9.5399999999999991</v>
      </c>
      <c r="F36">
        <v>6.83</v>
      </c>
      <c r="G36">
        <v>51.23</v>
      </c>
      <c r="H36">
        <v>0.89</v>
      </c>
      <c r="I36">
        <v>8</v>
      </c>
      <c r="J36">
        <v>189.5</v>
      </c>
      <c r="K36">
        <v>52.44</v>
      </c>
      <c r="L36">
        <v>9.5</v>
      </c>
      <c r="M36">
        <v>6</v>
      </c>
      <c r="N36">
        <v>37.56</v>
      </c>
      <c r="O36">
        <v>23605.68</v>
      </c>
      <c r="P36">
        <v>83.73</v>
      </c>
      <c r="Q36">
        <v>204.14</v>
      </c>
      <c r="R36">
        <v>26.11</v>
      </c>
      <c r="S36">
        <v>17.37</v>
      </c>
      <c r="T36">
        <v>2256.5300000000002</v>
      </c>
      <c r="U36">
        <v>0.67</v>
      </c>
      <c r="V36">
        <v>0.75</v>
      </c>
      <c r="W36">
        <v>1.1499999999999999</v>
      </c>
      <c r="X36">
        <v>0.14000000000000001</v>
      </c>
      <c r="Y36">
        <v>1</v>
      </c>
      <c r="Z36">
        <v>10</v>
      </c>
    </row>
    <row r="37" spans="1:26" x14ac:dyDescent="0.3">
      <c r="A37">
        <v>35</v>
      </c>
      <c r="B37">
        <v>90</v>
      </c>
      <c r="C37" t="s">
        <v>26</v>
      </c>
      <c r="D37">
        <v>10.4892</v>
      </c>
      <c r="E37">
        <v>9.5299999999999994</v>
      </c>
      <c r="F37">
        <v>6.83</v>
      </c>
      <c r="G37">
        <v>51.21</v>
      </c>
      <c r="H37">
        <v>0.91</v>
      </c>
      <c r="I37">
        <v>8</v>
      </c>
      <c r="J37">
        <v>189.88</v>
      </c>
      <c r="K37">
        <v>52.44</v>
      </c>
      <c r="L37">
        <v>9.75</v>
      </c>
      <c r="M37">
        <v>6</v>
      </c>
      <c r="N37">
        <v>37.69</v>
      </c>
      <c r="O37">
        <v>23652.75</v>
      </c>
      <c r="P37">
        <v>83.29</v>
      </c>
      <c r="Q37">
        <v>204.14</v>
      </c>
      <c r="R37">
        <v>26.15</v>
      </c>
      <c r="S37">
        <v>17.37</v>
      </c>
      <c r="T37">
        <v>2277.5</v>
      </c>
      <c r="U37">
        <v>0.66</v>
      </c>
      <c r="V37">
        <v>0.75</v>
      </c>
      <c r="W37">
        <v>1.1499999999999999</v>
      </c>
      <c r="X37">
        <v>0.14000000000000001</v>
      </c>
      <c r="Y37">
        <v>1</v>
      </c>
      <c r="Z37">
        <v>10</v>
      </c>
    </row>
    <row r="38" spans="1:26" x14ac:dyDescent="0.3">
      <c r="A38">
        <v>36</v>
      </c>
      <c r="B38">
        <v>90</v>
      </c>
      <c r="C38" t="s">
        <v>26</v>
      </c>
      <c r="D38">
        <v>10.558400000000001</v>
      </c>
      <c r="E38">
        <v>9.4700000000000006</v>
      </c>
      <c r="F38">
        <v>6.8</v>
      </c>
      <c r="G38">
        <v>58.3</v>
      </c>
      <c r="H38">
        <v>0.93</v>
      </c>
      <c r="I38">
        <v>7</v>
      </c>
      <c r="J38">
        <v>190.26</v>
      </c>
      <c r="K38">
        <v>52.44</v>
      </c>
      <c r="L38">
        <v>10</v>
      </c>
      <c r="M38">
        <v>5</v>
      </c>
      <c r="N38">
        <v>37.82</v>
      </c>
      <c r="O38">
        <v>23699.85</v>
      </c>
      <c r="P38">
        <v>82.86</v>
      </c>
      <c r="Q38">
        <v>204.16</v>
      </c>
      <c r="R38">
        <v>25.26</v>
      </c>
      <c r="S38">
        <v>17.37</v>
      </c>
      <c r="T38">
        <v>1838.02</v>
      </c>
      <c r="U38">
        <v>0.69</v>
      </c>
      <c r="V38">
        <v>0.75</v>
      </c>
      <c r="W38">
        <v>1.1499999999999999</v>
      </c>
      <c r="X38">
        <v>0.11</v>
      </c>
      <c r="Y38">
        <v>1</v>
      </c>
      <c r="Z38">
        <v>10</v>
      </c>
    </row>
    <row r="39" spans="1:26" x14ac:dyDescent="0.3">
      <c r="A39">
        <v>37</v>
      </c>
      <c r="B39">
        <v>90</v>
      </c>
      <c r="C39" t="s">
        <v>26</v>
      </c>
      <c r="D39">
        <v>10.551299999999999</v>
      </c>
      <c r="E39">
        <v>9.48</v>
      </c>
      <c r="F39">
        <v>6.81</v>
      </c>
      <c r="G39">
        <v>58.35</v>
      </c>
      <c r="H39">
        <v>0.95</v>
      </c>
      <c r="I39">
        <v>7</v>
      </c>
      <c r="J39">
        <v>190.65</v>
      </c>
      <c r="K39">
        <v>52.44</v>
      </c>
      <c r="L39">
        <v>10.25</v>
      </c>
      <c r="M39">
        <v>5</v>
      </c>
      <c r="N39">
        <v>37.950000000000003</v>
      </c>
      <c r="O39">
        <v>23747</v>
      </c>
      <c r="P39">
        <v>83.04</v>
      </c>
      <c r="Q39">
        <v>204.14</v>
      </c>
      <c r="R39">
        <v>25.47</v>
      </c>
      <c r="S39">
        <v>17.37</v>
      </c>
      <c r="T39">
        <v>1940.3</v>
      </c>
      <c r="U39">
        <v>0.68</v>
      </c>
      <c r="V39">
        <v>0.75</v>
      </c>
      <c r="W39">
        <v>1.1499999999999999</v>
      </c>
      <c r="X39">
        <v>0.12</v>
      </c>
      <c r="Y39">
        <v>1</v>
      </c>
      <c r="Z39">
        <v>10</v>
      </c>
    </row>
    <row r="40" spans="1:26" x14ac:dyDescent="0.3">
      <c r="A40">
        <v>38</v>
      </c>
      <c r="B40">
        <v>90</v>
      </c>
      <c r="C40" t="s">
        <v>26</v>
      </c>
      <c r="D40">
        <v>10.5519</v>
      </c>
      <c r="E40">
        <v>9.48</v>
      </c>
      <c r="F40">
        <v>6.81</v>
      </c>
      <c r="G40">
        <v>58.35</v>
      </c>
      <c r="H40">
        <v>0.98</v>
      </c>
      <c r="I40">
        <v>7</v>
      </c>
      <c r="J40">
        <v>191.03</v>
      </c>
      <c r="K40">
        <v>52.44</v>
      </c>
      <c r="L40">
        <v>10.5</v>
      </c>
      <c r="M40">
        <v>5</v>
      </c>
      <c r="N40">
        <v>38.090000000000003</v>
      </c>
      <c r="O40">
        <v>23794.2</v>
      </c>
      <c r="P40">
        <v>83.04</v>
      </c>
      <c r="Q40">
        <v>204.14</v>
      </c>
      <c r="R40">
        <v>25.53</v>
      </c>
      <c r="S40">
        <v>17.37</v>
      </c>
      <c r="T40">
        <v>1973.94</v>
      </c>
      <c r="U40">
        <v>0.68</v>
      </c>
      <c r="V40">
        <v>0.75</v>
      </c>
      <c r="W40">
        <v>1.1499999999999999</v>
      </c>
      <c r="X40">
        <v>0.12</v>
      </c>
      <c r="Y40">
        <v>1</v>
      </c>
      <c r="Z40">
        <v>10</v>
      </c>
    </row>
    <row r="41" spans="1:26" x14ac:dyDescent="0.3">
      <c r="A41">
        <v>39</v>
      </c>
      <c r="B41">
        <v>90</v>
      </c>
      <c r="C41" t="s">
        <v>26</v>
      </c>
      <c r="D41">
        <v>10.546099999999999</v>
      </c>
      <c r="E41">
        <v>9.48</v>
      </c>
      <c r="F41">
        <v>6.81</v>
      </c>
      <c r="G41">
        <v>58.4</v>
      </c>
      <c r="H41">
        <v>1</v>
      </c>
      <c r="I41">
        <v>7</v>
      </c>
      <c r="J41">
        <v>191.41</v>
      </c>
      <c r="K41">
        <v>52.44</v>
      </c>
      <c r="L41">
        <v>10.75</v>
      </c>
      <c r="M41">
        <v>5</v>
      </c>
      <c r="N41">
        <v>38.22</v>
      </c>
      <c r="O41">
        <v>23841.439999999999</v>
      </c>
      <c r="P41">
        <v>82.99</v>
      </c>
      <c r="Q41">
        <v>204.14</v>
      </c>
      <c r="R41">
        <v>25.55</v>
      </c>
      <c r="S41">
        <v>17.37</v>
      </c>
      <c r="T41">
        <v>1983.89</v>
      </c>
      <c r="U41">
        <v>0.68</v>
      </c>
      <c r="V41">
        <v>0.75</v>
      </c>
      <c r="W41">
        <v>1.1499999999999999</v>
      </c>
      <c r="X41">
        <v>0.12</v>
      </c>
      <c r="Y41">
        <v>1</v>
      </c>
      <c r="Z41">
        <v>10</v>
      </c>
    </row>
    <row r="42" spans="1:26" x14ac:dyDescent="0.3">
      <c r="A42">
        <v>40</v>
      </c>
      <c r="B42">
        <v>90</v>
      </c>
      <c r="C42" t="s">
        <v>26</v>
      </c>
      <c r="D42">
        <v>10.5504</v>
      </c>
      <c r="E42">
        <v>9.48</v>
      </c>
      <c r="F42">
        <v>6.81</v>
      </c>
      <c r="G42">
        <v>58.36</v>
      </c>
      <c r="H42">
        <v>1.02</v>
      </c>
      <c r="I42">
        <v>7</v>
      </c>
      <c r="J42">
        <v>191.79</v>
      </c>
      <c r="K42">
        <v>52.44</v>
      </c>
      <c r="L42">
        <v>11</v>
      </c>
      <c r="M42">
        <v>5</v>
      </c>
      <c r="N42">
        <v>38.35</v>
      </c>
      <c r="O42">
        <v>23888.73</v>
      </c>
      <c r="P42">
        <v>82.65</v>
      </c>
      <c r="Q42">
        <v>204.17</v>
      </c>
      <c r="R42">
        <v>25.65</v>
      </c>
      <c r="S42">
        <v>17.37</v>
      </c>
      <c r="T42">
        <v>2030.84</v>
      </c>
      <c r="U42">
        <v>0.68</v>
      </c>
      <c r="V42">
        <v>0.75</v>
      </c>
      <c r="W42">
        <v>1.1399999999999999</v>
      </c>
      <c r="X42">
        <v>0.12</v>
      </c>
      <c r="Y42">
        <v>1</v>
      </c>
      <c r="Z42">
        <v>10</v>
      </c>
    </row>
    <row r="43" spans="1:26" x14ac:dyDescent="0.3">
      <c r="A43">
        <v>41</v>
      </c>
      <c r="B43">
        <v>90</v>
      </c>
      <c r="C43" t="s">
        <v>26</v>
      </c>
      <c r="D43">
        <v>10.5436</v>
      </c>
      <c r="E43">
        <v>9.48</v>
      </c>
      <c r="F43">
        <v>6.82</v>
      </c>
      <c r="G43">
        <v>58.41</v>
      </c>
      <c r="H43">
        <v>1.04</v>
      </c>
      <c r="I43">
        <v>7</v>
      </c>
      <c r="J43">
        <v>192.18</v>
      </c>
      <c r="K43">
        <v>52.44</v>
      </c>
      <c r="L43">
        <v>11.25</v>
      </c>
      <c r="M43">
        <v>5</v>
      </c>
      <c r="N43">
        <v>38.49</v>
      </c>
      <c r="O43">
        <v>23936.06</v>
      </c>
      <c r="P43">
        <v>82.35</v>
      </c>
      <c r="Q43">
        <v>204.15</v>
      </c>
      <c r="R43">
        <v>25.74</v>
      </c>
      <c r="S43">
        <v>17.37</v>
      </c>
      <c r="T43">
        <v>2075.34</v>
      </c>
      <c r="U43">
        <v>0.68</v>
      </c>
      <c r="V43">
        <v>0.75</v>
      </c>
      <c r="W43">
        <v>1.1499999999999999</v>
      </c>
      <c r="X43">
        <v>0.12</v>
      </c>
      <c r="Y43">
        <v>1</v>
      </c>
      <c r="Z43">
        <v>10</v>
      </c>
    </row>
    <row r="44" spans="1:26" x14ac:dyDescent="0.3">
      <c r="A44">
        <v>42</v>
      </c>
      <c r="B44">
        <v>90</v>
      </c>
      <c r="C44" t="s">
        <v>26</v>
      </c>
      <c r="D44">
        <v>10.547000000000001</v>
      </c>
      <c r="E44">
        <v>9.48</v>
      </c>
      <c r="F44">
        <v>6.81</v>
      </c>
      <c r="G44">
        <v>58.39</v>
      </c>
      <c r="H44">
        <v>1.06</v>
      </c>
      <c r="I44">
        <v>7</v>
      </c>
      <c r="J44">
        <v>192.56</v>
      </c>
      <c r="K44">
        <v>52.44</v>
      </c>
      <c r="L44">
        <v>11.5</v>
      </c>
      <c r="M44">
        <v>5</v>
      </c>
      <c r="N44">
        <v>38.619999999999997</v>
      </c>
      <c r="O44">
        <v>23983.439999999999</v>
      </c>
      <c r="P44">
        <v>81.99</v>
      </c>
      <c r="Q44">
        <v>204.14</v>
      </c>
      <c r="R44">
        <v>25.58</v>
      </c>
      <c r="S44">
        <v>17.37</v>
      </c>
      <c r="T44">
        <v>1998.07</v>
      </c>
      <c r="U44">
        <v>0.68</v>
      </c>
      <c r="V44">
        <v>0.75</v>
      </c>
      <c r="W44">
        <v>1.1499999999999999</v>
      </c>
      <c r="X44">
        <v>0.12</v>
      </c>
      <c r="Y44">
        <v>1</v>
      </c>
      <c r="Z44">
        <v>10</v>
      </c>
    </row>
    <row r="45" spans="1:26" x14ac:dyDescent="0.3">
      <c r="A45">
        <v>43</v>
      </c>
      <c r="B45">
        <v>90</v>
      </c>
      <c r="C45" t="s">
        <v>26</v>
      </c>
      <c r="D45">
        <v>10.6145</v>
      </c>
      <c r="E45">
        <v>9.42</v>
      </c>
      <c r="F45">
        <v>6.79</v>
      </c>
      <c r="G45">
        <v>67.87</v>
      </c>
      <c r="H45">
        <v>1.08</v>
      </c>
      <c r="I45">
        <v>6</v>
      </c>
      <c r="J45">
        <v>192.95</v>
      </c>
      <c r="K45">
        <v>52.44</v>
      </c>
      <c r="L45">
        <v>11.75</v>
      </c>
      <c r="M45">
        <v>4</v>
      </c>
      <c r="N45">
        <v>38.75</v>
      </c>
      <c r="O45">
        <v>24030.86</v>
      </c>
      <c r="P45">
        <v>81.38</v>
      </c>
      <c r="Q45">
        <v>204.14</v>
      </c>
      <c r="R45">
        <v>24.74</v>
      </c>
      <c r="S45">
        <v>17.37</v>
      </c>
      <c r="T45">
        <v>1581.18</v>
      </c>
      <c r="U45">
        <v>0.7</v>
      </c>
      <c r="V45">
        <v>0.75</v>
      </c>
      <c r="W45">
        <v>1.1499999999999999</v>
      </c>
      <c r="X45">
        <v>0.1</v>
      </c>
      <c r="Y45">
        <v>1</v>
      </c>
      <c r="Z45">
        <v>10</v>
      </c>
    </row>
    <row r="46" spans="1:26" x14ac:dyDescent="0.3">
      <c r="A46">
        <v>44</v>
      </c>
      <c r="B46">
        <v>90</v>
      </c>
      <c r="C46" t="s">
        <v>26</v>
      </c>
      <c r="D46">
        <v>10.612</v>
      </c>
      <c r="E46">
        <v>9.42</v>
      </c>
      <c r="F46">
        <v>6.79</v>
      </c>
      <c r="G46">
        <v>67.89</v>
      </c>
      <c r="H46">
        <v>1.1000000000000001</v>
      </c>
      <c r="I46">
        <v>6</v>
      </c>
      <c r="J46">
        <v>193.33</v>
      </c>
      <c r="K46">
        <v>52.44</v>
      </c>
      <c r="L46">
        <v>12</v>
      </c>
      <c r="M46">
        <v>4</v>
      </c>
      <c r="N46">
        <v>38.89</v>
      </c>
      <c r="O46">
        <v>24078.33</v>
      </c>
      <c r="P46">
        <v>81.39</v>
      </c>
      <c r="Q46">
        <v>204.14</v>
      </c>
      <c r="R46">
        <v>24.85</v>
      </c>
      <c r="S46">
        <v>17.37</v>
      </c>
      <c r="T46">
        <v>1635.85</v>
      </c>
      <c r="U46">
        <v>0.7</v>
      </c>
      <c r="V46">
        <v>0.75</v>
      </c>
      <c r="W46">
        <v>1.1499999999999999</v>
      </c>
      <c r="X46">
        <v>0.1</v>
      </c>
      <c r="Y46">
        <v>1</v>
      </c>
      <c r="Z46">
        <v>10</v>
      </c>
    </row>
    <row r="47" spans="1:26" x14ac:dyDescent="0.3">
      <c r="A47">
        <v>45</v>
      </c>
      <c r="B47">
        <v>90</v>
      </c>
      <c r="C47" t="s">
        <v>26</v>
      </c>
      <c r="D47">
        <v>10.613200000000001</v>
      </c>
      <c r="E47">
        <v>9.42</v>
      </c>
      <c r="F47">
        <v>6.79</v>
      </c>
      <c r="G47">
        <v>67.88</v>
      </c>
      <c r="H47">
        <v>1.1200000000000001</v>
      </c>
      <c r="I47">
        <v>6</v>
      </c>
      <c r="J47">
        <v>193.72</v>
      </c>
      <c r="K47">
        <v>52.44</v>
      </c>
      <c r="L47">
        <v>12.25</v>
      </c>
      <c r="M47">
        <v>4</v>
      </c>
      <c r="N47">
        <v>39.020000000000003</v>
      </c>
      <c r="O47">
        <v>24125.85</v>
      </c>
      <c r="P47">
        <v>81.5</v>
      </c>
      <c r="Q47">
        <v>204.14</v>
      </c>
      <c r="R47">
        <v>24.82</v>
      </c>
      <c r="S47">
        <v>17.37</v>
      </c>
      <c r="T47">
        <v>1620.31</v>
      </c>
      <c r="U47">
        <v>0.7</v>
      </c>
      <c r="V47">
        <v>0.75</v>
      </c>
      <c r="W47">
        <v>1.1499999999999999</v>
      </c>
      <c r="X47">
        <v>0.1</v>
      </c>
      <c r="Y47">
        <v>1</v>
      </c>
      <c r="Z47">
        <v>10</v>
      </c>
    </row>
    <row r="48" spans="1:26" x14ac:dyDescent="0.3">
      <c r="A48">
        <v>46</v>
      </c>
      <c r="B48">
        <v>90</v>
      </c>
      <c r="C48" t="s">
        <v>26</v>
      </c>
      <c r="D48">
        <v>10.6129</v>
      </c>
      <c r="E48">
        <v>9.42</v>
      </c>
      <c r="F48">
        <v>6.79</v>
      </c>
      <c r="G48">
        <v>67.89</v>
      </c>
      <c r="H48">
        <v>1.1399999999999999</v>
      </c>
      <c r="I48">
        <v>6</v>
      </c>
      <c r="J48">
        <v>194.1</v>
      </c>
      <c r="K48">
        <v>52.44</v>
      </c>
      <c r="L48">
        <v>12.5</v>
      </c>
      <c r="M48">
        <v>4</v>
      </c>
      <c r="N48">
        <v>39.159999999999997</v>
      </c>
      <c r="O48">
        <v>24173.41</v>
      </c>
      <c r="P48">
        <v>81.44</v>
      </c>
      <c r="Q48">
        <v>204.14</v>
      </c>
      <c r="R48">
        <v>24.95</v>
      </c>
      <c r="S48">
        <v>17.37</v>
      </c>
      <c r="T48">
        <v>1687.25</v>
      </c>
      <c r="U48">
        <v>0.7</v>
      </c>
      <c r="V48">
        <v>0.75</v>
      </c>
      <c r="W48">
        <v>1.1399999999999999</v>
      </c>
      <c r="X48">
        <v>0.1</v>
      </c>
      <c r="Y48">
        <v>1</v>
      </c>
      <c r="Z48">
        <v>10</v>
      </c>
    </row>
    <row r="49" spans="1:26" x14ac:dyDescent="0.3">
      <c r="A49">
        <v>47</v>
      </c>
      <c r="B49">
        <v>90</v>
      </c>
      <c r="C49" t="s">
        <v>26</v>
      </c>
      <c r="D49">
        <v>10.621700000000001</v>
      </c>
      <c r="E49">
        <v>9.41</v>
      </c>
      <c r="F49">
        <v>6.78</v>
      </c>
      <c r="G49">
        <v>67.81</v>
      </c>
      <c r="H49">
        <v>1.1599999999999999</v>
      </c>
      <c r="I49">
        <v>6</v>
      </c>
      <c r="J49">
        <v>194.49</v>
      </c>
      <c r="K49">
        <v>52.44</v>
      </c>
      <c r="L49">
        <v>12.75</v>
      </c>
      <c r="M49">
        <v>4</v>
      </c>
      <c r="N49">
        <v>39.299999999999997</v>
      </c>
      <c r="O49">
        <v>24221.02</v>
      </c>
      <c r="P49">
        <v>81.099999999999994</v>
      </c>
      <c r="Q49">
        <v>204.15</v>
      </c>
      <c r="R49">
        <v>24.61</v>
      </c>
      <c r="S49">
        <v>17.37</v>
      </c>
      <c r="T49">
        <v>1516.29</v>
      </c>
      <c r="U49">
        <v>0.71</v>
      </c>
      <c r="V49">
        <v>0.75</v>
      </c>
      <c r="W49">
        <v>1.1499999999999999</v>
      </c>
      <c r="X49">
        <v>0.09</v>
      </c>
      <c r="Y49">
        <v>1</v>
      </c>
      <c r="Z49">
        <v>10</v>
      </c>
    </row>
    <row r="50" spans="1:26" x14ac:dyDescent="0.3">
      <c r="A50">
        <v>48</v>
      </c>
      <c r="B50">
        <v>90</v>
      </c>
      <c r="C50" t="s">
        <v>26</v>
      </c>
      <c r="D50">
        <v>10.620100000000001</v>
      </c>
      <c r="E50">
        <v>9.42</v>
      </c>
      <c r="F50">
        <v>6.78</v>
      </c>
      <c r="G50">
        <v>67.819999999999993</v>
      </c>
      <c r="H50">
        <v>1.18</v>
      </c>
      <c r="I50">
        <v>6</v>
      </c>
      <c r="J50">
        <v>194.88</v>
      </c>
      <c r="K50">
        <v>52.44</v>
      </c>
      <c r="L50">
        <v>13</v>
      </c>
      <c r="M50">
        <v>4</v>
      </c>
      <c r="N50">
        <v>39.43</v>
      </c>
      <c r="O50">
        <v>24268.67</v>
      </c>
      <c r="P50">
        <v>80.83</v>
      </c>
      <c r="Q50">
        <v>204.14</v>
      </c>
      <c r="R50">
        <v>24.75</v>
      </c>
      <c r="S50">
        <v>17.37</v>
      </c>
      <c r="T50">
        <v>1588.22</v>
      </c>
      <c r="U50">
        <v>0.7</v>
      </c>
      <c r="V50">
        <v>0.75</v>
      </c>
      <c r="W50">
        <v>1.1399999999999999</v>
      </c>
      <c r="X50">
        <v>0.09</v>
      </c>
      <c r="Y50">
        <v>1</v>
      </c>
      <c r="Z50">
        <v>10</v>
      </c>
    </row>
    <row r="51" spans="1:26" x14ac:dyDescent="0.3">
      <c r="A51">
        <v>49</v>
      </c>
      <c r="B51">
        <v>90</v>
      </c>
      <c r="C51" t="s">
        <v>26</v>
      </c>
      <c r="D51">
        <v>10.6082</v>
      </c>
      <c r="E51">
        <v>9.43</v>
      </c>
      <c r="F51">
        <v>6.79</v>
      </c>
      <c r="G51">
        <v>67.930000000000007</v>
      </c>
      <c r="H51">
        <v>1.2</v>
      </c>
      <c r="I51">
        <v>6</v>
      </c>
      <c r="J51">
        <v>195.26</v>
      </c>
      <c r="K51">
        <v>52.44</v>
      </c>
      <c r="L51">
        <v>13.25</v>
      </c>
      <c r="M51">
        <v>4</v>
      </c>
      <c r="N51">
        <v>39.57</v>
      </c>
      <c r="O51">
        <v>24316.37</v>
      </c>
      <c r="P51">
        <v>80.739999999999995</v>
      </c>
      <c r="Q51">
        <v>204.14</v>
      </c>
      <c r="R51">
        <v>25.06</v>
      </c>
      <c r="S51">
        <v>17.37</v>
      </c>
      <c r="T51">
        <v>1742.06</v>
      </c>
      <c r="U51">
        <v>0.69</v>
      </c>
      <c r="V51">
        <v>0.75</v>
      </c>
      <c r="W51">
        <v>1.1399999999999999</v>
      </c>
      <c r="X51">
        <v>0.1</v>
      </c>
      <c r="Y51">
        <v>1</v>
      </c>
      <c r="Z51">
        <v>10</v>
      </c>
    </row>
    <row r="52" spans="1:26" x14ac:dyDescent="0.3">
      <c r="A52">
        <v>50</v>
      </c>
      <c r="B52">
        <v>90</v>
      </c>
      <c r="C52" t="s">
        <v>26</v>
      </c>
      <c r="D52">
        <v>10.6113</v>
      </c>
      <c r="E52">
        <v>9.42</v>
      </c>
      <c r="F52">
        <v>6.79</v>
      </c>
      <c r="G52">
        <v>67.900000000000006</v>
      </c>
      <c r="H52">
        <v>1.22</v>
      </c>
      <c r="I52">
        <v>6</v>
      </c>
      <c r="J52">
        <v>195.65</v>
      </c>
      <c r="K52">
        <v>52.44</v>
      </c>
      <c r="L52">
        <v>13.5</v>
      </c>
      <c r="M52">
        <v>4</v>
      </c>
      <c r="N52">
        <v>39.71</v>
      </c>
      <c r="O52">
        <v>24364.12</v>
      </c>
      <c r="P52">
        <v>80.31</v>
      </c>
      <c r="Q52">
        <v>204.14</v>
      </c>
      <c r="R52">
        <v>24.89</v>
      </c>
      <c r="S52">
        <v>17.37</v>
      </c>
      <c r="T52">
        <v>1659.16</v>
      </c>
      <c r="U52">
        <v>0.7</v>
      </c>
      <c r="V52">
        <v>0.75</v>
      </c>
      <c r="W52">
        <v>1.1499999999999999</v>
      </c>
      <c r="X52">
        <v>0.1</v>
      </c>
      <c r="Y52">
        <v>1</v>
      </c>
      <c r="Z52">
        <v>10</v>
      </c>
    </row>
    <row r="53" spans="1:26" x14ac:dyDescent="0.3">
      <c r="A53">
        <v>51</v>
      </c>
      <c r="B53">
        <v>90</v>
      </c>
      <c r="C53" t="s">
        <v>26</v>
      </c>
      <c r="D53">
        <v>10.6157</v>
      </c>
      <c r="E53">
        <v>9.42</v>
      </c>
      <c r="F53">
        <v>6.79</v>
      </c>
      <c r="G53">
        <v>67.86</v>
      </c>
      <c r="H53">
        <v>1.25</v>
      </c>
      <c r="I53">
        <v>6</v>
      </c>
      <c r="J53">
        <v>196.04</v>
      </c>
      <c r="K53">
        <v>52.44</v>
      </c>
      <c r="L53">
        <v>13.75</v>
      </c>
      <c r="M53">
        <v>4</v>
      </c>
      <c r="N53">
        <v>39.840000000000003</v>
      </c>
      <c r="O53">
        <v>24411.91</v>
      </c>
      <c r="P53">
        <v>80.349999999999994</v>
      </c>
      <c r="Q53">
        <v>204.14</v>
      </c>
      <c r="R53">
        <v>24.79</v>
      </c>
      <c r="S53">
        <v>17.37</v>
      </c>
      <c r="T53">
        <v>1606.25</v>
      </c>
      <c r="U53">
        <v>0.7</v>
      </c>
      <c r="V53">
        <v>0.75</v>
      </c>
      <c r="W53">
        <v>1.1499999999999999</v>
      </c>
      <c r="X53">
        <v>0.1</v>
      </c>
      <c r="Y53">
        <v>1</v>
      </c>
      <c r="Z53">
        <v>10</v>
      </c>
    </row>
    <row r="54" spans="1:26" x14ac:dyDescent="0.3">
      <c r="A54">
        <v>52</v>
      </c>
      <c r="B54">
        <v>90</v>
      </c>
      <c r="C54" t="s">
        <v>26</v>
      </c>
      <c r="D54">
        <v>10.6082</v>
      </c>
      <c r="E54">
        <v>9.43</v>
      </c>
      <c r="F54">
        <v>6.79</v>
      </c>
      <c r="G54">
        <v>67.930000000000007</v>
      </c>
      <c r="H54">
        <v>1.27</v>
      </c>
      <c r="I54">
        <v>6</v>
      </c>
      <c r="J54">
        <v>196.42</v>
      </c>
      <c r="K54">
        <v>52.44</v>
      </c>
      <c r="L54">
        <v>14</v>
      </c>
      <c r="M54">
        <v>4</v>
      </c>
      <c r="N54">
        <v>39.979999999999997</v>
      </c>
      <c r="O54">
        <v>24459.75</v>
      </c>
      <c r="P54">
        <v>79.790000000000006</v>
      </c>
      <c r="Q54">
        <v>204.15</v>
      </c>
      <c r="R54">
        <v>25.08</v>
      </c>
      <c r="S54">
        <v>17.37</v>
      </c>
      <c r="T54">
        <v>1753.13</v>
      </c>
      <c r="U54">
        <v>0.69</v>
      </c>
      <c r="V54">
        <v>0.75</v>
      </c>
      <c r="W54">
        <v>1.1399999999999999</v>
      </c>
      <c r="X54">
        <v>0.1</v>
      </c>
      <c r="Y54">
        <v>1</v>
      </c>
      <c r="Z54">
        <v>10</v>
      </c>
    </row>
    <row r="55" spans="1:26" x14ac:dyDescent="0.3">
      <c r="A55">
        <v>53</v>
      </c>
      <c r="B55">
        <v>90</v>
      </c>
      <c r="C55" t="s">
        <v>26</v>
      </c>
      <c r="D55">
        <v>10.672000000000001</v>
      </c>
      <c r="E55">
        <v>9.3699999999999992</v>
      </c>
      <c r="F55">
        <v>6.77</v>
      </c>
      <c r="G55">
        <v>81.260000000000005</v>
      </c>
      <c r="H55">
        <v>1.29</v>
      </c>
      <c r="I55">
        <v>5</v>
      </c>
      <c r="J55">
        <v>196.81</v>
      </c>
      <c r="K55">
        <v>52.44</v>
      </c>
      <c r="L55">
        <v>14.25</v>
      </c>
      <c r="M55">
        <v>3</v>
      </c>
      <c r="N55">
        <v>40.119999999999997</v>
      </c>
      <c r="O55">
        <v>24507.64</v>
      </c>
      <c r="P55">
        <v>79.040000000000006</v>
      </c>
      <c r="Q55">
        <v>204.14</v>
      </c>
      <c r="R55">
        <v>24.35</v>
      </c>
      <c r="S55">
        <v>17.37</v>
      </c>
      <c r="T55">
        <v>1390.56</v>
      </c>
      <c r="U55">
        <v>0.71</v>
      </c>
      <c r="V55">
        <v>0.75</v>
      </c>
      <c r="W55">
        <v>1.1399999999999999</v>
      </c>
      <c r="X55">
        <v>0.08</v>
      </c>
      <c r="Y55">
        <v>1</v>
      </c>
      <c r="Z55">
        <v>10</v>
      </c>
    </row>
    <row r="56" spans="1:26" x14ac:dyDescent="0.3">
      <c r="A56">
        <v>54</v>
      </c>
      <c r="B56">
        <v>90</v>
      </c>
      <c r="C56" t="s">
        <v>26</v>
      </c>
      <c r="D56">
        <v>10.667</v>
      </c>
      <c r="E56">
        <v>9.3699999999999992</v>
      </c>
      <c r="F56">
        <v>6.78</v>
      </c>
      <c r="G56">
        <v>81.319999999999993</v>
      </c>
      <c r="H56">
        <v>1.31</v>
      </c>
      <c r="I56">
        <v>5</v>
      </c>
      <c r="J56">
        <v>197.2</v>
      </c>
      <c r="K56">
        <v>52.44</v>
      </c>
      <c r="L56">
        <v>14.5</v>
      </c>
      <c r="M56">
        <v>3</v>
      </c>
      <c r="N56">
        <v>40.26</v>
      </c>
      <c r="O56">
        <v>24555.57</v>
      </c>
      <c r="P56">
        <v>79.42</v>
      </c>
      <c r="Q56">
        <v>204.14</v>
      </c>
      <c r="R56">
        <v>24.59</v>
      </c>
      <c r="S56">
        <v>17.37</v>
      </c>
      <c r="T56">
        <v>1514.21</v>
      </c>
      <c r="U56">
        <v>0.71</v>
      </c>
      <c r="V56">
        <v>0.75</v>
      </c>
      <c r="W56">
        <v>1.1399999999999999</v>
      </c>
      <c r="X56">
        <v>0.09</v>
      </c>
      <c r="Y56">
        <v>1</v>
      </c>
      <c r="Z56">
        <v>10</v>
      </c>
    </row>
    <row r="57" spans="1:26" x14ac:dyDescent="0.3">
      <c r="A57">
        <v>55</v>
      </c>
      <c r="B57">
        <v>90</v>
      </c>
      <c r="C57" t="s">
        <v>26</v>
      </c>
      <c r="D57">
        <v>10.673</v>
      </c>
      <c r="E57">
        <v>9.3699999999999992</v>
      </c>
      <c r="F57">
        <v>6.77</v>
      </c>
      <c r="G57">
        <v>81.25</v>
      </c>
      <c r="H57">
        <v>1.33</v>
      </c>
      <c r="I57">
        <v>5</v>
      </c>
      <c r="J57">
        <v>197.59</v>
      </c>
      <c r="K57">
        <v>52.44</v>
      </c>
      <c r="L57">
        <v>14.75</v>
      </c>
      <c r="M57">
        <v>3</v>
      </c>
      <c r="N57">
        <v>40.4</v>
      </c>
      <c r="O57">
        <v>24603.55</v>
      </c>
      <c r="P57">
        <v>79.39</v>
      </c>
      <c r="Q57">
        <v>204.14</v>
      </c>
      <c r="R57">
        <v>24.36</v>
      </c>
      <c r="S57">
        <v>17.37</v>
      </c>
      <c r="T57">
        <v>1396.14</v>
      </c>
      <c r="U57">
        <v>0.71</v>
      </c>
      <c r="V57">
        <v>0.75</v>
      </c>
      <c r="W57">
        <v>1.1399999999999999</v>
      </c>
      <c r="X57">
        <v>0.08</v>
      </c>
      <c r="Y57">
        <v>1</v>
      </c>
      <c r="Z57">
        <v>10</v>
      </c>
    </row>
    <row r="58" spans="1:26" x14ac:dyDescent="0.3">
      <c r="A58">
        <v>56</v>
      </c>
      <c r="B58">
        <v>90</v>
      </c>
      <c r="C58" t="s">
        <v>26</v>
      </c>
      <c r="D58">
        <v>10.667899999999999</v>
      </c>
      <c r="E58">
        <v>9.3699999999999992</v>
      </c>
      <c r="F58">
        <v>6.78</v>
      </c>
      <c r="G58">
        <v>81.31</v>
      </c>
      <c r="H58">
        <v>1.35</v>
      </c>
      <c r="I58">
        <v>5</v>
      </c>
      <c r="J58">
        <v>197.98</v>
      </c>
      <c r="K58">
        <v>52.44</v>
      </c>
      <c r="L58">
        <v>15</v>
      </c>
      <c r="M58">
        <v>3</v>
      </c>
      <c r="N58">
        <v>40.54</v>
      </c>
      <c r="O58">
        <v>24651.58</v>
      </c>
      <c r="P58">
        <v>79.67</v>
      </c>
      <c r="Q58">
        <v>204.15</v>
      </c>
      <c r="R58">
        <v>24.48</v>
      </c>
      <c r="S58">
        <v>17.37</v>
      </c>
      <c r="T58">
        <v>1458.04</v>
      </c>
      <c r="U58">
        <v>0.71</v>
      </c>
      <c r="V58">
        <v>0.75</v>
      </c>
      <c r="W58">
        <v>1.1399999999999999</v>
      </c>
      <c r="X58">
        <v>0.08</v>
      </c>
      <c r="Y58">
        <v>1</v>
      </c>
      <c r="Z58">
        <v>10</v>
      </c>
    </row>
    <row r="59" spans="1:26" x14ac:dyDescent="0.3">
      <c r="A59">
        <v>57</v>
      </c>
      <c r="B59">
        <v>90</v>
      </c>
      <c r="C59" t="s">
        <v>26</v>
      </c>
      <c r="D59">
        <v>10.670500000000001</v>
      </c>
      <c r="E59">
        <v>9.3699999999999992</v>
      </c>
      <c r="F59">
        <v>6.77</v>
      </c>
      <c r="G59">
        <v>81.28</v>
      </c>
      <c r="H59">
        <v>1.36</v>
      </c>
      <c r="I59">
        <v>5</v>
      </c>
      <c r="J59">
        <v>198.37</v>
      </c>
      <c r="K59">
        <v>52.44</v>
      </c>
      <c r="L59">
        <v>15.25</v>
      </c>
      <c r="M59">
        <v>3</v>
      </c>
      <c r="N59">
        <v>40.68</v>
      </c>
      <c r="O59">
        <v>24699.65</v>
      </c>
      <c r="P59">
        <v>79.33</v>
      </c>
      <c r="Q59">
        <v>204.14</v>
      </c>
      <c r="R59">
        <v>24.39</v>
      </c>
      <c r="S59">
        <v>17.37</v>
      </c>
      <c r="T59">
        <v>1414.32</v>
      </c>
      <c r="U59">
        <v>0.71</v>
      </c>
      <c r="V59">
        <v>0.75</v>
      </c>
      <c r="W59">
        <v>1.1399999999999999</v>
      </c>
      <c r="X59">
        <v>0.08</v>
      </c>
      <c r="Y59">
        <v>1</v>
      </c>
      <c r="Z59">
        <v>10</v>
      </c>
    </row>
    <row r="60" spans="1:26" x14ac:dyDescent="0.3">
      <c r="A60">
        <v>58</v>
      </c>
      <c r="B60">
        <v>90</v>
      </c>
      <c r="C60" t="s">
        <v>26</v>
      </c>
      <c r="D60">
        <v>10.6645</v>
      </c>
      <c r="E60">
        <v>9.3800000000000008</v>
      </c>
      <c r="F60">
        <v>6.78</v>
      </c>
      <c r="G60">
        <v>81.34</v>
      </c>
      <c r="H60">
        <v>1.38</v>
      </c>
      <c r="I60">
        <v>5</v>
      </c>
      <c r="J60">
        <v>198.76</v>
      </c>
      <c r="K60">
        <v>52.44</v>
      </c>
      <c r="L60">
        <v>15.5</v>
      </c>
      <c r="M60">
        <v>3</v>
      </c>
      <c r="N60">
        <v>40.82</v>
      </c>
      <c r="O60">
        <v>24747.78</v>
      </c>
      <c r="P60">
        <v>79.33</v>
      </c>
      <c r="Q60">
        <v>204.14</v>
      </c>
      <c r="R60">
        <v>24.54</v>
      </c>
      <c r="S60">
        <v>17.37</v>
      </c>
      <c r="T60">
        <v>1485.75</v>
      </c>
      <c r="U60">
        <v>0.71</v>
      </c>
      <c r="V60">
        <v>0.75</v>
      </c>
      <c r="W60">
        <v>1.1499999999999999</v>
      </c>
      <c r="X60">
        <v>0.09</v>
      </c>
      <c r="Y60">
        <v>1</v>
      </c>
      <c r="Z60">
        <v>10</v>
      </c>
    </row>
    <row r="61" spans="1:26" x14ac:dyDescent="0.3">
      <c r="A61">
        <v>59</v>
      </c>
      <c r="B61">
        <v>90</v>
      </c>
      <c r="C61" t="s">
        <v>26</v>
      </c>
      <c r="D61">
        <v>10.673</v>
      </c>
      <c r="E61">
        <v>9.3699999999999992</v>
      </c>
      <c r="F61">
        <v>6.77</v>
      </c>
      <c r="G61">
        <v>81.25</v>
      </c>
      <c r="H61">
        <v>1.4</v>
      </c>
      <c r="I61">
        <v>5</v>
      </c>
      <c r="J61">
        <v>199.15</v>
      </c>
      <c r="K61">
        <v>52.44</v>
      </c>
      <c r="L61">
        <v>15.75</v>
      </c>
      <c r="M61">
        <v>3</v>
      </c>
      <c r="N61">
        <v>40.96</v>
      </c>
      <c r="O61">
        <v>24795.95</v>
      </c>
      <c r="P61">
        <v>79.05</v>
      </c>
      <c r="Q61">
        <v>204.14</v>
      </c>
      <c r="R61">
        <v>24.41</v>
      </c>
      <c r="S61">
        <v>17.37</v>
      </c>
      <c r="T61">
        <v>1420.42</v>
      </c>
      <c r="U61">
        <v>0.71</v>
      </c>
      <c r="V61">
        <v>0.75</v>
      </c>
      <c r="W61">
        <v>1.1399999999999999</v>
      </c>
      <c r="X61">
        <v>0.08</v>
      </c>
      <c r="Y61">
        <v>1</v>
      </c>
      <c r="Z61">
        <v>10</v>
      </c>
    </row>
    <row r="62" spans="1:26" x14ac:dyDescent="0.3">
      <c r="A62">
        <v>60</v>
      </c>
      <c r="B62">
        <v>90</v>
      </c>
      <c r="C62" t="s">
        <v>26</v>
      </c>
      <c r="D62">
        <v>10.674300000000001</v>
      </c>
      <c r="E62">
        <v>9.3699999999999992</v>
      </c>
      <c r="F62">
        <v>6.77</v>
      </c>
      <c r="G62">
        <v>81.239999999999995</v>
      </c>
      <c r="H62">
        <v>1.42</v>
      </c>
      <c r="I62">
        <v>5</v>
      </c>
      <c r="J62">
        <v>199.54</v>
      </c>
      <c r="K62">
        <v>52.44</v>
      </c>
      <c r="L62">
        <v>16</v>
      </c>
      <c r="M62">
        <v>3</v>
      </c>
      <c r="N62">
        <v>41.1</v>
      </c>
      <c r="O62">
        <v>24844.17</v>
      </c>
      <c r="P62">
        <v>78.790000000000006</v>
      </c>
      <c r="Q62">
        <v>204.14</v>
      </c>
      <c r="R62">
        <v>24.39</v>
      </c>
      <c r="S62">
        <v>17.37</v>
      </c>
      <c r="T62">
        <v>1410.02</v>
      </c>
      <c r="U62">
        <v>0.71</v>
      </c>
      <c r="V62">
        <v>0.75</v>
      </c>
      <c r="W62">
        <v>1.1399999999999999</v>
      </c>
      <c r="X62">
        <v>0.08</v>
      </c>
      <c r="Y62">
        <v>1</v>
      </c>
      <c r="Z62">
        <v>10</v>
      </c>
    </row>
    <row r="63" spans="1:26" x14ac:dyDescent="0.3">
      <c r="A63">
        <v>61</v>
      </c>
      <c r="B63">
        <v>90</v>
      </c>
      <c r="C63" t="s">
        <v>26</v>
      </c>
      <c r="D63">
        <v>10.678699999999999</v>
      </c>
      <c r="E63">
        <v>9.36</v>
      </c>
      <c r="F63">
        <v>6.77</v>
      </c>
      <c r="G63">
        <v>81.19</v>
      </c>
      <c r="H63">
        <v>1.44</v>
      </c>
      <c r="I63">
        <v>5</v>
      </c>
      <c r="J63">
        <v>199.93</v>
      </c>
      <c r="K63">
        <v>52.44</v>
      </c>
      <c r="L63">
        <v>16.25</v>
      </c>
      <c r="M63">
        <v>3</v>
      </c>
      <c r="N63">
        <v>41.24</v>
      </c>
      <c r="O63">
        <v>24892.44</v>
      </c>
      <c r="P63">
        <v>78.349999999999994</v>
      </c>
      <c r="Q63">
        <v>204.14</v>
      </c>
      <c r="R63">
        <v>24.14</v>
      </c>
      <c r="S63">
        <v>17.37</v>
      </c>
      <c r="T63">
        <v>1287.17</v>
      </c>
      <c r="U63">
        <v>0.72</v>
      </c>
      <c r="V63">
        <v>0.75</v>
      </c>
      <c r="W63">
        <v>1.1399999999999999</v>
      </c>
      <c r="X63">
        <v>7.0000000000000007E-2</v>
      </c>
      <c r="Y63">
        <v>1</v>
      </c>
      <c r="Z63">
        <v>10</v>
      </c>
    </row>
    <row r="64" spans="1:26" x14ac:dyDescent="0.3">
      <c r="A64">
        <v>62</v>
      </c>
      <c r="B64">
        <v>90</v>
      </c>
      <c r="C64" t="s">
        <v>26</v>
      </c>
      <c r="D64">
        <v>10.680300000000001</v>
      </c>
      <c r="E64">
        <v>9.36</v>
      </c>
      <c r="F64">
        <v>6.76</v>
      </c>
      <c r="G64">
        <v>81.180000000000007</v>
      </c>
      <c r="H64">
        <v>1.46</v>
      </c>
      <c r="I64">
        <v>5</v>
      </c>
      <c r="J64">
        <v>200.32</v>
      </c>
      <c r="K64">
        <v>52.44</v>
      </c>
      <c r="L64">
        <v>16.5</v>
      </c>
      <c r="M64">
        <v>3</v>
      </c>
      <c r="N64">
        <v>41.38</v>
      </c>
      <c r="O64">
        <v>24940.75</v>
      </c>
      <c r="P64">
        <v>77.83</v>
      </c>
      <c r="Q64">
        <v>204.14</v>
      </c>
      <c r="R64">
        <v>24.06</v>
      </c>
      <c r="S64">
        <v>17.37</v>
      </c>
      <c r="T64">
        <v>1248.07</v>
      </c>
      <c r="U64">
        <v>0.72</v>
      </c>
      <c r="V64">
        <v>0.75</v>
      </c>
      <c r="W64">
        <v>1.1499999999999999</v>
      </c>
      <c r="X64">
        <v>7.0000000000000007E-2</v>
      </c>
      <c r="Y64">
        <v>1</v>
      </c>
      <c r="Z64">
        <v>10</v>
      </c>
    </row>
    <row r="65" spans="1:26" x14ac:dyDescent="0.3">
      <c r="A65">
        <v>63</v>
      </c>
      <c r="B65">
        <v>90</v>
      </c>
      <c r="C65" t="s">
        <v>26</v>
      </c>
      <c r="D65">
        <v>10.6746</v>
      </c>
      <c r="E65">
        <v>9.3699999999999992</v>
      </c>
      <c r="F65">
        <v>6.77</v>
      </c>
      <c r="G65">
        <v>81.239999999999995</v>
      </c>
      <c r="H65">
        <v>1.48</v>
      </c>
      <c r="I65">
        <v>5</v>
      </c>
      <c r="J65">
        <v>200.72</v>
      </c>
      <c r="K65">
        <v>52.44</v>
      </c>
      <c r="L65">
        <v>16.75</v>
      </c>
      <c r="M65">
        <v>3</v>
      </c>
      <c r="N65">
        <v>41.52</v>
      </c>
      <c r="O65">
        <v>24989.11</v>
      </c>
      <c r="P65">
        <v>77.290000000000006</v>
      </c>
      <c r="Q65">
        <v>204.14</v>
      </c>
      <c r="R65">
        <v>24.21</v>
      </c>
      <c r="S65">
        <v>17.37</v>
      </c>
      <c r="T65">
        <v>1321.92</v>
      </c>
      <c r="U65">
        <v>0.72</v>
      </c>
      <c r="V65">
        <v>0.75</v>
      </c>
      <c r="W65">
        <v>1.1499999999999999</v>
      </c>
      <c r="X65">
        <v>0.08</v>
      </c>
      <c r="Y65">
        <v>1</v>
      </c>
      <c r="Z65">
        <v>10</v>
      </c>
    </row>
    <row r="66" spans="1:26" x14ac:dyDescent="0.3">
      <c r="A66">
        <v>64</v>
      </c>
      <c r="B66">
        <v>90</v>
      </c>
      <c r="C66" t="s">
        <v>26</v>
      </c>
      <c r="D66">
        <v>10.6784</v>
      </c>
      <c r="E66">
        <v>9.36</v>
      </c>
      <c r="F66">
        <v>6.77</v>
      </c>
      <c r="G66">
        <v>81.2</v>
      </c>
      <c r="H66">
        <v>1.5</v>
      </c>
      <c r="I66">
        <v>5</v>
      </c>
      <c r="J66">
        <v>201.11</v>
      </c>
      <c r="K66">
        <v>52.44</v>
      </c>
      <c r="L66">
        <v>17</v>
      </c>
      <c r="M66">
        <v>3</v>
      </c>
      <c r="N66">
        <v>41.67</v>
      </c>
      <c r="O66">
        <v>25037.53</v>
      </c>
      <c r="P66">
        <v>76.900000000000006</v>
      </c>
      <c r="Q66">
        <v>204.14</v>
      </c>
      <c r="R66">
        <v>24.18</v>
      </c>
      <c r="S66">
        <v>17.37</v>
      </c>
      <c r="T66">
        <v>1308.0899999999999</v>
      </c>
      <c r="U66">
        <v>0.72</v>
      </c>
      <c r="V66">
        <v>0.75</v>
      </c>
      <c r="W66">
        <v>1.1399999999999999</v>
      </c>
      <c r="X66">
        <v>0.08</v>
      </c>
      <c r="Y66">
        <v>1</v>
      </c>
      <c r="Z66">
        <v>10</v>
      </c>
    </row>
    <row r="67" spans="1:26" x14ac:dyDescent="0.3">
      <c r="A67">
        <v>65</v>
      </c>
      <c r="B67">
        <v>90</v>
      </c>
      <c r="C67" t="s">
        <v>26</v>
      </c>
      <c r="D67">
        <v>10.6739</v>
      </c>
      <c r="E67">
        <v>9.3699999999999992</v>
      </c>
      <c r="F67">
        <v>6.77</v>
      </c>
      <c r="G67">
        <v>81.239999999999995</v>
      </c>
      <c r="H67">
        <v>1.52</v>
      </c>
      <c r="I67">
        <v>5</v>
      </c>
      <c r="J67">
        <v>201.5</v>
      </c>
      <c r="K67">
        <v>52.44</v>
      </c>
      <c r="L67">
        <v>17.25</v>
      </c>
      <c r="M67">
        <v>3</v>
      </c>
      <c r="N67">
        <v>41.81</v>
      </c>
      <c r="O67">
        <v>25085.99</v>
      </c>
      <c r="P67">
        <v>76.8</v>
      </c>
      <c r="Q67">
        <v>204.14</v>
      </c>
      <c r="R67">
        <v>24.29</v>
      </c>
      <c r="S67">
        <v>17.37</v>
      </c>
      <c r="T67">
        <v>1364.19</v>
      </c>
      <c r="U67">
        <v>0.72</v>
      </c>
      <c r="V67">
        <v>0.75</v>
      </c>
      <c r="W67">
        <v>1.1399999999999999</v>
      </c>
      <c r="X67">
        <v>0.08</v>
      </c>
      <c r="Y67">
        <v>1</v>
      </c>
      <c r="Z67">
        <v>10</v>
      </c>
    </row>
    <row r="68" spans="1:26" x14ac:dyDescent="0.3">
      <c r="A68">
        <v>66</v>
      </c>
      <c r="B68">
        <v>90</v>
      </c>
      <c r="C68" t="s">
        <v>26</v>
      </c>
      <c r="D68">
        <v>10.666</v>
      </c>
      <c r="E68">
        <v>9.3800000000000008</v>
      </c>
      <c r="F68">
        <v>6.78</v>
      </c>
      <c r="G68">
        <v>81.33</v>
      </c>
      <c r="H68">
        <v>1.54</v>
      </c>
      <c r="I68">
        <v>5</v>
      </c>
      <c r="J68">
        <v>201.9</v>
      </c>
      <c r="K68">
        <v>52.44</v>
      </c>
      <c r="L68">
        <v>17.5</v>
      </c>
      <c r="M68">
        <v>3</v>
      </c>
      <c r="N68">
        <v>41.95</v>
      </c>
      <c r="O68">
        <v>25134.5</v>
      </c>
      <c r="P68">
        <v>76.63</v>
      </c>
      <c r="Q68">
        <v>204.14</v>
      </c>
      <c r="R68">
        <v>24.48</v>
      </c>
      <c r="S68">
        <v>17.37</v>
      </c>
      <c r="T68">
        <v>1455.37</v>
      </c>
      <c r="U68">
        <v>0.71</v>
      </c>
      <c r="V68">
        <v>0.75</v>
      </c>
      <c r="W68">
        <v>1.1499999999999999</v>
      </c>
      <c r="X68">
        <v>0.09</v>
      </c>
      <c r="Y68">
        <v>1</v>
      </c>
      <c r="Z68">
        <v>10</v>
      </c>
    </row>
    <row r="69" spans="1:26" x14ac:dyDescent="0.3">
      <c r="A69">
        <v>67</v>
      </c>
      <c r="B69">
        <v>90</v>
      </c>
      <c r="C69" t="s">
        <v>26</v>
      </c>
      <c r="D69">
        <v>10.6736</v>
      </c>
      <c r="E69">
        <v>9.3699999999999992</v>
      </c>
      <c r="F69">
        <v>6.77</v>
      </c>
      <c r="G69">
        <v>81.25</v>
      </c>
      <c r="H69">
        <v>1.56</v>
      </c>
      <c r="I69">
        <v>5</v>
      </c>
      <c r="J69">
        <v>202.29</v>
      </c>
      <c r="K69">
        <v>52.44</v>
      </c>
      <c r="L69">
        <v>17.75</v>
      </c>
      <c r="M69">
        <v>3</v>
      </c>
      <c r="N69">
        <v>42.1</v>
      </c>
      <c r="O69">
        <v>25183.06</v>
      </c>
      <c r="P69">
        <v>76.010000000000005</v>
      </c>
      <c r="Q69">
        <v>204.14</v>
      </c>
      <c r="R69">
        <v>24.23</v>
      </c>
      <c r="S69">
        <v>17.37</v>
      </c>
      <c r="T69">
        <v>1332.14</v>
      </c>
      <c r="U69">
        <v>0.72</v>
      </c>
      <c r="V69">
        <v>0.75</v>
      </c>
      <c r="W69">
        <v>1.1499999999999999</v>
      </c>
      <c r="X69">
        <v>0.08</v>
      </c>
      <c r="Y69">
        <v>1</v>
      </c>
      <c r="Z69">
        <v>10</v>
      </c>
    </row>
    <row r="70" spans="1:26" x14ac:dyDescent="0.3">
      <c r="A70">
        <v>68</v>
      </c>
      <c r="B70">
        <v>90</v>
      </c>
      <c r="C70" t="s">
        <v>26</v>
      </c>
      <c r="D70">
        <v>10.7456</v>
      </c>
      <c r="E70">
        <v>9.31</v>
      </c>
      <c r="F70">
        <v>6.74</v>
      </c>
      <c r="G70">
        <v>101.15</v>
      </c>
      <c r="H70">
        <v>1.58</v>
      </c>
      <c r="I70">
        <v>4</v>
      </c>
      <c r="J70">
        <v>202.68</v>
      </c>
      <c r="K70">
        <v>52.44</v>
      </c>
      <c r="L70">
        <v>18</v>
      </c>
      <c r="M70">
        <v>2</v>
      </c>
      <c r="N70">
        <v>42.24</v>
      </c>
      <c r="O70">
        <v>25231.66</v>
      </c>
      <c r="P70">
        <v>75.09</v>
      </c>
      <c r="Q70">
        <v>204.14</v>
      </c>
      <c r="R70">
        <v>23.44</v>
      </c>
      <c r="S70">
        <v>17.37</v>
      </c>
      <c r="T70">
        <v>939.85</v>
      </c>
      <c r="U70">
        <v>0.74</v>
      </c>
      <c r="V70">
        <v>0.76</v>
      </c>
      <c r="W70">
        <v>1.1399999999999999</v>
      </c>
      <c r="X70">
        <v>0.05</v>
      </c>
      <c r="Y70">
        <v>1</v>
      </c>
      <c r="Z70">
        <v>10</v>
      </c>
    </row>
    <row r="71" spans="1:26" x14ac:dyDescent="0.3">
      <c r="A71">
        <v>69</v>
      </c>
      <c r="B71">
        <v>90</v>
      </c>
      <c r="C71" t="s">
        <v>26</v>
      </c>
      <c r="D71">
        <v>10.7447</v>
      </c>
      <c r="E71">
        <v>9.31</v>
      </c>
      <c r="F71">
        <v>6.74</v>
      </c>
      <c r="G71">
        <v>101.16</v>
      </c>
      <c r="H71">
        <v>1.6</v>
      </c>
      <c r="I71">
        <v>4</v>
      </c>
      <c r="J71">
        <v>203.08</v>
      </c>
      <c r="K71">
        <v>52.44</v>
      </c>
      <c r="L71">
        <v>18.25</v>
      </c>
      <c r="M71">
        <v>2</v>
      </c>
      <c r="N71">
        <v>42.39</v>
      </c>
      <c r="O71">
        <v>25280.45</v>
      </c>
      <c r="P71">
        <v>75.11</v>
      </c>
      <c r="Q71">
        <v>204.14</v>
      </c>
      <c r="R71">
        <v>23.48</v>
      </c>
      <c r="S71">
        <v>17.37</v>
      </c>
      <c r="T71">
        <v>960.41</v>
      </c>
      <c r="U71">
        <v>0.74</v>
      </c>
      <c r="V71">
        <v>0.76</v>
      </c>
      <c r="W71">
        <v>1.1399999999999999</v>
      </c>
      <c r="X71">
        <v>0.05</v>
      </c>
      <c r="Y71">
        <v>1</v>
      </c>
      <c r="Z71">
        <v>10</v>
      </c>
    </row>
    <row r="72" spans="1:26" x14ac:dyDescent="0.3">
      <c r="A72">
        <v>70</v>
      </c>
      <c r="B72">
        <v>90</v>
      </c>
      <c r="C72" t="s">
        <v>26</v>
      </c>
      <c r="D72">
        <v>10.7399</v>
      </c>
      <c r="E72">
        <v>9.31</v>
      </c>
      <c r="F72">
        <v>6.75</v>
      </c>
      <c r="G72">
        <v>101.22</v>
      </c>
      <c r="H72">
        <v>1.61</v>
      </c>
      <c r="I72">
        <v>4</v>
      </c>
      <c r="J72">
        <v>203.47</v>
      </c>
      <c r="K72">
        <v>52.44</v>
      </c>
      <c r="L72">
        <v>18.5</v>
      </c>
      <c r="M72">
        <v>2</v>
      </c>
      <c r="N72">
        <v>42.53</v>
      </c>
      <c r="O72">
        <v>25329.15</v>
      </c>
      <c r="P72">
        <v>75.459999999999994</v>
      </c>
      <c r="Q72">
        <v>204.14</v>
      </c>
      <c r="R72">
        <v>23.64</v>
      </c>
      <c r="S72">
        <v>17.37</v>
      </c>
      <c r="T72">
        <v>1043.32</v>
      </c>
      <c r="U72">
        <v>0.73</v>
      </c>
      <c r="V72">
        <v>0.76</v>
      </c>
      <c r="W72">
        <v>1.1399999999999999</v>
      </c>
      <c r="X72">
        <v>0.06</v>
      </c>
      <c r="Y72">
        <v>1</v>
      </c>
      <c r="Z72">
        <v>10</v>
      </c>
    </row>
    <row r="73" spans="1:26" x14ac:dyDescent="0.3">
      <c r="A73">
        <v>71</v>
      </c>
      <c r="B73">
        <v>90</v>
      </c>
      <c r="C73" t="s">
        <v>26</v>
      </c>
      <c r="D73">
        <v>10.7402</v>
      </c>
      <c r="E73">
        <v>9.31</v>
      </c>
      <c r="F73">
        <v>6.75</v>
      </c>
      <c r="G73">
        <v>101.22</v>
      </c>
      <c r="H73">
        <v>1.63</v>
      </c>
      <c r="I73">
        <v>4</v>
      </c>
      <c r="J73">
        <v>203.87</v>
      </c>
      <c r="K73">
        <v>52.44</v>
      </c>
      <c r="L73">
        <v>18.75</v>
      </c>
      <c r="M73">
        <v>2</v>
      </c>
      <c r="N73">
        <v>42.68</v>
      </c>
      <c r="O73">
        <v>25377.91</v>
      </c>
      <c r="P73">
        <v>75.510000000000005</v>
      </c>
      <c r="Q73">
        <v>204.14</v>
      </c>
      <c r="R73">
        <v>23.63</v>
      </c>
      <c r="S73">
        <v>17.37</v>
      </c>
      <c r="T73">
        <v>1036.1099999999999</v>
      </c>
      <c r="U73">
        <v>0.74</v>
      </c>
      <c r="V73">
        <v>0.76</v>
      </c>
      <c r="W73">
        <v>1.1399999999999999</v>
      </c>
      <c r="X73">
        <v>0.06</v>
      </c>
      <c r="Y73">
        <v>1</v>
      </c>
      <c r="Z73">
        <v>10</v>
      </c>
    </row>
    <row r="74" spans="1:26" x14ac:dyDescent="0.3">
      <c r="A74">
        <v>72</v>
      </c>
      <c r="B74">
        <v>90</v>
      </c>
      <c r="C74" t="s">
        <v>26</v>
      </c>
      <c r="D74">
        <v>10.7392</v>
      </c>
      <c r="E74">
        <v>9.31</v>
      </c>
      <c r="F74">
        <v>6.75</v>
      </c>
      <c r="G74">
        <v>101.23</v>
      </c>
      <c r="H74">
        <v>1.65</v>
      </c>
      <c r="I74">
        <v>4</v>
      </c>
      <c r="J74">
        <v>204.26</v>
      </c>
      <c r="K74">
        <v>52.44</v>
      </c>
      <c r="L74">
        <v>19</v>
      </c>
      <c r="M74">
        <v>2</v>
      </c>
      <c r="N74">
        <v>42.82</v>
      </c>
      <c r="O74">
        <v>25426.720000000001</v>
      </c>
      <c r="P74">
        <v>75.59</v>
      </c>
      <c r="Q74">
        <v>204.16</v>
      </c>
      <c r="R74">
        <v>23.64</v>
      </c>
      <c r="S74">
        <v>17.37</v>
      </c>
      <c r="T74">
        <v>1044.44</v>
      </c>
      <c r="U74">
        <v>0.73</v>
      </c>
      <c r="V74">
        <v>0.76</v>
      </c>
      <c r="W74">
        <v>1.1399999999999999</v>
      </c>
      <c r="X74">
        <v>0.06</v>
      </c>
      <c r="Y74">
        <v>1</v>
      </c>
      <c r="Z74">
        <v>10</v>
      </c>
    </row>
    <row r="75" spans="1:26" x14ac:dyDescent="0.3">
      <c r="A75">
        <v>73</v>
      </c>
      <c r="B75">
        <v>90</v>
      </c>
      <c r="C75" t="s">
        <v>26</v>
      </c>
      <c r="D75">
        <v>10.7476</v>
      </c>
      <c r="E75">
        <v>9.3000000000000007</v>
      </c>
      <c r="F75">
        <v>6.74</v>
      </c>
      <c r="G75">
        <v>101.12</v>
      </c>
      <c r="H75">
        <v>1.67</v>
      </c>
      <c r="I75">
        <v>4</v>
      </c>
      <c r="J75">
        <v>204.66</v>
      </c>
      <c r="K75">
        <v>52.44</v>
      </c>
      <c r="L75">
        <v>19.25</v>
      </c>
      <c r="M75">
        <v>2</v>
      </c>
      <c r="N75">
        <v>42.97</v>
      </c>
      <c r="O75">
        <v>25475.58</v>
      </c>
      <c r="P75">
        <v>75.5</v>
      </c>
      <c r="Q75">
        <v>204.14</v>
      </c>
      <c r="R75">
        <v>23.47</v>
      </c>
      <c r="S75">
        <v>17.37</v>
      </c>
      <c r="T75">
        <v>957.72</v>
      </c>
      <c r="U75">
        <v>0.74</v>
      </c>
      <c r="V75">
        <v>0.76</v>
      </c>
      <c r="W75">
        <v>1.1399999999999999</v>
      </c>
      <c r="X75">
        <v>0.05</v>
      </c>
      <c r="Y75">
        <v>1</v>
      </c>
      <c r="Z75">
        <v>10</v>
      </c>
    </row>
    <row r="76" spans="1:26" x14ac:dyDescent="0.3">
      <c r="A76">
        <v>74</v>
      </c>
      <c r="B76">
        <v>90</v>
      </c>
      <c r="C76" t="s">
        <v>26</v>
      </c>
      <c r="D76">
        <v>10.744</v>
      </c>
      <c r="E76">
        <v>9.31</v>
      </c>
      <c r="F76">
        <v>6.74</v>
      </c>
      <c r="G76">
        <v>101.17</v>
      </c>
      <c r="H76">
        <v>1.69</v>
      </c>
      <c r="I76">
        <v>4</v>
      </c>
      <c r="J76">
        <v>205.06</v>
      </c>
      <c r="K76">
        <v>52.44</v>
      </c>
      <c r="L76">
        <v>19.5</v>
      </c>
      <c r="M76">
        <v>2</v>
      </c>
      <c r="N76">
        <v>43.11</v>
      </c>
      <c r="O76">
        <v>25524.49</v>
      </c>
      <c r="P76">
        <v>75.63</v>
      </c>
      <c r="Q76">
        <v>204.14</v>
      </c>
      <c r="R76">
        <v>23.51</v>
      </c>
      <c r="S76">
        <v>17.37</v>
      </c>
      <c r="T76">
        <v>978.9</v>
      </c>
      <c r="U76">
        <v>0.74</v>
      </c>
      <c r="V76">
        <v>0.76</v>
      </c>
      <c r="W76">
        <v>1.1399999999999999</v>
      </c>
      <c r="X76">
        <v>0.05</v>
      </c>
      <c r="Y76">
        <v>1</v>
      </c>
      <c r="Z76">
        <v>10</v>
      </c>
    </row>
    <row r="77" spans="1:26" x14ac:dyDescent="0.3">
      <c r="A77">
        <v>75</v>
      </c>
      <c r="B77">
        <v>90</v>
      </c>
      <c r="C77" t="s">
        <v>26</v>
      </c>
      <c r="D77">
        <v>10.7408</v>
      </c>
      <c r="E77">
        <v>9.31</v>
      </c>
      <c r="F77">
        <v>6.75</v>
      </c>
      <c r="G77">
        <v>101.21</v>
      </c>
      <c r="H77">
        <v>1.71</v>
      </c>
      <c r="I77">
        <v>4</v>
      </c>
      <c r="J77">
        <v>205.45</v>
      </c>
      <c r="K77">
        <v>52.44</v>
      </c>
      <c r="L77">
        <v>19.75</v>
      </c>
      <c r="M77">
        <v>2</v>
      </c>
      <c r="N77">
        <v>43.26</v>
      </c>
      <c r="O77">
        <v>25573.439999999999</v>
      </c>
      <c r="P77">
        <v>75.510000000000005</v>
      </c>
      <c r="Q77">
        <v>204.14</v>
      </c>
      <c r="R77">
        <v>23.62</v>
      </c>
      <c r="S77">
        <v>17.37</v>
      </c>
      <c r="T77">
        <v>1031.97</v>
      </c>
      <c r="U77">
        <v>0.74</v>
      </c>
      <c r="V77">
        <v>0.76</v>
      </c>
      <c r="W77">
        <v>1.1399999999999999</v>
      </c>
      <c r="X77">
        <v>0.06</v>
      </c>
      <c r="Y77">
        <v>1</v>
      </c>
      <c r="Z77">
        <v>10</v>
      </c>
    </row>
    <row r="78" spans="1:26" x14ac:dyDescent="0.3">
      <c r="A78">
        <v>76</v>
      </c>
      <c r="B78">
        <v>90</v>
      </c>
      <c r="C78" t="s">
        <v>26</v>
      </c>
      <c r="D78">
        <v>10.7399</v>
      </c>
      <c r="E78">
        <v>9.31</v>
      </c>
      <c r="F78">
        <v>6.75</v>
      </c>
      <c r="G78">
        <v>101.22</v>
      </c>
      <c r="H78">
        <v>1.73</v>
      </c>
      <c r="I78">
        <v>4</v>
      </c>
      <c r="J78">
        <v>205.85</v>
      </c>
      <c r="K78">
        <v>52.44</v>
      </c>
      <c r="L78">
        <v>20</v>
      </c>
      <c r="M78">
        <v>2</v>
      </c>
      <c r="N78">
        <v>43.41</v>
      </c>
      <c r="O78">
        <v>25622.45</v>
      </c>
      <c r="P78">
        <v>75.42</v>
      </c>
      <c r="Q78">
        <v>204.15</v>
      </c>
      <c r="R78">
        <v>23.63</v>
      </c>
      <c r="S78">
        <v>17.37</v>
      </c>
      <c r="T78">
        <v>1035.29</v>
      </c>
      <c r="U78">
        <v>0.74</v>
      </c>
      <c r="V78">
        <v>0.76</v>
      </c>
      <c r="W78">
        <v>1.1399999999999999</v>
      </c>
      <c r="X78">
        <v>0.06</v>
      </c>
      <c r="Y78">
        <v>1</v>
      </c>
      <c r="Z78">
        <v>10</v>
      </c>
    </row>
    <row r="79" spans="1:26" x14ac:dyDescent="0.3">
      <c r="A79">
        <v>77</v>
      </c>
      <c r="B79">
        <v>90</v>
      </c>
      <c r="C79" t="s">
        <v>26</v>
      </c>
      <c r="D79">
        <v>10.7386</v>
      </c>
      <c r="E79">
        <v>9.31</v>
      </c>
      <c r="F79">
        <v>6.75</v>
      </c>
      <c r="G79">
        <v>101.24</v>
      </c>
      <c r="H79">
        <v>1.74</v>
      </c>
      <c r="I79">
        <v>4</v>
      </c>
      <c r="J79">
        <v>206.25</v>
      </c>
      <c r="K79">
        <v>52.44</v>
      </c>
      <c r="L79">
        <v>20.25</v>
      </c>
      <c r="M79">
        <v>2</v>
      </c>
      <c r="N79">
        <v>43.56</v>
      </c>
      <c r="O79">
        <v>25671.51</v>
      </c>
      <c r="P79">
        <v>75.260000000000005</v>
      </c>
      <c r="Q79">
        <v>204.14</v>
      </c>
      <c r="R79">
        <v>23.64</v>
      </c>
      <c r="S79">
        <v>17.37</v>
      </c>
      <c r="T79">
        <v>1041.77</v>
      </c>
      <c r="U79">
        <v>0.73</v>
      </c>
      <c r="V79">
        <v>0.76</v>
      </c>
      <c r="W79">
        <v>1.1399999999999999</v>
      </c>
      <c r="X79">
        <v>0.06</v>
      </c>
      <c r="Y79">
        <v>1</v>
      </c>
      <c r="Z79">
        <v>10</v>
      </c>
    </row>
    <row r="80" spans="1:26" x14ac:dyDescent="0.3">
      <c r="A80">
        <v>78</v>
      </c>
      <c r="B80">
        <v>90</v>
      </c>
      <c r="C80" t="s">
        <v>26</v>
      </c>
      <c r="D80">
        <v>10.738899999999999</v>
      </c>
      <c r="E80">
        <v>9.31</v>
      </c>
      <c r="F80">
        <v>6.75</v>
      </c>
      <c r="G80">
        <v>101.24</v>
      </c>
      <c r="H80">
        <v>1.76</v>
      </c>
      <c r="I80">
        <v>4</v>
      </c>
      <c r="J80">
        <v>206.65</v>
      </c>
      <c r="K80">
        <v>52.44</v>
      </c>
      <c r="L80">
        <v>20.5</v>
      </c>
      <c r="M80">
        <v>2</v>
      </c>
      <c r="N80">
        <v>43.71</v>
      </c>
      <c r="O80">
        <v>25720.62</v>
      </c>
      <c r="P80">
        <v>75.09</v>
      </c>
      <c r="Q80">
        <v>204.14</v>
      </c>
      <c r="R80">
        <v>23.57</v>
      </c>
      <c r="S80">
        <v>17.37</v>
      </c>
      <c r="T80">
        <v>1009.16</v>
      </c>
      <c r="U80">
        <v>0.74</v>
      </c>
      <c r="V80">
        <v>0.76</v>
      </c>
      <c r="W80">
        <v>1.1399999999999999</v>
      </c>
      <c r="X80">
        <v>0.06</v>
      </c>
      <c r="Y80">
        <v>1</v>
      </c>
      <c r="Z80">
        <v>10</v>
      </c>
    </row>
    <row r="81" spans="1:26" x14ac:dyDescent="0.3">
      <c r="A81">
        <v>79</v>
      </c>
      <c r="B81">
        <v>90</v>
      </c>
      <c r="C81" t="s">
        <v>26</v>
      </c>
      <c r="D81">
        <v>10.744999999999999</v>
      </c>
      <c r="E81">
        <v>9.31</v>
      </c>
      <c r="F81">
        <v>6.74</v>
      </c>
      <c r="G81">
        <v>101.16</v>
      </c>
      <c r="H81">
        <v>1.78</v>
      </c>
      <c r="I81">
        <v>4</v>
      </c>
      <c r="J81">
        <v>207.05</v>
      </c>
      <c r="K81">
        <v>52.44</v>
      </c>
      <c r="L81">
        <v>20.75</v>
      </c>
      <c r="M81">
        <v>2</v>
      </c>
      <c r="N81">
        <v>43.85</v>
      </c>
      <c r="O81">
        <v>25769.78</v>
      </c>
      <c r="P81">
        <v>74.81</v>
      </c>
      <c r="Q81">
        <v>204.14</v>
      </c>
      <c r="R81">
        <v>23.49</v>
      </c>
      <c r="S81">
        <v>17.37</v>
      </c>
      <c r="T81">
        <v>965.6</v>
      </c>
      <c r="U81">
        <v>0.74</v>
      </c>
      <c r="V81">
        <v>0.76</v>
      </c>
      <c r="W81">
        <v>1.1399999999999999</v>
      </c>
      <c r="X81">
        <v>0.05</v>
      </c>
      <c r="Y81">
        <v>1</v>
      </c>
      <c r="Z81">
        <v>10</v>
      </c>
    </row>
    <row r="82" spans="1:26" x14ac:dyDescent="0.3">
      <c r="A82">
        <v>80</v>
      </c>
      <c r="B82">
        <v>90</v>
      </c>
      <c r="C82" t="s">
        <v>26</v>
      </c>
      <c r="D82">
        <v>10.746600000000001</v>
      </c>
      <c r="E82">
        <v>9.31</v>
      </c>
      <c r="F82">
        <v>6.74</v>
      </c>
      <c r="G82">
        <v>101.14</v>
      </c>
      <c r="H82">
        <v>1.8</v>
      </c>
      <c r="I82">
        <v>4</v>
      </c>
      <c r="J82">
        <v>207.45</v>
      </c>
      <c r="K82">
        <v>52.44</v>
      </c>
      <c r="L82">
        <v>21</v>
      </c>
      <c r="M82">
        <v>2</v>
      </c>
      <c r="N82">
        <v>44</v>
      </c>
      <c r="O82">
        <v>25818.99</v>
      </c>
      <c r="P82">
        <v>74.39</v>
      </c>
      <c r="Q82">
        <v>204.14</v>
      </c>
      <c r="R82">
        <v>23.43</v>
      </c>
      <c r="S82">
        <v>17.37</v>
      </c>
      <c r="T82">
        <v>938.21</v>
      </c>
      <c r="U82">
        <v>0.74</v>
      </c>
      <c r="V82">
        <v>0.76</v>
      </c>
      <c r="W82">
        <v>1.1399999999999999</v>
      </c>
      <c r="X82">
        <v>0.05</v>
      </c>
      <c r="Y82">
        <v>1</v>
      </c>
      <c r="Z82">
        <v>10</v>
      </c>
    </row>
    <row r="83" spans="1:26" x14ac:dyDescent="0.3">
      <c r="A83">
        <v>81</v>
      </c>
      <c r="B83">
        <v>90</v>
      </c>
      <c r="C83" t="s">
        <v>26</v>
      </c>
      <c r="D83">
        <v>10.7492</v>
      </c>
      <c r="E83">
        <v>9.3000000000000007</v>
      </c>
      <c r="F83">
        <v>6.74</v>
      </c>
      <c r="G83">
        <v>101.1</v>
      </c>
      <c r="H83">
        <v>1.82</v>
      </c>
      <c r="I83">
        <v>4</v>
      </c>
      <c r="J83">
        <v>207.84</v>
      </c>
      <c r="K83">
        <v>52.44</v>
      </c>
      <c r="L83">
        <v>21.25</v>
      </c>
      <c r="M83">
        <v>2</v>
      </c>
      <c r="N83">
        <v>44.15</v>
      </c>
      <c r="O83">
        <v>25868.26</v>
      </c>
      <c r="P83">
        <v>74.010000000000005</v>
      </c>
      <c r="Q83">
        <v>204.14</v>
      </c>
      <c r="R83">
        <v>23.4</v>
      </c>
      <c r="S83">
        <v>17.37</v>
      </c>
      <c r="T83">
        <v>924.49</v>
      </c>
      <c r="U83">
        <v>0.74</v>
      </c>
      <c r="V83">
        <v>0.76</v>
      </c>
      <c r="W83">
        <v>1.1399999999999999</v>
      </c>
      <c r="X83">
        <v>0.05</v>
      </c>
      <c r="Y83">
        <v>1</v>
      </c>
      <c r="Z83">
        <v>10</v>
      </c>
    </row>
    <row r="84" spans="1:26" x14ac:dyDescent="0.3">
      <c r="A84">
        <v>82</v>
      </c>
      <c r="B84">
        <v>90</v>
      </c>
      <c r="C84" t="s">
        <v>26</v>
      </c>
      <c r="D84">
        <v>10.7469</v>
      </c>
      <c r="E84">
        <v>9.3000000000000007</v>
      </c>
      <c r="F84">
        <v>6.74</v>
      </c>
      <c r="G84">
        <v>101.13</v>
      </c>
      <c r="H84">
        <v>1.83</v>
      </c>
      <c r="I84">
        <v>4</v>
      </c>
      <c r="J84">
        <v>208.24</v>
      </c>
      <c r="K84">
        <v>52.44</v>
      </c>
      <c r="L84">
        <v>21.5</v>
      </c>
      <c r="M84">
        <v>1</v>
      </c>
      <c r="N84">
        <v>44.3</v>
      </c>
      <c r="O84">
        <v>25917.57</v>
      </c>
      <c r="P84">
        <v>74.010000000000005</v>
      </c>
      <c r="Q84">
        <v>204.14</v>
      </c>
      <c r="R84">
        <v>23.36</v>
      </c>
      <c r="S84">
        <v>17.37</v>
      </c>
      <c r="T84">
        <v>904.72</v>
      </c>
      <c r="U84">
        <v>0.74</v>
      </c>
      <c r="V84">
        <v>0.76</v>
      </c>
      <c r="W84">
        <v>1.1399999999999999</v>
      </c>
      <c r="X84">
        <v>0.05</v>
      </c>
      <c r="Y84">
        <v>1</v>
      </c>
      <c r="Z84">
        <v>10</v>
      </c>
    </row>
    <row r="85" spans="1:26" x14ac:dyDescent="0.3">
      <c r="A85">
        <v>83</v>
      </c>
      <c r="B85">
        <v>90</v>
      </c>
      <c r="C85" t="s">
        <v>26</v>
      </c>
      <c r="D85">
        <v>10.7476</v>
      </c>
      <c r="E85">
        <v>9.3000000000000007</v>
      </c>
      <c r="F85">
        <v>6.74</v>
      </c>
      <c r="G85">
        <v>101.12</v>
      </c>
      <c r="H85">
        <v>1.85</v>
      </c>
      <c r="I85">
        <v>4</v>
      </c>
      <c r="J85">
        <v>208.64</v>
      </c>
      <c r="K85">
        <v>52.44</v>
      </c>
      <c r="L85">
        <v>21.75</v>
      </c>
      <c r="M85">
        <v>1</v>
      </c>
      <c r="N85">
        <v>44.45</v>
      </c>
      <c r="O85">
        <v>25966.93</v>
      </c>
      <c r="P85">
        <v>73.930000000000007</v>
      </c>
      <c r="Q85">
        <v>204.14</v>
      </c>
      <c r="R85">
        <v>23.31</v>
      </c>
      <c r="S85">
        <v>17.37</v>
      </c>
      <c r="T85">
        <v>876.67</v>
      </c>
      <c r="U85">
        <v>0.75</v>
      </c>
      <c r="V85">
        <v>0.76</v>
      </c>
      <c r="W85">
        <v>1.1399999999999999</v>
      </c>
      <c r="X85">
        <v>0.05</v>
      </c>
      <c r="Y85">
        <v>1</v>
      </c>
      <c r="Z85">
        <v>10</v>
      </c>
    </row>
    <row r="86" spans="1:26" x14ac:dyDescent="0.3">
      <c r="A86">
        <v>84</v>
      </c>
      <c r="B86">
        <v>90</v>
      </c>
      <c r="C86" t="s">
        <v>26</v>
      </c>
      <c r="D86">
        <v>10.750400000000001</v>
      </c>
      <c r="E86">
        <v>9.3000000000000007</v>
      </c>
      <c r="F86">
        <v>6.74</v>
      </c>
      <c r="G86">
        <v>101.09</v>
      </c>
      <c r="H86">
        <v>1.87</v>
      </c>
      <c r="I86">
        <v>4</v>
      </c>
      <c r="J86">
        <v>209.05</v>
      </c>
      <c r="K86">
        <v>52.44</v>
      </c>
      <c r="L86">
        <v>22</v>
      </c>
      <c r="M86">
        <v>1</v>
      </c>
      <c r="N86">
        <v>44.6</v>
      </c>
      <c r="O86">
        <v>26016.35</v>
      </c>
      <c r="P86">
        <v>73.81</v>
      </c>
      <c r="Q86">
        <v>204.18</v>
      </c>
      <c r="R86">
        <v>23.28</v>
      </c>
      <c r="S86">
        <v>17.37</v>
      </c>
      <c r="T86">
        <v>864.79</v>
      </c>
      <c r="U86">
        <v>0.75</v>
      </c>
      <c r="V86">
        <v>0.76</v>
      </c>
      <c r="W86">
        <v>1.1399999999999999</v>
      </c>
      <c r="X86">
        <v>0.05</v>
      </c>
      <c r="Y86">
        <v>1</v>
      </c>
      <c r="Z86">
        <v>10</v>
      </c>
    </row>
    <row r="87" spans="1:26" x14ac:dyDescent="0.3">
      <c r="A87">
        <v>85</v>
      </c>
      <c r="B87">
        <v>90</v>
      </c>
      <c r="C87" t="s">
        <v>26</v>
      </c>
      <c r="D87">
        <v>10.7469</v>
      </c>
      <c r="E87">
        <v>9.3000000000000007</v>
      </c>
      <c r="F87">
        <v>6.74</v>
      </c>
      <c r="G87">
        <v>101.13</v>
      </c>
      <c r="H87">
        <v>1.89</v>
      </c>
      <c r="I87">
        <v>4</v>
      </c>
      <c r="J87">
        <v>209.45</v>
      </c>
      <c r="K87">
        <v>52.44</v>
      </c>
      <c r="L87">
        <v>22.25</v>
      </c>
      <c r="M87">
        <v>0</v>
      </c>
      <c r="N87">
        <v>44.75</v>
      </c>
      <c r="O87">
        <v>26065.82</v>
      </c>
      <c r="P87">
        <v>73.91</v>
      </c>
      <c r="Q87">
        <v>204.14</v>
      </c>
      <c r="R87">
        <v>23.31</v>
      </c>
      <c r="S87">
        <v>17.37</v>
      </c>
      <c r="T87">
        <v>876.94</v>
      </c>
      <c r="U87">
        <v>0.75</v>
      </c>
      <c r="V87">
        <v>0.76</v>
      </c>
      <c r="W87">
        <v>1.1499999999999999</v>
      </c>
      <c r="X87">
        <v>0.05</v>
      </c>
      <c r="Y87">
        <v>1</v>
      </c>
      <c r="Z8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Planilha9"/>
  <dimension ref="A1:Z119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110</v>
      </c>
      <c r="C2" t="s">
        <v>26</v>
      </c>
      <c r="D2">
        <v>6.6349999999999998</v>
      </c>
      <c r="E2">
        <v>15.07</v>
      </c>
      <c r="F2">
        <v>8.57</v>
      </c>
      <c r="G2">
        <v>5.59</v>
      </c>
      <c r="H2">
        <v>0.08</v>
      </c>
      <c r="I2">
        <v>92</v>
      </c>
      <c r="J2">
        <v>213.37</v>
      </c>
      <c r="K2">
        <v>56.13</v>
      </c>
      <c r="L2">
        <v>1</v>
      </c>
      <c r="M2">
        <v>90</v>
      </c>
      <c r="N2">
        <v>46.25</v>
      </c>
      <c r="O2">
        <v>26550.29</v>
      </c>
      <c r="P2">
        <v>127.04</v>
      </c>
      <c r="Q2">
        <v>204.2</v>
      </c>
      <c r="R2">
        <v>80.150000000000006</v>
      </c>
      <c r="S2">
        <v>17.37</v>
      </c>
      <c r="T2">
        <v>28859.58</v>
      </c>
      <c r="U2">
        <v>0.22</v>
      </c>
      <c r="V2">
        <v>0.6</v>
      </c>
      <c r="W2">
        <v>1.3</v>
      </c>
      <c r="X2">
        <v>1.88</v>
      </c>
      <c r="Y2">
        <v>1</v>
      </c>
      <c r="Z2">
        <v>10</v>
      </c>
    </row>
    <row r="3" spans="1:26" x14ac:dyDescent="0.3">
      <c r="A3">
        <v>1</v>
      </c>
      <c r="B3">
        <v>110</v>
      </c>
      <c r="C3" t="s">
        <v>26</v>
      </c>
      <c r="D3">
        <v>7.3162000000000003</v>
      </c>
      <c r="E3">
        <v>13.67</v>
      </c>
      <c r="F3">
        <v>8.1</v>
      </c>
      <c r="G3">
        <v>6.94</v>
      </c>
      <c r="H3">
        <v>0.1</v>
      </c>
      <c r="I3">
        <v>70</v>
      </c>
      <c r="J3">
        <v>213.78</v>
      </c>
      <c r="K3">
        <v>56.13</v>
      </c>
      <c r="L3">
        <v>1.25</v>
      </c>
      <c r="M3">
        <v>68</v>
      </c>
      <c r="N3">
        <v>46.4</v>
      </c>
      <c r="O3">
        <v>26600.32</v>
      </c>
      <c r="P3">
        <v>119.85</v>
      </c>
      <c r="Q3">
        <v>204.17</v>
      </c>
      <c r="R3">
        <v>65.86</v>
      </c>
      <c r="S3">
        <v>17.37</v>
      </c>
      <c r="T3">
        <v>21823.17</v>
      </c>
      <c r="U3">
        <v>0.26</v>
      </c>
      <c r="V3">
        <v>0.63</v>
      </c>
      <c r="W3">
        <v>1.25</v>
      </c>
      <c r="X3">
        <v>1.41</v>
      </c>
      <c r="Y3">
        <v>1</v>
      </c>
      <c r="Z3">
        <v>10</v>
      </c>
    </row>
    <row r="4" spans="1:26" x14ac:dyDescent="0.3">
      <c r="A4">
        <v>2</v>
      </c>
      <c r="B4">
        <v>110</v>
      </c>
      <c r="C4" t="s">
        <v>26</v>
      </c>
      <c r="D4">
        <v>7.7862999999999998</v>
      </c>
      <c r="E4">
        <v>12.84</v>
      </c>
      <c r="F4">
        <v>7.82</v>
      </c>
      <c r="G4">
        <v>8.24</v>
      </c>
      <c r="H4">
        <v>0.12</v>
      </c>
      <c r="I4">
        <v>57</v>
      </c>
      <c r="J4">
        <v>214.19</v>
      </c>
      <c r="K4">
        <v>56.13</v>
      </c>
      <c r="L4">
        <v>1.5</v>
      </c>
      <c r="M4">
        <v>55</v>
      </c>
      <c r="N4">
        <v>46.56</v>
      </c>
      <c r="O4">
        <v>26650.41</v>
      </c>
      <c r="P4">
        <v>115.62</v>
      </c>
      <c r="Q4">
        <v>204.23</v>
      </c>
      <c r="R4">
        <v>57.18</v>
      </c>
      <c r="S4">
        <v>17.37</v>
      </c>
      <c r="T4">
        <v>17547.7</v>
      </c>
      <c r="U4">
        <v>0.3</v>
      </c>
      <c r="V4">
        <v>0.65</v>
      </c>
      <c r="W4">
        <v>1.22</v>
      </c>
      <c r="X4">
        <v>1.1299999999999999</v>
      </c>
      <c r="Y4">
        <v>1</v>
      </c>
      <c r="Z4">
        <v>10</v>
      </c>
    </row>
    <row r="5" spans="1:26" x14ac:dyDescent="0.3">
      <c r="A5">
        <v>3</v>
      </c>
      <c r="B5">
        <v>110</v>
      </c>
      <c r="C5" t="s">
        <v>26</v>
      </c>
      <c r="D5">
        <v>8.1369000000000007</v>
      </c>
      <c r="E5">
        <v>12.29</v>
      </c>
      <c r="F5">
        <v>7.65</v>
      </c>
      <c r="G5">
        <v>9.56</v>
      </c>
      <c r="H5">
        <v>0.14000000000000001</v>
      </c>
      <c r="I5">
        <v>48</v>
      </c>
      <c r="J5">
        <v>214.59</v>
      </c>
      <c r="K5">
        <v>56.13</v>
      </c>
      <c r="L5">
        <v>1.75</v>
      </c>
      <c r="M5">
        <v>46</v>
      </c>
      <c r="N5">
        <v>46.72</v>
      </c>
      <c r="O5">
        <v>26700.55</v>
      </c>
      <c r="P5">
        <v>112.91</v>
      </c>
      <c r="Q5">
        <v>204.14</v>
      </c>
      <c r="R5">
        <v>51.55</v>
      </c>
      <c r="S5">
        <v>17.37</v>
      </c>
      <c r="T5">
        <v>14777.32</v>
      </c>
      <c r="U5">
        <v>0.34</v>
      </c>
      <c r="V5">
        <v>0.67</v>
      </c>
      <c r="W5">
        <v>1.22</v>
      </c>
      <c r="X5">
        <v>0.96</v>
      </c>
      <c r="Y5">
        <v>1</v>
      </c>
      <c r="Z5">
        <v>10</v>
      </c>
    </row>
    <row r="6" spans="1:26" x14ac:dyDescent="0.3">
      <c r="A6">
        <v>4</v>
      </c>
      <c r="B6">
        <v>110</v>
      </c>
      <c r="C6" t="s">
        <v>26</v>
      </c>
      <c r="D6">
        <v>8.4412000000000003</v>
      </c>
      <c r="E6">
        <v>11.85</v>
      </c>
      <c r="F6">
        <v>7.5</v>
      </c>
      <c r="G6">
        <v>10.98</v>
      </c>
      <c r="H6">
        <v>0.17</v>
      </c>
      <c r="I6">
        <v>41</v>
      </c>
      <c r="J6">
        <v>215</v>
      </c>
      <c r="K6">
        <v>56.13</v>
      </c>
      <c r="L6">
        <v>2</v>
      </c>
      <c r="M6">
        <v>39</v>
      </c>
      <c r="N6">
        <v>46.87</v>
      </c>
      <c r="O6">
        <v>26750.75</v>
      </c>
      <c r="P6">
        <v>110.59</v>
      </c>
      <c r="Q6">
        <v>204.15</v>
      </c>
      <c r="R6">
        <v>47.29</v>
      </c>
      <c r="S6">
        <v>17.37</v>
      </c>
      <c r="T6">
        <v>12680.08</v>
      </c>
      <c r="U6">
        <v>0.37</v>
      </c>
      <c r="V6">
        <v>0.68</v>
      </c>
      <c r="W6">
        <v>1.2</v>
      </c>
      <c r="X6">
        <v>0.81</v>
      </c>
      <c r="Y6">
        <v>1</v>
      </c>
      <c r="Z6">
        <v>10</v>
      </c>
    </row>
    <row r="7" spans="1:26" x14ac:dyDescent="0.3">
      <c r="A7">
        <v>5</v>
      </c>
      <c r="B7">
        <v>110</v>
      </c>
      <c r="C7" t="s">
        <v>26</v>
      </c>
      <c r="D7">
        <v>8.6705000000000005</v>
      </c>
      <c r="E7">
        <v>11.53</v>
      </c>
      <c r="F7">
        <v>7.4</v>
      </c>
      <c r="G7">
        <v>12.33</v>
      </c>
      <c r="H7">
        <v>0.19</v>
      </c>
      <c r="I7">
        <v>36</v>
      </c>
      <c r="J7">
        <v>215.41</v>
      </c>
      <c r="K7">
        <v>56.13</v>
      </c>
      <c r="L7">
        <v>2.25</v>
      </c>
      <c r="M7">
        <v>34</v>
      </c>
      <c r="N7">
        <v>47.03</v>
      </c>
      <c r="O7">
        <v>26801</v>
      </c>
      <c r="P7">
        <v>108.99</v>
      </c>
      <c r="Q7">
        <v>204.16</v>
      </c>
      <c r="R7">
        <v>43.56</v>
      </c>
      <c r="S7">
        <v>17.37</v>
      </c>
      <c r="T7">
        <v>10841.01</v>
      </c>
      <c r="U7">
        <v>0.4</v>
      </c>
      <c r="V7">
        <v>0.69</v>
      </c>
      <c r="W7">
        <v>1.2</v>
      </c>
      <c r="X7">
        <v>0.71</v>
      </c>
      <c r="Y7">
        <v>1</v>
      </c>
      <c r="Z7">
        <v>10</v>
      </c>
    </row>
    <row r="8" spans="1:26" x14ac:dyDescent="0.3">
      <c r="A8">
        <v>6</v>
      </c>
      <c r="B8">
        <v>110</v>
      </c>
      <c r="C8" t="s">
        <v>26</v>
      </c>
      <c r="D8">
        <v>8.8721999999999994</v>
      </c>
      <c r="E8">
        <v>11.27</v>
      </c>
      <c r="F8">
        <v>7.31</v>
      </c>
      <c r="G8">
        <v>13.7</v>
      </c>
      <c r="H8">
        <v>0.21</v>
      </c>
      <c r="I8">
        <v>32</v>
      </c>
      <c r="J8">
        <v>215.82</v>
      </c>
      <c r="K8">
        <v>56.13</v>
      </c>
      <c r="L8">
        <v>2.5</v>
      </c>
      <c r="M8">
        <v>30</v>
      </c>
      <c r="N8">
        <v>47.19</v>
      </c>
      <c r="O8">
        <v>26851.31</v>
      </c>
      <c r="P8">
        <v>107.45</v>
      </c>
      <c r="Q8">
        <v>204.15</v>
      </c>
      <c r="R8">
        <v>41.01</v>
      </c>
      <c r="S8">
        <v>17.37</v>
      </c>
      <c r="T8">
        <v>9589.34</v>
      </c>
      <c r="U8">
        <v>0.42</v>
      </c>
      <c r="V8">
        <v>0.7</v>
      </c>
      <c r="W8">
        <v>1.19</v>
      </c>
      <c r="X8">
        <v>0.62</v>
      </c>
      <c r="Y8">
        <v>1</v>
      </c>
      <c r="Z8">
        <v>10</v>
      </c>
    </row>
    <row r="9" spans="1:26" x14ac:dyDescent="0.3">
      <c r="A9">
        <v>7</v>
      </c>
      <c r="B9">
        <v>110</v>
      </c>
      <c r="C9" t="s">
        <v>26</v>
      </c>
      <c r="D9">
        <v>9.0014000000000003</v>
      </c>
      <c r="E9">
        <v>11.11</v>
      </c>
      <c r="F9">
        <v>7.27</v>
      </c>
      <c r="G9">
        <v>15.05</v>
      </c>
      <c r="H9">
        <v>0.23</v>
      </c>
      <c r="I9">
        <v>29</v>
      </c>
      <c r="J9">
        <v>216.22</v>
      </c>
      <c r="K9">
        <v>56.13</v>
      </c>
      <c r="L9">
        <v>2.75</v>
      </c>
      <c r="M9">
        <v>27</v>
      </c>
      <c r="N9">
        <v>47.35</v>
      </c>
      <c r="O9">
        <v>26901.66</v>
      </c>
      <c r="P9">
        <v>106.82</v>
      </c>
      <c r="Q9">
        <v>204.16</v>
      </c>
      <c r="R9">
        <v>39.94</v>
      </c>
      <c r="S9">
        <v>17.37</v>
      </c>
      <c r="T9">
        <v>9065.74</v>
      </c>
      <c r="U9">
        <v>0.44</v>
      </c>
      <c r="V9">
        <v>0.7</v>
      </c>
      <c r="W9">
        <v>1.19</v>
      </c>
      <c r="X9">
        <v>0.57999999999999996</v>
      </c>
      <c r="Y9">
        <v>1</v>
      </c>
      <c r="Z9">
        <v>10</v>
      </c>
    </row>
    <row r="10" spans="1:26" x14ac:dyDescent="0.3">
      <c r="A10">
        <v>8</v>
      </c>
      <c r="B10">
        <v>110</v>
      </c>
      <c r="C10" t="s">
        <v>26</v>
      </c>
      <c r="D10">
        <v>9.1152999999999995</v>
      </c>
      <c r="E10">
        <v>10.97</v>
      </c>
      <c r="F10">
        <v>7.22</v>
      </c>
      <c r="G10">
        <v>16.04</v>
      </c>
      <c r="H10">
        <v>0.25</v>
      </c>
      <c r="I10">
        <v>27</v>
      </c>
      <c r="J10">
        <v>216.63</v>
      </c>
      <c r="K10">
        <v>56.13</v>
      </c>
      <c r="L10">
        <v>3</v>
      </c>
      <c r="M10">
        <v>25</v>
      </c>
      <c r="N10">
        <v>47.51</v>
      </c>
      <c r="O10">
        <v>26952.080000000002</v>
      </c>
      <c r="P10">
        <v>105.89</v>
      </c>
      <c r="Q10">
        <v>204.17</v>
      </c>
      <c r="R10">
        <v>38.17</v>
      </c>
      <c r="S10">
        <v>17.37</v>
      </c>
      <c r="T10">
        <v>8194.17</v>
      </c>
      <c r="U10">
        <v>0.46</v>
      </c>
      <c r="V10">
        <v>0.71</v>
      </c>
      <c r="W10">
        <v>1.18</v>
      </c>
      <c r="X10">
        <v>0.53</v>
      </c>
      <c r="Y10">
        <v>1</v>
      </c>
      <c r="Z10">
        <v>10</v>
      </c>
    </row>
    <row r="11" spans="1:26" x14ac:dyDescent="0.3">
      <c r="A11">
        <v>9</v>
      </c>
      <c r="B11">
        <v>110</v>
      </c>
      <c r="C11" t="s">
        <v>26</v>
      </c>
      <c r="D11">
        <v>9.2322000000000006</v>
      </c>
      <c r="E11">
        <v>10.83</v>
      </c>
      <c r="F11">
        <v>7.16</v>
      </c>
      <c r="G11">
        <v>17.190000000000001</v>
      </c>
      <c r="H11">
        <v>0.27</v>
      </c>
      <c r="I11">
        <v>25</v>
      </c>
      <c r="J11">
        <v>217.04</v>
      </c>
      <c r="K11">
        <v>56.13</v>
      </c>
      <c r="L11">
        <v>3.25</v>
      </c>
      <c r="M11">
        <v>23</v>
      </c>
      <c r="N11">
        <v>47.66</v>
      </c>
      <c r="O11">
        <v>27002.55</v>
      </c>
      <c r="P11">
        <v>104.97</v>
      </c>
      <c r="Q11">
        <v>204.16</v>
      </c>
      <c r="R11">
        <v>36.549999999999997</v>
      </c>
      <c r="S11">
        <v>17.37</v>
      </c>
      <c r="T11">
        <v>7392.28</v>
      </c>
      <c r="U11">
        <v>0.48</v>
      </c>
      <c r="V11">
        <v>0.71</v>
      </c>
      <c r="W11">
        <v>1.17</v>
      </c>
      <c r="X11">
        <v>0.47</v>
      </c>
      <c r="Y11">
        <v>1</v>
      </c>
      <c r="Z11">
        <v>10</v>
      </c>
    </row>
    <row r="12" spans="1:26" x14ac:dyDescent="0.3">
      <c r="A12">
        <v>10</v>
      </c>
      <c r="B12">
        <v>110</v>
      </c>
      <c r="C12" t="s">
        <v>26</v>
      </c>
      <c r="D12">
        <v>9.3284000000000002</v>
      </c>
      <c r="E12">
        <v>10.72</v>
      </c>
      <c r="F12">
        <v>7.14</v>
      </c>
      <c r="G12">
        <v>18.62</v>
      </c>
      <c r="H12">
        <v>0.28999999999999998</v>
      </c>
      <c r="I12">
        <v>23</v>
      </c>
      <c r="J12">
        <v>217.45</v>
      </c>
      <c r="K12">
        <v>56.13</v>
      </c>
      <c r="L12">
        <v>3.5</v>
      </c>
      <c r="M12">
        <v>21</v>
      </c>
      <c r="N12">
        <v>47.82</v>
      </c>
      <c r="O12">
        <v>27053.07</v>
      </c>
      <c r="P12">
        <v>104.47</v>
      </c>
      <c r="Q12">
        <v>204.17</v>
      </c>
      <c r="R12">
        <v>35.5</v>
      </c>
      <c r="S12">
        <v>17.37</v>
      </c>
      <c r="T12">
        <v>6875.07</v>
      </c>
      <c r="U12">
        <v>0.49</v>
      </c>
      <c r="V12">
        <v>0.72</v>
      </c>
      <c r="W12">
        <v>1.18</v>
      </c>
      <c r="X12">
        <v>0.44</v>
      </c>
      <c r="Y12">
        <v>1</v>
      </c>
      <c r="Z12">
        <v>10</v>
      </c>
    </row>
    <row r="13" spans="1:26" x14ac:dyDescent="0.3">
      <c r="A13">
        <v>11</v>
      </c>
      <c r="B13">
        <v>110</v>
      </c>
      <c r="C13" t="s">
        <v>26</v>
      </c>
      <c r="D13">
        <v>9.4415999999999993</v>
      </c>
      <c r="E13">
        <v>10.59</v>
      </c>
      <c r="F13">
        <v>7.09</v>
      </c>
      <c r="G13">
        <v>20.260000000000002</v>
      </c>
      <c r="H13">
        <v>0.31</v>
      </c>
      <c r="I13">
        <v>21</v>
      </c>
      <c r="J13">
        <v>217.86</v>
      </c>
      <c r="K13">
        <v>56.13</v>
      </c>
      <c r="L13">
        <v>3.75</v>
      </c>
      <c r="M13">
        <v>19</v>
      </c>
      <c r="N13">
        <v>47.98</v>
      </c>
      <c r="O13">
        <v>27103.65</v>
      </c>
      <c r="P13">
        <v>103.65</v>
      </c>
      <c r="Q13">
        <v>204.14</v>
      </c>
      <c r="R13">
        <v>34.270000000000003</v>
      </c>
      <c r="S13">
        <v>17.37</v>
      </c>
      <c r="T13">
        <v>6272.87</v>
      </c>
      <c r="U13">
        <v>0.51</v>
      </c>
      <c r="V13">
        <v>0.72</v>
      </c>
      <c r="W13">
        <v>1.17</v>
      </c>
      <c r="X13">
        <v>0.4</v>
      </c>
      <c r="Y13">
        <v>1</v>
      </c>
      <c r="Z13">
        <v>10</v>
      </c>
    </row>
    <row r="14" spans="1:26" x14ac:dyDescent="0.3">
      <c r="A14">
        <v>12</v>
      </c>
      <c r="B14">
        <v>110</v>
      </c>
      <c r="C14" t="s">
        <v>26</v>
      </c>
      <c r="D14">
        <v>9.4908999999999999</v>
      </c>
      <c r="E14">
        <v>10.54</v>
      </c>
      <c r="F14">
        <v>7.08</v>
      </c>
      <c r="G14">
        <v>21.24</v>
      </c>
      <c r="H14">
        <v>0.33</v>
      </c>
      <c r="I14">
        <v>20</v>
      </c>
      <c r="J14">
        <v>218.27</v>
      </c>
      <c r="K14">
        <v>56.13</v>
      </c>
      <c r="L14">
        <v>4</v>
      </c>
      <c r="M14">
        <v>18</v>
      </c>
      <c r="N14">
        <v>48.15</v>
      </c>
      <c r="O14">
        <v>27154.29</v>
      </c>
      <c r="P14">
        <v>103.39</v>
      </c>
      <c r="Q14">
        <v>204.16</v>
      </c>
      <c r="R14">
        <v>33.770000000000003</v>
      </c>
      <c r="S14">
        <v>17.37</v>
      </c>
      <c r="T14">
        <v>6026.87</v>
      </c>
      <c r="U14">
        <v>0.51</v>
      </c>
      <c r="V14">
        <v>0.72</v>
      </c>
      <c r="W14">
        <v>1.17</v>
      </c>
      <c r="X14">
        <v>0.39</v>
      </c>
      <c r="Y14">
        <v>1</v>
      </c>
      <c r="Z14">
        <v>10</v>
      </c>
    </row>
    <row r="15" spans="1:26" x14ac:dyDescent="0.3">
      <c r="A15">
        <v>13</v>
      </c>
      <c r="B15">
        <v>110</v>
      </c>
      <c r="C15" t="s">
        <v>26</v>
      </c>
      <c r="D15">
        <v>9.5434999999999999</v>
      </c>
      <c r="E15">
        <v>10.48</v>
      </c>
      <c r="F15">
        <v>7.06</v>
      </c>
      <c r="G15">
        <v>22.31</v>
      </c>
      <c r="H15">
        <v>0.35</v>
      </c>
      <c r="I15">
        <v>19</v>
      </c>
      <c r="J15">
        <v>218.68</v>
      </c>
      <c r="K15">
        <v>56.13</v>
      </c>
      <c r="L15">
        <v>4.25</v>
      </c>
      <c r="M15">
        <v>17</v>
      </c>
      <c r="N15">
        <v>48.31</v>
      </c>
      <c r="O15">
        <v>27204.98</v>
      </c>
      <c r="P15">
        <v>103</v>
      </c>
      <c r="Q15">
        <v>204.17</v>
      </c>
      <c r="R15">
        <v>33.24</v>
      </c>
      <c r="S15">
        <v>17.37</v>
      </c>
      <c r="T15">
        <v>5768.37</v>
      </c>
      <c r="U15">
        <v>0.52</v>
      </c>
      <c r="V15">
        <v>0.72</v>
      </c>
      <c r="W15">
        <v>1.17</v>
      </c>
      <c r="X15">
        <v>0.37</v>
      </c>
      <c r="Y15">
        <v>1</v>
      </c>
      <c r="Z15">
        <v>10</v>
      </c>
    </row>
    <row r="16" spans="1:26" x14ac:dyDescent="0.3">
      <c r="A16">
        <v>14</v>
      </c>
      <c r="B16">
        <v>110</v>
      </c>
      <c r="C16" t="s">
        <v>26</v>
      </c>
      <c r="D16">
        <v>9.6113</v>
      </c>
      <c r="E16">
        <v>10.4</v>
      </c>
      <c r="F16">
        <v>7.03</v>
      </c>
      <c r="G16">
        <v>23.44</v>
      </c>
      <c r="H16">
        <v>0.36</v>
      </c>
      <c r="I16">
        <v>18</v>
      </c>
      <c r="J16">
        <v>219.09</v>
      </c>
      <c r="K16">
        <v>56.13</v>
      </c>
      <c r="L16">
        <v>4.5</v>
      </c>
      <c r="M16">
        <v>16</v>
      </c>
      <c r="N16">
        <v>48.47</v>
      </c>
      <c r="O16">
        <v>27255.72</v>
      </c>
      <c r="P16">
        <v>102.3</v>
      </c>
      <c r="Q16">
        <v>204.16</v>
      </c>
      <c r="R16">
        <v>32.51</v>
      </c>
      <c r="S16">
        <v>17.37</v>
      </c>
      <c r="T16">
        <v>5408.38</v>
      </c>
      <c r="U16">
        <v>0.53</v>
      </c>
      <c r="V16">
        <v>0.73</v>
      </c>
      <c r="W16">
        <v>1.1599999999999999</v>
      </c>
      <c r="X16">
        <v>0.34</v>
      </c>
      <c r="Y16">
        <v>1</v>
      </c>
      <c r="Z16">
        <v>10</v>
      </c>
    </row>
    <row r="17" spans="1:26" x14ac:dyDescent="0.3">
      <c r="A17">
        <v>15</v>
      </c>
      <c r="B17">
        <v>110</v>
      </c>
      <c r="C17" t="s">
        <v>26</v>
      </c>
      <c r="D17">
        <v>9.6641999999999992</v>
      </c>
      <c r="E17">
        <v>10.35</v>
      </c>
      <c r="F17">
        <v>7.02</v>
      </c>
      <c r="G17">
        <v>24.77</v>
      </c>
      <c r="H17">
        <v>0.38</v>
      </c>
      <c r="I17">
        <v>17</v>
      </c>
      <c r="J17">
        <v>219.51</v>
      </c>
      <c r="K17">
        <v>56.13</v>
      </c>
      <c r="L17">
        <v>4.75</v>
      </c>
      <c r="M17">
        <v>15</v>
      </c>
      <c r="N17">
        <v>48.63</v>
      </c>
      <c r="O17">
        <v>27306.53</v>
      </c>
      <c r="P17">
        <v>102.14</v>
      </c>
      <c r="Q17">
        <v>204.15</v>
      </c>
      <c r="R17">
        <v>32.020000000000003</v>
      </c>
      <c r="S17">
        <v>17.37</v>
      </c>
      <c r="T17">
        <v>5164.96</v>
      </c>
      <c r="U17">
        <v>0.54</v>
      </c>
      <c r="V17">
        <v>0.73</v>
      </c>
      <c r="W17">
        <v>1.1599999999999999</v>
      </c>
      <c r="X17">
        <v>0.33</v>
      </c>
      <c r="Y17">
        <v>1</v>
      </c>
      <c r="Z17">
        <v>10</v>
      </c>
    </row>
    <row r="18" spans="1:26" x14ac:dyDescent="0.3">
      <c r="A18">
        <v>16</v>
      </c>
      <c r="B18">
        <v>110</v>
      </c>
      <c r="C18" t="s">
        <v>26</v>
      </c>
      <c r="D18">
        <v>9.7192000000000007</v>
      </c>
      <c r="E18">
        <v>10.29</v>
      </c>
      <c r="F18">
        <v>7</v>
      </c>
      <c r="G18">
        <v>26.25</v>
      </c>
      <c r="H18">
        <v>0.4</v>
      </c>
      <c r="I18">
        <v>16</v>
      </c>
      <c r="J18">
        <v>219.92</v>
      </c>
      <c r="K18">
        <v>56.13</v>
      </c>
      <c r="L18">
        <v>5</v>
      </c>
      <c r="M18">
        <v>14</v>
      </c>
      <c r="N18">
        <v>48.79</v>
      </c>
      <c r="O18">
        <v>27357.39</v>
      </c>
      <c r="P18">
        <v>101.67</v>
      </c>
      <c r="Q18">
        <v>204.14</v>
      </c>
      <c r="R18">
        <v>31.41</v>
      </c>
      <c r="S18">
        <v>17.37</v>
      </c>
      <c r="T18">
        <v>4866.42</v>
      </c>
      <c r="U18">
        <v>0.55000000000000004</v>
      </c>
      <c r="V18">
        <v>0.73</v>
      </c>
      <c r="W18">
        <v>1.17</v>
      </c>
      <c r="X18">
        <v>0.31</v>
      </c>
      <c r="Y18">
        <v>1</v>
      </c>
      <c r="Z18">
        <v>10</v>
      </c>
    </row>
    <row r="19" spans="1:26" x14ac:dyDescent="0.3">
      <c r="A19">
        <v>17</v>
      </c>
      <c r="B19">
        <v>110</v>
      </c>
      <c r="C19" t="s">
        <v>26</v>
      </c>
      <c r="D19">
        <v>9.7838999999999992</v>
      </c>
      <c r="E19">
        <v>10.220000000000001</v>
      </c>
      <c r="F19">
        <v>6.97</v>
      </c>
      <c r="G19">
        <v>27.9</v>
      </c>
      <c r="H19">
        <v>0.42</v>
      </c>
      <c r="I19">
        <v>15</v>
      </c>
      <c r="J19">
        <v>220.33</v>
      </c>
      <c r="K19">
        <v>56.13</v>
      </c>
      <c r="L19">
        <v>5.25</v>
      </c>
      <c r="M19">
        <v>13</v>
      </c>
      <c r="N19">
        <v>48.95</v>
      </c>
      <c r="O19">
        <v>27408.3</v>
      </c>
      <c r="P19">
        <v>101.29</v>
      </c>
      <c r="Q19">
        <v>204.16</v>
      </c>
      <c r="R19">
        <v>30.69</v>
      </c>
      <c r="S19">
        <v>17.37</v>
      </c>
      <c r="T19">
        <v>4510.46</v>
      </c>
      <c r="U19">
        <v>0.56999999999999995</v>
      </c>
      <c r="V19">
        <v>0.73</v>
      </c>
      <c r="W19">
        <v>1.1599999999999999</v>
      </c>
      <c r="X19">
        <v>0.28000000000000003</v>
      </c>
      <c r="Y19">
        <v>1</v>
      </c>
      <c r="Z19">
        <v>10</v>
      </c>
    </row>
    <row r="20" spans="1:26" x14ac:dyDescent="0.3">
      <c r="A20">
        <v>18</v>
      </c>
      <c r="B20">
        <v>110</v>
      </c>
      <c r="C20" t="s">
        <v>26</v>
      </c>
      <c r="D20">
        <v>9.7834000000000003</v>
      </c>
      <c r="E20">
        <v>10.220000000000001</v>
      </c>
      <c r="F20">
        <v>6.98</v>
      </c>
      <c r="G20">
        <v>27.9</v>
      </c>
      <c r="H20">
        <v>0.44</v>
      </c>
      <c r="I20">
        <v>15</v>
      </c>
      <c r="J20">
        <v>220.74</v>
      </c>
      <c r="K20">
        <v>56.13</v>
      </c>
      <c r="L20">
        <v>5.5</v>
      </c>
      <c r="M20">
        <v>13</v>
      </c>
      <c r="N20">
        <v>49.12</v>
      </c>
      <c r="O20">
        <v>27459.27</v>
      </c>
      <c r="P20">
        <v>101.05</v>
      </c>
      <c r="Q20">
        <v>204.15</v>
      </c>
      <c r="R20">
        <v>30.61</v>
      </c>
      <c r="S20">
        <v>17.37</v>
      </c>
      <c r="T20">
        <v>4474.49</v>
      </c>
      <c r="U20">
        <v>0.56999999999999995</v>
      </c>
      <c r="V20">
        <v>0.73</v>
      </c>
      <c r="W20">
        <v>1.1599999999999999</v>
      </c>
      <c r="X20">
        <v>0.28000000000000003</v>
      </c>
      <c r="Y20">
        <v>1</v>
      </c>
      <c r="Z20">
        <v>10</v>
      </c>
    </row>
    <row r="21" spans="1:26" x14ac:dyDescent="0.3">
      <c r="A21">
        <v>19</v>
      </c>
      <c r="B21">
        <v>110</v>
      </c>
      <c r="C21" t="s">
        <v>26</v>
      </c>
      <c r="D21">
        <v>9.8462999999999994</v>
      </c>
      <c r="E21">
        <v>10.16</v>
      </c>
      <c r="F21">
        <v>6.95</v>
      </c>
      <c r="G21">
        <v>29.8</v>
      </c>
      <c r="H21">
        <v>0.46</v>
      </c>
      <c r="I21">
        <v>14</v>
      </c>
      <c r="J21">
        <v>221.16</v>
      </c>
      <c r="K21">
        <v>56.13</v>
      </c>
      <c r="L21">
        <v>5.75</v>
      </c>
      <c r="M21">
        <v>12</v>
      </c>
      <c r="N21">
        <v>49.28</v>
      </c>
      <c r="O21">
        <v>27510.3</v>
      </c>
      <c r="P21">
        <v>100.72</v>
      </c>
      <c r="Q21">
        <v>204.14</v>
      </c>
      <c r="R21">
        <v>29.79</v>
      </c>
      <c r="S21">
        <v>17.37</v>
      </c>
      <c r="T21">
        <v>4069.56</v>
      </c>
      <c r="U21">
        <v>0.57999999999999996</v>
      </c>
      <c r="V21">
        <v>0.73</v>
      </c>
      <c r="W21">
        <v>1.1599999999999999</v>
      </c>
      <c r="X21">
        <v>0.26</v>
      </c>
      <c r="Y21">
        <v>1</v>
      </c>
      <c r="Z21">
        <v>10</v>
      </c>
    </row>
    <row r="22" spans="1:26" x14ac:dyDescent="0.3">
      <c r="A22">
        <v>20</v>
      </c>
      <c r="B22">
        <v>110</v>
      </c>
      <c r="C22" t="s">
        <v>26</v>
      </c>
      <c r="D22">
        <v>9.9122000000000003</v>
      </c>
      <c r="E22">
        <v>10.09</v>
      </c>
      <c r="F22">
        <v>6.93</v>
      </c>
      <c r="G22">
        <v>31.97</v>
      </c>
      <c r="H22">
        <v>0.48</v>
      </c>
      <c r="I22">
        <v>13</v>
      </c>
      <c r="J22">
        <v>221.57</v>
      </c>
      <c r="K22">
        <v>56.13</v>
      </c>
      <c r="L22">
        <v>6</v>
      </c>
      <c r="M22">
        <v>11</v>
      </c>
      <c r="N22">
        <v>49.45</v>
      </c>
      <c r="O22">
        <v>27561.39</v>
      </c>
      <c r="P22">
        <v>100.03</v>
      </c>
      <c r="Q22">
        <v>204.16</v>
      </c>
      <c r="R22">
        <v>29.2</v>
      </c>
      <c r="S22">
        <v>17.37</v>
      </c>
      <c r="T22">
        <v>3777.16</v>
      </c>
      <c r="U22">
        <v>0.59</v>
      </c>
      <c r="V22">
        <v>0.74</v>
      </c>
      <c r="W22">
        <v>1.1599999999999999</v>
      </c>
      <c r="X22">
        <v>0.24</v>
      </c>
      <c r="Y22">
        <v>1</v>
      </c>
      <c r="Z22">
        <v>10</v>
      </c>
    </row>
    <row r="23" spans="1:26" x14ac:dyDescent="0.3">
      <c r="A23">
        <v>21</v>
      </c>
      <c r="B23">
        <v>110</v>
      </c>
      <c r="C23" t="s">
        <v>26</v>
      </c>
      <c r="D23">
        <v>9.9190000000000005</v>
      </c>
      <c r="E23">
        <v>10.08</v>
      </c>
      <c r="F23">
        <v>6.92</v>
      </c>
      <c r="G23">
        <v>31.94</v>
      </c>
      <c r="H23">
        <v>0.5</v>
      </c>
      <c r="I23">
        <v>13</v>
      </c>
      <c r="J23">
        <v>221.99</v>
      </c>
      <c r="K23">
        <v>56.13</v>
      </c>
      <c r="L23">
        <v>6.25</v>
      </c>
      <c r="M23">
        <v>11</v>
      </c>
      <c r="N23">
        <v>49.61</v>
      </c>
      <c r="O23">
        <v>27612.53</v>
      </c>
      <c r="P23">
        <v>99.98</v>
      </c>
      <c r="Q23">
        <v>204.14</v>
      </c>
      <c r="R23">
        <v>28.89</v>
      </c>
      <c r="S23">
        <v>17.37</v>
      </c>
      <c r="T23">
        <v>3624.73</v>
      </c>
      <c r="U23">
        <v>0.6</v>
      </c>
      <c r="V23">
        <v>0.74</v>
      </c>
      <c r="W23">
        <v>1.1599999999999999</v>
      </c>
      <c r="X23">
        <v>0.23</v>
      </c>
      <c r="Y23">
        <v>1</v>
      </c>
      <c r="Z23">
        <v>10</v>
      </c>
    </row>
    <row r="24" spans="1:26" x14ac:dyDescent="0.3">
      <c r="A24">
        <v>22</v>
      </c>
      <c r="B24">
        <v>110</v>
      </c>
      <c r="C24" t="s">
        <v>26</v>
      </c>
      <c r="D24">
        <v>9.9733999999999998</v>
      </c>
      <c r="E24">
        <v>10.029999999999999</v>
      </c>
      <c r="F24">
        <v>6.91</v>
      </c>
      <c r="G24">
        <v>34.54</v>
      </c>
      <c r="H24">
        <v>0.52</v>
      </c>
      <c r="I24">
        <v>12</v>
      </c>
      <c r="J24">
        <v>222.4</v>
      </c>
      <c r="K24">
        <v>56.13</v>
      </c>
      <c r="L24">
        <v>6.5</v>
      </c>
      <c r="M24">
        <v>10</v>
      </c>
      <c r="N24">
        <v>49.78</v>
      </c>
      <c r="O24">
        <v>27663.85</v>
      </c>
      <c r="P24">
        <v>99.58</v>
      </c>
      <c r="Q24">
        <v>204.14</v>
      </c>
      <c r="R24">
        <v>28.67</v>
      </c>
      <c r="S24">
        <v>17.37</v>
      </c>
      <c r="T24">
        <v>3519.63</v>
      </c>
      <c r="U24">
        <v>0.61</v>
      </c>
      <c r="V24">
        <v>0.74</v>
      </c>
      <c r="W24">
        <v>1.1499999999999999</v>
      </c>
      <c r="X24">
        <v>0.22</v>
      </c>
      <c r="Y24">
        <v>1</v>
      </c>
      <c r="Z24">
        <v>10</v>
      </c>
    </row>
    <row r="25" spans="1:26" x14ac:dyDescent="0.3">
      <c r="A25">
        <v>23</v>
      </c>
      <c r="B25">
        <v>110</v>
      </c>
      <c r="C25" t="s">
        <v>26</v>
      </c>
      <c r="D25">
        <v>9.9640000000000004</v>
      </c>
      <c r="E25">
        <v>10.039999999999999</v>
      </c>
      <c r="F25">
        <v>6.92</v>
      </c>
      <c r="G25">
        <v>34.58</v>
      </c>
      <c r="H25">
        <v>0.54</v>
      </c>
      <c r="I25">
        <v>12</v>
      </c>
      <c r="J25">
        <v>222.82</v>
      </c>
      <c r="K25">
        <v>56.13</v>
      </c>
      <c r="L25">
        <v>6.75</v>
      </c>
      <c r="M25">
        <v>10</v>
      </c>
      <c r="N25">
        <v>49.94</v>
      </c>
      <c r="O25">
        <v>27715.11</v>
      </c>
      <c r="P25">
        <v>99.68</v>
      </c>
      <c r="Q25">
        <v>204.14</v>
      </c>
      <c r="R25">
        <v>28.68</v>
      </c>
      <c r="S25">
        <v>17.37</v>
      </c>
      <c r="T25">
        <v>3521.35</v>
      </c>
      <c r="U25">
        <v>0.61</v>
      </c>
      <c r="V25">
        <v>0.74</v>
      </c>
      <c r="W25">
        <v>1.1599999999999999</v>
      </c>
      <c r="X25">
        <v>0.23</v>
      </c>
      <c r="Y25">
        <v>1</v>
      </c>
      <c r="Z25">
        <v>10</v>
      </c>
    </row>
    <row r="26" spans="1:26" x14ac:dyDescent="0.3">
      <c r="A26">
        <v>24</v>
      </c>
      <c r="B26">
        <v>110</v>
      </c>
      <c r="C26" t="s">
        <v>26</v>
      </c>
      <c r="D26">
        <v>9.9624000000000006</v>
      </c>
      <c r="E26">
        <v>10.039999999999999</v>
      </c>
      <c r="F26">
        <v>6.92</v>
      </c>
      <c r="G26">
        <v>34.590000000000003</v>
      </c>
      <c r="H26">
        <v>0.56000000000000005</v>
      </c>
      <c r="I26">
        <v>12</v>
      </c>
      <c r="J26">
        <v>223.23</v>
      </c>
      <c r="K26">
        <v>56.13</v>
      </c>
      <c r="L26">
        <v>7</v>
      </c>
      <c r="M26">
        <v>10</v>
      </c>
      <c r="N26">
        <v>50.11</v>
      </c>
      <c r="O26">
        <v>27766.43</v>
      </c>
      <c r="P26">
        <v>99.48</v>
      </c>
      <c r="Q26">
        <v>204.18</v>
      </c>
      <c r="R26">
        <v>28.76</v>
      </c>
      <c r="S26">
        <v>17.37</v>
      </c>
      <c r="T26">
        <v>3564.55</v>
      </c>
      <c r="U26">
        <v>0.6</v>
      </c>
      <c r="V26">
        <v>0.74</v>
      </c>
      <c r="W26">
        <v>1.1599999999999999</v>
      </c>
      <c r="X26">
        <v>0.23</v>
      </c>
      <c r="Y26">
        <v>1</v>
      </c>
      <c r="Z26">
        <v>10</v>
      </c>
    </row>
    <row r="27" spans="1:26" x14ac:dyDescent="0.3">
      <c r="A27">
        <v>25</v>
      </c>
      <c r="B27">
        <v>110</v>
      </c>
      <c r="C27" t="s">
        <v>26</v>
      </c>
      <c r="D27">
        <v>10.037599999999999</v>
      </c>
      <c r="E27">
        <v>9.9600000000000009</v>
      </c>
      <c r="F27">
        <v>6.89</v>
      </c>
      <c r="G27">
        <v>37.56</v>
      </c>
      <c r="H27">
        <v>0.57999999999999996</v>
      </c>
      <c r="I27">
        <v>11</v>
      </c>
      <c r="J27">
        <v>223.65</v>
      </c>
      <c r="K27">
        <v>56.13</v>
      </c>
      <c r="L27">
        <v>7.25</v>
      </c>
      <c r="M27">
        <v>9</v>
      </c>
      <c r="N27">
        <v>50.27</v>
      </c>
      <c r="O27">
        <v>27817.81</v>
      </c>
      <c r="P27">
        <v>98.82</v>
      </c>
      <c r="Q27">
        <v>204.14</v>
      </c>
      <c r="R27">
        <v>27.91</v>
      </c>
      <c r="S27">
        <v>17.37</v>
      </c>
      <c r="T27">
        <v>3140.21</v>
      </c>
      <c r="U27">
        <v>0.62</v>
      </c>
      <c r="V27">
        <v>0.74</v>
      </c>
      <c r="W27">
        <v>1.1499999999999999</v>
      </c>
      <c r="X27">
        <v>0.19</v>
      </c>
      <c r="Y27">
        <v>1</v>
      </c>
      <c r="Z27">
        <v>10</v>
      </c>
    </row>
    <row r="28" spans="1:26" x14ac:dyDescent="0.3">
      <c r="A28">
        <v>26</v>
      </c>
      <c r="B28">
        <v>110</v>
      </c>
      <c r="C28" t="s">
        <v>26</v>
      </c>
      <c r="D28">
        <v>10.0326</v>
      </c>
      <c r="E28">
        <v>9.9700000000000006</v>
      </c>
      <c r="F28">
        <v>6.89</v>
      </c>
      <c r="G28">
        <v>37.58</v>
      </c>
      <c r="H28">
        <v>0.59</v>
      </c>
      <c r="I28">
        <v>11</v>
      </c>
      <c r="J28">
        <v>224.07</v>
      </c>
      <c r="K28">
        <v>56.13</v>
      </c>
      <c r="L28">
        <v>7.5</v>
      </c>
      <c r="M28">
        <v>9</v>
      </c>
      <c r="N28">
        <v>50.44</v>
      </c>
      <c r="O28">
        <v>27869.24</v>
      </c>
      <c r="P28">
        <v>98.86</v>
      </c>
      <c r="Q28">
        <v>204.14</v>
      </c>
      <c r="R28">
        <v>27.99</v>
      </c>
      <c r="S28">
        <v>17.37</v>
      </c>
      <c r="T28">
        <v>3182.62</v>
      </c>
      <c r="U28">
        <v>0.62</v>
      </c>
      <c r="V28">
        <v>0.74</v>
      </c>
      <c r="W28">
        <v>1.1599999999999999</v>
      </c>
      <c r="X28">
        <v>0.2</v>
      </c>
      <c r="Y28">
        <v>1</v>
      </c>
      <c r="Z28">
        <v>10</v>
      </c>
    </row>
    <row r="29" spans="1:26" x14ac:dyDescent="0.3">
      <c r="A29">
        <v>27</v>
      </c>
      <c r="B29">
        <v>110</v>
      </c>
      <c r="C29" t="s">
        <v>26</v>
      </c>
      <c r="D29">
        <v>10.0351</v>
      </c>
      <c r="E29">
        <v>9.9600000000000009</v>
      </c>
      <c r="F29">
        <v>6.89</v>
      </c>
      <c r="G29">
        <v>37.57</v>
      </c>
      <c r="H29">
        <v>0.61</v>
      </c>
      <c r="I29">
        <v>11</v>
      </c>
      <c r="J29">
        <v>224.49</v>
      </c>
      <c r="K29">
        <v>56.13</v>
      </c>
      <c r="L29">
        <v>7.75</v>
      </c>
      <c r="M29">
        <v>9</v>
      </c>
      <c r="N29">
        <v>50.61</v>
      </c>
      <c r="O29">
        <v>27920.73</v>
      </c>
      <c r="P29">
        <v>98.54</v>
      </c>
      <c r="Q29">
        <v>204.15</v>
      </c>
      <c r="R29">
        <v>27.93</v>
      </c>
      <c r="S29">
        <v>17.37</v>
      </c>
      <c r="T29">
        <v>3152.92</v>
      </c>
      <c r="U29">
        <v>0.62</v>
      </c>
      <c r="V29">
        <v>0.74</v>
      </c>
      <c r="W29">
        <v>1.1499999999999999</v>
      </c>
      <c r="X29">
        <v>0.2</v>
      </c>
      <c r="Y29">
        <v>1</v>
      </c>
      <c r="Z29">
        <v>10</v>
      </c>
    </row>
    <row r="30" spans="1:26" x14ac:dyDescent="0.3">
      <c r="A30">
        <v>28</v>
      </c>
      <c r="B30">
        <v>110</v>
      </c>
      <c r="C30" t="s">
        <v>26</v>
      </c>
      <c r="D30">
        <v>10.100199999999999</v>
      </c>
      <c r="E30">
        <v>9.9</v>
      </c>
      <c r="F30">
        <v>6.87</v>
      </c>
      <c r="G30">
        <v>41.2</v>
      </c>
      <c r="H30">
        <v>0.63</v>
      </c>
      <c r="I30">
        <v>10</v>
      </c>
      <c r="J30">
        <v>224.9</v>
      </c>
      <c r="K30">
        <v>56.13</v>
      </c>
      <c r="L30">
        <v>8</v>
      </c>
      <c r="M30">
        <v>8</v>
      </c>
      <c r="N30">
        <v>50.78</v>
      </c>
      <c r="O30">
        <v>27972.28</v>
      </c>
      <c r="P30">
        <v>98.04</v>
      </c>
      <c r="Q30">
        <v>204.15</v>
      </c>
      <c r="R30">
        <v>27.29</v>
      </c>
      <c r="S30">
        <v>17.37</v>
      </c>
      <c r="T30">
        <v>2835.19</v>
      </c>
      <c r="U30">
        <v>0.64</v>
      </c>
      <c r="V30">
        <v>0.74</v>
      </c>
      <c r="W30">
        <v>1.1499999999999999</v>
      </c>
      <c r="X30">
        <v>0.17</v>
      </c>
      <c r="Y30">
        <v>1</v>
      </c>
      <c r="Z30">
        <v>10</v>
      </c>
    </row>
    <row r="31" spans="1:26" x14ac:dyDescent="0.3">
      <c r="A31">
        <v>29</v>
      </c>
      <c r="B31">
        <v>110</v>
      </c>
      <c r="C31" t="s">
        <v>26</v>
      </c>
      <c r="D31">
        <v>10.1004</v>
      </c>
      <c r="E31">
        <v>9.9</v>
      </c>
      <c r="F31">
        <v>6.87</v>
      </c>
      <c r="G31">
        <v>41.19</v>
      </c>
      <c r="H31">
        <v>0.65</v>
      </c>
      <c r="I31">
        <v>10</v>
      </c>
      <c r="J31">
        <v>225.32</v>
      </c>
      <c r="K31">
        <v>56.13</v>
      </c>
      <c r="L31">
        <v>8.25</v>
      </c>
      <c r="M31">
        <v>8</v>
      </c>
      <c r="N31">
        <v>50.95</v>
      </c>
      <c r="O31">
        <v>28023.89</v>
      </c>
      <c r="P31">
        <v>98.05</v>
      </c>
      <c r="Q31">
        <v>204.18</v>
      </c>
      <c r="R31">
        <v>27.27</v>
      </c>
      <c r="S31">
        <v>17.37</v>
      </c>
      <c r="T31">
        <v>2826.25</v>
      </c>
      <c r="U31">
        <v>0.64</v>
      </c>
      <c r="V31">
        <v>0.74</v>
      </c>
      <c r="W31">
        <v>1.1499999999999999</v>
      </c>
      <c r="X31">
        <v>0.17</v>
      </c>
      <c r="Y31">
        <v>1</v>
      </c>
      <c r="Z31">
        <v>10</v>
      </c>
    </row>
    <row r="32" spans="1:26" x14ac:dyDescent="0.3">
      <c r="A32">
        <v>30</v>
      </c>
      <c r="B32">
        <v>110</v>
      </c>
      <c r="C32" t="s">
        <v>26</v>
      </c>
      <c r="D32">
        <v>10.105</v>
      </c>
      <c r="E32">
        <v>9.9</v>
      </c>
      <c r="F32">
        <v>6.86</v>
      </c>
      <c r="G32">
        <v>41.17</v>
      </c>
      <c r="H32">
        <v>0.67</v>
      </c>
      <c r="I32">
        <v>10</v>
      </c>
      <c r="J32">
        <v>225.74</v>
      </c>
      <c r="K32">
        <v>56.13</v>
      </c>
      <c r="L32">
        <v>8.5</v>
      </c>
      <c r="M32">
        <v>8</v>
      </c>
      <c r="N32">
        <v>51.11</v>
      </c>
      <c r="O32">
        <v>28075.56</v>
      </c>
      <c r="P32">
        <v>97.98</v>
      </c>
      <c r="Q32">
        <v>204.15</v>
      </c>
      <c r="R32">
        <v>27.04</v>
      </c>
      <c r="S32">
        <v>17.37</v>
      </c>
      <c r="T32">
        <v>2710.64</v>
      </c>
      <c r="U32">
        <v>0.64</v>
      </c>
      <c r="V32">
        <v>0.74</v>
      </c>
      <c r="W32">
        <v>1.1499999999999999</v>
      </c>
      <c r="X32">
        <v>0.17</v>
      </c>
      <c r="Y32">
        <v>1</v>
      </c>
      <c r="Z32">
        <v>10</v>
      </c>
    </row>
    <row r="33" spans="1:26" x14ac:dyDescent="0.3">
      <c r="A33">
        <v>31</v>
      </c>
      <c r="B33">
        <v>110</v>
      </c>
      <c r="C33" t="s">
        <v>26</v>
      </c>
      <c r="D33">
        <v>10.1678</v>
      </c>
      <c r="E33">
        <v>9.84</v>
      </c>
      <c r="F33">
        <v>6.84</v>
      </c>
      <c r="G33">
        <v>45.61</v>
      </c>
      <c r="H33">
        <v>0.69</v>
      </c>
      <c r="I33">
        <v>9</v>
      </c>
      <c r="J33">
        <v>226.16</v>
      </c>
      <c r="K33">
        <v>56.13</v>
      </c>
      <c r="L33">
        <v>8.75</v>
      </c>
      <c r="M33">
        <v>7</v>
      </c>
      <c r="N33">
        <v>51.28</v>
      </c>
      <c r="O33">
        <v>28127.29</v>
      </c>
      <c r="P33">
        <v>97.27</v>
      </c>
      <c r="Q33">
        <v>204.15</v>
      </c>
      <c r="R33">
        <v>26.57</v>
      </c>
      <c r="S33">
        <v>17.37</v>
      </c>
      <c r="T33">
        <v>2482.11</v>
      </c>
      <c r="U33">
        <v>0.65</v>
      </c>
      <c r="V33">
        <v>0.75</v>
      </c>
      <c r="W33">
        <v>1.1499999999999999</v>
      </c>
      <c r="X33">
        <v>0.15</v>
      </c>
      <c r="Y33">
        <v>1</v>
      </c>
      <c r="Z33">
        <v>10</v>
      </c>
    </row>
    <row r="34" spans="1:26" x14ac:dyDescent="0.3">
      <c r="A34">
        <v>32</v>
      </c>
      <c r="B34">
        <v>110</v>
      </c>
      <c r="C34" t="s">
        <v>26</v>
      </c>
      <c r="D34">
        <v>10.149699999999999</v>
      </c>
      <c r="E34">
        <v>9.85</v>
      </c>
      <c r="F34">
        <v>6.86</v>
      </c>
      <c r="G34">
        <v>45.73</v>
      </c>
      <c r="H34">
        <v>0.71</v>
      </c>
      <c r="I34">
        <v>9</v>
      </c>
      <c r="J34">
        <v>226.58</v>
      </c>
      <c r="K34">
        <v>56.13</v>
      </c>
      <c r="L34">
        <v>9</v>
      </c>
      <c r="M34">
        <v>7</v>
      </c>
      <c r="N34">
        <v>51.45</v>
      </c>
      <c r="O34">
        <v>28179.08</v>
      </c>
      <c r="P34">
        <v>97.78</v>
      </c>
      <c r="Q34">
        <v>204.15</v>
      </c>
      <c r="R34">
        <v>27.16</v>
      </c>
      <c r="S34">
        <v>17.37</v>
      </c>
      <c r="T34">
        <v>2775.73</v>
      </c>
      <c r="U34">
        <v>0.64</v>
      </c>
      <c r="V34">
        <v>0.74</v>
      </c>
      <c r="W34">
        <v>1.1499999999999999</v>
      </c>
      <c r="X34">
        <v>0.17</v>
      </c>
      <c r="Y34">
        <v>1</v>
      </c>
      <c r="Z34">
        <v>10</v>
      </c>
    </row>
    <row r="35" spans="1:26" x14ac:dyDescent="0.3">
      <c r="A35">
        <v>33</v>
      </c>
      <c r="B35">
        <v>110</v>
      </c>
      <c r="C35" t="s">
        <v>26</v>
      </c>
      <c r="D35">
        <v>10.1526</v>
      </c>
      <c r="E35">
        <v>9.85</v>
      </c>
      <c r="F35">
        <v>6.86</v>
      </c>
      <c r="G35">
        <v>45.71</v>
      </c>
      <c r="H35">
        <v>0.72</v>
      </c>
      <c r="I35">
        <v>9</v>
      </c>
      <c r="J35">
        <v>227</v>
      </c>
      <c r="K35">
        <v>56.13</v>
      </c>
      <c r="L35">
        <v>9.25</v>
      </c>
      <c r="M35">
        <v>7</v>
      </c>
      <c r="N35">
        <v>51.62</v>
      </c>
      <c r="O35">
        <v>28230.92</v>
      </c>
      <c r="P35">
        <v>97.78</v>
      </c>
      <c r="Q35">
        <v>204.15</v>
      </c>
      <c r="R35">
        <v>26.98</v>
      </c>
      <c r="S35">
        <v>17.37</v>
      </c>
      <c r="T35">
        <v>2689.03</v>
      </c>
      <c r="U35">
        <v>0.64</v>
      </c>
      <c r="V35">
        <v>0.74</v>
      </c>
      <c r="W35">
        <v>1.1499999999999999</v>
      </c>
      <c r="X35">
        <v>0.17</v>
      </c>
      <c r="Y35">
        <v>1</v>
      </c>
      <c r="Z35">
        <v>10</v>
      </c>
    </row>
    <row r="36" spans="1:26" x14ac:dyDescent="0.3">
      <c r="A36">
        <v>34</v>
      </c>
      <c r="B36">
        <v>110</v>
      </c>
      <c r="C36" t="s">
        <v>26</v>
      </c>
      <c r="D36">
        <v>10.1523</v>
      </c>
      <c r="E36">
        <v>9.85</v>
      </c>
      <c r="F36">
        <v>6.86</v>
      </c>
      <c r="G36">
        <v>45.71</v>
      </c>
      <c r="H36">
        <v>0.74</v>
      </c>
      <c r="I36">
        <v>9</v>
      </c>
      <c r="J36">
        <v>227.42</v>
      </c>
      <c r="K36">
        <v>56.13</v>
      </c>
      <c r="L36">
        <v>9.5</v>
      </c>
      <c r="M36">
        <v>7</v>
      </c>
      <c r="N36">
        <v>51.8</v>
      </c>
      <c r="O36">
        <v>28282.83</v>
      </c>
      <c r="P36">
        <v>97.52</v>
      </c>
      <c r="Q36">
        <v>204.16</v>
      </c>
      <c r="R36">
        <v>27.01</v>
      </c>
      <c r="S36">
        <v>17.37</v>
      </c>
      <c r="T36">
        <v>2704.23</v>
      </c>
      <c r="U36">
        <v>0.64</v>
      </c>
      <c r="V36">
        <v>0.74</v>
      </c>
      <c r="W36">
        <v>1.1499999999999999</v>
      </c>
      <c r="X36">
        <v>0.17</v>
      </c>
      <c r="Y36">
        <v>1</v>
      </c>
      <c r="Z36">
        <v>10</v>
      </c>
    </row>
    <row r="37" spans="1:26" x14ac:dyDescent="0.3">
      <c r="A37">
        <v>35</v>
      </c>
      <c r="B37">
        <v>110</v>
      </c>
      <c r="C37" t="s">
        <v>26</v>
      </c>
      <c r="D37">
        <v>10.153700000000001</v>
      </c>
      <c r="E37">
        <v>9.85</v>
      </c>
      <c r="F37">
        <v>6.86</v>
      </c>
      <c r="G37">
        <v>45.71</v>
      </c>
      <c r="H37">
        <v>0.76</v>
      </c>
      <c r="I37">
        <v>9</v>
      </c>
      <c r="J37">
        <v>227.84</v>
      </c>
      <c r="K37">
        <v>56.13</v>
      </c>
      <c r="L37">
        <v>9.75</v>
      </c>
      <c r="M37">
        <v>7</v>
      </c>
      <c r="N37">
        <v>51.97</v>
      </c>
      <c r="O37">
        <v>28334.799999999999</v>
      </c>
      <c r="P37">
        <v>97.26</v>
      </c>
      <c r="Q37">
        <v>204.14</v>
      </c>
      <c r="R37">
        <v>27</v>
      </c>
      <c r="S37">
        <v>17.37</v>
      </c>
      <c r="T37">
        <v>2699.37</v>
      </c>
      <c r="U37">
        <v>0.64</v>
      </c>
      <c r="V37">
        <v>0.74</v>
      </c>
      <c r="W37">
        <v>1.1499999999999999</v>
      </c>
      <c r="X37">
        <v>0.16</v>
      </c>
      <c r="Y37">
        <v>1</v>
      </c>
      <c r="Z37">
        <v>10</v>
      </c>
    </row>
    <row r="38" spans="1:26" x14ac:dyDescent="0.3">
      <c r="A38">
        <v>36</v>
      </c>
      <c r="B38">
        <v>110</v>
      </c>
      <c r="C38" t="s">
        <v>26</v>
      </c>
      <c r="D38">
        <v>10.222899999999999</v>
      </c>
      <c r="E38">
        <v>9.7799999999999994</v>
      </c>
      <c r="F38">
        <v>6.83</v>
      </c>
      <c r="G38">
        <v>51.24</v>
      </c>
      <c r="H38">
        <v>0.78</v>
      </c>
      <c r="I38">
        <v>8</v>
      </c>
      <c r="J38">
        <v>228.27</v>
      </c>
      <c r="K38">
        <v>56.13</v>
      </c>
      <c r="L38">
        <v>10</v>
      </c>
      <c r="M38">
        <v>6</v>
      </c>
      <c r="N38">
        <v>52.14</v>
      </c>
      <c r="O38">
        <v>28386.82</v>
      </c>
      <c r="P38">
        <v>96.72</v>
      </c>
      <c r="Q38">
        <v>204.19</v>
      </c>
      <c r="R38">
        <v>26.19</v>
      </c>
      <c r="S38">
        <v>17.37</v>
      </c>
      <c r="T38">
        <v>2296.61</v>
      </c>
      <c r="U38">
        <v>0.66</v>
      </c>
      <c r="V38">
        <v>0.75</v>
      </c>
      <c r="W38">
        <v>1.1499999999999999</v>
      </c>
      <c r="X38">
        <v>0.14000000000000001</v>
      </c>
      <c r="Y38">
        <v>1</v>
      </c>
      <c r="Z38">
        <v>10</v>
      </c>
    </row>
    <row r="39" spans="1:26" x14ac:dyDescent="0.3">
      <c r="A39">
        <v>37</v>
      </c>
      <c r="B39">
        <v>110</v>
      </c>
      <c r="C39" t="s">
        <v>26</v>
      </c>
      <c r="D39">
        <v>10.236000000000001</v>
      </c>
      <c r="E39">
        <v>9.77</v>
      </c>
      <c r="F39">
        <v>6.82</v>
      </c>
      <c r="G39">
        <v>51.14</v>
      </c>
      <c r="H39">
        <v>0.8</v>
      </c>
      <c r="I39">
        <v>8</v>
      </c>
      <c r="J39">
        <v>228.69</v>
      </c>
      <c r="K39">
        <v>56.13</v>
      </c>
      <c r="L39">
        <v>10.25</v>
      </c>
      <c r="M39">
        <v>6</v>
      </c>
      <c r="N39">
        <v>52.31</v>
      </c>
      <c r="O39">
        <v>28438.91</v>
      </c>
      <c r="P39">
        <v>96.38</v>
      </c>
      <c r="Q39">
        <v>204.14</v>
      </c>
      <c r="R39">
        <v>25.82</v>
      </c>
      <c r="S39">
        <v>17.37</v>
      </c>
      <c r="T39">
        <v>2110.35</v>
      </c>
      <c r="U39">
        <v>0.67</v>
      </c>
      <c r="V39">
        <v>0.75</v>
      </c>
      <c r="W39">
        <v>1.1499999999999999</v>
      </c>
      <c r="X39">
        <v>0.13</v>
      </c>
      <c r="Y39">
        <v>1</v>
      </c>
      <c r="Z39">
        <v>10</v>
      </c>
    </row>
    <row r="40" spans="1:26" x14ac:dyDescent="0.3">
      <c r="A40">
        <v>38</v>
      </c>
      <c r="B40">
        <v>110</v>
      </c>
      <c r="C40" t="s">
        <v>26</v>
      </c>
      <c r="D40">
        <v>10.228400000000001</v>
      </c>
      <c r="E40">
        <v>9.7799999999999994</v>
      </c>
      <c r="F40">
        <v>6.83</v>
      </c>
      <c r="G40">
        <v>51.2</v>
      </c>
      <c r="H40">
        <v>0.81</v>
      </c>
      <c r="I40">
        <v>8</v>
      </c>
      <c r="J40">
        <v>229.11</v>
      </c>
      <c r="K40">
        <v>56.13</v>
      </c>
      <c r="L40">
        <v>10.5</v>
      </c>
      <c r="M40">
        <v>6</v>
      </c>
      <c r="N40">
        <v>52.48</v>
      </c>
      <c r="O40">
        <v>28491.06</v>
      </c>
      <c r="P40">
        <v>96.36</v>
      </c>
      <c r="Q40">
        <v>204.14</v>
      </c>
      <c r="R40">
        <v>25.97</v>
      </c>
      <c r="S40">
        <v>17.37</v>
      </c>
      <c r="T40">
        <v>2187.7800000000002</v>
      </c>
      <c r="U40">
        <v>0.67</v>
      </c>
      <c r="V40">
        <v>0.75</v>
      </c>
      <c r="W40">
        <v>1.1499999999999999</v>
      </c>
      <c r="X40">
        <v>0.14000000000000001</v>
      </c>
      <c r="Y40">
        <v>1</v>
      </c>
      <c r="Z40">
        <v>10</v>
      </c>
    </row>
    <row r="41" spans="1:26" x14ac:dyDescent="0.3">
      <c r="A41">
        <v>39</v>
      </c>
      <c r="B41">
        <v>110</v>
      </c>
      <c r="C41" t="s">
        <v>26</v>
      </c>
      <c r="D41">
        <v>10.2235</v>
      </c>
      <c r="E41">
        <v>9.7799999999999994</v>
      </c>
      <c r="F41">
        <v>6.83</v>
      </c>
      <c r="G41">
        <v>51.23</v>
      </c>
      <c r="H41">
        <v>0.83</v>
      </c>
      <c r="I41">
        <v>8</v>
      </c>
      <c r="J41">
        <v>229.53</v>
      </c>
      <c r="K41">
        <v>56.13</v>
      </c>
      <c r="L41">
        <v>10.75</v>
      </c>
      <c r="M41">
        <v>6</v>
      </c>
      <c r="N41">
        <v>52.66</v>
      </c>
      <c r="O41">
        <v>28543.27</v>
      </c>
      <c r="P41">
        <v>96.22</v>
      </c>
      <c r="Q41">
        <v>204.14</v>
      </c>
      <c r="R41">
        <v>26.1</v>
      </c>
      <c r="S41">
        <v>17.37</v>
      </c>
      <c r="T41">
        <v>2253.54</v>
      </c>
      <c r="U41">
        <v>0.67</v>
      </c>
      <c r="V41">
        <v>0.75</v>
      </c>
      <c r="W41">
        <v>1.1499999999999999</v>
      </c>
      <c r="X41">
        <v>0.14000000000000001</v>
      </c>
      <c r="Y41">
        <v>1</v>
      </c>
      <c r="Z41">
        <v>10</v>
      </c>
    </row>
    <row r="42" spans="1:26" x14ac:dyDescent="0.3">
      <c r="A42">
        <v>40</v>
      </c>
      <c r="B42">
        <v>110</v>
      </c>
      <c r="C42" t="s">
        <v>26</v>
      </c>
      <c r="D42">
        <v>10.2311</v>
      </c>
      <c r="E42">
        <v>9.77</v>
      </c>
      <c r="F42">
        <v>6.82</v>
      </c>
      <c r="G42">
        <v>51.18</v>
      </c>
      <c r="H42">
        <v>0.85</v>
      </c>
      <c r="I42">
        <v>8</v>
      </c>
      <c r="J42">
        <v>229.96</v>
      </c>
      <c r="K42">
        <v>56.13</v>
      </c>
      <c r="L42">
        <v>11</v>
      </c>
      <c r="M42">
        <v>6</v>
      </c>
      <c r="N42">
        <v>52.83</v>
      </c>
      <c r="O42">
        <v>28595.54</v>
      </c>
      <c r="P42">
        <v>96.12</v>
      </c>
      <c r="Q42">
        <v>204.14</v>
      </c>
      <c r="R42">
        <v>25.95</v>
      </c>
      <c r="S42">
        <v>17.37</v>
      </c>
      <c r="T42">
        <v>2177.65</v>
      </c>
      <c r="U42">
        <v>0.67</v>
      </c>
      <c r="V42">
        <v>0.75</v>
      </c>
      <c r="W42">
        <v>1.1499999999999999</v>
      </c>
      <c r="X42">
        <v>0.13</v>
      </c>
      <c r="Y42">
        <v>1</v>
      </c>
      <c r="Z42">
        <v>10</v>
      </c>
    </row>
    <row r="43" spans="1:26" x14ac:dyDescent="0.3">
      <c r="A43">
        <v>41</v>
      </c>
      <c r="B43">
        <v>110</v>
      </c>
      <c r="C43" t="s">
        <v>26</v>
      </c>
      <c r="D43">
        <v>10.225199999999999</v>
      </c>
      <c r="E43">
        <v>9.7799999999999994</v>
      </c>
      <c r="F43">
        <v>6.83</v>
      </c>
      <c r="G43">
        <v>51.22</v>
      </c>
      <c r="H43">
        <v>0.87</v>
      </c>
      <c r="I43">
        <v>8</v>
      </c>
      <c r="J43">
        <v>230.38</v>
      </c>
      <c r="K43">
        <v>56.13</v>
      </c>
      <c r="L43">
        <v>11.25</v>
      </c>
      <c r="M43">
        <v>6</v>
      </c>
      <c r="N43">
        <v>53</v>
      </c>
      <c r="O43">
        <v>28647.87</v>
      </c>
      <c r="P43">
        <v>95.83</v>
      </c>
      <c r="Q43">
        <v>204.14</v>
      </c>
      <c r="R43">
        <v>26.08</v>
      </c>
      <c r="S43">
        <v>17.37</v>
      </c>
      <c r="T43">
        <v>2243</v>
      </c>
      <c r="U43">
        <v>0.67</v>
      </c>
      <c r="V43">
        <v>0.75</v>
      </c>
      <c r="W43">
        <v>1.1499999999999999</v>
      </c>
      <c r="X43">
        <v>0.14000000000000001</v>
      </c>
      <c r="Y43">
        <v>1</v>
      </c>
      <c r="Z43">
        <v>10</v>
      </c>
    </row>
    <row r="44" spans="1:26" x14ac:dyDescent="0.3">
      <c r="A44">
        <v>42</v>
      </c>
      <c r="B44">
        <v>110</v>
      </c>
      <c r="C44" t="s">
        <v>26</v>
      </c>
      <c r="D44">
        <v>10.2987</v>
      </c>
      <c r="E44">
        <v>9.7100000000000009</v>
      </c>
      <c r="F44">
        <v>6.8</v>
      </c>
      <c r="G44">
        <v>58.3</v>
      </c>
      <c r="H44">
        <v>0.89</v>
      </c>
      <c r="I44">
        <v>7</v>
      </c>
      <c r="J44">
        <v>230.81</v>
      </c>
      <c r="K44">
        <v>56.13</v>
      </c>
      <c r="L44">
        <v>11.5</v>
      </c>
      <c r="M44">
        <v>5</v>
      </c>
      <c r="N44">
        <v>53.18</v>
      </c>
      <c r="O44">
        <v>28700.26</v>
      </c>
      <c r="P44">
        <v>95.35</v>
      </c>
      <c r="Q44">
        <v>204.14</v>
      </c>
      <c r="R44">
        <v>25.26</v>
      </c>
      <c r="S44">
        <v>17.37</v>
      </c>
      <c r="T44">
        <v>1834.85</v>
      </c>
      <c r="U44">
        <v>0.69</v>
      </c>
      <c r="V44">
        <v>0.75</v>
      </c>
      <c r="W44">
        <v>1.1499999999999999</v>
      </c>
      <c r="X44">
        <v>0.11</v>
      </c>
      <c r="Y44">
        <v>1</v>
      </c>
      <c r="Z44">
        <v>10</v>
      </c>
    </row>
    <row r="45" spans="1:26" x14ac:dyDescent="0.3">
      <c r="A45">
        <v>43</v>
      </c>
      <c r="B45">
        <v>110</v>
      </c>
      <c r="C45" t="s">
        <v>26</v>
      </c>
      <c r="D45">
        <v>10.2889</v>
      </c>
      <c r="E45">
        <v>9.7200000000000006</v>
      </c>
      <c r="F45">
        <v>6.81</v>
      </c>
      <c r="G45">
        <v>58.38</v>
      </c>
      <c r="H45">
        <v>0.9</v>
      </c>
      <c r="I45">
        <v>7</v>
      </c>
      <c r="J45">
        <v>231.23</v>
      </c>
      <c r="K45">
        <v>56.13</v>
      </c>
      <c r="L45">
        <v>11.75</v>
      </c>
      <c r="M45">
        <v>5</v>
      </c>
      <c r="N45">
        <v>53.36</v>
      </c>
      <c r="O45">
        <v>28752.71</v>
      </c>
      <c r="P45">
        <v>95.61</v>
      </c>
      <c r="Q45">
        <v>204.14</v>
      </c>
      <c r="R45">
        <v>25.53</v>
      </c>
      <c r="S45">
        <v>17.37</v>
      </c>
      <c r="T45">
        <v>1971.3</v>
      </c>
      <c r="U45">
        <v>0.68</v>
      </c>
      <c r="V45">
        <v>0.75</v>
      </c>
      <c r="W45">
        <v>1.1499999999999999</v>
      </c>
      <c r="X45">
        <v>0.12</v>
      </c>
      <c r="Y45">
        <v>1</v>
      </c>
      <c r="Z45">
        <v>10</v>
      </c>
    </row>
    <row r="46" spans="1:26" x14ac:dyDescent="0.3">
      <c r="A46">
        <v>44</v>
      </c>
      <c r="B46">
        <v>110</v>
      </c>
      <c r="C46" t="s">
        <v>26</v>
      </c>
      <c r="D46">
        <v>10.295400000000001</v>
      </c>
      <c r="E46">
        <v>9.7100000000000009</v>
      </c>
      <c r="F46">
        <v>6.8</v>
      </c>
      <c r="G46">
        <v>58.33</v>
      </c>
      <c r="H46">
        <v>0.92</v>
      </c>
      <c r="I46">
        <v>7</v>
      </c>
      <c r="J46">
        <v>231.66</v>
      </c>
      <c r="K46">
        <v>56.13</v>
      </c>
      <c r="L46">
        <v>12</v>
      </c>
      <c r="M46">
        <v>5</v>
      </c>
      <c r="N46">
        <v>53.53</v>
      </c>
      <c r="O46">
        <v>28805.23</v>
      </c>
      <c r="P46">
        <v>95.72</v>
      </c>
      <c r="Q46">
        <v>204.14</v>
      </c>
      <c r="R46">
        <v>25.29</v>
      </c>
      <c r="S46">
        <v>17.37</v>
      </c>
      <c r="T46">
        <v>1854.33</v>
      </c>
      <c r="U46">
        <v>0.69</v>
      </c>
      <c r="V46">
        <v>0.75</v>
      </c>
      <c r="W46">
        <v>1.1499999999999999</v>
      </c>
      <c r="X46">
        <v>0.11</v>
      </c>
      <c r="Y46">
        <v>1</v>
      </c>
      <c r="Z46">
        <v>10</v>
      </c>
    </row>
    <row r="47" spans="1:26" x14ac:dyDescent="0.3">
      <c r="A47">
        <v>45</v>
      </c>
      <c r="B47">
        <v>110</v>
      </c>
      <c r="C47" t="s">
        <v>26</v>
      </c>
      <c r="D47">
        <v>10.2913</v>
      </c>
      <c r="E47">
        <v>9.7200000000000006</v>
      </c>
      <c r="F47">
        <v>6.81</v>
      </c>
      <c r="G47">
        <v>58.36</v>
      </c>
      <c r="H47">
        <v>0.94</v>
      </c>
      <c r="I47">
        <v>7</v>
      </c>
      <c r="J47">
        <v>232.08</v>
      </c>
      <c r="K47">
        <v>56.13</v>
      </c>
      <c r="L47">
        <v>12.25</v>
      </c>
      <c r="M47">
        <v>5</v>
      </c>
      <c r="N47">
        <v>53.71</v>
      </c>
      <c r="O47">
        <v>28857.81</v>
      </c>
      <c r="P47">
        <v>95.65</v>
      </c>
      <c r="Q47">
        <v>204.14</v>
      </c>
      <c r="R47">
        <v>25.62</v>
      </c>
      <c r="S47">
        <v>17.37</v>
      </c>
      <c r="T47">
        <v>2018.85</v>
      </c>
      <c r="U47">
        <v>0.68</v>
      </c>
      <c r="V47">
        <v>0.75</v>
      </c>
      <c r="W47">
        <v>1.1399999999999999</v>
      </c>
      <c r="X47">
        <v>0.12</v>
      </c>
      <c r="Y47">
        <v>1</v>
      </c>
      <c r="Z47">
        <v>10</v>
      </c>
    </row>
    <row r="48" spans="1:26" x14ac:dyDescent="0.3">
      <c r="A48">
        <v>46</v>
      </c>
      <c r="B48">
        <v>110</v>
      </c>
      <c r="C48" t="s">
        <v>26</v>
      </c>
      <c r="D48">
        <v>10.290100000000001</v>
      </c>
      <c r="E48">
        <v>9.7200000000000006</v>
      </c>
      <c r="F48">
        <v>6.81</v>
      </c>
      <c r="G48">
        <v>58.37</v>
      </c>
      <c r="H48">
        <v>0.96</v>
      </c>
      <c r="I48">
        <v>7</v>
      </c>
      <c r="J48">
        <v>232.51</v>
      </c>
      <c r="K48">
        <v>56.13</v>
      </c>
      <c r="L48">
        <v>12.5</v>
      </c>
      <c r="M48">
        <v>5</v>
      </c>
      <c r="N48">
        <v>53.88</v>
      </c>
      <c r="O48">
        <v>28910.45</v>
      </c>
      <c r="P48">
        <v>95.53</v>
      </c>
      <c r="Q48">
        <v>204.15</v>
      </c>
      <c r="R48">
        <v>25.59</v>
      </c>
      <c r="S48">
        <v>17.37</v>
      </c>
      <c r="T48">
        <v>2004.01</v>
      </c>
      <c r="U48">
        <v>0.68</v>
      </c>
      <c r="V48">
        <v>0.75</v>
      </c>
      <c r="W48">
        <v>1.1499999999999999</v>
      </c>
      <c r="X48">
        <v>0.12</v>
      </c>
      <c r="Y48">
        <v>1</v>
      </c>
      <c r="Z48">
        <v>10</v>
      </c>
    </row>
    <row r="49" spans="1:26" x14ac:dyDescent="0.3">
      <c r="A49">
        <v>47</v>
      </c>
      <c r="B49">
        <v>110</v>
      </c>
      <c r="C49" t="s">
        <v>26</v>
      </c>
      <c r="D49">
        <v>10.291</v>
      </c>
      <c r="E49">
        <v>9.7200000000000006</v>
      </c>
      <c r="F49">
        <v>6.81</v>
      </c>
      <c r="G49">
        <v>58.36</v>
      </c>
      <c r="H49">
        <v>0.97</v>
      </c>
      <c r="I49">
        <v>7</v>
      </c>
      <c r="J49">
        <v>232.94</v>
      </c>
      <c r="K49">
        <v>56.13</v>
      </c>
      <c r="L49">
        <v>12.75</v>
      </c>
      <c r="M49">
        <v>5</v>
      </c>
      <c r="N49">
        <v>54.06</v>
      </c>
      <c r="O49">
        <v>28963.15</v>
      </c>
      <c r="P49">
        <v>95.28</v>
      </c>
      <c r="Q49">
        <v>204.15</v>
      </c>
      <c r="R49">
        <v>25.58</v>
      </c>
      <c r="S49">
        <v>17.37</v>
      </c>
      <c r="T49">
        <v>1997.89</v>
      </c>
      <c r="U49">
        <v>0.68</v>
      </c>
      <c r="V49">
        <v>0.75</v>
      </c>
      <c r="W49">
        <v>1.1499999999999999</v>
      </c>
      <c r="X49">
        <v>0.12</v>
      </c>
      <c r="Y49">
        <v>1</v>
      </c>
      <c r="Z49">
        <v>10</v>
      </c>
    </row>
    <row r="50" spans="1:26" x14ac:dyDescent="0.3">
      <c r="A50">
        <v>48</v>
      </c>
      <c r="B50">
        <v>110</v>
      </c>
      <c r="C50" t="s">
        <v>26</v>
      </c>
      <c r="D50">
        <v>10.2881</v>
      </c>
      <c r="E50">
        <v>9.7200000000000006</v>
      </c>
      <c r="F50">
        <v>6.81</v>
      </c>
      <c r="G50">
        <v>58.39</v>
      </c>
      <c r="H50">
        <v>0.99</v>
      </c>
      <c r="I50">
        <v>7</v>
      </c>
      <c r="J50">
        <v>233.37</v>
      </c>
      <c r="K50">
        <v>56.13</v>
      </c>
      <c r="L50">
        <v>13</v>
      </c>
      <c r="M50">
        <v>5</v>
      </c>
      <c r="N50">
        <v>54.24</v>
      </c>
      <c r="O50">
        <v>29015.91</v>
      </c>
      <c r="P50">
        <v>95.06</v>
      </c>
      <c r="Q50">
        <v>204.14</v>
      </c>
      <c r="R50">
        <v>25.72</v>
      </c>
      <c r="S50">
        <v>17.37</v>
      </c>
      <c r="T50">
        <v>2067.4699999999998</v>
      </c>
      <c r="U50">
        <v>0.68</v>
      </c>
      <c r="V50">
        <v>0.75</v>
      </c>
      <c r="W50">
        <v>1.1399999999999999</v>
      </c>
      <c r="X50">
        <v>0.12</v>
      </c>
      <c r="Y50">
        <v>1</v>
      </c>
      <c r="Z50">
        <v>10</v>
      </c>
    </row>
    <row r="51" spans="1:26" x14ac:dyDescent="0.3">
      <c r="A51">
        <v>49</v>
      </c>
      <c r="B51">
        <v>110</v>
      </c>
      <c r="C51" t="s">
        <v>26</v>
      </c>
      <c r="D51">
        <v>10.2889</v>
      </c>
      <c r="E51">
        <v>9.7200000000000006</v>
      </c>
      <c r="F51">
        <v>6.81</v>
      </c>
      <c r="G51">
        <v>58.38</v>
      </c>
      <c r="H51">
        <v>1.01</v>
      </c>
      <c r="I51">
        <v>7</v>
      </c>
      <c r="J51">
        <v>233.79</v>
      </c>
      <c r="K51">
        <v>56.13</v>
      </c>
      <c r="L51">
        <v>13.25</v>
      </c>
      <c r="M51">
        <v>5</v>
      </c>
      <c r="N51">
        <v>54.42</v>
      </c>
      <c r="O51">
        <v>29068.74</v>
      </c>
      <c r="P51">
        <v>94.81</v>
      </c>
      <c r="Q51">
        <v>204.16</v>
      </c>
      <c r="R51">
        <v>25.61</v>
      </c>
      <c r="S51">
        <v>17.37</v>
      </c>
      <c r="T51">
        <v>2010.86</v>
      </c>
      <c r="U51">
        <v>0.68</v>
      </c>
      <c r="V51">
        <v>0.75</v>
      </c>
      <c r="W51">
        <v>1.1499999999999999</v>
      </c>
      <c r="X51">
        <v>0.12</v>
      </c>
      <c r="Y51">
        <v>1</v>
      </c>
      <c r="Z51">
        <v>10</v>
      </c>
    </row>
    <row r="52" spans="1:26" x14ac:dyDescent="0.3">
      <c r="A52">
        <v>50</v>
      </c>
      <c r="B52">
        <v>110</v>
      </c>
      <c r="C52" t="s">
        <v>26</v>
      </c>
      <c r="D52">
        <v>10.3606</v>
      </c>
      <c r="E52">
        <v>9.65</v>
      </c>
      <c r="F52">
        <v>6.79</v>
      </c>
      <c r="G52">
        <v>67.86</v>
      </c>
      <c r="H52">
        <v>1.02</v>
      </c>
      <c r="I52">
        <v>6</v>
      </c>
      <c r="J52">
        <v>234.22</v>
      </c>
      <c r="K52">
        <v>56.13</v>
      </c>
      <c r="L52">
        <v>13.5</v>
      </c>
      <c r="M52">
        <v>4</v>
      </c>
      <c r="N52">
        <v>54.6</v>
      </c>
      <c r="O52">
        <v>29121.64</v>
      </c>
      <c r="P52">
        <v>94.13</v>
      </c>
      <c r="Q52">
        <v>204.14</v>
      </c>
      <c r="R52">
        <v>24.75</v>
      </c>
      <c r="S52">
        <v>17.37</v>
      </c>
      <c r="T52">
        <v>1588.75</v>
      </c>
      <c r="U52">
        <v>0.7</v>
      </c>
      <c r="V52">
        <v>0.75</v>
      </c>
      <c r="W52">
        <v>1.1499999999999999</v>
      </c>
      <c r="X52">
        <v>0.09</v>
      </c>
      <c r="Y52">
        <v>1</v>
      </c>
      <c r="Z52">
        <v>10</v>
      </c>
    </row>
    <row r="53" spans="1:26" x14ac:dyDescent="0.3">
      <c r="A53">
        <v>51</v>
      </c>
      <c r="B53">
        <v>110</v>
      </c>
      <c r="C53" t="s">
        <v>26</v>
      </c>
      <c r="D53">
        <v>10.3621</v>
      </c>
      <c r="E53">
        <v>9.65</v>
      </c>
      <c r="F53">
        <v>6.78</v>
      </c>
      <c r="G53">
        <v>67.84</v>
      </c>
      <c r="H53">
        <v>1.04</v>
      </c>
      <c r="I53">
        <v>6</v>
      </c>
      <c r="J53">
        <v>234.65</v>
      </c>
      <c r="K53">
        <v>56.13</v>
      </c>
      <c r="L53">
        <v>13.75</v>
      </c>
      <c r="M53">
        <v>4</v>
      </c>
      <c r="N53">
        <v>54.78</v>
      </c>
      <c r="O53">
        <v>29174.59</v>
      </c>
      <c r="P53">
        <v>94.16</v>
      </c>
      <c r="Q53">
        <v>204.15</v>
      </c>
      <c r="R53">
        <v>24.71</v>
      </c>
      <c r="S53">
        <v>17.37</v>
      </c>
      <c r="T53">
        <v>1565.06</v>
      </c>
      <c r="U53">
        <v>0.7</v>
      </c>
      <c r="V53">
        <v>0.75</v>
      </c>
      <c r="W53">
        <v>1.1499999999999999</v>
      </c>
      <c r="X53">
        <v>0.09</v>
      </c>
      <c r="Y53">
        <v>1</v>
      </c>
      <c r="Z53">
        <v>10</v>
      </c>
    </row>
    <row r="54" spans="1:26" x14ac:dyDescent="0.3">
      <c r="A54">
        <v>52</v>
      </c>
      <c r="B54">
        <v>110</v>
      </c>
      <c r="C54" t="s">
        <v>26</v>
      </c>
      <c r="D54">
        <v>10.36</v>
      </c>
      <c r="E54">
        <v>9.65</v>
      </c>
      <c r="F54">
        <v>6.79</v>
      </c>
      <c r="G54">
        <v>67.86</v>
      </c>
      <c r="H54">
        <v>1.06</v>
      </c>
      <c r="I54">
        <v>6</v>
      </c>
      <c r="J54">
        <v>235.08</v>
      </c>
      <c r="K54">
        <v>56.13</v>
      </c>
      <c r="L54">
        <v>14</v>
      </c>
      <c r="M54">
        <v>4</v>
      </c>
      <c r="N54">
        <v>54.96</v>
      </c>
      <c r="O54">
        <v>29227.61</v>
      </c>
      <c r="P54">
        <v>94.15</v>
      </c>
      <c r="Q54">
        <v>204.15</v>
      </c>
      <c r="R54">
        <v>24.87</v>
      </c>
      <c r="S54">
        <v>17.37</v>
      </c>
      <c r="T54">
        <v>1646.68</v>
      </c>
      <c r="U54">
        <v>0.7</v>
      </c>
      <c r="V54">
        <v>0.75</v>
      </c>
      <c r="W54">
        <v>1.1399999999999999</v>
      </c>
      <c r="X54">
        <v>0.1</v>
      </c>
      <c r="Y54">
        <v>1</v>
      </c>
      <c r="Z54">
        <v>10</v>
      </c>
    </row>
    <row r="55" spans="1:26" x14ac:dyDescent="0.3">
      <c r="A55">
        <v>53</v>
      </c>
      <c r="B55">
        <v>110</v>
      </c>
      <c r="C55" t="s">
        <v>26</v>
      </c>
      <c r="D55">
        <v>10.3561</v>
      </c>
      <c r="E55">
        <v>9.66</v>
      </c>
      <c r="F55">
        <v>6.79</v>
      </c>
      <c r="G55">
        <v>67.900000000000006</v>
      </c>
      <c r="H55">
        <v>1.08</v>
      </c>
      <c r="I55">
        <v>6</v>
      </c>
      <c r="J55">
        <v>235.51</v>
      </c>
      <c r="K55">
        <v>56.13</v>
      </c>
      <c r="L55">
        <v>14.25</v>
      </c>
      <c r="M55">
        <v>4</v>
      </c>
      <c r="N55">
        <v>55.14</v>
      </c>
      <c r="O55">
        <v>29280.69</v>
      </c>
      <c r="P55">
        <v>94.33</v>
      </c>
      <c r="Q55">
        <v>204.17</v>
      </c>
      <c r="R55">
        <v>24.89</v>
      </c>
      <c r="S55">
        <v>17.37</v>
      </c>
      <c r="T55">
        <v>1656.09</v>
      </c>
      <c r="U55">
        <v>0.7</v>
      </c>
      <c r="V55">
        <v>0.75</v>
      </c>
      <c r="W55">
        <v>1.1499999999999999</v>
      </c>
      <c r="X55">
        <v>0.1</v>
      </c>
      <c r="Y55">
        <v>1</v>
      </c>
      <c r="Z55">
        <v>10</v>
      </c>
    </row>
    <row r="56" spans="1:26" x14ac:dyDescent="0.3">
      <c r="A56">
        <v>54</v>
      </c>
      <c r="B56">
        <v>110</v>
      </c>
      <c r="C56" t="s">
        <v>26</v>
      </c>
      <c r="D56">
        <v>10.3576</v>
      </c>
      <c r="E56">
        <v>9.65</v>
      </c>
      <c r="F56">
        <v>6.79</v>
      </c>
      <c r="G56">
        <v>67.89</v>
      </c>
      <c r="H56">
        <v>1.0900000000000001</v>
      </c>
      <c r="I56">
        <v>6</v>
      </c>
      <c r="J56">
        <v>235.94</v>
      </c>
      <c r="K56">
        <v>56.13</v>
      </c>
      <c r="L56">
        <v>14.5</v>
      </c>
      <c r="M56">
        <v>4</v>
      </c>
      <c r="N56">
        <v>55.32</v>
      </c>
      <c r="O56">
        <v>29333.84</v>
      </c>
      <c r="P56">
        <v>94.29</v>
      </c>
      <c r="Q56">
        <v>204.14</v>
      </c>
      <c r="R56">
        <v>24.98</v>
      </c>
      <c r="S56">
        <v>17.37</v>
      </c>
      <c r="T56">
        <v>1699.99</v>
      </c>
      <c r="U56">
        <v>0.7</v>
      </c>
      <c r="V56">
        <v>0.75</v>
      </c>
      <c r="W56">
        <v>1.1399999999999999</v>
      </c>
      <c r="X56">
        <v>0.1</v>
      </c>
      <c r="Y56">
        <v>1</v>
      </c>
      <c r="Z56">
        <v>10</v>
      </c>
    </row>
    <row r="57" spans="1:26" x14ac:dyDescent="0.3">
      <c r="A57">
        <v>55</v>
      </c>
      <c r="B57">
        <v>110</v>
      </c>
      <c r="C57" t="s">
        <v>26</v>
      </c>
      <c r="D57">
        <v>10.366</v>
      </c>
      <c r="E57">
        <v>9.65</v>
      </c>
      <c r="F57">
        <v>6.78</v>
      </c>
      <c r="G57">
        <v>67.81</v>
      </c>
      <c r="H57">
        <v>1.1100000000000001</v>
      </c>
      <c r="I57">
        <v>6</v>
      </c>
      <c r="J57">
        <v>236.37</v>
      </c>
      <c r="K57">
        <v>56.13</v>
      </c>
      <c r="L57">
        <v>14.75</v>
      </c>
      <c r="M57">
        <v>4</v>
      </c>
      <c r="N57">
        <v>55.5</v>
      </c>
      <c r="O57">
        <v>29387.05</v>
      </c>
      <c r="P57">
        <v>94.12</v>
      </c>
      <c r="Q57">
        <v>204.14</v>
      </c>
      <c r="R57">
        <v>24.61</v>
      </c>
      <c r="S57">
        <v>17.37</v>
      </c>
      <c r="T57">
        <v>1518.5</v>
      </c>
      <c r="U57">
        <v>0.71</v>
      </c>
      <c r="V57">
        <v>0.75</v>
      </c>
      <c r="W57">
        <v>1.1499999999999999</v>
      </c>
      <c r="X57">
        <v>0.09</v>
      </c>
      <c r="Y57">
        <v>1</v>
      </c>
      <c r="Z57">
        <v>10</v>
      </c>
    </row>
    <row r="58" spans="1:26" x14ac:dyDescent="0.3">
      <c r="A58">
        <v>56</v>
      </c>
      <c r="B58">
        <v>110</v>
      </c>
      <c r="C58" t="s">
        <v>26</v>
      </c>
      <c r="D58">
        <v>10.3612</v>
      </c>
      <c r="E58">
        <v>9.65</v>
      </c>
      <c r="F58">
        <v>6.79</v>
      </c>
      <c r="G58">
        <v>67.849999999999994</v>
      </c>
      <c r="H58">
        <v>1.1299999999999999</v>
      </c>
      <c r="I58">
        <v>6</v>
      </c>
      <c r="J58">
        <v>236.81</v>
      </c>
      <c r="K58">
        <v>56.13</v>
      </c>
      <c r="L58">
        <v>15</v>
      </c>
      <c r="M58">
        <v>4</v>
      </c>
      <c r="N58">
        <v>55.68</v>
      </c>
      <c r="O58">
        <v>29440.33</v>
      </c>
      <c r="P58">
        <v>93.82</v>
      </c>
      <c r="Q58">
        <v>204.14</v>
      </c>
      <c r="R58">
        <v>24.72</v>
      </c>
      <c r="S58">
        <v>17.37</v>
      </c>
      <c r="T58">
        <v>1574.64</v>
      </c>
      <c r="U58">
        <v>0.7</v>
      </c>
      <c r="V58">
        <v>0.75</v>
      </c>
      <c r="W58">
        <v>1.1499999999999999</v>
      </c>
      <c r="X58">
        <v>0.09</v>
      </c>
      <c r="Y58">
        <v>1</v>
      </c>
      <c r="Z58">
        <v>10</v>
      </c>
    </row>
    <row r="59" spans="1:26" x14ac:dyDescent="0.3">
      <c r="A59">
        <v>57</v>
      </c>
      <c r="B59">
        <v>110</v>
      </c>
      <c r="C59" t="s">
        <v>26</v>
      </c>
      <c r="D59">
        <v>10.3567</v>
      </c>
      <c r="E59">
        <v>9.66</v>
      </c>
      <c r="F59">
        <v>6.79</v>
      </c>
      <c r="G59">
        <v>67.89</v>
      </c>
      <c r="H59">
        <v>1.1399999999999999</v>
      </c>
      <c r="I59">
        <v>6</v>
      </c>
      <c r="J59">
        <v>237.24</v>
      </c>
      <c r="K59">
        <v>56.13</v>
      </c>
      <c r="L59">
        <v>15.25</v>
      </c>
      <c r="M59">
        <v>4</v>
      </c>
      <c r="N59">
        <v>55.86</v>
      </c>
      <c r="O59">
        <v>29493.67</v>
      </c>
      <c r="P59">
        <v>93.77</v>
      </c>
      <c r="Q59">
        <v>204.14</v>
      </c>
      <c r="R59">
        <v>24.91</v>
      </c>
      <c r="S59">
        <v>17.37</v>
      </c>
      <c r="T59">
        <v>1669.66</v>
      </c>
      <c r="U59">
        <v>0.7</v>
      </c>
      <c r="V59">
        <v>0.75</v>
      </c>
      <c r="W59">
        <v>1.1499999999999999</v>
      </c>
      <c r="X59">
        <v>0.1</v>
      </c>
      <c r="Y59">
        <v>1</v>
      </c>
      <c r="Z59">
        <v>10</v>
      </c>
    </row>
    <row r="60" spans="1:26" x14ac:dyDescent="0.3">
      <c r="A60">
        <v>58</v>
      </c>
      <c r="B60">
        <v>110</v>
      </c>
      <c r="C60" t="s">
        <v>26</v>
      </c>
      <c r="D60">
        <v>10.3543</v>
      </c>
      <c r="E60">
        <v>9.66</v>
      </c>
      <c r="F60">
        <v>6.79</v>
      </c>
      <c r="G60">
        <v>67.92</v>
      </c>
      <c r="H60">
        <v>1.1599999999999999</v>
      </c>
      <c r="I60">
        <v>6</v>
      </c>
      <c r="J60">
        <v>237.67</v>
      </c>
      <c r="K60">
        <v>56.13</v>
      </c>
      <c r="L60">
        <v>15.5</v>
      </c>
      <c r="M60">
        <v>4</v>
      </c>
      <c r="N60">
        <v>56.05</v>
      </c>
      <c r="O60">
        <v>29547.07</v>
      </c>
      <c r="P60">
        <v>93.66</v>
      </c>
      <c r="Q60">
        <v>204.14</v>
      </c>
      <c r="R60">
        <v>25.03</v>
      </c>
      <c r="S60">
        <v>17.37</v>
      </c>
      <c r="T60">
        <v>1724.91</v>
      </c>
      <c r="U60">
        <v>0.69</v>
      </c>
      <c r="V60">
        <v>0.75</v>
      </c>
      <c r="W60">
        <v>1.1399999999999999</v>
      </c>
      <c r="X60">
        <v>0.1</v>
      </c>
      <c r="Y60">
        <v>1</v>
      </c>
      <c r="Z60">
        <v>10</v>
      </c>
    </row>
    <row r="61" spans="1:26" x14ac:dyDescent="0.3">
      <c r="A61">
        <v>59</v>
      </c>
      <c r="B61">
        <v>110</v>
      </c>
      <c r="C61" t="s">
        <v>26</v>
      </c>
      <c r="D61">
        <v>10.3543</v>
      </c>
      <c r="E61">
        <v>9.66</v>
      </c>
      <c r="F61">
        <v>6.79</v>
      </c>
      <c r="G61">
        <v>67.92</v>
      </c>
      <c r="H61">
        <v>1.18</v>
      </c>
      <c r="I61">
        <v>6</v>
      </c>
      <c r="J61">
        <v>238.11</v>
      </c>
      <c r="K61">
        <v>56.13</v>
      </c>
      <c r="L61">
        <v>15.75</v>
      </c>
      <c r="M61">
        <v>4</v>
      </c>
      <c r="N61">
        <v>56.23</v>
      </c>
      <c r="O61">
        <v>29600.54</v>
      </c>
      <c r="P61">
        <v>93.37</v>
      </c>
      <c r="Q61">
        <v>204.15</v>
      </c>
      <c r="R61">
        <v>24.92</v>
      </c>
      <c r="S61">
        <v>17.37</v>
      </c>
      <c r="T61">
        <v>1671.08</v>
      </c>
      <c r="U61">
        <v>0.7</v>
      </c>
      <c r="V61">
        <v>0.75</v>
      </c>
      <c r="W61">
        <v>1.1499999999999999</v>
      </c>
      <c r="X61">
        <v>0.1</v>
      </c>
      <c r="Y61">
        <v>1</v>
      </c>
      <c r="Z61">
        <v>10</v>
      </c>
    </row>
    <row r="62" spans="1:26" x14ac:dyDescent="0.3">
      <c r="A62">
        <v>60</v>
      </c>
      <c r="B62">
        <v>110</v>
      </c>
      <c r="C62" t="s">
        <v>26</v>
      </c>
      <c r="D62">
        <v>10.3582</v>
      </c>
      <c r="E62">
        <v>9.65</v>
      </c>
      <c r="F62">
        <v>6.79</v>
      </c>
      <c r="G62">
        <v>67.88</v>
      </c>
      <c r="H62">
        <v>1.19</v>
      </c>
      <c r="I62">
        <v>6</v>
      </c>
      <c r="J62">
        <v>238.54</v>
      </c>
      <c r="K62">
        <v>56.13</v>
      </c>
      <c r="L62">
        <v>16</v>
      </c>
      <c r="M62">
        <v>4</v>
      </c>
      <c r="N62">
        <v>56.41</v>
      </c>
      <c r="O62">
        <v>29654.080000000002</v>
      </c>
      <c r="P62">
        <v>93.43</v>
      </c>
      <c r="Q62">
        <v>204.16</v>
      </c>
      <c r="R62">
        <v>24.76</v>
      </c>
      <c r="S62">
        <v>17.37</v>
      </c>
      <c r="T62">
        <v>1592.66</v>
      </c>
      <c r="U62">
        <v>0.7</v>
      </c>
      <c r="V62">
        <v>0.75</v>
      </c>
      <c r="W62">
        <v>1.1499999999999999</v>
      </c>
      <c r="X62">
        <v>0.1</v>
      </c>
      <c r="Y62">
        <v>1</v>
      </c>
      <c r="Z62">
        <v>10</v>
      </c>
    </row>
    <row r="63" spans="1:26" x14ac:dyDescent="0.3">
      <c r="A63">
        <v>61</v>
      </c>
      <c r="B63">
        <v>110</v>
      </c>
      <c r="C63" t="s">
        <v>26</v>
      </c>
      <c r="D63">
        <v>10.3546</v>
      </c>
      <c r="E63">
        <v>9.66</v>
      </c>
      <c r="F63">
        <v>6.79</v>
      </c>
      <c r="G63">
        <v>67.91</v>
      </c>
      <c r="H63">
        <v>1.21</v>
      </c>
      <c r="I63">
        <v>6</v>
      </c>
      <c r="J63">
        <v>238.97</v>
      </c>
      <c r="K63">
        <v>56.13</v>
      </c>
      <c r="L63">
        <v>16.25</v>
      </c>
      <c r="M63">
        <v>4</v>
      </c>
      <c r="N63">
        <v>56.6</v>
      </c>
      <c r="O63">
        <v>29707.68</v>
      </c>
      <c r="P63">
        <v>93.11</v>
      </c>
      <c r="Q63">
        <v>204.14</v>
      </c>
      <c r="R63">
        <v>25.01</v>
      </c>
      <c r="S63">
        <v>17.37</v>
      </c>
      <c r="T63">
        <v>1719.58</v>
      </c>
      <c r="U63">
        <v>0.69</v>
      </c>
      <c r="V63">
        <v>0.75</v>
      </c>
      <c r="W63">
        <v>1.1399999999999999</v>
      </c>
      <c r="X63">
        <v>0.1</v>
      </c>
      <c r="Y63">
        <v>1</v>
      </c>
      <c r="Z63">
        <v>10</v>
      </c>
    </row>
    <row r="64" spans="1:26" x14ac:dyDescent="0.3">
      <c r="A64">
        <v>62</v>
      </c>
      <c r="B64">
        <v>110</v>
      </c>
      <c r="C64" t="s">
        <v>26</v>
      </c>
      <c r="D64">
        <v>10.425700000000001</v>
      </c>
      <c r="E64">
        <v>9.59</v>
      </c>
      <c r="F64">
        <v>6.77</v>
      </c>
      <c r="G64">
        <v>81.209999999999994</v>
      </c>
      <c r="H64">
        <v>1.23</v>
      </c>
      <c r="I64">
        <v>5</v>
      </c>
      <c r="J64">
        <v>239.41</v>
      </c>
      <c r="K64">
        <v>56.13</v>
      </c>
      <c r="L64">
        <v>16.5</v>
      </c>
      <c r="M64">
        <v>3</v>
      </c>
      <c r="N64">
        <v>56.78</v>
      </c>
      <c r="O64">
        <v>29761.35</v>
      </c>
      <c r="P64">
        <v>92.16</v>
      </c>
      <c r="Q64">
        <v>204.14</v>
      </c>
      <c r="R64">
        <v>24.27</v>
      </c>
      <c r="S64">
        <v>17.37</v>
      </c>
      <c r="T64">
        <v>1351.43</v>
      </c>
      <c r="U64">
        <v>0.72</v>
      </c>
      <c r="V64">
        <v>0.75</v>
      </c>
      <c r="W64">
        <v>1.1399999999999999</v>
      </c>
      <c r="X64">
        <v>0.08</v>
      </c>
      <c r="Y64">
        <v>1</v>
      </c>
      <c r="Z64">
        <v>10</v>
      </c>
    </row>
    <row r="65" spans="1:26" x14ac:dyDescent="0.3">
      <c r="A65">
        <v>63</v>
      </c>
      <c r="B65">
        <v>110</v>
      </c>
      <c r="C65" t="s">
        <v>26</v>
      </c>
      <c r="D65">
        <v>10.419700000000001</v>
      </c>
      <c r="E65">
        <v>9.6</v>
      </c>
      <c r="F65">
        <v>6.77</v>
      </c>
      <c r="G65">
        <v>81.28</v>
      </c>
      <c r="H65">
        <v>1.24</v>
      </c>
      <c r="I65">
        <v>5</v>
      </c>
      <c r="J65">
        <v>239.85</v>
      </c>
      <c r="K65">
        <v>56.13</v>
      </c>
      <c r="L65">
        <v>16.75</v>
      </c>
      <c r="M65">
        <v>3</v>
      </c>
      <c r="N65">
        <v>56.97</v>
      </c>
      <c r="O65">
        <v>29815.09</v>
      </c>
      <c r="P65">
        <v>92.46</v>
      </c>
      <c r="Q65">
        <v>204.14</v>
      </c>
      <c r="R65">
        <v>24.43</v>
      </c>
      <c r="S65">
        <v>17.37</v>
      </c>
      <c r="T65">
        <v>1434.71</v>
      </c>
      <c r="U65">
        <v>0.71</v>
      </c>
      <c r="V65">
        <v>0.75</v>
      </c>
      <c r="W65">
        <v>1.1399999999999999</v>
      </c>
      <c r="X65">
        <v>0.08</v>
      </c>
      <c r="Y65">
        <v>1</v>
      </c>
      <c r="Z65">
        <v>10</v>
      </c>
    </row>
    <row r="66" spans="1:26" x14ac:dyDescent="0.3">
      <c r="A66">
        <v>64</v>
      </c>
      <c r="B66">
        <v>110</v>
      </c>
      <c r="C66" t="s">
        <v>26</v>
      </c>
      <c r="D66">
        <v>10.4155</v>
      </c>
      <c r="E66">
        <v>9.6</v>
      </c>
      <c r="F66">
        <v>6.78</v>
      </c>
      <c r="G66">
        <v>81.33</v>
      </c>
      <c r="H66">
        <v>1.26</v>
      </c>
      <c r="I66">
        <v>5</v>
      </c>
      <c r="J66">
        <v>240.28</v>
      </c>
      <c r="K66">
        <v>56.13</v>
      </c>
      <c r="L66">
        <v>17</v>
      </c>
      <c r="M66">
        <v>3</v>
      </c>
      <c r="N66">
        <v>57.16</v>
      </c>
      <c r="O66">
        <v>29869.01</v>
      </c>
      <c r="P66">
        <v>92.66</v>
      </c>
      <c r="Q66">
        <v>204.14</v>
      </c>
      <c r="R66">
        <v>24.59</v>
      </c>
      <c r="S66">
        <v>17.37</v>
      </c>
      <c r="T66">
        <v>1510.4</v>
      </c>
      <c r="U66">
        <v>0.71</v>
      </c>
      <c r="V66">
        <v>0.75</v>
      </c>
      <c r="W66">
        <v>1.1399999999999999</v>
      </c>
      <c r="X66">
        <v>0.09</v>
      </c>
      <c r="Y66">
        <v>1</v>
      </c>
      <c r="Z66">
        <v>10</v>
      </c>
    </row>
    <row r="67" spans="1:26" x14ac:dyDescent="0.3">
      <c r="A67">
        <v>65</v>
      </c>
      <c r="B67">
        <v>110</v>
      </c>
      <c r="C67" t="s">
        <v>26</v>
      </c>
      <c r="D67">
        <v>10.420299999999999</v>
      </c>
      <c r="E67">
        <v>9.6</v>
      </c>
      <c r="F67">
        <v>6.77</v>
      </c>
      <c r="G67">
        <v>81.27</v>
      </c>
      <c r="H67">
        <v>1.27</v>
      </c>
      <c r="I67">
        <v>5</v>
      </c>
      <c r="J67">
        <v>240.72</v>
      </c>
      <c r="K67">
        <v>56.13</v>
      </c>
      <c r="L67">
        <v>17.25</v>
      </c>
      <c r="M67">
        <v>3</v>
      </c>
      <c r="N67">
        <v>57.34</v>
      </c>
      <c r="O67">
        <v>29922.880000000001</v>
      </c>
      <c r="P67">
        <v>92.61</v>
      </c>
      <c r="Q67">
        <v>204.14</v>
      </c>
      <c r="R67">
        <v>24.35</v>
      </c>
      <c r="S67">
        <v>17.37</v>
      </c>
      <c r="T67">
        <v>1391.89</v>
      </c>
      <c r="U67">
        <v>0.71</v>
      </c>
      <c r="V67">
        <v>0.75</v>
      </c>
      <c r="W67">
        <v>1.1499999999999999</v>
      </c>
      <c r="X67">
        <v>0.08</v>
      </c>
      <c r="Y67">
        <v>1</v>
      </c>
      <c r="Z67">
        <v>10</v>
      </c>
    </row>
    <row r="68" spans="1:26" x14ac:dyDescent="0.3">
      <c r="A68">
        <v>66</v>
      </c>
      <c r="B68">
        <v>110</v>
      </c>
      <c r="C68" t="s">
        <v>26</v>
      </c>
      <c r="D68">
        <v>10.418200000000001</v>
      </c>
      <c r="E68">
        <v>9.6</v>
      </c>
      <c r="F68">
        <v>6.77</v>
      </c>
      <c r="G68">
        <v>81.3</v>
      </c>
      <c r="H68">
        <v>1.29</v>
      </c>
      <c r="I68">
        <v>5</v>
      </c>
      <c r="J68">
        <v>241.16</v>
      </c>
      <c r="K68">
        <v>56.13</v>
      </c>
      <c r="L68">
        <v>17.5</v>
      </c>
      <c r="M68">
        <v>3</v>
      </c>
      <c r="N68">
        <v>57.53</v>
      </c>
      <c r="O68">
        <v>29976.82</v>
      </c>
      <c r="P68">
        <v>92.88</v>
      </c>
      <c r="Q68">
        <v>204.15</v>
      </c>
      <c r="R68">
        <v>24.41</v>
      </c>
      <c r="S68">
        <v>17.37</v>
      </c>
      <c r="T68">
        <v>1424.48</v>
      </c>
      <c r="U68">
        <v>0.71</v>
      </c>
      <c r="V68">
        <v>0.75</v>
      </c>
      <c r="W68">
        <v>1.1499999999999999</v>
      </c>
      <c r="X68">
        <v>0.08</v>
      </c>
      <c r="Y68">
        <v>1</v>
      </c>
      <c r="Z68">
        <v>10</v>
      </c>
    </row>
    <row r="69" spans="1:26" x14ac:dyDescent="0.3">
      <c r="A69">
        <v>67</v>
      </c>
      <c r="B69">
        <v>110</v>
      </c>
      <c r="C69" t="s">
        <v>26</v>
      </c>
      <c r="D69">
        <v>10.4194</v>
      </c>
      <c r="E69">
        <v>9.6</v>
      </c>
      <c r="F69">
        <v>6.77</v>
      </c>
      <c r="G69">
        <v>81.28</v>
      </c>
      <c r="H69">
        <v>1.31</v>
      </c>
      <c r="I69">
        <v>5</v>
      </c>
      <c r="J69">
        <v>241.59</v>
      </c>
      <c r="K69">
        <v>56.13</v>
      </c>
      <c r="L69">
        <v>17.75</v>
      </c>
      <c r="M69">
        <v>3</v>
      </c>
      <c r="N69">
        <v>57.72</v>
      </c>
      <c r="O69">
        <v>30030.83</v>
      </c>
      <c r="P69">
        <v>92.7</v>
      </c>
      <c r="Q69">
        <v>204.14</v>
      </c>
      <c r="R69">
        <v>24.44</v>
      </c>
      <c r="S69">
        <v>17.37</v>
      </c>
      <c r="T69">
        <v>1436.8</v>
      </c>
      <c r="U69">
        <v>0.71</v>
      </c>
      <c r="V69">
        <v>0.75</v>
      </c>
      <c r="W69">
        <v>1.1399999999999999</v>
      </c>
      <c r="X69">
        <v>0.08</v>
      </c>
      <c r="Y69">
        <v>1</v>
      </c>
      <c r="Z69">
        <v>10</v>
      </c>
    </row>
    <row r="70" spans="1:26" x14ac:dyDescent="0.3">
      <c r="A70">
        <v>68</v>
      </c>
      <c r="B70">
        <v>110</v>
      </c>
      <c r="C70" t="s">
        <v>26</v>
      </c>
      <c r="D70">
        <v>10.420299999999999</v>
      </c>
      <c r="E70">
        <v>9.6</v>
      </c>
      <c r="F70">
        <v>6.77</v>
      </c>
      <c r="G70">
        <v>81.27</v>
      </c>
      <c r="H70">
        <v>1.32</v>
      </c>
      <c r="I70">
        <v>5</v>
      </c>
      <c r="J70">
        <v>242.03</v>
      </c>
      <c r="K70">
        <v>56.13</v>
      </c>
      <c r="L70">
        <v>18</v>
      </c>
      <c r="M70">
        <v>3</v>
      </c>
      <c r="N70">
        <v>57.91</v>
      </c>
      <c r="O70">
        <v>30084.9</v>
      </c>
      <c r="P70">
        <v>92.6</v>
      </c>
      <c r="Q70">
        <v>204.17</v>
      </c>
      <c r="R70">
        <v>24.45</v>
      </c>
      <c r="S70">
        <v>17.37</v>
      </c>
      <c r="T70">
        <v>1440.42</v>
      </c>
      <c r="U70">
        <v>0.71</v>
      </c>
      <c r="V70">
        <v>0.75</v>
      </c>
      <c r="W70">
        <v>1.1399999999999999</v>
      </c>
      <c r="X70">
        <v>0.08</v>
      </c>
      <c r="Y70">
        <v>1</v>
      </c>
      <c r="Z70">
        <v>10</v>
      </c>
    </row>
    <row r="71" spans="1:26" x14ac:dyDescent="0.3">
      <c r="A71">
        <v>69</v>
      </c>
      <c r="B71">
        <v>110</v>
      </c>
      <c r="C71" t="s">
        <v>26</v>
      </c>
      <c r="D71">
        <v>10.415800000000001</v>
      </c>
      <c r="E71">
        <v>9.6</v>
      </c>
      <c r="F71">
        <v>6.78</v>
      </c>
      <c r="G71">
        <v>81.319999999999993</v>
      </c>
      <c r="H71">
        <v>1.34</v>
      </c>
      <c r="I71">
        <v>5</v>
      </c>
      <c r="J71">
        <v>242.47</v>
      </c>
      <c r="K71">
        <v>56.13</v>
      </c>
      <c r="L71">
        <v>18.25</v>
      </c>
      <c r="M71">
        <v>3</v>
      </c>
      <c r="N71">
        <v>58.1</v>
      </c>
      <c r="O71">
        <v>30139.040000000001</v>
      </c>
      <c r="P71">
        <v>92.59</v>
      </c>
      <c r="Q71">
        <v>204.14</v>
      </c>
      <c r="R71">
        <v>24.49</v>
      </c>
      <c r="S71">
        <v>17.37</v>
      </c>
      <c r="T71">
        <v>1462.49</v>
      </c>
      <c r="U71">
        <v>0.71</v>
      </c>
      <c r="V71">
        <v>0.75</v>
      </c>
      <c r="W71">
        <v>1.1499999999999999</v>
      </c>
      <c r="X71">
        <v>0.09</v>
      </c>
      <c r="Y71">
        <v>1</v>
      </c>
      <c r="Z71">
        <v>10</v>
      </c>
    </row>
    <row r="72" spans="1:26" x14ac:dyDescent="0.3">
      <c r="A72">
        <v>70</v>
      </c>
      <c r="B72">
        <v>110</v>
      </c>
      <c r="C72" t="s">
        <v>26</v>
      </c>
      <c r="D72">
        <v>10.422700000000001</v>
      </c>
      <c r="E72">
        <v>9.59</v>
      </c>
      <c r="F72">
        <v>6.77</v>
      </c>
      <c r="G72">
        <v>81.25</v>
      </c>
      <c r="H72">
        <v>1.35</v>
      </c>
      <c r="I72">
        <v>5</v>
      </c>
      <c r="J72">
        <v>242.91</v>
      </c>
      <c r="K72">
        <v>56.13</v>
      </c>
      <c r="L72">
        <v>18.5</v>
      </c>
      <c r="M72">
        <v>3</v>
      </c>
      <c r="N72">
        <v>58.28</v>
      </c>
      <c r="O72">
        <v>30193.25</v>
      </c>
      <c r="P72">
        <v>92.34</v>
      </c>
      <c r="Q72">
        <v>204.14</v>
      </c>
      <c r="R72">
        <v>24.39</v>
      </c>
      <c r="S72">
        <v>17.37</v>
      </c>
      <c r="T72">
        <v>1412.74</v>
      </c>
      <c r="U72">
        <v>0.71</v>
      </c>
      <c r="V72">
        <v>0.75</v>
      </c>
      <c r="W72">
        <v>1.1399999999999999</v>
      </c>
      <c r="X72">
        <v>0.08</v>
      </c>
      <c r="Y72">
        <v>1</v>
      </c>
      <c r="Z72">
        <v>10</v>
      </c>
    </row>
    <row r="73" spans="1:26" x14ac:dyDescent="0.3">
      <c r="A73">
        <v>71</v>
      </c>
      <c r="B73">
        <v>110</v>
      </c>
      <c r="C73" t="s">
        <v>26</v>
      </c>
      <c r="D73">
        <v>10.42</v>
      </c>
      <c r="E73">
        <v>9.6</v>
      </c>
      <c r="F73">
        <v>6.77</v>
      </c>
      <c r="G73">
        <v>81.28</v>
      </c>
      <c r="H73">
        <v>1.37</v>
      </c>
      <c r="I73">
        <v>5</v>
      </c>
      <c r="J73">
        <v>243.35</v>
      </c>
      <c r="K73">
        <v>56.13</v>
      </c>
      <c r="L73">
        <v>18.75</v>
      </c>
      <c r="M73">
        <v>3</v>
      </c>
      <c r="N73">
        <v>58.47</v>
      </c>
      <c r="O73">
        <v>30247.53</v>
      </c>
      <c r="P73">
        <v>92.23</v>
      </c>
      <c r="Q73">
        <v>204.14</v>
      </c>
      <c r="R73">
        <v>24.45</v>
      </c>
      <c r="S73">
        <v>17.37</v>
      </c>
      <c r="T73">
        <v>1440.56</v>
      </c>
      <c r="U73">
        <v>0.71</v>
      </c>
      <c r="V73">
        <v>0.75</v>
      </c>
      <c r="W73">
        <v>1.1399999999999999</v>
      </c>
      <c r="X73">
        <v>0.08</v>
      </c>
      <c r="Y73">
        <v>1</v>
      </c>
      <c r="Z73">
        <v>10</v>
      </c>
    </row>
    <row r="74" spans="1:26" x14ac:dyDescent="0.3">
      <c r="A74">
        <v>72</v>
      </c>
      <c r="B74">
        <v>110</v>
      </c>
      <c r="C74" t="s">
        <v>26</v>
      </c>
      <c r="D74">
        <v>10.4269</v>
      </c>
      <c r="E74">
        <v>9.59</v>
      </c>
      <c r="F74">
        <v>6.77</v>
      </c>
      <c r="G74">
        <v>81.2</v>
      </c>
      <c r="H74">
        <v>1.39</v>
      </c>
      <c r="I74">
        <v>5</v>
      </c>
      <c r="J74">
        <v>243.79</v>
      </c>
      <c r="K74">
        <v>56.13</v>
      </c>
      <c r="L74">
        <v>19</v>
      </c>
      <c r="M74">
        <v>3</v>
      </c>
      <c r="N74">
        <v>58.67</v>
      </c>
      <c r="O74">
        <v>30301.87</v>
      </c>
      <c r="P74">
        <v>91.92</v>
      </c>
      <c r="Q74">
        <v>204.16</v>
      </c>
      <c r="R74">
        <v>24.21</v>
      </c>
      <c r="S74">
        <v>17.37</v>
      </c>
      <c r="T74">
        <v>1323.05</v>
      </c>
      <c r="U74">
        <v>0.72</v>
      </c>
      <c r="V74">
        <v>0.75</v>
      </c>
      <c r="W74">
        <v>1.1399999999999999</v>
      </c>
      <c r="X74">
        <v>7.0000000000000007E-2</v>
      </c>
      <c r="Y74">
        <v>1</v>
      </c>
      <c r="Z74">
        <v>10</v>
      </c>
    </row>
    <row r="75" spans="1:26" x14ac:dyDescent="0.3">
      <c r="A75">
        <v>73</v>
      </c>
      <c r="B75">
        <v>110</v>
      </c>
      <c r="C75" t="s">
        <v>26</v>
      </c>
      <c r="D75">
        <v>10.4305</v>
      </c>
      <c r="E75">
        <v>9.59</v>
      </c>
      <c r="F75">
        <v>6.76</v>
      </c>
      <c r="G75">
        <v>81.16</v>
      </c>
      <c r="H75">
        <v>1.4</v>
      </c>
      <c r="I75">
        <v>5</v>
      </c>
      <c r="J75">
        <v>244.23</v>
      </c>
      <c r="K75">
        <v>56.13</v>
      </c>
      <c r="L75">
        <v>19.25</v>
      </c>
      <c r="M75">
        <v>3</v>
      </c>
      <c r="N75">
        <v>58.86</v>
      </c>
      <c r="O75">
        <v>30356.29</v>
      </c>
      <c r="P75">
        <v>91.55</v>
      </c>
      <c r="Q75">
        <v>204.14</v>
      </c>
      <c r="R75">
        <v>24.11</v>
      </c>
      <c r="S75">
        <v>17.37</v>
      </c>
      <c r="T75">
        <v>1274</v>
      </c>
      <c r="U75">
        <v>0.72</v>
      </c>
      <c r="V75">
        <v>0.76</v>
      </c>
      <c r="W75">
        <v>1.1399999999999999</v>
      </c>
      <c r="X75">
        <v>7.0000000000000007E-2</v>
      </c>
      <c r="Y75">
        <v>1</v>
      </c>
      <c r="Z75">
        <v>10</v>
      </c>
    </row>
    <row r="76" spans="1:26" x14ac:dyDescent="0.3">
      <c r="A76">
        <v>74</v>
      </c>
      <c r="B76">
        <v>110</v>
      </c>
      <c r="C76" t="s">
        <v>26</v>
      </c>
      <c r="D76">
        <v>10.4305</v>
      </c>
      <c r="E76">
        <v>9.59</v>
      </c>
      <c r="F76">
        <v>6.76</v>
      </c>
      <c r="G76">
        <v>81.16</v>
      </c>
      <c r="H76">
        <v>1.42</v>
      </c>
      <c r="I76">
        <v>5</v>
      </c>
      <c r="J76">
        <v>244.68</v>
      </c>
      <c r="K76">
        <v>56.13</v>
      </c>
      <c r="L76">
        <v>19.5</v>
      </c>
      <c r="M76">
        <v>3</v>
      </c>
      <c r="N76">
        <v>59.05</v>
      </c>
      <c r="O76">
        <v>30410.77</v>
      </c>
      <c r="P76">
        <v>91.24</v>
      </c>
      <c r="Q76">
        <v>204.14</v>
      </c>
      <c r="R76">
        <v>24.05</v>
      </c>
      <c r="S76">
        <v>17.37</v>
      </c>
      <c r="T76">
        <v>1240.5</v>
      </c>
      <c r="U76">
        <v>0.72</v>
      </c>
      <c r="V76">
        <v>0.76</v>
      </c>
      <c r="W76">
        <v>1.1399999999999999</v>
      </c>
      <c r="X76">
        <v>7.0000000000000007E-2</v>
      </c>
      <c r="Y76">
        <v>1</v>
      </c>
      <c r="Z76">
        <v>10</v>
      </c>
    </row>
    <row r="77" spans="1:26" x14ac:dyDescent="0.3">
      <c r="A77">
        <v>75</v>
      </c>
      <c r="B77">
        <v>110</v>
      </c>
      <c r="C77" t="s">
        <v>26</v>
      </c>
      <c r="D77">
        <v>10.424799999999999</v>
      </c>
      <c r="E77">
        <v>9.59</v>
      </c>
      <c r="F77">
        <v>6.77</v>
      </c>
      <c r="G77">
        <v>81.22</v>
      </c>
      <c r="H77">
        <v>1.43</v>
      </c>
      <c r="I77">
        <v>5</v>
      </c>
      <c r="J77">
        <v>245.12</v>
      </c>
      <c r="K77">
        <v>56.13</v>
      </c>
      <c r="L77">
        <v>19.75</v>
      </c>
      <c r="M77">
        <v>3</v>
      </c>
      <c r="N77">
        <v>59.24</v>
      </c>
      <c r="O77">
        <v>30465.32</v>
      </c>
      <c r="P77">
        <v>90.87</v>
      </c>
      <c r="Q77">
        <v>204.14</v>
      </c>
      <c r="R77">
        <v>24.17</v>
      </c>
      <c r="S77">
        <v>17.37</v>
      </c>
      <c r="T77">
        <v>1303.71</v>
      </c>
      <c r="U77">
        <v>0.72</v>
      </c>
      <c r="V77">
        <v>0.75</v>
      </c>
      <c r="W77">
        <v>1.1499999999999999</v>
      </c>
      <c r="X77">
        <v>0.08</v>
      </c>
      <c r="Y77">
        <v>1</v>
      </c>
      <c r="Z77">
        <v>10</v>
      </c>
    </row>
    <row r="78" spans="1:26" x14ac:dyDescent="0.3">
      <c r="A78">
        <v>76</v>
      </c>
      <c r="B78">
        <v>110</v>
      </c>
      <c r="C78" t="s">
        <v>26</v>
      </c>
      <c r="D78">
        <v>10.428699999999999</v>
      </c>
      <c r="E78">
        <v>9.59</v>
      </c>
      <c r="F78">
        <v>6.76</v>
      </c>
      <c r="G78">
        <v>81.180000000000007</v>
      </c>
      <c r="H78">
        <v>1.45</v>
      </c>
      <c r="I78">
        <v>5</v>
      </c>
      <c r="J78">
        <v>245.56</v>
      </c>
      <c r="K78">
        <v>56.13</v>
      </c>
      <c r="L78">
        <v>20</v>
      </c>
      <c r="M78">
        <v>3</v>
      </c>
      <c r="N78">
        <v>59.43</v>
      </c>
      <c r="O78">
        <v>30519.94</v>
      </c>
      <c r="P78">
        <v>90.48</v>
      </c>
      <c r="Q78">
        <v>204.14</v>
      </c>
      <c r="R78">
        <v>24.16</v>
      </c>
      <c r="S78">
        <v>17.37</v>
      </c>
      <c r="T78">
        <v>1299.6199999999999</v>
      </c>
      <c r="U78">
        <v>0.72</v>
      </c>
      <c r="V78">
        <v>0.75</v>
      </c>
      <c r="W78">
        <v>1.1399999999999999</v>
      </c>
      <c r="X78">
        <v>7.0000000000000007E-2</v>
      </c>
      <c r="Y78">
        <v>1</v>
      </c>
      <c r="Z78">
        <v>10</v>
      </c>
    </row>
    <row r="79" spans="1:26" x14ac:dyDescent="0.3">
      <c r="A79">
        <v>77</v>
      </c>
      <c r="B79">
        <v>110</v>
      </c>
      <c r="C79" t="s">
        <v>26</v>
      </c>
      <c r="D79">
        <v>10.426</v>
      </c>
      <c r="E79">
        <v>9.59</v>
      </c>
      <c r="F79">
        <v>6.77</v>
      </c>
      <c r="G79">
        <v>81.209999999999994</v>
      </c>
      <c r="H79">
        <v>1.46</v>
      </c>
      <c r="I79">
        <v>5</v>
      </c>
      <c r="J79">
        <v>246</v>
      </c>
      <c r="K79">
        <v>56.13</v>
      </c>
      <c r="L79">
        <v>20.25</v>
      </c>
      <c r="M79">
        <v>3</v>
      </c>
      <c r="N79">
        <v>59.63</v>
      </c>
      <c r="O79">
        <v>30574.639999999999</v>
      </c>
      <c r="P79">
        <v>90.4</v>
      </c>
      <c r="Q79">
        <v>204.17</v>
      </c>
      <c r="R79">
        <v>24.22</v>
      </c>
      <c r="S79">
        <v>17.37</v>
      </c>
      <c r="T79">
        <v>1325.11</v>
      </c>
      <c r="U79">
        <v>0.72</v>
      </c>
      <c r="V79">
        <v>0.75</v>
      </c>
      <c r="W79">
        <v>1.1399999999999999</v>
      </c>
      <c r="X79">
        <v>0.08</v>
      </c>
      <c r="Y79">
        <v>1</v>
      </c>
      <c r="Z79">
        <v>10</v>
      </c>
    </row>
    <row r="80" spans="1:26" x14ac:dyDescent="0.3">
      <c r="A80">
        <v>78</v>
      </c>
      <c r="B80">
        <v>110</v>
      </c>
      <c r="C80" t="s">
        <v>26</v>
      </c>
      <c r="D80">
        <v>10.4239</v>
      </c>
      <c r="E80">
        <v>9.59</v>
      </c>
      <c r="F80">
        <v>6.77</v>
      </c>
      <c r="G80">
        <v>81.23</v>
      </c>
      <c r="H80">
        <v>1.48</v>
      </c>
      <c r="I80">
        <v>5</v>
      </c>
      <c r="J80">
        <v>246.45</v>
      </c>
      <c r="K80">
        <v>56.13</v>
      </c>
      <c r="L80">
        <v>20.5</v>
      </c>
      <c r="M80">
        <v>3</v>
      </c>
      <c r="N80">
        <v>59.82</v>
      </c>
      <c r="O80">
        <v>30629.4</v>
      </c>
      <c r="P80">
        <v>90.28</v>
      </c>
      <c r="Q80">
        <v>204.14</v>
      </c>
      <c r="R80">
        <v>24.3</v>
      </c>
      <c r="S80">
        <v>17.37</v>
      </c>
      <c r="T80">
        <v>1368.53</v>
      </c>
      <c r="U80">
        <v>0.71</v>
      </c>
      <c r="V80">
        <v>0.75</v>
      </c>
      <c r="W80">
        <v>1.1399999999999999</v>
      </c>
      <c r="X80">
        <v>0.08</v>
      </c>
      <c r="Y80">
        <v>1</v>
      </c>
      <c r="Z80">
        <v>10</v>
      </c>
    </row>
    <row r="81" spans="1:26" x14ac:dyDescent="0.3">
      <c r="A81">
        <v>79</v>
      </c>
      <c r="B81">
        <v>110</v>
      </c>
      <c r="C81" t="s">
        <v>26</v>
      </c>
      <c r="D81">
        <v>10.4185</v>
      </c>
      <c r="E81">
        <v>9.6</v>
      </c>
      <c r="F81">
        <v>6.77</v>
      </c>
      <c r="G81">
        <v>81.290000000000006</v>
      </c>
      <c r="H81">
        <v>1.49</v>
      </c>
      <c r="I81">
        <v>5</v>
      </c>
      <c r="J81">
        <v>246.89</v>
      </c>
      <c r="K81">
        <v>56.13</v>
      </c>
      <c r="L81">
        <v>20.75</v>
      </c>
      <c r="M81">
        <v>3</v>
      </c>
      <c r="N81">
        <v>60.02</v>
      </c>
      <c r="O81">
        <v>30684.23</v>
      </c>
      <c r="P81">
        <v>90.18</v>
      </c>
      <c r="Q81">
        <v>204.14</v>
      </c>
      <c r="R81">
        <v>24.43</v>
      </c>
      <c r="S81">
        <v>17.37</v>
      </c>
      <c r="T81">
        <v>1431.38</v>
      </c>
      <c r="U81">
        <v>0.71</v>
      </c>
      <c r="V81">
        <v>0.75</v>
      </c>
      <c r="W81">
        <v>1.1499999999999999</v>
      </c>
      <c r="X81">
        <v>0.08</v>
      </c>
      <c r="Y81">
        <v>1</v>
      </c>
      <c r="Z81">
        <v>10</v>
      </c>
    </row>
    <row r="82" spans="1:26" x14ac:dyDescent="0.3">
      <c r="A82">
        <v>80</v>
      </c>
      <c r="B82">
        <v>110</v>
      </c>
      <c r="C82" t="s">
        <v>26</v>
      </c>
      <c r="D82">
        <v>10.425700000000001</v>
      </c>
      <c r="E82">
        <v>9.59</v>
      </c>
      <c r="F82">
        <v>6.77</v>
      </c>
      <c r="G82">
        <v>81.209999999999994</v>
      </c>
      <c r="H82">
        <v>1.51</v>
      </c>
      <c r="I82">
        <v>5</v>
      </c>
      <c r="J82">
        <v>247.34</v>
      </c>
      <c r="K82">
        <v>56.13</v>
      </c>
      <c r="L82">
        <v>21</v>
      </c>
      <c r="M82">
        <v>3</v>
      </c>
      <c r="N82">
        <v>60.21</v>
      </c>
      <c r="O82">
        <v>30739.14</v>
      </c>
      <c r="P82">
        <v>89.69</v>
      </c>
      <c r="Q82">
        <v>204.14</v>
      </c>
      <c r="R82">
        <v>24.18</v>
      </c>
      <c r="S82">
        <v>17.37</v>
      </c>
      <c r="T82">
        <v>1305.8499999999999</v>
      </c>
      <c r="U82">
        <v>0.72</v>
      </c>
      <c r="V82">
        <v>0.75</v>
      </c>
      <c r="W82">
        <v>1.1499999999999999</v>
      </c>
      <c r="X82">
        <v>0.08</v>
      </c>
      <c r="Y82">
        <v>1</v>
      </c>
      <c r="Z82">
        <v>10</v>
      </c>
    </row>
    <row r="83" spans="1:26" x14ac:dyDescent="0.3">
      <c r="A83">
        <v>81</v>
      </c>
      <c r="B83">
        <v>110</v>
      </c>
      <c r="C83" t="s">
        <v>26</v>
      </c>
      <c r="D83">
        <v>10.498699999999999</v>
      </c>
      <c r="E83">
        <v>9.52</v>
      </c>
      <c r="F83">
        <v>6.74</v>
      </c>
      <c r="G83">
        <v>101.15</v>
      </c>
      <c r="H83">
        <v>1.53</v>
      </c>
      <c r="I83">
        <v>4</v>
      </c>
      <c r="J83">
        <v>247.78</v>
      </c>
      <c r="K83">
        <v>56.13</v>
      </c>
      <c r="L83">
        <v>21.25</v>
      </c>
      <c r="M83">
        <v>2</v>
      </c>
      <c r="N83">
        <v>60.41</v>
      </c>
      <c r="O83">
        <v>30794.11</v>
      </c>
      <c r="P83">
        <v>88.92</v>
      </c>
      <c r="Q83">
        <v>204.15</v>
      </c>
      <c r="R83">
        <v>23.46</v>
      </c>
      <c r="S83">
        <v>17.37</v>
      </c>
      <c r="T83">
        <v>949.92</v>
      </c>
      <c r="U83">
        <v>0.74</v>
      </c>
      <c r="V83">
        <v>0.76</v>
      </c>
      <c r="W83">
        <v>1.1399999999999999</v>
      </c>
      <c r="X83">
        <v>0.05</v>
      </c>
      <c r="Y83">
        <v>1</v>
      </c>
      <c r="Z83">
        <v>10</v>
      </c>
    </row>
    <row r="84" spans="1:26" x14ac:dyDescent="0.3">
      <c r="A84">
        <v>82</v>
      </c>
      <c r="B84">
        <v>110</v>
      </c>
      <c r="C84" t="s">
        <v>26</v>
      </c>
      <c r="D84">
        <v>10.494999999999999</v>
      </c>
      <c r="E84">
        <v>9.5299999999999994</v>
      </c>
      <c r="F84">
        <v>6.75</v>
      </c>
      <c r="G84">
        <v>101.2</v>
      </c>
      <c r="H84">
        <v>1.54</v>
      </c>
      <c r="I84">
        <v>4</v>
      </c>
      <c r="J84">
        <v>248.23</v>
      </c>
      <c r="K84">
        <v>56.13</v>
      </c>
      <c r="L84">
        <v>21.5</v>
      </c>
      <c r="M84">
        <v>2</v>
      </c>
      <c r="N84">
        <v>60.6</v>
      </c>
      <c r="O84">
        <v>30849.16</v>
      </c>
      <c r="P84">
        <v>88.98</v>
      </c>
      <c r="Q84">
        <v>204.14</v>
      </c>
      <c r="R84">
        <v>23.5</v>
      </c>
      <c r="S84">
        <v>17.37</v>
      </c>
      <c r="T84">
        <v>972.89</v>
      </c>
      <c r="U84">
        <v>0.74</v>
      </c>
      <c r="V84">
        <v>0.76</v>
      </c>
      <c r="W84">
        <v>1.1399999999999999</v>
      </c>
      <c r="X84">
        <v>0.06</v>
      </c>
      <c r="Y84">
        <v>1</v>
      </c>
      <c r="Z84">
        <v>10</v>
      </c>
    </row>
    <row r="85" spans="1:26" x14ac:dyDescent="0.3">
      <c r="A85">
        <v>83</v>
      </c>
      <c r="B85">
        <v>110</v>
      </c>
      <c r="C85" t="s">
        <v>26</v>
      </c>
      <c r="D85">
        <v>10.493499999999999</v>
      </c>
      <c r="E85">
        <v>9.5299999999999994</v>
      </c>
      <c r="F85">
        <v>6.75</v>
      </c>
      <c r="G85">
        <v>101.22</v>
      </c>
      <c r="H85">
        <v>1.56</v>
      </c>
      <c r="I85">
        <v>4</v>
      </c>
      <c r="J85">
        <v>248.68</v>
      </c>
      <c r="K85">
        <v>56.13</v>
      </c>
      <c r="L85">
        <v>21.75</v>
      </c>
      <c r="M85">
        <v>2</v>
      </c>
      <c r="N85">
        <v>60.8</v>
      </c>
      <c r="O85">
        <v>30904.28</v>
      </c>
      <c r="P85">
        <v>89.07</v>
      </c>
      <c r="Q85">
        <v>204.14</v>
      </c>
      <c r="R85">
        <v>23.56</v>
      </c>
      <c r="S85">
        <v>17.37</v>
      </c>
      <c r="T85">
        <v>1002.05</v>
      </c>
      <c r="U85">
        <v>0.74</v>
      </c>
      <c r="V85">
        <v>0.76</v>
      </c>
      <c r="W85">
        <v>1.1399999999999999</v>
      </c>
      <c r="X85">
        <v>0.06</v>
      </c>
      <c r="Y85">
        <v>1</v>
      </c>
      <c r="Z85">
        <v>10</v>
      </c>
    </row>
    <row r="86" spans="1:26" x14ac:dyDescent="0.3">
      <c r="A86">
        <v>84</v>
      </c>
      <c r="B86">
        <v>110</v>
      </c>
      <c r="C86" t="s">
        <v>26</v>
      </c>
      <c r="D86">
        <v>10.4932</v>
      </c>
      <c r="E86">
        <v>9.5299999999999994</v>
      </c>
      <c r="F86">
        <v>6.75</v>
      </c>
      <c r="G86">
        <v>101.22</v>
      </c>
      <c r="H86">
        <v>1.57</v>
      </c>
      <c r="I86">
        <v>4</v>
      </c>
      <c r="J86">
        <v>249.12</v>
      </c>
      <c r="K86">
        <v>56.13</v>
      </c>
      <c r="L86">
        <v>22</v>
      </c>
      <c r="M86">
        <v>2</v>
      </c>
      <c r="N86">
        <v>61</v>
      </c>
      <c r="O86">
        <v>30959.46</v>
      </c>
      <c r="P86">
        <v>89.32</v>
      </c>
      <c r="Q86">
        <v>204.15</v>
      </c>
      <c r="R86">
        <v>23.63</v>
      </c>
      <c r="S86">
        <v>17.37</v>
      </c>
      <c r="T86">
        <v>1035.53</v>
      </c>
      <c r="U86">
        <v>0.74</v>
      </c>
      <c r="V86">
        <v>0.76</v>
      </c>
      <c r="W86">
        <v>1.1399999999999999</v>
      </c>
      <c r="X86">
        <v>0.06</v>
      </c>
      <c r="Y86">
        <v>1</v>
      </c>
      <c r="Z86">
        <v>10</v>
      </c>
    </row>
    <row r="87" spans="1:26" x14ac:dyDescent="0.3">
      <c r="A87">
        <v>85</v>
      </c>
      <c r="B87">
        <v>110</v>
      </c>
      <c r="C87" t="s">
        <v>26</v>
      </c>
      <c r="D87">
        <v>10.492900000000001</v>
      </c>
      <c r="E87">
        <v>9.5299999999999994</v>
      </c>
      <c r="F87">
        <v>6.75</v>
      </c>
      <c r="G87">
        <v>101.23</v>
      </c>
      <c r="H87">
        <v>1.59</v>
      </c>
      <c r="I87">
        <v>4</v>
      </c>
      <c r="J87">
        <v>249.57</v>
      </c>
      <c r="K87">
        <v>56.13</v>
      </c>
      <c r="L87">
        <v>22.25</v>
      </c>
      <c r="M87">
        <v>2</v>
      </c>
      <c r="N87">
        <v>61.2</v>
      </c>
      <c r="O87">
        <v>31014.73</v>
      </c>
      <c r="P87">
        <v>89.42</v>
      </c>
      <c r="Q87">
        <v>204.14</v>
      </c>
      <c r="R87">
        <v>23.64</v>
      </c>
      <c r="S87">
        <v>17.37</v>
      </c>
      <c r="T87">
        <v>1039.97</v>
      </c>
      <c r="U87">
        <v>0.74</v>
      </c>
      <c r="V87">
        <v>0.76</v>
      </c>
      <c r="W87">
        <v>1.1399999999999999</v>
      </c>
      <c r="X87">
        <v>0.06</v>
      </c>
      <c r="Y87">
        <v>1</v>
      </c>
      <c r="Z87">
        <v>10</v>
      </c>
    </row>
    <row r="88" spans="1:26" x14ac:dyDescent="0.3">
      <c r="A88">
        <v>86</v>
      </c>
      <c r="B88">
        <v>110</v>
      </c>
      <c r="C88" t="s">
        <v>26</v>
      </c>
      <c r="D88">
        <v>10.4895</v>
      </c>
      <c r="E88">
        <v>9.5299999999999994</v>
      </c>
      <c r="F88">
        <v>6.75</v>
      </c>
      <c r="G88">
        <v>101.28</v>
      </c>
      <c r="H88">
        <v>1.6</v>
      </c>
      <c r="I88">
        <v>4</v>
      </c>
      <c r="J88">
        <v>250.02</v>
      </c>
      <c r="K88">
        <v>56.13</v>
      </c>
      <c r="L88">
        <v>22.5</v>
      </c>
      <c r="M88">
        <v>2</v>
      </c>
      <c r="N88">
        <v>61.39</v>
      </c>
      <c r="O88">
        <v>31070.06</v>
      </c>
      <c r="P88">
        <v>89.47</v>
      </c>
      <c r="Q88">
        <v>204.14</v>
      </c>
      <c r="R88">
        <v>23.74</v>
      </c>
      <c r="S88">
        <v>17.37</v>
      </c>
      <c r="T88">
        <v>1092.99</v>
      </c>
      <c r="U88">
        <v>0.73</v>
      </c>
      <c r="V88">
        <v>0.76</v>
      </c>
      <c r="W88">
        <v>1.1399999999999999</v>
      </c>
      <c r="X88">
        <v>0.06</v>
      </c>
      <c r="Y88">
        <v>1</v>
      </c>
      <c r="Z88">
        <v>10</v>
      </c>
    </row>
    <row r="89" spans="1:26" x14ac:dyDescent="0.3">
      <c r="A89">
        <v>87</v>
      </c>
      <c r="B89">
        <v>110</v>
      </c>
      <c r="C89" t="s">
        <v>26</v>
      </c>
      <c r="D89">
        <v>10.4953</v>
      </c>
      <c r="E89">
        <v>9.5299999999999994</v>
      </c>
      <c r="F89">
        <v>6.75</v>
      </c>
      <c r="G89">
        <v>101.2</v>
      </c>
      <c r="H89">
        <v>1.62</v>
      </c>
      <c r="I89">
        <v>4</v>
      </c>
      <c r="J89">
        <v>250.47</v>
      </c>
      <c r="K89">
        <v>56.13</v>
      </c>
      <c r="L89">
        <v>22.75</v>
      </c>
      <c r="M89">
        <v>2</v>
      </c>
      <c r="N89">
        <v>61.59</v>
      </c>
      <c r="O89">
        <v>31125.47</v>
      </c>
      <c r="P89">
        <v>89.6</v>
      </c>
      <c r="Q89">
        <v>204.14</v>
      </c>
      <c r="R89">
        <v>23.56</v>
      </c>
      <c r="S89">
        <v>17.37</v>
      </c>
      <c r="T89">
        <v>1004.01</v>
      </c>
      <c r="U89">
        <v>0.74</v>
      </c>
      <c r="V89">
        <v>0.76</v>
      </c>
      <c r="W89">
        <v>1.1399999999999999</v>
      </c>
      <c r="X89">
        <v>0.06</v>
      </c>
      <c r="Y89">
        <v>1</v>
      </c>
      <c r="Z89">
        <v>10</v>
      </c>
    </row>
    <row r="90" spans="1:26" x14ac:dyDescent="0.3">
      <c r="A90">
        <v>88</v>
      </c>
      <c r="B90">
        <v>110</v>
      </c>
      <c r="C90" t="s">
        <v>26</v>
      </c>
      <c r="D90">
        <v>10.501099999999999</v>
      </c>
      <c r="E90">
        <v>9.52</v>
      </c>
      <c r="F90">
        <v>6.74</v>
      </c>
      <c r="G90">
        <v>101.12</v>
      </c>
      <c r="H90">
        <v>1.63</v>
      </c>
      <c r="I90">
        <v>4</v>
      </c>
      <c r="J90">
        <v>250.92</v>
      </c>
      <c r="K90">
        <v>56.13</v>
      </c>
      <c r="L90">
        <v>23</v>
      </c>
      <c r="M90">
        <v>2</v>
      </c>
      <c r="N90">
        <v>61.79</v>
      </c>
      <c r="O90">
        <v>31180.95</v>
      </c>
      <c r="P90">
        <v>89.5</v>
      </c>
      <c r="Q90">
        <v>204.15</v>
      </c>
      <c r="R90">
        <v>23.42</v>
      </c>
      <c r="S90">
        <v>17.37</v>
      </c>
      <c r="T90">
        <v>932.88</v>
      </c>
      <c r="U90">
        <v>0.74</v>
      </c>
      <c r="V90">
        <v>0.76</v>
      </c>
      <c r="W90">
        <v>1.1399999999999999</v>
      </c>
      <c r="X90">
        <v>0.05</v>
      </c>
      <c r="Y90">
        <v>1</v>
      </c>
      <c r="Z90">
        <v>10</v>
      </c>
    </row>
    <row r="91" spans="1:26" x14ac:dyDescent="0.3">
      <c r="A91">
        <v>89</v>
      </c>
      <c r="B91">
        <v>110</v>
      </c>
      <c r="C91" t="s">
        <v>26</v>
      </c>
      <c r="D91">
        <v>10.497199999999999</v>
      </c>
      <c r="E91">
        <v>9.5299999999999994</v>
      </c>
      <c r="F91">
        <v>6.74</v>
      </c>
      <c r="G91">
        <v>101.17</v>
      </c>
      <c r="H91">
        <v>1.65</v>
      </c>
      <c r="I91">
        <v>4</v>
      </c>
      <c r="J91">
        <v>251.37</v>
      </c>
      <c r="K91">
        <v>56.13</v>
      </c>
      <c r="L91">
        <v>23.25</v>
      </c>
      <c r="M91">
        <v>2</v>
      </c>
      <c r="N91">
        <v>61.99</v>
      </c>
      <c r="O91">
        <v>31236.5</v>
      </c>
      <c r="P91">
        <v>89.6</v>
      </c>
      <c r="Q91">
        <v>204.14</v>
      </c>
      <c r="R91">
        <v>23.53</v>
      </c>
      <c r="S91">
        <v>17.37</v>
      </c>
      <c r="T91">
        <v>986.34</v>
      </c>
      <c r="U91">
        <v>0.74</v>
      </c>
      <c r="V91">
        <v>0.76</v>
      </c>
      <c r="W91">
        <v>1.1399999999999999</v>
      </c>
      <c r="X91">
        <v>0.05</v>
      </c>
      <c r="Y91">
        <v>1</v>
      </c>
      <c r="Z91">
        <v>10</v>
      </c>
    </row>
    <row r="92" spans="1:26" x14ac:dyDescent="0.3">
      <c r="A92">
        <v>90</v>
      </c>
      <c r="B92">
        <v>110</v>
      </c>
      <c r="C92" t="s">
        <v>26</v>
      </c>
      <c r="D92">
        <v>10.4962</v>
      </c>
      <c r="E92">
        <v>9.5299999999999994</v>
      </c>
      <c r="F92">
        <v>6.75</v>
      </c>
      <c r="G92">
        <v>101.18</v>
      </c>
      <c r="H92">
        <v>1.66</v>
      </c>
      <c r="I92">
        <v>4</v>
      </c>
      <c r="J92">
        <v>251.82</v>
      </c>
      <c r="K92">
        <v>56.13</v>
      </c>
      <c r="L92">
        <v>23.5</v>
      </c>
      <c r="M92">
        <v>2</v>
      </c>
      <c r="N92">
        <v>62.19</v>
      </c>
      <c r="O92">
        <v>31292.13</v>
      </c>
      <c r="P92">
        <v>89.56</v>
      </c>
      <c r="Q92">
        <v>204.14</v>
      </c>
      <c r="R92">
        <v>23.54</v>
      </c>
      <c r="S92">
        <v>17.37</v>
      </c>
      <c r="T92">
        <v>993.02</v>
      </c>
      <c r="U92">
        <v>0.74</v>
      </c>
      <c r="V92">
        <v>0.76</v>
      </c>
      <c r="W92">
        <v>1.1399999999999999</v>
      </c>
      <c r="X92">
        <v>0.05</v>
      </c>
      <c r="Y92">
        <v>1</v>
      </c>
      <c r="Z92">
        <v>10</v>
      </c>
    </row>
    <row r="93" spans="1:26" x14ac:dyDescent="0.3">
      <c r="A93">
        <v>91</v>
      </c>
      <c r="B93">
        <v>110</v>
      </c>
      <c r="C93" t="s">
        <v>26</v>
      </c>
      <c r="D93">
        <v>10.4871</v>
      </c>
      <c r="E93">
        <v>9.5399999999999991</v>
      </c>
      <c r="F93">
        <v>6.75</v>
      </c>
      <c r="G93">
        <v>101.31</v>
      </c>
      <c r="H93">
        <v>1.67</v>
      </c>
      <c r="I93">
        <v>4</v>
      </c>
      <c r="J93">
        <v>252.27</v>
      </c>
      <c r="K93">
        <v>56.13</v>
      </c>
      <c r="L93">
        <v>23.75</v>
      </c>
      <c r="M93">
        <v>2</v>
      </c>
      <c r="N93">
        <v>62.4</v>
      </c>
      <c r="O93">
        <v>31347.83</v>
      </c>
      <c r="P93">
        <v>89.63</v>
      </c>
      <c r="Q93">
        <v>204.14</v>
      </c>
      <c r="R93">
        <v>23.74</v>
      </c>
      <c r="S93">
        <v>17.37</v>
      </c>
      <c r="T93">
        <v>1091.9100000000001</v>
      </c>
      <c r="U93">
        <v>0.73</v>
      </c>
      <c r="V93">
        <v>0.76</v>
      </c>
      <c r="W93">
        <v>1.1399999999999999</v>
      </c>
      <c r="X93">
        <v>0.06</v>
      </c>
      <c r="Y93">
        <v>1</v>
      </c>
      <c r="Z93">
        <v>10</v>
      </c>
    </row>
    <row r="94" spans="1:26" x14ac:dyDescent="0.3">
      <c r="A94">
        <v>92</v>
      </c>
      <c r="B94">
        <v>110</v>
      </c>
      <c r="C94" t="s">
        <v>26</v>
      </c>
      <c r="D94">
        <v>10.491300000000001</v>
      </c>
      <c r="E94">
        <v>9.5299999999999994</v>
      </c>
      <c r="F94">
        <v>6.75</v>
      </c>
      <c r="G94">
        <v>101.25</v>
      </c>
      <c r="H94">
        <v>1.69</v>
      </c>
      <c r="I94">
        <v>4</v>
      </c>
      <c r="J94">
        <v>252.73</v>
      </c>
      <c r="K94">
        <v>56.13</v>
      </c>
      <c r="L94">
        <v>24</v>
      </c>
      <c r="M94">
        <v>2</v>
      </c>
      <c r="N94">
        <v>62.6</v>
      </c>
      <c r="O94">
        <v>31403.599999999999</v>
      </c>
      <c r="P94">
        <v>89.48</v>
      </c>
      <c r="Q94">
        <v>204.14</v>
      </c>
      <c r="R94">
        <v>23.73</v>
      </c>
      <c r="S94">
        <v>17.37</v>
      </c>
      <c r="T94">
        <v>1086.23</v>
      </c>
      <c r="U94">
        <v>0.73</v>
      </c>
      <c r="V94">
        <v>0.76</v>
      </c>
      <c r="W94">
        <v>1.1399999999999999</v>
      </c>
      <c r="X94">
        <v>0.06</v>
      </c>
      <c r="Y94">
        <v>1</v>
      </c>
      <c r="Z94">
        <v>10</v>
      </c>
    </row>
    <row r="95" spans="1:26" x14ac:dyDescent="0.3">
      <c r="A95">
        <v>93</v>
      </c>
      <c r="B95">
        <v>110</v>
      </c>
      <c r="C95" t="s">
        <v>26</v>
      </c>
      <c r="D95">
        <v>10.4932</v>
      </c>
      <c r="E95">
        <v>9.5299999999999994</v>
      </c>
      <c r="F95">
        <v>6.75</v>
      </c>
      <c r="G95">
        <v>101.22</v>
      </c>
      <c r="H95">
        <v>1.7</v>
      </c>
      <c r="I95">
        <v>4</v>
      </c>
      <c r="J95">
        <v>253.18</v>
      </c>
      <c r="K95">
        <v>56.13</v>
      </c>
      <c r="L95">
        <v>24.25</v>
      </c>
      <c r="M95">
        <v>2</v>
      </c>
      <c r="N95">
        <v>62.8</v>
      </c>
      <c r="O95">
        <v>31459.45</v>
      </c>
      <c r="P95">
        <v>89.4</v>
      </c>
      <c r="Q95">
        <v>204.14</v>
      </c>
      <c r="R95">
        <v>23.68</v>
      </c>
      <c r="S95">
        <v>17.37</v>
      </c>
      <c r="T95">
        <v>1059.98</v>
      </c>
      <c r="U95">
        <v>0.73</v>
      </c>
      <c r="V95">
        <v>0.76</v>
      </c>
      <c r="W95">
        <v>1.1399999999999999</v>
      </c>
      <c r="X95">
        <v>0.06</v>
      </c>
      <c r="Y95">
        <v>1</v>
      </c>
      <c r="Z95">
        <v>10</v>
      </c>
    </row>
    <row r="96" spans="1:26" x14ac:dyDescent="0.3">
      <c r="A96">
        <v>94</v>
      </c>
      <c r="B96">
        <v>110</v>
      </c>
      <c r="C96" t="s">
        <v>26</v>
      </c>
      <c r="D96">
        <v>10.4938</v>
      </c>
      <c r="E96">
        <v>9.5299999999999994</v>
      </c>
      <c r="F96">
        <v>6.75</v>
      </c>
      <c r="G96">
        <v>101.22</v>
      </c>
      <c r="H96">
        <v>1.72</v>
      </c>
      <c r="I96">
        <v>4</v>
      </c>
      <c r="J96">
        <v>253.63</v>
      </c>
      <c r="K96">
        <v>56.13</v>
      </c>
      <c r="L96">
        <v>24.5</v>
      </c>
      <c r="M96">
        <v>2</v>
      </c>
      <c r="N96">
        <v>63</v>
      </c>
      <c r="O96">
        <v>31515.37</v>
      </c>
      <c r="P96">
        <v>89.21</v>
      </c>
      <c r="Q96">
        <v>204.14</v>
      </c>
      <c r="R96">
        <v>23.56</v>
      </c>
      <c r="S96">
        <v>17.37</v>
      </c>
      <c r="T96">
        <v>1001.39</v>
      </c>
      <c r="U96">
        <v>0.74</v>
      </c>
      <c r="V96">
        <v>0.76</v>
      </c>
      <c r="W96">
        <v>1.1399999999999999</v>
      </c>
      <c r="X96">
        <v>0.06</v>
      </c>
      <c r="Y96">
        <v>1</v>
      </c>
      <c r="Z96">
        <v>10</v>
      </c>
    </row>
    <row r="97" spans="1:26" x14ac:dyDescent="0.3">
      <c r="A97">
        <v>95</v>
      </c>
      <c r="B97">
        <v>110</v>
      </c>
      <c r="C97" t="s">
        <v>26</v>
      </c>
      <c r="D97">
        <v>10.492900000000001</v>
      </c>
      <c r="E97">
        <v>9.5299999999999994</v>
      </c>
      <c r="F97">
        <v>6.75</v>
      </c>
      <c r="G97">
        <v>101.23</v>
      </c>
      <c r="H97">
        <v>1.73</v>
      </c>
      <c r="I97">
        <v>4</v>
      </c>
      <c r="J97">
        <v>254.09</v>
      </c>
      <c r="K97">
        <v>56.13</v>
      </c>
      <c r="L97">
        <v>24.75</v>
      </c>
      <c r="M97">
        <v>2</v>
      </c>
      <c r="N97">
        <v>63.21</v>
      </c>
      <c r="O97">
        <v>31571.37</v>
      </c>
      <c r="P97">
        <v>89.2</v>
      </c>
      <c r="Q97">
        <v>204.14</v>
      </c>
      <c r="R97">
        <v>23.62</v>
      </c>
      <c r="S97">
        <v>17.37</v>
      </c>
      <c r="T97">
        <v>1030.1400000000001</v>
      </c>
      <c r="U97">
        <v>0.74</v>
      </c>
      <c r="V97">
        <v>0.76</v>
      </c>
      <c r="W97">
        <v>1.1399999999999999</v>
      </c>
      <c r="X97">
        <v>0.06</v>
      </c>
      <c r="Y97">
        <v>1</v>
      </c>
      <c r="Z97">
        <v>10</v>
      </c>
    </row>
    <row r="98" spans="1:26" x14ac:dyDescent="0.3">
      <c r="A98">
        <v>96</v>
      </c>
      <c r="B98">
        <v>110</v>
      </c>
      <c r="C98" t="s">
        <v>26</v>
      </c>
      <c r="D98">
        <v>10.498100000000001</v>
      </c>
      <c r="E98">
        <v>9.5299999999999994</v>
      </c>
      <c r="F98">
        <v>6.74</v>
      </c>
      <c r="G98">
        <v>101.16</v>
      </c>
      <c r="H98">
        <v>1.75</v>
      </c>
      <c r="I98">
        <v>4</v>
      </c>
      <c r="J98">
        <v>254.54</v>
      </c>
      <c r="K98">
        <v>56.13</v>
      </c>
      <c r="L98">
        <v>25</v>
      </c>
      <c r="M98">
        <v>2</v>
      </c>
      <c r="N98">
        <v>63.41</v>
      </c>
      <c r="O98">
        <v>31627.439999999999</v>
      </c>
      <c r="P98">
        <v>89</v>
      </c>
      <c r="Q98">
        <v>204.14</v>
      </c>
      <c r="R98">
        <v>23.43</v>
      </c>
      <c r="S98">
        <v>17.37</v>
      </c>
      <c r="T98">
        <v>939.21</v>
      </c>
      <c r="U98">
        <v>0.74</v>
      </c>
      <c r="V98">
        <v>0.76</v>
      </c>
      <c r="W98">
        <v>1.1399999999999999</v>
      </c>
      <c r="X98">
        <v>0.05</v>
      </c>
      <c r="Y98">
        <v>1</v>
      </c>
      <c r="Z98">
        <v>10</v>
      </c>
    </row>
    <row r="99" spans="1:26" x14ac:dyDescent="0.3">
      <c r="A99">
        <v>97</v>
      </c>
      <c r="B99">
        <v>110</v>
      </c>
      <c r="C99" t="s">
        <v>26</v>
      </c>
      <c r="D99">
        <v>10.5002</v>
      </c>
      <c r="E99">
        <v>9.52</v>
      </c>
      <c r="F99">
        <v>6.74</v>
      </c>
      <c r="G99">
        <v>101.13</v>
      </c>
      <c r="H99">
        <v>1.76</v>
      </c>
      <c r="I99">
        <v>4</v>
      </c>
      <c r="J99">
        <v>255</v>
      </c>
      <c r="K99">
        <v>56.13</v>
      </c>
      <c r="L99">
        <v>25.25</v>
      </c>
      <c r="M99">
        <v>2</v>
      </c>
      <c r="N99">
        <v>63.62</v>
      </c>
      <c r="O99">
        <v>31683.59</v>
      </c>
      <c r="P99">
        <v>88.74</v>
      </c>
      <c r="Q99">
        <v>204.14</v>
      </c>
      <c r="R99">
        <v>23.45</v>
      </c>
      <c r="S99">
        <v>17.37</v>
      </c>
      <c r="T99">
        <v>945.64</v>
      </c>
      <c r="U99">
        <v>0.74</v>
      </c>
      <c r="V99">
        <v>0.76</v>
      </c>
      <c r="W99">
        <v>1.1399999999999999</v>
      </c>
      <c r="X99">
        <v>0.05</v>
      </c>
      <c r="Y99">
        <v>1</v>
      </c>
      <c r="Z99">
        <v>10</v>
      </c>
    </row>
    <row r="100" spans="1:26" x14ac:dyDescent="0.3">
      <c r="A100">
        <v>98</v>
      </c>
      <c r="B100">
        <v>110</v>
      </c>
      <c r="C100" t="s">
        <v>26</v>
      </c>
      <c r="D100">
        <v>10.4999</v>
      </c>
      <c r="E100">
        <v>9.52</v>
      </c>
      <c r="F100">
        <v>6.74</v>
      </c>
      <c r="G100">
        <v>101.13</v>
      </c>
      <c r="H100">
        <v>1.78</v>
      </c>
      <c r="I100">
        <v>4</v>
      </c>
      <c r="J100">
        <v>255.45</v>
      </c>
      <c r="K100">
        <v>56.13</v>
      </c>
      <c r="L100">
        <v>25.5</v>
      </c>
      <c r="M100">
        <v>2</v>
      </c>
      <c r="N100">
        <v>63.82</v>
      </c>
      <c r="O100">
        <v>31739.82</v>
      </c>
      <c r="P100">
        <v>88.51</v>
      </c>
      <c r="Q100">
        <v>204.14</v>
      </c>
      <c r="R100">
        <v>23.47</v>
      </c>
      <c r="S100">
        <v>17.37</v>
      </c>
      <c r="T100">
        <v>956.39</v>
      </c>
      <c r="U100">
        <v>0.74</v>
      </c>
      <c r="V100">
        <v>0.76</v>
      </c>
      <c r="W100">
        <v>1.1399999999999999</v>
      </c>
      <c r="X100">
        <v>0.05</v>
      </c>
      <c r="Y100">
        <v>1</v>
      </c>
      <c r="Z100">
        <v>10</v>
      </c>
    </row>
    <row r="101" spans="1:26" x14ac:dyDescent="0.3">
      <c r="A101">
        <v>99</v>
      </c>
      <c r="B101">
        <v>110</v>
      </c>
      <c r="C101" t="s">
        <v>26</v>
      </c>
      <c r="D101">
        <v>10.498100000000001</v>
      </c>
      <c r="E101">
        <v>9.5299999999999994</v>
      </c>
      <c r="F101">
        <v>6.74</v>
      </c>
      <c r="G101">
        <v>101.16</v>
      </c>
      <c r="H101">
        <v>1.79</v>
      </c>
      <c r="I101">
        <v>4</v>
      </c>
      <c r="J101">
        <v>255.91</v>
      </c>
      <c r="K101">
        <v>56.13</v>
      </c>
      <c r="L101">
        <v>25.75</v>
      </c>
      <c r="M101">
        <v>2</v>
      </c>
      <c r="N101">
        <v>64.03</v>
      </c>
      <c r="O101">
        <v>31796.12</v>
      </c>
      <c r="P101">
        <v>88.37</v>
      </c>
      <c r="Q101">
        <v>204.14</v>
      </c>
      <c r="R101">
        <v>23.39</v>
      </c>
      <c r="S101">
        <v>17.37</v>
      </c>
      <c r="T101">
        <v>917.87</v>
      </c>
      <c r="U101">
        <v>0.74</v>
      </c>
      <c r="V101">
        <v>0.76</v>
      </c>
      <c r="W101">
        <v>1.1399999999999999</v>
      </c>
      <c r="X101">
        <v>0.05</v>
      </c>
      <c r="Y101">
        <v>1</v>
      </c>
      <c r="Z101">
        <v>10</v>
      </c>
    </row>
    <row r="102" spans="1:26" x14ac:dyDescent="0.3">
      <c r="A102">
        <v>100</v>
      </c>
      <c r="B102">
        <v>110</v>
      </c>
      <c r="C102" t="s">
        <v>26</v>
      </c>
      <c r="D102">
        <v>10.502700000000001</v>
      </c>
      <c r="E102">
        <v>9.52</v>
      </c>
      <c r="F102">
        <v>6.74</v>
      </c>
      <c r="G102">
        <v>101.1</v>
      </c>
      <c r="H102">
        <v>1.8</v>
      </c>
      <c r="I102">
        <v>4</v>
      </c>
      <c r="J102">
        <v>256.36</v>
      </c>
      <c r="K102">
        <v>56.13</v>
      </c>
      <c r="L102">
        <v>26</v>
      </c>
      <c r="M102">
        <v>2</v>
      </c>
      <c r="N102">
        <v>64.239999999999995</v>
      </c>
      <c r="O102">
        <v>31852.5</v>
      </c>
      <c r="P102">
        <v>87.97</v>
      </c>
      <c r="Q102">
        <v>204.14</v>
      </c>
      <c r="R102">
        <v>23.33</v>
      </c>
      <c r="S102">
        <v>17.37</v>
      </c>
      <c r="T102">
        <v>888.53</v>
      </c>
      <c r="U102">
        <v>0.74</v>
      </c>
      <c r="V102">
        <v>0.76</v>
      </c>
      <c r="W102">
        <v>1.1399999999999999</v>
      </c>
      <c r="X102">
        <v>0.05</v>
      </c>
      <c r="Y102">
        <v>1</v>
      </c>
      <c r="Z102">
        <v>10</v>
      </c>
    </row>
    <row r="103" spans="1:26" x14ac:dyDescent="0.3">
      <c r="A103">
        <v>101</v>
      </c>
      <c r="B103">
        <v>110</v>
      </c>
      <c r="C103" t="s">
        <v>26</v>
      </c>
      <c r="D103">
        <v>10.499000000000001</v>
      </c>
      <c r="E103">
        <v>9.52</v>
      </c>
      <c r="F103">
        <v>6.74</v>
      </c>
      <c r="G103">
        <v>101.15</v>
      </c>
      <c r="H103">
        <v>1.82</v>
      </c>
      <c r="I103">
        <v>4</v>
      </c>
      <c r="J103">
        <v>256.82</v>
      </c>
      <c r="K103">
        <v>56.13</v>
      </c>
      <c r="L103">
        <v>26.25</v>
      </c>
      <c r="M103">
        <v>2</v>
      </c>
      <c r="N103">
        <v>64.45</v>
      </c>
      <c r="O103">
        <v>31909.08</v>
      </c>
      <c r="P103">
        <v>87.74</v>
      </c>
      <c r="Q103">
        <v>204.14</v>
      </c>
      <c r="R103">
        <v>23.41</v>
      </c>
      <c r="S103">
        <v>17.37</v>
      </c>
      <c r="T103">
        <v>925.37</v>
      </c>
      <c r="U103">
        <v>0.74</v>
      </c>
      <c r="V103">
        <v>0.76</v>
      </c>
      <c r="W103">
        <v>1.1399999999999999</v>
      </c>
      <c r="X103">
        <v>0.05</v>
      </c>
      <c r="Y103">
        <v>1</v>
      </c>
      <c r="Z103">
        <v>10</v>
      </c>
    </row>
    <row r="104" spans="1:26" x14ac:dyDescent="0.3">
      <c r="A104">
        <v>102</v>
      </c>
      <c r="B104">
        <v>110</v>
      </c>
      <c r="C104" t="s">
        <v>26</v>
      </c>
      <c r="D104">
        <v>10.507300000000001</v>
      </c>
      <c r="E104">
        <v>9.52</v>
      </c>
      <c r="F104">
        <v>6.74</v>
      </c>
      <c r="G104">
        <v>101.03</v>
      </c>
      <c r="H104">
        <v>1.83</v>
      </c>
      <c r="I104">
        <v>4</v>
      </c>
      <c r="J104">
        <v>257.27999999999997</v>
      </c>
      <c r="K104">
        <v>56.13</v>
      </c>
      <c r="L104">
        <v>26.5</v>
      </c>
      <c r="M104">
        <v>2</v>
      </c>
      <c r="N104">
        <v>64.66</v>
      </c>
      <c r="O104">
        <v>31965.61</v>
      </c>
      <c r="P104">
        <v>87.39</v>
      </c>
      <c r="Q104">
        <v>204.14</v>
      </c>
      <c r="R104">
        <v>23.17</v>
      </c>
      <c r="S104">
        <v>17.37</v>
      </c>
      <c r="T104">
        <v>809.3</v>
      </c>
      <c r="U104">
        <v>0.75</v>
      </c>
      <c r="V104">
        <v>0.76</v>
      </c>
      <c r="W104">
        <v>1.1399999999999999</v>
      </c>
      <c r="X104">
        <v>0.04</v>
      </c>
      <c r="Y104">
        <v>1</v>
      </c>
      <c r="Z104">
        <v>10</v>
      </c>
    </row>
    <row r="105" spans="1:26" x14ac:dyDescent="0.3">
      <c r="A105">
        <v>103</v>
      </c>
      <c r="B105">
        <v>110</v>
      </c>
      <c r="C105" t="s">
        <v>26</v>
      </c>
      <c r="D105">
        <v>10.510899999999999</v>
      </c>
      <c r="E105">
        <v>9.51</v>
      </c>
      <c r="F105">
        <v>6.73</v>
      </c>
      <c r="G105">
        <v>100.98</v>
      </c>
      <c r="H105">
        <v>1.85</v>
      </c>
      <c r="I105">
        <v>4</v>
      </c>
      <c r="J105">
        <v>257.74</v>
      </c>
      <c r="K105">
        <v>56.13</v>
      </c>
      <c r="L105">
        <v>26.75</v>
      </c>
      <c r="M105">
        <v>2</v>
      </c>
      <c r="N105">
        <v>64.86</v>
      </c>
      <c r="O105">
        <v>32022.22</v>
      </c>
      <c r="P105">
        <v>87.14</v>
      </c>
      <c r="Q105">
        <v>204.14</v>
      </c>
      <c r="R105">
        <v>23.05</v>
      </c>
      <c r="S105">
        <v>17.37</v>
      </c>
      <c r="T105">
        <v>749.14</v>
      </c>
      <c r="U105">
        <v>0.75</v>
      </c>
      <c r="V105">
        <v>0.76</v>
      </c>
      <c r="W105">
        <v>1.1399999999999999</v>
      </c>
      <c r="X105">
        <v>0.04</v>
      </c>
      <c r="Y105">
        <v>1</v>
      </c>
      <c r="Z105">
        <v>10</v>
      </c>
    </row>
    <row r="106" spans="1:26" x14ac:dyDescent="0.3">
      <c r="A106">
        <v>104</v>
      </c>
      <c r="B106">
        <v>110</v>
      </c>
      <c r="C106" t="s">
        <v>26</v>
      </c>
      <c r="D106">
        <v>10.507899999999999</v>
      </c>
      <c r="E106">
        <v>9.52</v>
      </c>
      <c r="F106">
        <v>6.74</v>
      </c>
      <c r="G106">
        <v>101.03</v>
      </c>
      <c r="H106">
        <v>1.86</v>
      </c>
      <c r="I106">
        <v>4</v>
      </c>
      <c r="J106">
        <v>258.2</v>
      </c>
      <c r="K106">
        <v>56.13</v>
      </c>
      <c r="L106">
        <v>27</v>
      </c>
      <c r="M106">
        <v>2</v>
      </c>
      <c r="N106">
        <v>65.069999999999993</v>
      </c>
      <c r="O106">
        <v>32078.91</v>
      </c>
      <c r="P106">
        <v>86.88</v>
      </c>
      <c r="Q106">
        <v>204.14</v>
      </c>
      <c r="R106">
        <v>23.16</v>
      </c>
      <c r="S106">
        <v>17.37</v>
      </c>
      <c r="T106">
        <v>802.49</v>
      </c>
      <c r="U106">
        <v>0.75</v>
      </c>
      <c r="V106">
        <v>0.76</v>
      </c>
      <c r="W106">
        <v>1.1399999999999999</v>
      </c>
      <c r="X106">
        <v>0.04</v>
      </c>
      <c r="Y106">
        <v>1</v>
      </c>
      <c r="Z106">
        <v>10</v>
      </c>
    </row>
    <row r="107" spans="1:26" x14ac:dyDescent="0.3">
      <c r="A107">
        <v>105</v>
      </c>
      <c r="B107">
        <v>110</v>
      </c>
      <c r="C107" t="s">
        <v>26</v>
      </c>
      <c r="D107">
        <v>10.505100000000001</v>
      </c>
      <c r="E107">
        <v>9.52</v>
      </c>
      <c r="F107">
        <v>6.74</v>
      </c>
      <c r="G107">
        <v>101.06</v>
      </c>
      <c r="H107">
        <v>1.87</v>
      </c>
      <c r="I107">
        <v>4</v>
      </c>
      <c r="J107">
        <v>258.66000000000003</v>
      </c>
      <c r="K107">
        <v>56.13</v>
      </c>
      <c r="L107">
        <v>27.25</v>
      </c>
      <c r="M107">
        <v>2</v>
      </c>
      <c r="N107">
        <v>65.28</v>
      </c>
      <c r="O107">
        <v>32135.68</v>
      </c>
      <c r="P107">
        <v>86.69</v>
      </c>
      <c r="Q107">
        <v>204.14</v>
      </c>
      <c r="R107">
        <v>23.24</v>
      </c>
      <c r="S107">
        <v>17.37</v>
      </c>
      <c r="T107">
        <v>844.14</v>
      </c>
      <c r="U107">
        <v>0.75</v>
      </c>
      <c r="V107">
        <v>0.76</v>
      </c>
      <c r="W107">
        <v>1.1399999999999999</v>
      </c>
      <c r="X107">
        <v>0.05</v>
      </c>
      <c r="Y107">
        <v>1</v>
      </c>
      <c r="Z107">
        <v>10</v>
      </c>
    </row>
    <row r="108" spans="1:26" x14ac:dyDescent="0.3">
      <c r="A108">
        <v>106</v>
      </c>
      <c r="B108">
        <v>110</v>
      </c>
      <c r="C108" t="s">
        <v>26</v>
      </c>
      <c r="D108">
        <v>10.502700000000001</v>
      </c>
      <c r="E108">
        <v>9.52</v>
      </c>
      <c r="F108">
        <v>6.74</v>
      </c>
      <c r="G108">
        <v>101.1</v>
      </c>
      <c r="H108">
        <v>1.89</v>
      </c>
      <c r="I108">
        <v>4</v>
      </c>
      <c r="J108">
        <v>259.12</v>
      </c>
      <c r="K108">
        <v>56.13</v>
      </c>
      <c r="L108">
        <v>27.5</v>
      </c>
      <c r="M108">
        <v>2</v>
      </c>
      <c r="N108">
        <v>65.489999999999995</v>
      </c>
      <c r="O108">
        <v>32192.53</v>
      </c>
      <c r="P108">
        <v>86.48</v>
      </c>
      <c r="Q108">
        <v>204.14</v>
      </c>
      <c r="R108">
        <v>23.27</v>
      </c>
      <c r="S108">
        <v>17.37</v>
      </c>
      <c r="T108">
        <v>856.77</v>
      </c>
      <c r="U108">
        <v>0.75</v>
      </c>
      <c r="V108">
        <v>0.76</v>
      </c>
      <c r="W108">
        <v>1.1399999999999999</v>
      </c>
      <c r="X108">
        <v>0.05</v>
      </c>
      <c r="Y108">
        <v>1</v>
      </c>
      <c r="Z108">
        <v>10</v>
      </c>
    </row>
    <row r="109" spans="1:26" x14ac:dyDescent="0.3">
      <c r="A109">
        <v>107</v>
      </c>
      <c r="B109">
        <v>110</v>
      </c>
      <c r="C109" t="s">
        <v>26</v>
      </c>
      <c r="D109">
        <v>10.4993</v>
      </c>
      <c r="E109">
        <v>9.52</v>
      </c>
      <c r="F109">
        <v>6.74</v>
      </c>
      <c r="G109">
        <v>101.14</v>
      </c>
      <c r="H109">
        <v>1.9</v>
      </c>
      <c r="I109">
        <v>4</v>
      </c>
      <c r="J109">
        <v>259.58</v>
      </c>
      <c r="K109">
        <v>56.13</v>
      </c>
      <c r="L109">
        <v>27.75</v>
      </c>
      <c r="M109">
        <v>2</v>
      </c>
      <c r="N109">
        <v>65.709999999999994</v>
      </c>
      <c r="O109">
        <v>32249.46</v>
      </c>
      <c r="P109">
        <v>86.16</v>
      </c>
      <c r="Q109">
        <v>204.14</v>
      </c>
      <c r="R109">
        <v>23.44</v>
      </c>
      <c r="S109">
        <v>17.37</v>
      </c>
      <c r="T109">
        <v>941.16</v>
      </c>
      <c r="U109">
        <v>0.74</v>
      </c>
      <c r="V109">
        <v>0.76</v>
      </c>
      <c r="W109">
        <v>1.1399999999999999</v>
      </c>
      <c r="X109">
        <v>0.05</v>
      </c>
      <c r="Y109">
        <v>1</v>
      </c>
      <c r="Z109">
        <v>10</v>
      </c>
    </row>
    <row r="110" spans="1:26" x14ac:dyDescent="0.3">
      <c r="A110">
        <v>108</v>
      </c>
      <c r="B110">
        <v>110</v>
      </c>
      <c r="C110" t="s">
        <v>26</v>
      </c>
      <c r="D110">
        <v>10.5024</v>
      </c>
      <c r="E110">
        <v>9.52</v>
      </c>
      <c r="F110">
        <v>6.74</v>
      </c>
      <c r="G110">
        <v>101.1</v>
      </c>
      <c r="H110">
        <v>1.92</v>
      </c>
      <c r="I110">
        <v>4</v>
      </c>
      <c r="J110">
        <v>260.05</v>
      </c>
      <c r="K110">
        <v>56.13</v>
      </c>
      <c r="L110">
        <v>28</v>
      </c>
      <c r="M110">
        <v>2</v>
      </c>
      <c r="N110">
        <v>65.92</v>
      </c>
      <c r="O110">
        <v>32306.46</v>
      </c>
      <c r="P110">
        <v>85.74</v>
      </c>
      <c r="Q110">
        <v>204.14</v>
      </c>
      <c r="R110">
        <v>23.38</v>
      </c>
      <c r="S110">
        <v>17.37</v>
      </c>
      <c r="T110">
        <v>914.69</v>
      </c>
      <c r="U110">
        <v>0.74</v>
      </c>
      <c r="V110">
        <v>0.76</v>
      </c>
      <c r="W110">
        <v>1.1399999999999999</v>
      </c>
      <c r="X110">
        <v>0.05</v>
      </c>
      <c r="Y110">
        <v>1</v>
      </c>
      <c r="Z110">
        <v>10</v>
      </c>
    </row>
    <row r="111" spans="1:26" x14ac:dyDescent="0.3">
      <c r="A111">
        <v>109</v>
      </c>
      <c r="B111">
        <v>110</v>
      </c>
      <c r="C111" t="s">
        <v>26</v>
      </c>
      <c r="D111">
        <v>10.5067</v>
      </c>
      <c r="E111">
        <v>9.52</v>
      </c>
      <c r="F111">
        <v>6.74</v>
      </c>
      <c r="G111">
        <v>101.04</v>
      </c>
      <c r="H111">
        <v>1.93</v>
      </c>
      <c r="I111">
        <v>4</v>
      </c>
      <c r="J111">
        <v>260.51</v>
      </c>
      <c r="K111">
        <v>56.13</v>
      </c>
      <c r="L111">
        <v>28.25</v>
      </c>
      <c r="M111">
        <v>2</v>
      </c>
      <c r="N111">
        <v>66.13</v>
      </c>
      <c r="O111">
        <v>32363.54</v>
      </c>
      <c r="P111">
        <v>85.44</v>
      </c>
      <c r="Q111">
        <v>204.14</v>
      </c>
      <c r="R111">
        <v>23.24</v>
      </c>
      <c r="S111">
        <v>17.37</v>
      </c>
      <c r="T111">
        <v>843.05</v>
      </c>
      <c r="U111">
        <v>0.75</v>
      </c>
      <c r="V111">
        <v>0.76</v>
      </c>
      <c r="W111">
        <v>1.1399999999999999</v>
      </c>
      <c r="X111">
        <v>0.04</v>
      </c>
      <c r="Y111">
        <v>1</v>
      </c>
      <c r="Z111">
        <v>10</v>
      </c>
    </row>
    <row r="112" spans="1:26" x14ac:dyDescent="0.3">
      <c r="A112">
        <v>110</v>
      </c>
      <c r="B112">
        <v>110</v>
      </c>
      <c r="C112" t="s">
        <v>26</v>
      </c>
      <c r="D112">
        <v>10.504200000000001</v>
      </c>
      <c r="E112">
        <v>9.52</v>
      </c>
      <c r="F112">
        <v>6.74</v>
      </c>
      <c r="G112">
        <v>101.08</v>
      </c>
      <c r="H112">
        <v>1.94</v>
      </c>
      <c r="I112">
        <v>4</v>
      </c>
      <c r="J112">
        <v>260.97000000000003</v>
      </c>
      <c r="K112">
        <v>56.13</v>
      </c>
      <c r="L112">
        <v>28.5</v>
      </c>
      <c r="M112">
        <v>2</v>
      </c>
      <c r="N112">
        <v>66.349999999999994</v>
      </c>
      <c r="O112">
        <v>32420.71</v>
      </c>
      <c r="P112">
        <v>85.25</v>
      </c>
      <c r="Q112">
        <v>204.14</v>
      </c>
      <c r="R112">
        <v>23.29</v>
      </c>
      <c r="S112">
        <v>17.37</v>
      </c>
      <c r="T112">
        <v>868.78</v>
      </c>
      <c r="U112">
        <v>0.75</v>
      </c>
      <c r="V112">
        <v>0.76</v>
      </c>
      <c r="W112">
        <v>1.1399999999999999</v>
      </c>
      <c r="X112">
        <v>0.05</v>
      </c>
      <c r="Y112">
        <v>1</v>
      </c>
      <c r="Z112">
        <v>10</v>
      </c>
    </row>
    <row r="113" spans="1:26" x14ac:dyDescent="0.3">
      <c r="A113">
        <v>111</v>
      </c>
      <c r="B113">
        <v>110</v>
      </c>
      <c r="C113" t="s">
        <v>26</v>
      </c>
      <c r="D113">
        <v>10.5067</v>
      </c>
      <c r="E113">
        <v>9.52</v>
      </c>
      <c r="F113">
        <v>6.74</v>
      </c>
      <c r="G113">
        <v>101.04</v>
      </c>
      <c r="H113">
        <v>1.96</v>
      </c>
      <c r="I113">
        <v>4</v>
      </c>
      <c r="J113">
        <v>261.44</v>
      </c>
      <c r="K113">
        <v>56.13</v>
      </c>
      <c r="L113">
        <v>28.75</v>
      </c>
      <c r="M113">
        <v>2</v>
      </c>
      <c r="N113">
        <v>66.56</v>
      </c>
      <c r="O113">
        <v>32477.95</v>
      </c>
      <c r="P113">
        <v>85.03</v>
      </c>
      <c r="Q113">
        <v>204.14</v>
      </c>
      <c r="R113">
        <v>23.22</v>
      </c>
      <c r="S113">
        <v>17.37</v>
      </c>
      <c r="T113">
        <v>832.04</v>
      </c>
      <c r="U113">
        <v>0.75</v>
      </c>
      <c r="V113">
        <v>0.76</v>
      </c>
      <c r="W113">
        <v>1.1399999999999999</v>
      </c>
      <c r="X113">
        <v>0.04</v>
      </c>
      <c r="Y113">
        <v>1</v>
      </c>
      <c r="Z113">
        <v>10</v>
      </c>
    </row>
    <row r="114" spans="1:26" x14ac:dyDescent="0.3">
      <c r="A114">
        <v>112</v>
      </c>
      <c r="B114">
        <v>110</v>
      </c>
      <c r="C114" t="s">
        <v>26</v>
      </c>
      <c r="D114">
        <v>10.501799999999999</v>
      </c>
      <c r="E114">
        <v>9.52</v>
      </c>
      <c r="F114">
        <v>6.74</v>
      </c>
      <c r="G114">
        <v>101.11</v>
      </c>
      <c r="H114">
        <v>1.97</v>
      </c>
      <c r="I114">
        <v>4</v>
      </c>
      <c r="J114">
        <v>261.89999999999998</v>
      </c>
      <c r="K114">
        <v>56.13</v>
      </c>
      <c r="L114">
        <v>29</v>
      </c>
      <c r="M114">
        <v>2</v>
      </c>
      <c r="N114">
        <v>66.77</v>
      </c>
      <c r="O114">
        <v>32535.279999999999</v>
      </c>
      <c r="P114">
        <v>84.59</v>
      </c>
      <c r="Q114">
        <v>204.14</v>
      </c>
      <c r="R114">
        <v>23.37</v>
      </c>
      <c r="S114">
        <v>17.37</v>
      </c>
      <c r="T114">
        <v>908.6</v>
      </c>
      <c r="U114">
        <v>0.74</v>
      </c>
      <c r="V114">
        <v>0.76</v>
      </c>
      <c r="W114">
        <v>1.1399999999999999</v>
      </c>
      <c r="X114">
        <v>0.05</v>
      </c>
      <c r="Y114">
        <v>1</v>
      </c>
      <c r="Z114">
        <v>10</v>
      </c>
    </row>
    <row r="115" spans="1:26" x14ac:dyDescent="0.3">
      <c r="A115">
        <v>113</v>
      </c>
      <c r="B115">
        <v>110</v>
      </c>
      <c r="C115" t="s">
        <v>26</v>
      </c>
      <c r="D115">
        <v>10.4978</v>
      </c>
      <c r="E115">
        <v>9.5299999999999994</v>
      </c>
      <c r="F115">
        <v>6.74</v>
      </c>
      <c r="G115">
        <v>101.16</v>
      </c>
      <c r="H115">
        <v>1.98</v>
      </c>
      <c r="I115">
        <v>4</v>
      </c>
      <c r="J115">
        <v>262.37</v>
      </c>
      <c r="K115">
        <v>56.13</v>
      </c>
      <c r="L115">
        <v>29.25</v>
      </c>
      <c r="M115">
        <v>2</v>
      </c>
      <c r="N115">
        <v>66.989999999999995</v>
      </c>
      <c r="O115">
        <v>32592.68</v>
      </c>
      <c r="P115">
        <v>84.14</v>
      </c>
      <c r="Q115">
        <v>204.14</v>
      </c>
      <c r="R115">
        <v>23.45</v>
      </c>
      <c r="S115">
        <v>17.37</v>
      </c>
      <c r="T115">
        <v>947.45</v>
      </c>
      <c r="U115">
        <v>0.74</v>
      </c>
      <c r="V115">
        <v>0.76</v>
      </c>
      <c r="W115">
        <v>1.1399999999999999</v>
      </c>
      <c r="X115">
        <v>0.05</v>
      </c>
      <c r="Y115">
        <v>1</v>
      </c>
      <c r="Z115">
        <v>10</v>
      </c>
    </row>
    <row r="116" spans="1:26" x14ac:dyDescent="0.3">
      <c r="A116">
        <v>114</v>
      </c>
      <c r="B116">
        <v>110</v>
      </c>
      <c r="C116" t="s">
        <v>26</v>
      </c>
      <c r="D116">
        <v>10.504200000000001</v>
      </c>
      <c r="E116">
        <v>9.52</v>
      </c>
      <c r="F116">
        <v>6.74</v>
      </c>
      <c r="G116">
        <v>101.08</v>
      </c>
      <c r="H116">
        <v>2</v>
      </c>
      <c r="I116">
        <v>4</v>
      </c>
      <c r="J116">
        <v>262.83</v>
      </c>
      <c r="K116">
        <v>56.13</v>
      </c>
      <c r="L116">
        <v>29.5</v>
      </c>
      <c r="M116">
        <v>2</v>
      </c>
      <c r="N116">
        <v>67.209999999999994</v>
      </c>
      <c r="O116">
        <v>32650.17</v>
      </c>
      <c r="P116">
        <v>83.63</v>
      </c>
      <c r="Q116">
        <v>204.14</v>
      </c>
      <c r="R116">
        <v>23.3</v>
      </c>
      <c r="S116">
        <v>17.37</v>
      </c>
      <c r="T116">
        <v>871.68</v>
      </c>
      <c r="U116">
        <v>0.75</v>
      </c>
      <c r="V116">
        <v>0.76</v>
      </c>
      <c r="W116">
        <v>1.1399999999999999</v>
      </c>
      <c r="X116">
        <v>0.05</v>
      </c>
      <c r="Y116">
        <v>1</v>
      </c>
      <c r="Z116">
        <v>10</v>
      </c>
    </row>
    <row r="117" spans="1:26" x14ac:dyDescent="0.3">
      <c r="A117">
        <v>115</v>
      </c>
      <c r="B117">
        <v>110</v>
      </c>
      <c r="C117" t="s">
        <v>26</v>
      </c>
      <c r="D117">
        <v>10.574199999999999</v>
      </c>
      <c r="E117">
        <v>9.4600000000000009</v>
      </c>
      <c r="F117">
        <v>6.72</v>
      </c>
      <c r="G117">
        <v>134.35</v>
      </c>
      <c r="H117">
        <v>2.0099999999999998</v>
      </c>
      <c r="I117">
        <v>3</v>
      </c>
      <c r="J117">
        <v>263.3</v>
      </c>
      <c r="K117">
        <v>56.13</v>
      </c>
      <c r="L117">
        <v>29.75</v>
      </c>
      <c r="M117">
        <v>1</v>
      </c>
      <c r="N117">
        <v>67.42</v>
      </c>
      <c r="O117">
        <v>32707.74</v>
      </c>
      <c r="P117">
        <v>82.86</v>
      </c>
      <c r="Q117">
        <v>204.15</v>
      </c>
      <c r="R117">
        <v>22.61</v>
      </c>
      <c r="S117">
        <v>17.37</v>
      </c>
      <c r="T117">
        <v>530.74</v>
      </c>
      <c r="U117">
        <v>0.77</v>
      </c>
      <c r="V117">
        <v>0.76</v>
      </c>
      <c r="W117">
        <v>1.1399999999999999</v>
      </c>
      <c r="X117">
        <v>0.03</v>
      </c>
      <c r="Y117">
        <v>1</v>
      </c>
      <c r="Z117">
        <v>10</v>
      </c>
    </row>
    <row r="118" spans="1:26" x14ac:dyDescent="0.3">
      <c r="A118">
        <v>116</v>
      </c>
      <c r="B118">
        <v>110</v>
      </c>
      <c r="C118" t="s">
        <v>26</v>
      </c>
      <c r="D118">
        <v>10.5733</v>
      </c>
      <c r="E118">
        <v>9.4600000000000009</v>
      </c>
      <c r="F118">
        <v>6.72</v>
      </c>
      <c r="G118">
        <v>134.37</v>
      </c>
      <c r="H118">
        <v>2.02</v>
      </c>
      <c r="I118">
        <v>3</v>
      </c>
      <c r="J118">
        <v>263.77</v>
      </c>
      <c r="K118">
        <v>56.13</v>
      </c>
      <c r="L118">
        <v>30</v>
      </c>
      <c r="M118">
        <v>1</v>
      </c>
      <c r="N118">
        <v>67.64</v>
      </c>
      <c r="O118">
        <v>32765.39</v>
      </c>
      <c r="P118">
        <v>83.28</v>
      </c>
      <c r="Q118">
        <v>204.14</v>
      </c>
      <c r="R118">
        <v>22.63</v>
      </c>
      <c r="S118">
        <v>17.37</v>
      </c>
      <c r="T118">
        <v>541.92999999999995</v>
      </c>
      <c r="U118">
        <v>0.77</v>
      </c>
      <c r="V118">
        <v>0.76</v>
      </c>
      <c r="W118">
        <v>1.1399999999999999</v>
      </c>
      <c r="X118">
        <v>0.03</v>
      </c>
      <c r="Y118">
        <v>1</v>
      </c>
      <c r="Z118">
        <v>10</v>
      </c>
    </row>
    <row r="119" spans="1:26" x14ac:dyDescent="0.3">
      <c r="A119">
        <v>117</v>
      </c>
      <c r="B119">
        <v>110</v>
      </c>
      <c r="C119" t="s">
        <v>26</v>
      </c>
      <c r="D119">
        <v>10.569599999999999</v>
      </c>
      <c r="E119">
        <v>9.4600000000000009</v>
      </c>
      <c r="F119">
        <v>6.72</v>
      </c>
      <c r="G119">
        <v>134.43</v>
      </c>
      <c r="H119">
        <v>2.04</v>
      </c>
      <c r="I119">
        <v>3</v>
      </c>
      <c r="J119">
        <v>264.23</v>
      </c>
      <c r="K119">
        <v>56.13</v>
      </c>
      <c r="L119">
        <v>30.25</v>
      </c>
      <c r="M119">
        <v>0</v>
      </c>
      <c r="N119">
        <v>67.86</v>
      </c>
      <c r="O119">
        <v>32823.120000000003</v>
      </c>
      <c r="P119">
        <v>83.5</v>
      </c>
      <c r="Q119">
        <v>204.14</v>
      </c>
      <c r="R119">
        <v>22.7</v>
      </c>
      <c r="S119">
        <v>17.37</v>
      </c>
      <c r="T119">
        <v>574.98</v>
      </c>
      <c r="U119">
        <v>0.77</v>
      </c>
      <c r="V119">
        <v>0.76</v>
      </c>
      <c r="W119">
        <v>1.1399999999999999</v>
      </c>
      <c r="X119">
        <v>0.03</v>
      </c>
      <c r="Y119">
        <v>1</v>
      </c>
      <c r="Z119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Planilha10"/>
  <dimension ref="A1:Z158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150</v>
      </c>
      <c r="C2" t="s">
        <v>26</v>
      </c>
      <c r="D2">
        <v>5.2610000000000001</v>
      </c>
      <c r="E2">
        <v>19.010000000000002</v>
      </c>
      <c r="F2">
        <v>9.23</v>
      </c>
      <c r="G2">
        <v>4.54</v>
      </c>
      <c r="H2">
        <v>0.06</v>
      </c>
      <c r="I2">
        <v>122</v>
      </c>
      <c r="J2">
        <v>296.64999999999998</v>
      </c>
      <c r="K2">
        <v>61.82</v>
      </c>
      <c r="L2">
        <v>1</v>
      </c>
      <c r="M2">
        <v>120</v>
      </c>
      <c r="N2">
        <v>83.83</v>
      </c>
      <c r="O2">
        <v>36821.519999999997</v>
      </c>
      <c r="P2">
        <v>168.4</v>
      </c>
      <c r="Q2">
        <v>204.29</v>
      </c>
      <c r="R2">
        <v>100.7</v>
      </c>
      <c r="S2">
        <v>17.37</v>
      </c>
      <c r="T2">
        <v>38984.120000000003</v>
      </c>
      <c r="U2">
        <v>0.17</v>
      </c>
      <c r="V2">
        <v>0.55000000000000004</v>
      </c>
      <c r="W2">
        <v>1.35</v>
      </c>
      <c r="X2">
        <v>2.54</v>
      </c>
      <c r="Y2">
        <v>1</v>
      </c>
      <c r="Z2">
        <v>10</v>
      </c>
    </row>
    <row r="3" spans="1:26" x14ac:dyDescent="0.3">
      <c r="A3">
        <v>1</v>
      </c>
      <c r="B3">
        <v>150</v>
      </c>
      <c r="C3" t="s">
        <v>26</v>
      </c>
      <c r="D3">
        <v>6.0567000000000002</v>
      </c>
      <c r="E3">
        <v>16.510000000000002</v>
      </c>
      <c r="F3">
        <v>8.51</v>
      </c>
      <c r="G3">
        <v>5.68</v>
      </c>
      <c r="H3">
        <v>7.0000000000000007E-2</v>
      </c>
      <c r="I3">
        <v>90</v>
      </c>
      <c r="J3">
        <v>297.17</v>
      </c>
      <c r="K3">
        <v>61.82</v>
      </c>
      <c r="L3">
        <v>1.25</v>
      </c>
      <c r="M3">
        <v>88</v>
      </c>
      <c r="N3">
        <v>84.1</v>
      </c>
      <c r="O3">
        <v>36885.699999999997</v>
      </c>
      <c r="P3">
        <v>155.19</v>
      </c>
      <c r="Q3">
        <v>204.25</v>
      </c>
      <c r="R3">
        <v>78.459999999999994</v>
      </c>
      <c r="S3">
        <v>17.37</v>
      </c>
      <c r="T3">
        <v>28023.599999999999</v>
      </c>
      <c r="U3">
        <v>0.22</v>
      </c>
      <c r="V3">
        <v>0.6</v>
      </c>
      <c r="W3">
        <v>1.28</v>
      </c>
      <c r="X3">
        <v>1.82</v>
      </c>
      <c r="Y3">
        <v>1</v>
      </c>
      <c r="Z3">
        <v>10</v>
      </c>
    </row>
    <row r="4" spans="1:26" x14ac:dyDescent="0.3">
      <c r="A4">
        <v>2</v>
      </c>
      <c r="B4">
        <v>150</v>
      </c>
      <c r="C4" t="s">
        <v>26</v>
      </c>
      <c r="D4">
        <v>6.6108000000000002</v>
      </c>
      <c r="E4">
        <v>15.13</v>
      </c>
      <c r="F4">
        <v>8.1300000000000008</v>
      </c>
      <c r="G4">
        <v>6.77</v>
      </c>
      <c r="H4">
        <v>0.09</v>
      </c>
      <c r="I4">
        <v>72</v>
      </c>
      <c r="J4">
        <v>297.7</v>
      </c>
      <c r="K4">
        <v>61.82</v>
      </c>
      <c r="L4">
        <v>1.5</v>
      </c>
      <c r="M4">
        <v>70</v>
      </c>
      <c r="N4">
        <v>84.37</v>
      </c>
      <c r="O4">
        <v>36949.99</v>
      </c>
      <c r="P4">
        <v>148.13999999999999</v>
      </c>
      <c r="Q4">
        <v>204.27</v>
      </c>
      <c r="R4">
        <v>66.510000000000005</v>
      </c>
      <c r="S4">
        <v>17.37</v>
      </c>
      <c r="T4">
        <v>22137.02</v>
      </c>
      <c r="U4">
        <v>0.26</v>
      </c>
      <c r="V4">
        <v>0.63</v>
      </c>
      <c r="W4">
        <v>1.25</v>
      </c>
      <c r="X4">
        <v>1.43</v>
      </c>
      <c r="Y4">
        <v>1</v>
      </c>
      <c r="Z4">
        <v>10</v>
      </c>
    </row>
    <row r="5" spans="1:26" x14ac:dyDescent="0.3">
      <c r="A5">
        <v>3</v>
      </c>
      <c r="B5">
        <v>150</v>
      </c>
      <c r="C5" t="s">
        <v>26</v>
      </c>
      <c r="D5">
        <v>7.0304000000000002</v>
      </c>
      <c r="E5">
        <v>14.22</v>
      </c>
      <c r="F5">
        <v>7.89</v>
      </c>
      <c r="G5">
        <v>7.89</v>
      </c>
      <c r="H5">
        <v>0.1</v>
      </c>
      <c r="I5">
        <v>60</v>
      </c>
      <c r="J5">
        <v>298.22000000000003</v>
      </c>
      <c r="K5">
        <v>61.82</v>
      </c>
      <c r="L5">
        <v>1.75</v>
      </c>
      <c r="M5">
        <v>58</v>
      </c>
      <c r="N5">
        <v>84.65</v>
      </c>
      <c r="O5">
        <v>37014.39</v>
      </c>
      <c r="P5">
        <v>143.75</v>
      </c>
      <c r="Q5">
        <v>204.19</v>
      </c>
      <c r="R5">
        <v>59.66</v>
      </c>
      <c r="S5">
        <v>17.37</v>
      </c>
      <c r="T5">
        <v>18770.330000000002</v>
      </c>
      <c r="U5">
        <v>0.28999999999999998</v>
      </c>
      <c r="V5">
        <v>0.65</v>
      </c>
      <c r="W5">
        <v>1.22</v>
      </c>
      <c r="X5">
        <v>1.2</v>
      </c>
      <c r="Y5">
        <v>1</v>
      </c>
      <c r="Z5">
        <v>10</v>
      </c>
    </row>
    <row r="6" spans="1:26" x14ac:dyDescent="0.3">
      <c r="A6">
        <v>4</v>
      </c>
      <c r="B6">
        <v>150</v>
      </c>
      <c r="C6" t="s">
        <v>26</v>
      </c>
      <c r="D6">
        <v>7.343</v>
      </c>
      <c r="E6">
        <v>13.62</v>
      </c>
      <c r="F6">
        <v>7.73</v>
      </c>
      <c r="G6">
        <v>8.92</v>
      </c>
      <c r="H6">
        <v>0.12</v>
      </c>
      <c r="I6">
        <v>52</v>
      </c>
      <c r="J6">
        <v>298.74</v>
      </c>
      <c r="K6">
        <v>61.82</v>
      </c>
      <c r="L6">
        <v>2</v>
      </c>
      <c r="M6">
        <v>50</v>
      </c>
      <c r="N6">
        <v>84.92</v>
      </c>
      <c r="O6">
        <v>37078.910000000003</v>
      </c>
      <c r="P6">
        <v>140.78</v>
      </c>
      <c r="Q6">
        <v>204.21</v>
      </c>
      <c r="R6">
        <v>54.13</v>
      </c>
      <c r="S6">
        <v>17.37</v>
      </c>
      <c r="T6">
        <v>16045.88</v>
      </c>
      <c r="U6">
        <v>0.32</v>
      </c>
      <c r="V6">
        <v>0.66</v>
      </c>
      <c r="W6">
        <v>1.22</v>
      </c>
      <c r="X6">
        <v>1.04</v>
      </c>
      <c r="Y6">
        <v>1</v>
      </c>
      <c r="Z6">
        <v>10</v>
      </c>
    </row>
    <row r="7" spans="1:26" x14ac:dyDescent="0.3">
      <c r="A7">
        <v>5</v>
      </c>
      <c r="B7">
        <v>150</v>
      </c>
      <c r="C7" t="s">
        <v>26</v>
      </c>
      <c r="D7">
        <v>7.6414999999999997</v>
      </c>
      <c r="E7">
        <v>13.09</v>
      </c>
      <c r="F7">
        <v>7.59</v>
      </c>
      <c r="G7">
        <v>10.119999999999999</v>
      </c>
      <c r="H7">
        <v>0.13</v>
      </c>
      <c r="I7">
        <v>45</v>
      </c>
      <c r="J7">
        <v>299.26</v>
      </c>
      <c r="K7">
        <v>61.82</v>
      </c>
      <c r="L7">
        <v>2.25</v>
      </c>
      <c r="M7">
        <v>43</v>
      </c>
      <c r="N7">
        <v>85.19</v>
      </c>
      <c r="O7">
        <v>37143.54</v>
      </c>
      <c r="P7">
        <v>138.11000000000001</v>
      </c>
      <c r="Q7">
        <v>204.2</v>
      </c>
      <c r="R7">
        <v>49.86</v>
      </c>
      <c r="S7">
        <v>17.37</v>
      </c>
      <c r="T7">
        <v>13948.11</v>
      </c>
      <c r="U7">
        <v>0.35</v>
      </c>
      <c r="V7">
        <v>0.67</v>
      </c>
      <c r="W7">
        <v>1.21</v>
      </c>
      <c r="X7">
        <v>0.9</v>
      </c>
      <c r="Y7">
        <v>1</v>
      </c>
      <c r="Z7">
        <v>10</v>
      </c>
    </row>
    <row r="8" spans="1:26" x14ac:dyDescent="0.3">
      <c r="A8">
        <v>6</v>
      </c>
      <c r="B8">
        <v>150</v>
      </c>
      <c r="C8" t="s">
        <v>26</v>
      </c>
      <c r="D8">
        <v>7.8777999999999997</v>
      </c>
      <c r="E8">
        <v>12.69</v>
      </c>
      <c r="F8">
        <v>7.47</v>
      </c>
      <c r="G8">
        <v>11.21</v>
      </c>
      <c r="H8">
        <v>0.15</v>
      </c>
      <c r="I8">
        <v>40</v>
      </c>
      <c r="J8">
        <v>299.79000000000002</v>
      </c>
      <c r="K8">
        <v>61.82</v>
      </c>
      <c r="L8">
        <v>2.5</v>
      </c>
      <c r="M8">
        <v>38</v>
      </c>
      <c r="N8">
        <v>85.47</v>
      </c>
      <c r="O8">
        <v>37208.42</v>
      </c>
      <c r="P8">
        <v>135.94</v>
      </c>
      <c r="Q8">
        <v>204.19</v>
      </c>
      <c r="R8">
        <v>46.52</v>
      </c>
      <c r="S8">
        <v>17.37</v>
      </c>
      <c r="T8">
        <v>12301.13</v>
      </c>
      <c r="U8">
        <v>0.37</v>
      </c>
      <c r="V8">
        <v>0.68</v>
      </c>
      <c r="W8">
        <v>1.19</v>
      </c>
      <c r="X8">
        <v>0.78</v>
      </c>
      <c r="Y8">
        <v>1</v>
      </c>
      <c r="Z8">
        <v>10</v>
      </c>
    </row>
    <row r="9" spans="1:26" x14ac:dyDescent="0.3">
      <c r="A9">
        <v>7</v>
      </c>
      <c r="B9">
        <v>150</v>
      </c>
      <c r="C9" t="s">
        <v>26</v>
      </c>
      <c r="D9">
        <v>8.0124999999999993</v>
      </c>
      <c r="E9">
        <v>12.48</v>
      </c>
      <c r="F9">
        <v>7.43</v>
      </c>
      <c r="G9">
        <v>12.05</v>
      </c>
      <c r="H9">
        <v>0.16</v>
      </c>
      <c r="I9">
        <v>37</v>
      </c>
      <c r="J9">
        <v>300.32</v>
      </c>
      <c r="K9">
        <v>61.82</v>
      </c>
      <c r="L9">
        <v>2.75</v>
      </c>
      <c r="M9">
        <v>35</v>
      </c>
      <c r="N9">
        <v>85.74</v>
      </c>
      <c r="O9">
        <v>37273.29</v>
      </c>
      <c r="P9">
        <v>135.08000000000001</v>
      </c>
      <c r="Q9">
        <v>204.23</v>
      </c>
      <c r="R9">
        <v>44.71</v>
      </c>
      <c r="S9">
        <v>17.37</v>
      </c>
      <c r="T9">
        <v>11409.98</v>
      </c>
      <c r="U9">
        <v>0.39</v>
      </c>
      <c r="V9">
        <v>0.69</v>
      </c>
      <c r="W9">
        <v>1.2</v>
      </c>
      <c r="X9">
        <v>0.74</v>
      </c>
      <c r="Y9">
        <v>1</v>
      </c>
      <c r="Z9">
        <v>10</v>
      </c>
    </row>
    <row r="10" spans="1:26" x14ac:dyDescent="0.3">
      <c r="A10">
        <v>8</v>
      </c>
      <c r="B10">
        <v>150</v>
      </c>
      <c r="C10" t="s">
        <v>26</v>
      </c>
      <c r="D10">
        <v>8.2239000000000004</v>
      </c>
      <c r="E10">
        <v>12.16</v>
      </c>
      <c r="F10">
        <v>7.33</v>
      </c>
      <c r="G10">
        <v>13.33</v>
      </c>
      <c r="H10">
        <v>0.18</v>
      </c>
      <c r="I10">
        <v>33</v>
      </c>
      <c r="J10">
        <v>300.83999999999997</v>
      </c>
      <c r="K10">
        <v>61.82</v>
      </c>
      <c r="L10">
        <v>3</v>
      </c>
      <c r="M10">
        <v>31</v>
      </c>
      <c r="N10">
        <v>86.02</v>
      </c>
      <c r="O10">
        <v>37338.269999999997</v>
      </c>
      <c r="P10">
        <v>133.22999999999999</v>
      </c>
      <c r="Q10">
        <v>204.15</v>
      </c>
      <c r="R10">
        <v>41.46</v>
      </c>
      <c r="S10">
        <v>17.37</v>
      </c>
      <c r="T10">
        <v>9808.98</v>
      </c>
      <c r="U10">
        <v>0.42</v>
      </c>
      <c r="V10">
        <v>0.7</v>
      </c>
      <c r="W10">
        <v>1.19</v>
      </c>
      <c r="X10">
        <v>0.64</v>
      </c>
      <c r="Y10">
        <v>1</v>
      </c>
      <c r="Z10">
        <v>10</v>
      </c>
    </row>
    <row r="11" spans="1:26" x14ac:dyDescent="0.3">
      <c r="A11">
        <v>9</v>
      </c>
      <c r="B11">
        <v>150</v>
      </c>
      <c r="C11" t="s">
        <v>26</v>
      </c>
      <c r="D11">
        <v>8.3237000000000005</v>
      </c>
      <c r="E11">
        <v>12.01</v>
      </c>
      <c r="F11">
        <v>7.29</v>
      </c>
      <c r="G11">
        <v>14.12</v>
      </c>
      <c r="H11">
        <v>0.19</v>
      </c>
      <c r="I11">
        <v>31</v>
      </c>
      <c r="J11">
        <v>301.37</v>
      </c>
      <c r="K11">
        <v>61.82</v>
      </c>
      <c r="L11">
        <v>3.25</v>
      </c>
      <c r="M11">
        <v>29</v>
      </c>
      <c r="N11">
        <v>86.3</v>
      </c>
      <c r="O11">
        <v>37403.379999999997</v>
      </c>
      <c r="P11">
        <v>132.53</v>
      </c>
      <c r="Q11">
        <v>204.19</v>
      </c>
      <c r="R11">
        <v>40.58</v>
      </c>
      <c r="S11">
        <v>17.37</v>
      </c>
      <c r="T11">
        <v>9377.26</v>
      </c>
      <c r="U11">
        <v>0.43</v>
      </c>
      <c r="V11">
        <v>0.7</v>
      </c>
      <c r="W11">
        <v>1.19</v>
      </c>
      <c r="X11">
        <v>0.6</v>
      </c>
      <c r="Y11">
        <v>1</v>
      </c>
      <c r="Z11">
        <v>10</v>
      </c>
    </row>
    <row r="12" spans="1:26" x14ac:dyDescent="0.3">
      <c r="A12">
        <v>10</v>
      </c>
      <c r="B12">
        <v>150</v>
      </c>
      <c r="C12" t="s">
        <v>26</v>
      </c>
      <c r="D12">
        <v>8.4906000000000006</v>
      </c>
      <c r="E12">
        <v>11.78</v>
      </c>
      <c r="F12">
        <v>7.22</v>
      </c>
      <c r="G12">
        <v>15.48</v>
      </c>
      <c r="H12">
        <v>0.21</v>
      </c>
      <c r="I12">
        <v>28</v>
      </c>
      <c r="J12">
        <v>301.89999999999998</v>
      </c>
      <c r="K12">
        <v>61.82</v>
      </c>
      <c r="L12">
        <v>3.5</v>
      </c>
      <c r="M12">
        <v>26</v>
      </c>
      <c r="N12">
        <v>86.58</v>
      </c>
      <c r="O12">
        <v>37468.6</v>
      </c>
      <c r="P12">
        <v>131.19999999999999</v>
      </c>
      <c r="Q12">
        <v>204.14</v>
      </c>
      <c r="R12">
        <v>38.71</v>
      </c>
      <c r="S12">
        <v>17.37</v>
      </c>
      <c r="T12">
        <v>8458.61</v>
      </c>
      <c r="U12">
        <v>0.45</v>
      </c>
      <c r="V12">
        <v>0.71</v>
      </c>
      <c r="W12">
        <v>1.17</v>
      </c>
      <c r="X12">
        <v>0.53</v>
      </c>
      <c r="Y12">
        <v>1</v>
      </c>
      <c r="Z12">
        <v>10</v>
      </c>
    </row>
    <row r="13" spans="1:26" x14ac:dyDescent="0.3">
      <c r="A13">
        <v>11</v>
      </c>
      <c r="B13">
        <v>150</v>
      </c>
      <c r="C13" t="s">
        <v>26</v>
      </c>
      <c r="D13">
        <v>8.5955999999999992</v>
      </c>
      <c r="E13">
        <v>11.63</v>
      </c>
      <c r="F13">
        <v>7.19</v>
      </c>
      <c r="G13">
        <v>16.600000000000001</v>
      </c>
      <c r="H13">
        <v>0.22</v>
      </c>
      <c r="I13">
        <v>26</v>
      </c>
      <c r="J13">
        <v>302.43</v>
      </c>
      <c r="K13">
        <v>61.82</v>
      </c>
      <c r="L13">
        <v>3.75</v>
      </c>
      <c r="M13">
        <v>24</v>
      </c>
      <c r="N13">
        <v>86.86</v>
      </c>
      <c r="O13">
        <v>37533.94</v>
      </c>
      <c r="P13">
        <v>130.63</v>
      </c>
      <c r="Q13">
        <v>204.15</v>
      </c>
      <c r="R13">
        <v>37.340000000000003</v>
      </c>
      <c r="S13">
        <v>17.37</v>
      </c>
      <c r="T13">
        <v>7782.54</v>
      </c>
      <c r="U13">
        <v>0.47</v>
      </c>
      <c r="V13">
        <v>0.71</v>
      </c>
      <c r="W13">
        <v>1.18</v>
      </c>
      <c r="X13">
        <v>0.5</v>
      </c>
      <c r="Y13">
        <v>1</v>
      </c>
      <c r="Z13">
        <v>10</v>
      </c>
    </row>
    <row r="14" spans="1:26" x14ac:dyDescent="0.3">
      <c r="A14">
        <v>12</v>
      </c>
      <c r="B14">
        <v>150</v>
      </c>
      <c r="C14" t="s">
        <v>26</v>
      </c>
      <c r="D14">
        <v>8.6555</v>
      </c>
      <c r="E14">
        <v>11.55</v>
      </c>
      <c r="F14">
        <v>7.17</v>
      </c>
      <c r="G14">
        <v>17.2</v>
      </c>
      <c r="H14">
        <v>0.24</v>
      </c>
      <c r="I14">
        <v>25</v>
      </c>
      <c r="J14">
        <v>302.95999999999998</v>
      </c>
      <c r="K14">
        <v>61.82</v>
      </c>
      <c r="L14">
        <v>4</v>
      </c>
      <c r="M14">
        <v>23</v>
      </c>
      <c r="N14">
        <v>87.14</v>
      </c>
      <c r="O14">
        <v>37599.4</v>
      </c>
      <c r="P14">
        <v>130.09</v>
      </c>
      <c r="Q14">
        <v>204.2</v>
      </c>
      <c r="R14">
        <v>36.69</v>
      </c>
      <c r="S14">
        <v>17.37</v>
      </c>
      <c r="T14">
        <v>7463.32</v>
      </c>
      <c r="U14">
        <v>0.47</v>
      </c>
      <c r="V14">
        <v>0.71</v>
      </c>
      <c r="W14">
        <v>1.17</v>
      </c>
      <c r="X14">
        <v>0.47</v>
      </c>
      <c r="Y14">
        <v>1</v>
      </c>
      <c r="Z14">
        <v>10</v>
      </c>
    </row>
    <row r="15" spans="1:26" x14ac:dyDescent="0.3">
      <c r="A15">
        <v>13</v>
      </c>
      <c r="B15">
        <v>150</v>
      </c>
      <c r="C15" t="s">
        <v>26</v>
      </c>
      <c r="D15">
        <v>8.7666000000000004</v>
      </c>
      <c r="E15">
        <v>11.41</v>
      </c>
      <c r="F15">
        <v>7.13</v>
      </c>
      <c r="G15">
        <v>18.61</v>
      </c>
      <c r="H15">
        <v>0.25</v>
      </c>
      <c r="I15">
        <v>23</v>
      </c>
      <c r="J15">
        <v>303.49</v>
      </c>
      <c r="K15">
        <v>61.82</v>
      </c>
      <c r="L15">
        <v>4.25</v>
      </c>
      <c r="M15">
        <v>21</v>
      </c>
      <c r="N15">
        <v>87.42</v>
      </c>
      <c r="O15">
        <v>37664.980000000003</v>
      </c>
      <c r="P15">
        <v>129.38999999999999</v>
      </c>
      <c r="Q15">
        <v>204.14</v>
      </c>
      <c r="R15">
        <v>35.76</v>
      </c>
      <c r="S15">
        <v>17.37</v>
      </c>
      <c r="T15">
        <v>7005.93</v>
      </c>
      <c r="U15">
        <v>0.49</v>
      </c>
      <c r="V15">
        <v>0.72</v>
      </c>
      <c r="W15">
        <v>1.17</v>
      </c>
      <c r="X15">
        <v>0.44</v>
      </c>
      <c r="Y15">
        <v>1</v>
      </c>
      <c r="Z15">
        <v>10</v>
      </c>
    </row>
    <row r="16" spans="1:26" x14ac:dyDescent="0.3">
      <c r="A16">
        <v>14</v>
      </c>
      <c r="B16">
        <v>150</v>
      </c>
      <c r="C16" t="s">
        <v>26</v>
      </c>
      <c r="D16">
        <v>8.8254999999999999</v>
      </c>
      <c r="E16">
        <v>11.33</v>
      </c>
      <c r="F16">
        <v>7.11</v>
      </c>
      <c r="G16">
        <v>19.39</v>
      </c>
      <c r="H16">
        <v>0.26</v>
      </c>
      <c r="I16">
        <v>22</v>
      </c>
      <c r="J16">
        <v>304.02999999999997</v>
      </c>
      <c r="K16">
        <v>61.82</v>
      </c>
      <c r="L16">
        <v>4.5</v>
      </c>
      <c r="M16">
        <v>20</v>
      </c>
      <c r="N16">
        <v>87.7</v>
      </c>
      <c r="O16">
        <v>37730.68</v>
      </c>
      <c r="P16">
        <v>129.01</v>
      </c>
      <c r="Q16">
        <v>204.17</v>
      </c>
      <c r="R16">
        <v>34.869999999999997</v>
      </c>
      <c r="S16">
        <v>17.37</v>
      </c>
      <c r="T16">
        <v>6567.73</v>
      </c>
      <c r="U16">
        <v>0.5</v>
      </c>
      <c r="V16">
        <v>0.72</v>
      </c>
      <c r="W16">
        <v>1.17</v>
      </c>
      <c r="X16">
        <v>0.42</v>
      </c>
      <c r="Y16">
        <v>1</v>
      </c>
      <c r="Z16">
        <v>10</v>
      </c>
    </row>
    <row r="17" spans="1:26" x14ac:dyDescent="0.3">
      <c r="A17">
        <v>15</v>
      </c>
      <c r="B17">
        <v>150</v>
      </c>
      <c r="C17" t="s">
        <v>26</v>
      </c>
      <c r="D17">
        <v>8.8943999999999992</v>
      </c>
      <c r="E17">
        <v>11.24</v>
      </c>
      <c r="F17">
        <v>7.08</v>
      </c>
      <c r="G17">
        <v>20.23</v>
      </c>
      <c r="H17">
        <v>0.28000000000000003</v>
      </c>
      <c r="I17">
        <v>21</v>
      </c>
      <c r="J17">
        <v>304.56</v>
      </c>
      <c r="K17">
        <v>61.82</v>
      </c>
      <c r="L17">
        <v>4.75</v>
      </c>
      <c r="M17">
        <v>19</v>
      </c>
      <c r="N17">
        <v>87.99</v>
      </c>
      <c r="O17">
        <v>37796.51</v>
      </c>
      <c r="P17">
        <v>128.28</v>
      </c>
      <c r="Q17">
        <v>204.16</v>
      </c>
      <c r="R17">
        <v>34</v>
      </c>
      <c r="S17">
        <v>17.37</v>
      </c>
      <c r="T17">
        <v>6135.26</v>
      </c>
      <c r="U17">
        <v>0.51</v>
      </c>
      <c r="V17">
        <v>0.72</v>
      </c>
      <c r="W17">
        <v>1.17</v>
      </c>
      <c r="X17">
        <v>0.39</v>
      </c>
      <c r="Y17">
        <v>1</v>
      </c>
      <c r="Z17">
        <v>10</v>
      </c>
    </row>
    <row r="18" spans="1:26" x14ac:dyDescent="0.3">
      <c r="A18">
        <v>16</v>
      </c>
      <c r="B18">
        <v>150</v>
      </c>
      <c r="C18" t="s">
        <v>26</v>
      </c>
      <c r="D18">
        <v>8.9400999999999993</v>
      </c>
      <c r="E18">
        <v>11.19</v>
      </c>
      <c r="F18">
        <v>7.08</v>
      </c>
      <c r="G18">
        <v>21.23</v>
      </c>
      <c r="H18">
        <v>0.28999999999999998</v>
      </c>
      <c r="I18">
        <v>20</v>
      </c>
      <c r="J18">
        <v>305.08999999999997</v>
      </c>
      <c r="K18">
        <v>61.82</v>
      </c>
      <c r="L18">
        <v>5</v>
      </c>
      <c r="M18">
        <v>18</v>
      </c>
      <c r="N18">
        <v>88.27</v>
      </c>
      <c r="O18">
        <v>37862.449999999997</v>
      </c>
      <c r="P18">
        <v>128.22999999999999</v>
      </c>
      <c r="Q18">
        <v>204.15</v>
      </c>
      <c r="R18">
        <v>33.71</v>
      </c>
      <c r="S18">
        <v>17.37</v>
      </c>
      <c r="T18">
        <v>5996.54</v>
      </c>
      <c r="U18">
        <v>0.52</v>
      </c>
      <c r="V18">
        <v>0.72</v>
      </c>
      <c r="W18">
        <v>1.17</v>
      </c>
      <c r="X18">
        <v>0.39</v>
      </c>
      <c r="Y18">
        <v>1</v>
      </c>
      <c r="Z18">
        <v>10</v>
      </c>
    </row>
    <row r="19" spans="1:26" x14ac:dyDescent="0.3">
      <c r="A19">
        <v>17</v>
      </c>
      <c r="B19">
        <v>150</v>
      </c>
      <c r="C19" t="s">
        <v>26</v>
      </c>
      <c r="D19">
        <v>9.0020000000000007</v>
      </c>
      <c r="E19">
        <v>11.11</v>
      </c>
      <c r="F19">
        <v>7.06</v>
      </c>
      <c r="G19">
        <v>22.28</v>
      </c>
      <c r="H19">
        <v>0.31</v>
      </c>
      <c r="I19">
        <v>19</v>
      </c>
      <c r="J19">
        <v>305.63</v>
      </c>
      <c r="K19">
        <v>61.82</v>
      </c>
      <c r="L19">
        <v>5.25</v>
      </c>
      <c r="M19">
        <v>17</v>
      </c>
      <c r="N19">
        <v>88.56</v>
      </c>
      <c r="O19">
        <v>37928.519999999997</v>
      </c>
      <c r="P19">
        <v>127.83</v>
      </c>
      <c r="Q19">
        <v>204.14</v>
      </c>
      <c r="R19">
        <v>33.26</v>
      </c>
      <c r="S19">
        <v>17.37</v>
      </c>
      <c r="T19">
        <v>5778.63</v>
      </c>
      <c r="U19">
        <v>0.52</v>
      </c>
      <c r="V19">
        <v>0.72</v>
      </c>
      <c r="W19">
        <v>1.17</v>
      </c>
      <c r="X19">
        <v>0.36</v>
      </c>
      <c r="Y19">
        <v>1</v>
      </c>
      <c r="Z19">
        <v>10</v>
      </c>
    </row>
    <row r="20" spans="1:26" x14ac:dyDescent="0.3">
      <c r="A20">
        <v>18</v>
      </c>
      <c r="B20">
        <v>150</v>
      </c>
      <c r="C20" t="s">
        <v>26</v>
      </c>
      <c r="D20">
        <v>9.0771999999999995</v>
      </c>
      <c r="E20">
        <v>11.02</v>
      </c>
      <c r="F20">
        <v>7.02</v>
      </c>
      <c r="G20">
        <v>23.4</v>
      </c>
      <c r="H20">
        <v>0.32</v>
      </c>
      <c r="I20">
        <v>18</v>
      </c>
      <c r="J20">
        <v>306.17</v>
      </c>
      <c r="K20">
        <v>61.82</v>
      </c>
      <c r="L20">
        <v>5.5</v>
      </c>
      <c r="M20">
        <v>16</v>
      </c>
      <c r="N20">
        <v>88.84</v>
      </c>
      <c r="O20">
        <v>37994.720000000001</v>
      </c>
      <c r="P20">
        <v>127.14</v>
      </c>
      <c r="Q20">
        <v>204.16</v>
      </c>
      <c r="R20">
        <v>31.89</v>
      </c>
      <c r="S20">
        <v>17.37</v>
      </c>
      <c r="T20">
        <v>5098.6000000000004</v>
      </c>
      <c r="U20">
        <v>0.54</v>
      </c>
      <c r="V20">
        <v>0.73</v>
      </c>
      <c r="W20">
        <v>1.17</v>
      </c>
      <c r="X20">
        <v>0.33</v>
      </c>
      <c r="Y20">
        <v>1</v>
      </c>
      <c r="Z20">
        <v>10</v>
      </c>
    </row>
    <row r="21" spans="1:26" x14ac:dyDescent="0.3">
      <c r="A21">
        <v>19</v>
      </c>
      <c r="B21">
        <v>150</v>
      </c>
      <c r="C21" t="s">
        <v>26</v>
      </c>
      <c r="D21">
        <v>9.1271000000000004</v>
      </c>
      <c r="E21">
        <v>10.96</v>
      </c>
      <c r="F21">
        <v>7.01</v>
      </c>
      <c r="G21">
        <v>24.76</v>
      </c>
      <c r="H21">
        <v>0.33</v>
      </c>
      <c r="I21">
        <v>17</v>
      </c>
      <c r="J21">
        <v>306.7</v>
      </c>
      <c r="K21">
        <v>61.82</v>
      </c>
      <c r="L21">
        <v>5.75</v>
      </c>
      <c r="M21">
        <v>15</v>
      </c>
      <c r="N21">
        <v>89.13</v>
      </c>
      <c r="O21">
        <v>38061.040000000001</v>
      </c>
      <c r="P21">
        <v>126.92</v>
      </c>
      <c r="Q21">
        <v>204.16</v>
      </c>
      <c r="R21">
        <v>31.8</v>
      </c>
      <c r="S21">
        <v>17.37</v>
      </c>
      <c r="T21">
        <v>5059.32</v>
      </c>
      <c r="U21">
        <v>0.55000000000000004</v>
      </c>
      <c r="V21">
        <v>0.73</v>
      </c>
      <c r="W21">
        <v>1.17</v>
      </c>
      <c r="X21">
        <v>0.32</v>
      </c>
      <c r="Y21">
        <v>1</v>
      </c>
      <c r="Z21">
        <v>10</v>
      </c>
    </row>
    <row r="22" spans="1:26" x14ac:dyDescent="0.3">
      <c r="A22">
        <v>20</v>
      </c>
      <c r="B22">
        <v>150</v>
      </c>
      <c r="C22" t="s">
        <v>26</v>
      </c>
      <c r="D22">
        <v>9.1273</v>
      </c>
      <c r="E22">
        <v>10.96</v>
      </c>
      <c r="F22">
        <v>7.01</v>
      </c>
      <c r="G22">
        <v>24.76</v>
      </c>
      <c r="H22">
        <v>0.35</v>
      </c>
      <c r="I22">
        <v>17</v>
      </c>
      <c r="J22">
        <v>307.24</v>
      </c>
      <c r="K22">
        <v>61.82</v>
      </c>
      <c r="L22">
        <v>6</v>
      </c>
      <c r="M22">
        <v>15</v>
      </c>
      <c r="N22">
        <v>89.42</v>
      </c>
      <c r="O22">
        <v>38127.480000000003</v>
      </c>
      <c r="P22">
        <v>126.96</v>
      </c>
      <c r="Q22">
        <v>204.16</v>
      </c>
      <c r="R22">
        <v>31.9</v>
      </c>
      <c r="S22">
        <v>17.37</v>
      </c>
      <c r="T22">
        <v>5108</v>
      </c>
      <c r="U22">
        <v>0.54</v>
      </c>
      <c r="V22">
        <v>0.73</v>
      </c>
      <c r="W22">
        <v>1.1599999999999999</v>
      </c>
      <c r="X22">
        <v>0.32</v>
      </c>
      <c r="Y22">
        <v>1</v>
      </c>
      <c r="Z22">
        <v>10</v>
      </c>
    </row>
    <row r="23" spans="1:26" x14ac:dyDescent="0.3">
      <c r="A23">
        <v>21</v>
      </c>
      <c r="B23">
        <v>150</v>
      </c>
      <c r="C23" t="s">
        <v>26</v>
      </c>
      <c r="D23">
        <v>9.1797000000000004</v>
      </c>
      <c r="E23">
        <v>10.89</v>
      </c>
      <c r="F23">
        <v>7.01</v>
      </c>
      <c r="G23">
        <v>26.28</v>
      </c>
      <c r="H23">
        <v>0.36</v>
      </c>
      <c r="I23">
        <v>16</v>
      </c>
      <c r="J23">
        <v>307.77999999999997</v>
      </c>
      <c r="K23">
        <v>61.82</v>
      </c>
      <c r="L23">
        <v>6.25</v>
      </c>
      <c r="M23">
        <v>14</v>
      </c>
      <c r="N23">
        <v>89.71</v>
      </c>
      <c r="O23">
        <v>38194.050000000003</v>
      </c>
      <c r="P23">
        <v>126.74</v>
      </c>
      <c r="Q23">
        <v>204.14</v>
      </c>
      <c r="R23">
        <v>31.51</v>
      </c>
      <c r="S23">
        <v>17.37</v>
      </c>
      <c r="T23">
        <v>4916.03</v>
      </c>
      <c r="U23">
        <v>0.55000000000000004</v>
      </c>
      <c r="V23">
        <v>0.73</v>
      </c>
      <c r="W23">
        <v>1.17</v>
      </c>
      <c r="X23">
        <v>0.32</v>
      </c>
      <c r="Y23">
        <v>1</v>
      </c>
      <c r="Z23">
        <v>10</v>
      </c>
    </row>
    <row r="24" spans="1:26" x14ac:dyDescent="0.3">
      <c r="A24">
        <v>22</v>
      </c>
      <c r="B24">
        <v>150</v>
      </c>
      <c r="C24" t="s">
        <v>26</v>
      </c>
      <c r="D24">
        <v>9.2459000000000007</v>
      </c>
      <c r="E24">
        <v>10.82</v>
      </c>
      <c r="F24">
        <v>6.99</v>
      </c>
      <c r="G24">
        <v>27.94</v>
      </c>
      <c r="H24">
        <v>0.38</v>
      </c>
      <c r="I24">
        <v>15</v>
      </c>
      <c r="J24">
        <v>308.32</v>
      </c>
      <c r="K24">
        <v>61.82</v>
      </c>
      <c r="L24">
        <v>6.5</v>
      </c>
      <c r="M24">
        <v>13</v>
      </c>
      <c r="N24">
        <v>90</v>
      </c>
      <c r="O24">
        <v>38260.74</v>
      </c>
      <c r="P24">
        <v>126.28</v>
      </c>
      <c r="Q24">
        <v>204.15</v>
      </c>
      <c r="R24">
        <v>31.18</v>
      </c>
      <c r="S24">
        <v>17.37</v>
      </c>
      <c r="T24">
        <v>4758.21</v>
      </c>
      <c r="U24">
        <v>0.56000000000000005</v>
      </c>
      <c r="V24">
        <v>0.73</v>
      </c>
      <c r="W24">
        <v>1.1599999999999999</v>
      </c>
      <c r="X24">
        <v>0.28999999999999998</v>
      </c>
      <c r="Y24">
        <v>1</v>
      </c>
      <c r="Z24">
        <v>10</v>
      </c>
    </row>
    <row r="25" spans="1:26" x14ac:dyDescent="0.3">
      <c r="A25">
        <v>23</v>
      </c>
      <c r="B25">
        <v>150</v>
      </c>
      <c r="C25" t="s">
        <v>26</v>
      </c>
      <c r="D25">
        <v>9.2670999999999992</v>
      </c>
      <c r="E25">
        <v>10.79</v>
      </c>
      <c r="F25">
        <v>6.96</v>
      </c>
      <c r="G25">
        <v>27.84</v>
      </c>
      <c r="H25">
        <v>0.39</v>
      </c>
      <c r="I25">
        <v>15</v>
      </c>
      <c r="J25">
        <v>308.86</v>
      </c>
      <c r="K25">
        <v>61.82</v>
      </c>
      <c r="L25">
        <v>6.75</v>
      </c>
      <c r="M25">
        <v>13</v>
      </c>
      <c r="N25">
        <v>90.29</v>
      </c>
      <c r="O25">
        <v>38327.57</v>
      </c>
      <c r="P25">
        <v>125.82</v>
      </c>
      <c r="Q25">
        <v>204.18</v>
      </c>
      <c r="R25">
        <v>30.25</v>
      </c>
      <c r="S25">
        <v>17.37</v>
      </c>
      <c r="T25">
        <v>4292.38</v>
      </c>
      <c r="U25">
        <v>0.56999999999999995</v>
      </c>
      <c r="V25">
        <v>0.73</v>
      </c>
      <c r="W25">
        <v>1.1599999999999999</v>
      </c>
      <c r="X25">
        <v>0.27</v>
      </c>
      <c r="Y25">
        <v>1</v>
      </c>
      <c r="Z25">
        <v>10</v>
      </c>
    </row>
    <row r="26" spans="1:26" x14ac:dyDescent="0.3">
      <c r="A26">
        <v>24</v>
      </c>
      <c r="B26">
        <v>150</v>
      </c>
      <c r="C26" t="s">
        <v>26</v>
      </c>
      <c r="D26">
        <v>9.3209</v>
      </c>
      <c r="E26">
        <v>10.73</v>
      </c>
      <c r="F26">
        <v>6.95</v>
      </c>
      <c r="G26">
        <v>29.8</v>
      </c>
      <c r="H26">
        <v>0.4</v>
      </c>
      <c r="I26">
        <v>14</v>
      </c>
      <c r="J26">
        <v>309.41000000000003</v>
      </c>
      <c r="K26">
        <v>61.82</v>
      </c>
      <c r="L26">
        <v>7</v>
      </c>
      <c r="M26">
        <v>12</v>
      </c>
      <c r="N26">
        <v>90.59</v>
      </c>
      <c r="O26">
        <v>38394.519999999997</v>
      </c>
      <c r="P26">
        <v>125.61</v>
      </c>
      <c r="Q26">
        <v>204.15</v>
      </c>
      <c r="R26">
        <v>30.12</v>
      </c>
      <c r="S26">
        <v>17.37</v>
      </c>
      <c r="T26">
        <v>4232.1499999999996</v>
      </c>
      <c r="U26">
        <v>0.57999999999999996</v>
      </c>
      <c r="V26">
        <v>0.73</v>
      </c>
      <c r="W26">
        <v>1.1599999999999999</v>
      </c>
      <c r="X26">
        <v>0.26</v>
      </c>
      <c r="Y26">
        <v>1</v>
      </c>
      <c r="Z26">
        <v>10</v>
      </c>
    </row>
    <row r="27" spans="1:26" x14ac:dyDescent="0.3">
      <c r="A27">
        <v>25</v>
      </c>
      <c r="B27">
        <v>150</v>
      </c>
      <c r="C27" t="s">
        <v>26</v>
      </c>
      <c r="D27">
        <v>9.3295999999999992</v>
      </c>
      <c r="E27">
        <v>10.72</v>
      </c>
      <c r="F27">
        <v>6.94</v>
      </c>
      <c r="G27">
        <v>29.76</v>
      </c>
      <c r="H27">
        <v>0.42</v>
      </c>
      <c r="I27">
        <v>14</v>
      </c>
      <c r="J27">
        <v>309.95</v>
      </c>
      <c r="K27">
        <v>61.82</v>
      </c>
      <c r="L27">
        <v>7.25</v>
      </c>
      <c r="M27">
        <v>12</v>
      </c>
      <c r="N27">
        <v>90.88</v>
      </c>
      <c r="O27">
        <v>38461.599999999999</v>
      </c>
      <c r="P27">
        <v>125.48</v>
      </c>
      <c r="Q27">
        <v>204.16</v>
      </c>
      <c r="R27">
        <v>29.73</v>
      </c>
      <c r="S27">
        <v>17.37</v>
      </c>
      <c r="T27">
        <v>4035.07</v>
      </c>
      <c r="U27">
        <v>0.57999999999999996</v>
      </c>
      <c r="V27">
        <v>0.74</v>
      </c>
      <c r="W27">
        <v>1.1599999999999999</v>
      </c>
      <c r="X27">
        <v>0.25</v>
      </c>
      <c r="Y27">
        <v>1</v>
      </c>
      <c r="Z27">
        <v>10</v>
      </c>
    </row>
    <row r="28" spans="1:26" x14ac:dyDescent="0.3">
      <c r="A28">
        <v>26</v>
      </c>
      <c r="B28">
        <v>150</v>
      </c>
      <c r="C28" t="s">
        <v>26</v>
      </c>
      <c r="D28">
        <v>9.3920999999999992</v>
      </c>
      <c r="E28">
        <v>10.65</v>
      </c>
      <c r="F28">
        <v>6.93</v>
      </c>
      <c r="G28">
        <v>31.97</v>
      </c>
      <c r="H28">
        <v>0.43</v>
      </c>
      <c r="I28">
        <v>13</v>
      </c>
      <c r="J28">
        <v>310.5</v>
      </c>
      <c r="K28">
        <v>61.82</v>
      </c>
      <c r="L28">
        <v>7.5</v>
      </c>
      <c r="M28">
        <v>11</v>
      </c>
      <c r="N28">
        <v>91.18</v>
      </c>
      <c r="O28">
        <v>38528.81</v>
      </c>
      <c r="P28">
        <v>125.03</v>
      </c>
      <c r="Q28">
        <v>204.22</v>
      </c>
      <c r="R28">
        <v>29.2</v>
      </c>
      <c r="S28">
        <v>17.37</v>
      </c>
      <c r="T28">
        <v>3777.07</v>
      </c>
      <c r="U28">
        <v>0.59</v>
      </c>
      <c r="V28">
        <v>0.74</v>
      </c>
      <c r="W28">
        <v>1.1599999999999999</v>
      </c>
      <c r="X28">
        <v>0.24</v>
      </c>
      <c r="Y28">
        <v>1</v>
      </c>
      <c r="Z28">
        <v>10</v>
      </c>
    </row>
    <row r="29" spans="1:26" x14ac:dyDescent="0.3">
      <c r="A29">
        <v>27</v>
      </c>
      <c r="B29">
        <v>150</v>
      </c>
      <c r="C29" t="s">
        <v>26</v>
      </c>
      <c r="D29">
        <v>9.3884000000000007</v>
      </c>
      <c r="E29">
        <v>10.65</v>
      </c>
      <c r="F29">
        <v>6.93</v>
      </c>
      <c r="G29">
        <v>31.99</v>
      </c>
      <c r="H29">
        <v>0.44</v>
      </c>
      <c r="I29">
        <v>13</v>
      </c>
      <c r="J29">
        <v>311.04000000000002</v>
      </c>
      <c r="K29">
        <v>61.82</v>
      </c>
      <c r="L29">
        <v>7.75</v>
      </c>
      <c r="M29">
        <v>11</v>
      </c>
      <c r="N29">
        <v>91.47</v>
      </c>
      <c r="O29">
        <v>38596.15</v>
      </c>
      <c r="P29">
        <v>125.18</v>
      </c>
      <c r="Q29">
        <v>204.17</v>
      </c>
      <c r="R29">
        <v>29.34</v>
      </c>
      <c r="S29">
        <v>17.37</v>
      </c>
      <c r="T29">
        <v>3849.11</v>
      </c>
      <c r="U29">
        <v>0.59</v>
      </c>
      <c r="V29">
        <v>0.74</v>
      </c>
      <c r="W29">
        <v>1.1599999999999999</v>
      </c>
      <c r="X29">
        <v>0.24</v>
      </c>
      <c r="Y29">
        <v>1</v>
      </c>
      <c r="Z29">
        <v>10</v>
      </c>
    </row>
    <row r="30" spans="1:26" x14ac:dyDescent="0.3">
      <c r="A30">
        <v>28</v>
      </c>
      <c r="B30">
        <v>150</v>
      </c>
      <c r="C30" t="s">
        <v>26</v>
      </c>
      <c r="D30">
        <v>9.3870000000000005</v>
      </c>
      <c r="E30">
        <v>10.65</v>
      </c>
      <c r="F30">
        <v>6.93</v>
      </c>
      <c r="G30">
        <v>32</v>
      </c>
      <c r="H30">
        <v>0.46</v>
      </c>
      <c r="I30">
        <v>13</v>
      </c>
      <c r="J30">
        <v>311.58999999999997</v>
      </c>
      <c r="K30">
        <v>61.82</v>
      </c>
      <c r="L30">
        <v>8</v>
      </c>
      <c r="M30">
        <v>11</v>
      </c>
      <c r="N30">
        <v>91.77</v>
      </c>
      <c r="O30">
        <v>38663.620000000003</v>
      </c>
      <c r="P30">
        <v>125.08</v>
      </c>
      <c r="Q30">
        <v>204.14</v>
      </c>
      <c r="R30">
        <v>29.47</v>
      </c>
      <c r="S30">
        <v>17.37</v>
      </c>
      <c r="T30">
        <v>3910.59</v>
      </c>
      <c r="U30">
        <v>0.59</v>
      </c>
      <c r="V30">
        <v>0.74</v>
      </c>
      <c r="W30">
        <v>1.1599999999999999</v>
      </c>
      <c r="X30">
        <v>0.24</v>
      </c>
      <c r="Y30">
        <v>1</v>
      </c>
      <c r="Z30">
        <v>10</v>
      </c>
    </row>
    <row r="31" spans="1:26" x14ac:dyDescent="0.3">
      <c r="A31">
        <v>29</v>
      </c>
      <c r="B31">
        <v>150</v>
      </c>
      <c r="C31" t="s">
        <v>26</v>
      </c>
      <c r="D31">
        <v>9.452</v>
      </c>
      <c r="E31">
        <v>10.58</v>
      </c>
      <c r="F31">
        <v>6.92</v>
      </c>
      <c r="G31">
        <v>34.58</v>
      </c>
      <c r="H31">
        <v>0.47</v>
      </c>
      <c r="I31">
        <v>12</v>
      </c>
      <c r="J31">
        <v>312.14</v>
      </c>
      <c r="K31">
        <v>61.82</v>
      </c>
      <c r="L31">
        <v>8.25</v>
      </c>
      <c r="M31">
        <v>10</v>
      </c>
      <c r="N31">
        <v>92.07</v>
      </c>
      <c r="O31">
        <v>38731.35</v>
      </c>
      <c r="P31">
        <v>124.78</v>
      </c>
      <c r="Q31">
        <v>204.15</v>
      </c>
      <c r="R31">
        <v>28.95</v>
      </c>
      <c r="S31">
        <v>17.37</v>
      </c>
      <c r="T31">
        <v>3656.73</v>
      </c>
      <c r="U31">
        <v>0.6</v>
      </c>
      <c r="V31">
        <v>0.74</v>
      </c>
      <c r="W31">
        <v>1.1499999999999999</v>
      </c>
      <c r="X31">
        <v>0.22</v>
      </c>
      <c r="Y31">
        <v>1</v>
      </c>
      <c r="Z31">
        <v>10</v>
      </c>
    </row>
    <row r="32" spans="1:26" x14ac:dyDescent="0.3">
      <c r="A32">
        <v>30</v>
      </c>
      <c r="B32">
        <v>150</v>
      </c>
      <c r="C32" t="s">
        <v>26</v>
      </c>
      <c r="D32">
        <v>9.4533000000000005</v>
      </c>
      <c r="E32">
        <v>10.58</v>
      </c>
      <c r="F32">
        <v>6.91</v>
      </c>
      <c r="G32">
        <v>34.57</v>
      </c>
      <c r="H32">
        <v>0.48</v>
      </c>
      <c r="I32">
        <v>12</v>
      </c>
      <c r="J32">
        <v>312.69</v>
      </c>
      <c r="K32">
        <v>61.82</v>
      </c>
      <c r="L32">
        <v>8.5</v>
      </c>
      <c r="M32">
        <v>10</v>
      </c>
      <c r="N32">
        <v>92.37</v>
      </c>
      <c r="O32">
        <v>38799.089999999997</v>
      </c>
      <c r="P32">
        <v>124.77</v>
      </c>
      <c r="Q32">
        <v>204.14</v>
      </c>
      <c r="R32">
        <v>28.75</v>
      </c>
      <c r="S32">
        <v>17.37</v>
      </c>
      <c r="T32">
        <v>3558.33</v>
      </c>
      <c r="U32">
        <v>0.6</v>
      </c>
      <c r="V32">
        <v>0.74</v>
      </c>
      <c r="W32">
        <v>1.1599999999999999</v>
      </c>
      <c r="X32">
        <v>0.22</v>
      </c>
      <c r="Y32">
        <v>1</v>
      </c>
      <c r="Z32">
        <v>10</v>
      </c>
    </row>
    <row r="33" spans="1:26" x14ac:dyDescent="0.3">
      <c r="A33">
        <v>31</v>
      </c>
      <c r="B33">
        <v>150</v>
      </c>
      <c r="C33" t="s">
        <v>26</v>
      </c>
      <c r="D33">
        <v>9.4507999999999992</v>
      </c>
      <c r="E33">
        <v>10.58</v>
      </c>
      <c r="F33">
        <v>6.92</v>
      </c>
      <c r="G33">
        <v>34.590000000000003</v>
      </c>
      <c r="H33">
        <v>0.5</v>
      </c>
      <c r="I33">
        <v>12</v>
      </c>
      <c r="J33">
        <v>313.24</v>
      </c>
      <c r="K33">
        <v>61.82</v>
      </c>
      <c r="L33">
        <v>8.75</v>
      </c>
      <c r="M33">
        <v>10</v>
      </c>
      <c r="N33">
        <v>92.67</v>
      </c>
      <c r="O33">
        <v>38866.959999999999</v>
      </c>
      <c r="P33">
        <v>124.7</v>
      </c>
      <c r="Q33">
        <v>204.16</v>
      </c>
      <c r="R33">
        <v>28.77</v>
      </c>
      <c r="S33">
        <v>17.37</v>
      </c>
      <c r="T33">
        <v>3567.41</v>
      </c>
      <c r="U33">
        <v>0.6</v>
      </c>
      <c r="V33">
        <v>0.74</v>
      </c>
      <c r="W33">
        <v>1.1599999999999999</v>
      </c>
      <c r="X33">
        <v>0.23</v>
      </c>
      <c r="Y33">
        <v>1</v>
      </c>
      <c r="Z33">
        <v>10</v>
      </c>
    </row>
    <row r="34" spans="1:26" x14ac:dyDescent="0.3">
      <c r="A34">
        <v>32</v>
      </c>
      <c r="B34">
        <v>150</v>
      </c>
      <c r="C34" t="s">
        <v>26</v>
      </c>
      <c r="D34">
        <v>9.5328999999999997</v>
      </c>
      <c r="E34">
        <v>10.49</v>
      </c>
      <c r="F34">
        <v>6.88</v>
      </c>
      <c r="G34">
        <v>37.54</v>
      </c>
      <c r="H34">
        <v>0.51</v>
      </c>
      <c r="I34">
        <v>11</v>
      </c>
      <c r="J34">
        <v>313.79000000000002</v>
      </c>
      <c r="K34">
        <v>61.82</v>
      </c>
      <c r="L34">
        <v>9</v>
      </c>
      <c r="M34">
        <v>9</v>
      </c>
      <c r="N34">
        <v>92.97</v>
      </c>
      <c r="O34">
        <v>38934.97</v>
      </c>
      <c r="P34">
        <v>123.92</v>
      </c>
      <c r="Q34">
        <v>204.14</v>
      </c>
      <c r="R34">
        <v>27.6</v>
      </c>
      <c r="S34">
        <v>17.37</v>
      </c>
      <c r="T34">
        <v>2989.15</v>
      </c>
      <c r="U34">
        <v>0.63</v>
      </c>
      <c r="V34">
        <v>0.74</v>
      </c>
      <c r="W34">
        <v>1.1599999999999999</v>
      </c>
      <c r="X34">
        <v>0.19</v>
      </c>
      <c r="Y34">
        <v>1</v>
      </c>
      <c r="Z34">
        <v>10</v>
      </c>
    </row>
    <row r="35" spans="1:26" x14ac:dyDescent="0.3">
      <c r="A35">
        <v>33</v>
      </c>
      <c r="B35">
        <v>150</v>
      </c>
      <c r="C35" t="s">
        <v>26</v>
      </c>
      <c r="D35">
        <v>9.5334000000000003</v>
      </c>
      <c r="E35">
        <v>10.49</v>
      </c>
      <c r="F35">
        <v>6.88</v>
      </c>
      <c r="G35">
        <v>37.53</v>
      </c>
      <c r="H35">
        <v>0.52</v>
      </c>
      <c r="I35">
        <v>11</v>
      </c>
      <c r="J35">
        <v>314.33999999999997</v>
      </c>
      <c r="K35">
        <v>61.82</v>
      </c>
      <c r="L35">
        <v>9.25</v>
      </c>
      <c r="M35">
        <v>9</v>
      </c>
      <c r="N35">
        <v>93.27</v>
      </c>
      <c r="O35">
        <v>39003.11</v>
      </c>
      <c r="P35">
        <v>123.92</v>
      </c>
      <c r="Q35">
        <v>204.15</v>
      </c>
      <c r="R35">
        <v>27.71</v>
      </c>
      <c r="S35">
        <v>17.37</v>
      </c>
      <c r="T35">
        <v>3043.56</v>
      </c>
      <c r="U35">
        <v>0.63</v>
      </c>
      <c r="V35">
        <v>0.74</v>
      </c>
      <c r="W35">
        <v>1.1499999999999999</v>
      </c>
      <c r="X35">
        <v>0.19</v>
      </c>
      <c r="Y35">
        <v>1</v>
      </c>
      <c r="Z35">
        <v>10</v>
      </c>
    </row>
    <row r="36" spans="1:26" x14ac:dyDescent="0.3">
      <c r="A36">
        <v>34</v>
      </c>
      <c r="B36">
        <v>150</v>
      </c>
      <c r="C36" t="s">
        <v>26</v>
      </c>
      <c r="D36">
        <v>9.5277999999999992</v>
      </c>
      <c r="E36">
        <v>10.5</v>
      </c>
      <c r="F36">
        <v>6.89</v>
      </c>
      <c r="G36">
        <v>37.57</v>
      </c>
      <c r="H36">
        <v>0.54</v>
      </c>
      <c r="I36">
        <v>11</v>
      </c>
      <c r="J36">
        <v>314.89999999999998</v>
      </c>
      <c r="K36">
        <v>61.82</v>
      </c>
      <c r="L36">
        <v>9.5</v>
      </c>
      <c r="M36">
        <v>9</v>
      </c>
      <c r="N36">
        <v>93.57</v>
      </c>
      <c r="O36">
        <v>39071.379999999997</v>
      </c>
      <c r="P36">
        <v>124.03</v>
      </c>
      <c r="Q36">
        <v>204.16</v>
      </c>
      <c r="R36">
        <v>28.14</v>
      </c>
      <c r="S36">
        <v>17.37</v>
      </c>
      <c r="T36">
        <v>3255.8</v>
      </c>
      <c r="U36">
        <v>0.62</v>
      </c>
      <c r="V36">
        <v>0.74</v>
      </c>
      <c r="W36">
        <v>1.1499999999999999</v>
      </c>
      <c r="X36">
        <v>0.2</v>
      </c>
      <c r="Y36">
        <v>1</v>
      </c>
      <c r="Z36">
        <v>10</v>
      </c>
    </row>
    <row r="37" spans="1:26" x14ac:dyDescent="0.3">
      <c r="A37">
        <v>35</v>
      </c>
      <c r="B37">
        <v>150</v>
      </c>
      <c r="C37" t="s">
        <v>26</v>
      </c>
      <c r="D37">
        <v>9.5263000000000009</v>
      </c>
      <c r="E37">
        <v>10.5</v>
      </c>
      <c r="F37">
        <v>6.89</v>
      </c>
      <c r="G37">
        <v>37.58</v>
      </c>
      <c r="H37">
        <v>0.55000000000000004</v>
      </c>
      <c r="I37">
        <v>11</v>
      </c>
      <c r="J37">
        <v>315.45</v>
      </c>
      <c r="K37">
        <v>61.82</v>
      </c>
      <c r="L37">
        <v>9.75</v>
      </c>
      <c r="M37">
        <v>9</v>
      </c>
      <c r="N37">
        <v>93.88</v>
      </c>
      <c r="O37">
        <v>39139.800000000003</v>
      </c>
      <c r="P37">
        <v>123.9</v>
      </c>
      <c r="Q37">
        <v>204.15</v>
      </c>
      <c r="R37">
        <v>27.93</v>
      </c>
      <c r="S37">
        <v>17.37</v>
      </c>
      <c r="T37">
        <v>3152.39</v>
      </c>
      <c r="U37">
        <v>0.62</v>
      </c>
      <c r="V37">
        <v>0.74</v>
      </c>
      <c r="W37">
        <v>1.1599999999999999</v>
      </c>
      <c r="X37">
        <v>0.2</v>
      </c>
      <c r="Y37">
        <v>1</v>
      </c>
      <c r="Z37">
        <v>10</v>
      </c>
    </row>
    <row r="38" spans="1:26" x14ac:dyDescent="0.3">
      <c r="A38">
        <v>36</v>
      </c>
      <c r="B38">
        <v>150</v>
      </c>
      <c r="C38" t="s">
        <v>26</v>
      </c>
      <c r="D38">
        <v>9.5959000000000003</v>
      </c>
      <c r="E38">
        <v>10.42</v>
      </c>
      <c r="F38">
        <v>6.87</v>
      </c>
      <c r="G38">
        <v>41.21</v>
      </c>
      <c r="H38">
        <v>0.56000000000000005</v>
      </c>
      <c r="I38">
        <v>10</v>
      </c>
      <c r="J38">
        <v>316.01</v>
      </c>
      <c r="K38">
        <v>61.82</v>
      </c>
      <c r="L38">
        <v>10</v>
      </c>
      <c r="M38">
        <v>8</v>
      </c>
      <c r="N38">
        <v>94.18</v>
      </c>
      <c r="O38">
        <v>39208.35</v>
      </c>
      <c r="P38">
        <v>123.45</v>
      </c>
      <c r="Q38">
        <v>204.15</v>
      </c>
      <c r="R38">
        <v>27.28</v>
      </c>
      <c r="S38">
        <v>17.37</v>
      </c>
      <c r="T38">
        <v>2830.18</v>
      </c>
      <c r="U38">
        <v>0.64</v>
      </c>
      <c r="V38">
        <v>0.74</v>
      </c>
      <c r="W38">
        <v>1.1499999999999999</v>
      </c>
      <c r="X38">
        <v>0.18</v>
      </c>
      <c r="Y38">
        <v>1</v>
      </c>
      <c r="Z38">
        <v>10</v>
      </c>
    </row>
    <row r="39" spans="1:26" x14ac:dyDescent="0.3">
      <c r="A39">
        <v>37</v>
      </c>
      <c r="B39">
        <v>150</v>
      </c>
      <c r="C39" t="s">
        <v>26</v>
      </c>
      <c r="D39">
        <v>9.5930999999999997</v>
      </c>
      <c r="E39">
        <v>10.42</v>
      </c>
      <c r="F39">
        <v>6.87</v>
      </c>
      <c r="G39">
        <v>41.23</v>
      </c>
      <c r="H39">
        <v>0.57999999999999996</v>
      </c>
      <c r="I39">
        <v>10</v>
      </c>
      <c r="J39">
        <v>316.56</v>
      </c>
      <c r="K39">
        <v>61.82</v>
      </c>
      <c r="L39">
        <v>10.25</v>
      </c>
      <c r="M39">
        <v>8</v>
      </c>
      <c r="N39">
        <v>94.49</v>
      </c>
      <c r="O39">
        <v>39277.040000000001</v>
      </c>
      <c r="P39">
        <v>123.52</v>
      </c>
      <c r="Q39">
        <v>204.15</v>
      </c>
      <c r="R39">
        <v>27.45</v>
      </c>
      <c r="S39">
        <v>17.37</v>
      </c>
      <c r="T39">
        <v>2915.9</v>
      </c>
      <c r="U39">
        <v>0.63</v>
      </c>
      <c r="V39">
        <v>0.74</v>
      </c>
      <c r="W39">
        <v>1.1499999999999999</v>
      </c>
      <c r="X39">
        <v>0.18</v>
      </c>
      <c r="Y39">
        <v>1</v>
      </c>
      <c r="Z39">
        <v>10</v>
      </c>
    </row>
    <row r="40" spans="1:26" x14ac:dyDescent="0.3">
      <c r="A40">
        <v>38</v>
      </c>
      <c r="B40">
        <v>150</v>
      </c>
      <c r="C40" t="s">
        <v>26</v>
      </c>
      <c r="D40">
        <v>9.5982000000000003</v>
      </c>
      <c r="E40">
        <v>10.42</v>
      </c>
      <c r="F40">
        <v>6.87</v>
      </c>
      <c r="G40">
        <v>41.2</v>
      </c>
      <c r="H40">
        <v>0.59</v>
      </c>
      <c r="I40">
        <v>10</v>
      </c>
      <c r="J40">
        <v>317.12</v>
      </c>
      <c r="K40">
        <v>61.82</v>
      </c>
      <c r="L40">
        <v>10.5</v>
      </c>
      <c r="M40">
        <v>8</v>
      </c>
      <c r="N40">
        <v>94.8</v>
      </c>
      <c r="O40">
        <v>39345.870000000003</v>
      </c>
      <c r="P40">
        <v>123.42</v>
      </c>
      <c r="Q40">
        <v>204.14</v>
      </c>
      <c r="R40">
        <v>27.36</v>
      </c>
      <c r="S40">
        <v>17.37</v>
      </c>
      <c r="T40">
        <v>2872.89</v>
      </c>
      <c r="U40">
        <v>0.63</v>
      </c>
      <c r="V40">
        <v>0.74</v>
      </c>
      <c r="W40">
        <v>1.1499999999999999</v>
      </c>
      <c r="X40">
        <v>0.17</v>
      </c>
      <c r="Y40">
        <v>1</v>
      </c>
      <c r="Z40">
        <v>10</v>
      </c>
    </row>
    <row r="41" spans="1:26" x14ac:dyDescent="0.3">
      <c r="A41">
        <v>39</v>
      </c>
      <c r="B41">
        <v>150</v>
      </c>
      <c r="C41" t="s">
        <v>26</v>
      </c>
      <c r="D41">
        <v>9.6041000000000007</v>
      </c>
      <c r="E41">
        <v>10.41</v>
      </c>
      <c r="F41">
        <v>6.86</v>
      </c>
      <c r="G41">
        <v>41.16</v>
      </c>
      <c r="H41">
        <v>0.6</v>
      </c>
      <c r="I41">
        <v>10</v>
      </c>
      <c r="J41">
        <v>317.68</v>
      </c>
      <c r="K41">
        <v>61.82</v>
      </c>
      <c r="L41">
        <v>10.75</v>
      </c>
      <c r="M41">
        <v>8</v>
      </c>
      <c r="N41">
        <v>95.11</v>
      </c>
      <c r="O41">
        <v>39414.839999999997</v>
      </c>
      <c r="P41">
        <v>123.4</v>
      </c>
      <c r="Q41">
        <v>204.18</v>
      </c>
      <c r="R41">
        <v>27.06</v>
      </c>
      <c r="S41">
        <v>17.37</v>
      </c>
      <c r="T41">
        <v>2720.86</v>
      </c>
      <c r="U41">
        <v>0.64</v>
      </c>
      <c r="V41">
        <v>0.74</v>
      </c>
      <c r="W41">
        <v>1.1499999999999999</v>
      </c>
      <c r="X41">
        <v>0.17</v>
      </c>
      <c r="Y41">
        <v>1</v>
      </c>
      <c r="Z41">
        <v>10</v>
      </c>
    </row>
    <row r="42" spans="1:26" x14ac:dyDescent="0.3">
      <c r="A42">
        <v>40</v>
      </c>
      <c r="B42">
        <v>150</v>
      </c>
      <c r="C42" t="s">
        <v>26</v>
      </c>
      <c r="D42">
        <v>9.6738</v>
      </c>
      <c r="E42">
        <v>10.34</v>
      </c>
      <c r="F42">
        <v>6.84</v>
      </c>
      <c r="G42">
        <v>45.6</v>
      </c>
      <c r="H42">
        <v>0.62</v>
      </c>
      <c r="I42">
        <v>9</v>
      </c>
      <c r="J42">
        <v>318.24</v>
      </c>
      <c r="K42">
        <v>61.82</v>
      </c>
      <c r="L42">
        <v>11</v>
      </c>
      <c r="M42">
        <v>7</v>
      </c>
      <c r="N42">
        <v>95.42</v>
      </c>
      <c r="O42">
        <v>39483.949999999997</v>
      </c>
      <c r="P42">
        <v>122.7</v>
      </c>
      <c r="Q42">
        <v>204.14</v>
      </c>
      <c r="R42">
        <v>26.54</v>
      </c>
      <c r="S42">
        <v>17.37</v>
      </c>
      <c r="T42">
        <v>2464.96</v>
      </c>
      <c r="U42">
        <v>0.65</v>
      </c>
      <c r="V42">
        <v>0.75</v>
      </c>
      <c r="W42">
        <v>1.1499999999999999</v>
      </c>
      <c r="X42">
        <v>0.15</v>
      </c>
      <c r="Y42">
        <v>1</v>
      </c>
      <c r="Z42">
        <v>10</v>
      </c>
    </row>
    <row r="43" spans="1:26" x14ac:dyDescent="0.3">
      <c r="A43">
        <v>41</v>
      </c>
      <c r="B43">
        <v>150</v>
      </c>
      <c r="C43" t="s">
        <v>26</v>
      </c>
      <c r="D43">
        <v>9.6592000000000002</v>
      </c>
      <c r="E43">
        <v>10.35</v>
      </c>
      <c r="F43">
        <v>6.86</v>
      </c>
      <c r="G43">
        <v>45.7</v>
      </c>
      <c r="H43">
        <v>0.63</v>
      </c>
      <c r="I43">
        <v>9</v>
      </c>
      <c r="J43">
        <v>318.8</v>
      </c>
      <c r="K43">
        <v>61.82</v>
      </c>
      <c r="L43">
        <v>11.25</v>
      </c>
      <c r="M43">
        <v>7</v>
      </c>
      <c r="N43">
        <v>95.73</v>
      </c>
      <c r="O43">
        <v>39553.199999999997</v>
      </c>
      <c r="P43">
        <v>123.22</v>
      </c>
      <c r="Q43">
        <v>204.15</v>
      </c>
      <c r="R43">
        <v>26.92</v>
      </c>
      <c r="S43">
        <v>17.37</v>
      </c>
      <c r="T43">
        <v>2658.33</v>
      </c>
      <c r="U43">
        <v>0.65</v>
      </c>
      <c r="V43">
        <v>0.74</v>
      </c>
      <c r="W43">
        <v>1.1499999999999999</v>
      </c>
      <c r="X43">
        <v>0.16</v>
      </c>
      <c r="Y43">
        <v>1</v>
      </c>
      <c r="Z43">
        <v>10</v>
      </c>
    </row>
    <row r="44" spans="1:26" x14ac:dyDescent="0.3">
      <c r="A44">
        <v>42</v>
      </c>
      <c r="B44">
        <v>150</v>
      </c>
      <c r="C44" t="s">
        <v>26</v>
      </c>
      <c r="D44">
        <v>9.6534999999999993</v>
      </c>
      <c r="E44">
        <v>10.36</v>
      </c>
      <c r="F44">
        <v>6.86</v>
      </c>
      <c r="G44">
        <v>45.74</v>
      </c>
      <c r="H44">
        <v>0.64</v>
      </c>
      <c r="I44">
        <v>9</v>
      </c>
      <c r="J44">
        <v>319.36</v>
      </c>
      <c r="K44">
        <v>61.82</v>
      </c>
      <c r="L44">
        <v>11.5</v>
      </c>
      <c r="M44">
        <v>7</v>
      </c>
      <c r="N44">
        <v>96.04</v>
      </c>
      <c r="O44">
        <v>39622.589999999997</v>
      </c>
      <c r="P44">
        <v>123.48</v>
      </c>
      <c r="Q44">
        <v>204.16</v>
      </c>
      <c r="R44">
        <v>27.14</v>
      </c>
      <c r="S44">
        <v>17.37</v>
      </c>
      <c r="T44">
        <v>2766.07</v>
      </c>
      <c r="U44">
        <v>0.64</v>
      </c>
      <c r="V44">
        <v>0.74</v>
      </c>
      <c r="W44">
        <v>1.1499999999999999</v>
      </c>
      <c r="X44">
        <v>0.17</v>
      </c>
      <c r="Y44">
        <v>1</v>
      </c>
      <c r="Z44">
        <v>10</v>
      </c>
    </row>
    <row r="45" spans="1:26" x14ac:dyDescent="0.3">
      <c r="A45">
        <v>43</v>
      </c>
      <c r="B45">
        <v>150</v>
      </c>
      <c r="C45" t="s">
        <v>26</v>
      </c>
      <c r="D45">
        <v>9.6602999999999994</v>
      </c>
      <c r="E45">
        <v>10.35</v>
      </c>
      <c r="F45">
        <v>6.85</v>
      </c>
      <c r="G45">
        <v>45.7</v>
      </c>
      <c r="H45">
        <v>0.65</v>
      </c>
      <c r="I45">
        <v>9</v>
      </c>
      <c r="J45">
        <v>319.93</v>
      </c>
      <c r="K45">
        <v>61.82</v>
      </c>
      <c r="L45">
        <v>11.75</v>
      </c>
      <c r="M45">
        <v>7</v>
      </c>
      <c r="N45">
        <v>96.36</v>
      </c>
      <c r="O45">
        <v>39692.129999999997</v>
      </c>
      <c r="P45">
        <v>123.35</v>
      </c>
      <c r="Q45">
        <v>204.14</v>
      </c>
      <c r="R45">
        <v>26.96</v>
      </c>
      <c r="S45">
        <v>17.37</v>
      </c>
      <c r="T45">
        <v>2675.9</v>
      </c>
      <c r="U45">
        <v>0.64</v>
      </c>
      <c r="V45">
        <v>0.75</v>
      </c>
      <c r="W45">
        <v>1.1499999999999999</v>
      </c>
      <c r="X45">
        <v>0.16</v>
      </c>
      <c r="Y45">
        <v>1</v>
      </c>
      <c r="Z45">
        <v>10</v>
      </c>
    </row>
    <row r="46" spans="1:26" x14ac:dyDescent="0.3">
      <c r="A46">
        <v>44</v>
      </c>
      <c r="B46">
        <v>150</v>
      </c>
      <c r="C46" t="s">
        <v>26</v>
      </c>
      <c r="D46">
        <v>9.6608000000000001</v>
      </c>
      <c r="E46">
        <v>10.35</v>
      </c>
      <c r="F46">
        <v>6.85</v>
      </c>
      <c r="G46">
        <v>45.69</v>
      </c>
      <c r="H46">
        <v>0.67</v>
      </c>
      <c r="I46">
        <v>9</v>
      </c>
      <c r="J46">
        <v>320.49</v>
      </c>
      <c r="K46">
        <v>61.82</v>
      </c>
      <c r="L46">
        <v>12</v>
      </c>
      <c r="M46">
        <v>7</v>
      </c>
      <c r="N46">
        <v>96.67</v>
      </c>
      <c r="O46">
        <v>39761.81</v>
      </c>
      <c r="P46">
        <v>123.21</v>
      </c>
      <c r="Q46">
        <v>204.14</v>
      </c>
      <c r="R46">
        <v>27.01</v>
      </c>
      <c r="S46">
        <v>17.37</v>
      </c>
      <c r="T46">
        <v>2702.26</v>
      </c>
      <c r="U46">
        <v>0.64</v>
      </c>
      <c r="V46">
        <v>0.75</v>
      </c>
      <c r="W46">
        <v>1.1499999999999999</v>
      </c>
      <c r="X46">
        <v>0.16</v>
      </c>
      <c r="Y46">
        <v>1</v>
      </c>
      <c r="Z46">
        <v>10</v>
      </c>
    </row>
    <row r="47" spans="1:26" x14ac:dyDescent="0.3">
      <c r="A47">
        <v>45</v>
      </c>
      <c r="B47">
        <v>150</v>
      </c>
      <c r="C47" t="s">
        <v>26</v>
      </c>
      <c r="D47">
        <v>9.6592000000000002</v>
      </c>
      <c r="E47">
        <v>10.35</v>
      </c>
      <c r="F47">
        <v>6.86</v>
      </c>
      <c r="G47">
        <v>45.7</v>
      </c>
      <c r="H47">
        <v>0.68</v>
      </c>
      <c r="I47">
        <v>9</v>
      </c>
      <c r="J47">
        <v>321.06</v>
      </c>
      <c r="K47">
        <v>61.82</v>
      </c>
      <c r="L47">
        <v>12.25</v>
      </c>
      <c r="M47">
        <v>7</v>
      </c>
      <c r="N47">
        <v>96.99</v>
      </c>
      <c r="O47">
        <v>39831.64</v>
      </c>
      <c r="P47">
        <v>123.13</v>
      </c>
      <c r="Q47">
        <v>204.14</v>
      </c>
      <c r="R47">
        <v>26.98</v>
      </c>
      <c r="S47">
        <v>17.37</v>
      </c>
      <c r="T47">
        <v>2689.22</v>
      </c>
      <c r="U47">
        <v>0.64</v>
      </c>
      <c r="V47">
        <v>0.74</v>
      </c>
      <c r="W47">
        <v>1.1499999999999999</v>
      </c>
      <c r="X47">
        <v>0.16</v>
      </c>
      <c r="Y47">
        <v>1</v>
      </c>
      <c r="Z47">
        <v>10</v>
      </c>
    </row>
    <row r="48" spans="1:26" x14ac:dyDescent="0.3">
      <c r="A48">
        <v>46</v>
      </c>
      <c r="B48">
        <v>150</v>
      </c>
      <c r="C48" t="s">
        <v>26</v>
      </c>
      <c r="D48">
        <v>9.6625999999999994</v>
      </c>
      <c r="E48">
        <v>10.35</v>
      </c>
      <c r="F48">
        <v>6.85</v>
      </c>
      <c r="G48">
        <v>45.68</v>
      </c>
      <c r="H48">
        <v>0.69</v>
      </c>
      <c r="I48">
        <v>9</v>
      </c>
      <c r="J48">
        <v>321.63</v>
      </c>
      <c r="K48">
        <v>61.82</v>
      </c>
      <c r="L48">
        <v>12.5</v>
      </c>
      <c r="M48">
        <v>7</v>
      </c>
      <c r="N48">
        <v>97.31</v>
      </c>
      <c r="O48">
        <v>39901.61</v>
      </c>
      <c r="P48">
        <v>122.84</v>
      </c>
      <c r="Q48">
        <v>204.14</v>
      </c>
      <c r="R48">
        <v>26.83</v>
      </c>
      <c r="S48">
        <v>17.37</v>
      </c>
      <c r="T48">
        <v>2612.4299999999998</v>
      </c>
      <c r="U48">
        <v>0.65</v>
      </c>
      <c r="V48">
        <v>0.75</v>
      </c>
      <c r="W48">
        <v>1.1499999999999999</v>
      </c>
      <c r="X48">
        <v>0.16</v>
      </c>
      <c r="Y48">
        <v>1</v>
      </c>
      <c r="Z48">
        <v>10</v>
      </c>
    </row>
    <row r="49" spans="1:26" x14ac:dyDescent="0.3">
      <c r="A49">
        <v>47</v>
      </c>
      <c r="B49">
        <v>150</v>
      </c>
      <c r="C49" t="s">
        <v>26</v>
      </c>
      <c r="D49">
        <v>9.7429000000000006</v>
      </c>
      <c r="E49">
        <v>10.26</v>
      </c>
      <c r="F49">
        <v>6.82</v>
      </c>
      <c r="G49">
        <v>51.17</v>
      </c>
      <c r="H49">
        <v>0.71</v>
      </c>
      <c r="I49">
        <v>8</v>
      </c>
      <c r="J49">
        <v>322.2</v>
      </c>
      <c r="K49">
        <v>61.82</v>
      </c>
      <c r="L49">
        <v>12.75</v>
      </c>
      <c r="M49">
        <v>6</v>
      </c>
      <c r="N49">
        <v>97.62</v>
      </c>
      <c r="O49">
        <v>39971.730000000003</v>
      </c>
      <c r="P49">
        <v>122.39</v>
      </c>
      <c r="Q49">
        <v>204.14</v>
      </c>
      <c r="R49">
        <v>26</v>
      </c>
      <c r="S49">
        <v>17.37</v>
      </c>
      <c r="T49">
        <v>2199.94</v>
      </c>
      <c r="U49">
        <v>0.67</v>
      </c>
      <c r="V49">
        <v>0.75</v>
      </c>
      <c r="W49">
        <v>1.1499999999999999</v>
      </c>
      <c r="X49">
        <v>0.13</v>
      </c>
      <c r="Y49">
        <v>1</v>
      </c>
      <c r="Z49">
        <v>10</v>
      </c>
    </row>
    <row r="50" spans="1:26" x14ac:dyDescent="0.3">
      <c r="A50">
        <v>48</v>
      </c>
      <c r="B50">
        <v>150</v>
      </c>
      <c r="C50" t="s">
        <v>26</v>
      </c>
      <c r="D50">
        <v>9.7439999999999998</v>
      </c>
      <c r="E50">
        <v>10.26</v>
      </c>
      <c r="F50">
        <v>6.82</v>
      </c>
      <c r="G50">
        <v>51.16</v>
      </c>
      <c r="H50">
        <v>0.72</v>
      </c>
      <c r="I50">
        <v>8</v>
      </c>
      <c r="J50">
        <v>322.77</v>
      </c>
      <c r="K50">
        <v>61.82</v>
      </c>
      <c r="L50">
        <v>13</v>
      </c>
      <c r="M50">
        <v>6</v>
      </c>
      <c r="N50">
        <v>97.94</v>
      </c>
      <c r="O50">
        <v>40042</v>
      </c>
      <c r="P50">
        <v>122.31</v>
      </c>
      <c r="Q50">
        <v>204.15</v>
      </c>
      <c r="R50">
        <v>25.82</v>
      </c>
      <c r="S50">
        <v>17.37</v>
      </c>
      <c r="T50">
        <v>2112.1</v>
      </c>
      <c r="U50">
        <v>0.67</v>
      </c>
      <c r="V50">
        <v>0.75</v>
      </c>
      <c r="W50">
        <v>1.1499999999999999</v>
      </c>
      <c r="X50">
        <v>0.13</v>
      </c>
      <c r="Y50">
        <v>1</v>
      </c>
      <c r="Z50">
        <v>10</v>
      </c>
    </row>
    <row r="51" spans="1:26" x14ac:dyDescent="0.3">
      <c r="A51">
        <v>49</v>
      </c>
      <c r="B51">
        <v>150</v>
      </c>
      <c r="C51" t="s">
        <v>26</v>
      </c>
      <c r="D51">
        <v>9.7392000000000003</v>
      </c>
      <c r="E51">
        <v>10.27</v>
      </c>
      <c r="F51">
        <v>6.83</v>
      </c>
      <c r="G51">
        <v>51.2</v>
      </c>
      <c r="H51">
        <v>0.73</v>
      </c>
      <c r="I51">
        <v>8</v>
      </c>
      <c r="J51">
        <v>323.33999999999997</v>
      </c>
      <c r="K51">
        <v>61.82</v>
      </c>
      <c r="L51">
        <v>13.25</v>
      </c>
      <c r="M51">
        <v>6</v>
      </c>
      <c r="N51">
        <v>98.27</v>
      </c>
      <c r="O51">
        <v>40112.54</v>
      </c>
      <c r="P51">
        <v>122.35</v>
      </c>
      <c r="Q51">
        <v>204.14</v>
      </c>
      <c r="R51">
        <v>25.92</v>
      </c>
      <c r="S51">
        <v>17.37</v>
      </c>
      <c r="T51">
        <v>2160</v>
      </c>
      <c r="U51">
        <v>0.67</v>
      </c>
      <c r="V51">
        <v>0.75</v>
      </c>
      <c r="W51">
        <v>1.1499999999999999</v>
      </c>
      <c r="X51">
        <v>0.14000000000000001</v>
      </c>
      <c r="Y51">
        <v>1</v>
      </c>
      <c r="Z51">
        <v>10</v>
      </c>
    </row>
    <row r="52" spans="1:26" x14ac:dyDescent="0.3">
      <c r="A52">
        <v>50</v>
      </c>
      <c r="B52">
        <v>150</v>
      </c>
      <c r="C52" t="s">
        <v>26</v>
      </c>
      <c r="D52">
        <v>9.7349999999999994</v>
      </c>
      <c r="E52">
        <v>10.27</v>
      </c>
      <c r="F52">
        <v>6.83</v>
      </c>
      <c r="G52">
        <v>51.23</v>
      </c>
      <c r="H52">
        <v>0.74</v>
      </c>
      <c r="I52">
        <v>8</v>
      </c>
      <c r="J52">
        <v>323.91000000000003</v>
      </c>
      <c r="K52">
        <v>61.82</v>
      </c>
      <c r="L52">
        <v>13.5</v>
      </c>
      <c r="M52">
        <v>6</v>
      </c>
      <c r="N52">
        <v>98.59</v>
      </c>
      <c r="O52">
        <v>40183.11</v>
      </c>
      <c r="P52">
        <v>122.32</v>
      </c>
      <c r="Q52">
        <v>204.14</v>
      </c>
      <c r="R52">
        <v>26.31</v>
      </c>
      <c r="S52">
        <v>17.37</v>
      </c>
      <c r="T52">
        <v>2355.5700000000002</v>
      </c>
      <c r="U52">
        <v>0.66</v>
      </c>
      <c r="V52">
        <v>0.75</v>
      </c>
      <c r="W52">
        <v>1.1499999999999999</v>
      </c>
      <c r="X52">
        <v>0.14000000000000001</v>
      </c>
      <c r="Y52">
        <v>1</v>
      </c>
      <c r="Z52">
        <v>10</v>
      </c>
    </row>
    <row r="53" spans="1:26" x14ac:dyDescent="0.3">
      <c r="A53">
        <v>51</v>
      </c>
      <c r="B53">
        <v>150</v>
      </c>
      <c r="C53" t="s">
        <v>26</v>
      </c>
      <c r="D53">
        <v>9.7329000000000008</v>
      </c>
      <c r="E53">
        <v>10.27</v>
      </c>
      <c r="F53">
        <v>6.83</v>
      </c>
      <c r="G53">
        <v>51.25</v>
      </c>
      <c r="H53">
        <v>0.76</v>
      </c>
      <c r="I53">
        <v>8</v>
      </c>
      <c r="J53">
        <v>324.48</v>
      </c>
      <c r="K53">
        <v>61.82</v>
      </c>
      <c r="L53">
        <v>13.75</v>
      </c>
      <c r="M53">
        <v>6</v>
      </c>
      <c r="N53">
        <v>98.91</v>
      </c>
      <c r="O53">
        <v>40253.839999999997</v>
      </c>
      <c r="P53">
        <v>122.33</v>
      </c>
      <c r="Q53">
        <v>204.14</v>
      </c>
      <c r="R53">
        <v>26.19</v>
      </c>
      <c r="S53">
        <v>17.37</v>
      </c>
      <c r="T53">
        <v>2295.6</v>
      </c>
      <c r="U53">
        <v>0.66</v>
      </c>
      <c r="V53">
        <v>0.75</v>
      </c>
      <c r="W53">
        <v>1.1499999999999999</v>
      </c>
      <c r="X53">
        <v>0.14000000000000001</v>
      </c>
      <c r="Y53">
        <v>1</v>
      </c>
      <c r="Z53">
        <v>10</v>
      </c>
    </row>
    <row r="54" spans="1:26" x14ac:dyDescent="0.3">
      <c r="A54">
        <v>52</v>
      </c>
      <c r="B54">
        <v>150</v>
      </c>
      <c r="C54" t="s">
        <v>26</v>
      </c>
      <c r="D54">
        <v>9.7402999999999995</v>
      </c>
      <c r="E54">
        <v>10.27</v>
      </c>
      <c r="F54">
        <v>6.83</v>
      </c>
      <c r="G54">
        <v>51.19</v>
      </c>
      <c r="H54">
        <v>0.77</v>
      </c>
      <c r="I54">
        <v>8</v>
      </c>
      <c r="J54">
        <v>325.06</v>
      </c>
      <c r="K54">
        <v>61.82</v>
      </c>
      <c r="L54">
        <v>14</v>
      </c>
      <c r="M54">
        <v>6</v>
      </c>
      <c r="N54">
        <v>99.24</v>
      </c>
      <c r="O54">
        <v>40324.71</v>
      </c>
      <c r="P54">
        <v>122.25</v>
      </c>
      <c r="Q54">
        <v>204.16</v>
      </c>
      <c r="R54">
        <v>25.97</v>
      </c>
      <c r="S54">
        <v>17.37</v>
      </c>
      <c r="T54">
        <v>2186.88</v>
      </c>
      <c r="U54">
        <v>0.67</v>
      </c>
      <c r="V54">
        <v>0.75</v>
      </c>
      <c r="W54">
        <v>1.1499999999999999</v>
      </c>
      <c r="X54">
        <v>0.13</v>
      </c>
      <c r="Y54">
        <v>1</v>
      </c>
      <c r="Z54">
        <v>10</v>
      </c>
    </row>
    <row r="55" spans="1:26" x14ac:dyDescent="0.3">
      <c r="A55">
        <v>53</v>
      </c>
      <c r="B55">
        <v>150</v>
      </c>
      <c r="C55" t="s">
        <v>26</v>
      </c>
      <c r="D55">
        <v>9.7308000000000003</v>
      </c>
      <c r="E55">
        <v>10.28</v>
      </c>
      <c r="F55">
        <v>6.83</v>
      </c>
      <c r="G55">
        <v>51.26</v>
      </c>
      <c r="H55">
        <v>0.78</v>
      </c>
      <c r="I55">
        <v>8</v>
      </c>
      <c r="J55">
        <v>325.63</v>
      </c>
      <c r="K55">
        <v>61.82</v>
      </c>
      <c r="L55">
        <v>14.25</v>
      </c>
      <c r="M55">
        <v>6</v>
      </c>
      <c r="N55">
        <v>99.56</v>
      </c>
      <c r="O55">
        <v>40395.74</v>
      </c>
      <c r="P55">
        <v>122.25</v>
      </c>
      <c r="Q55">
        <v>204.17</v>
      </c>
      <c r="R55">
        <v>26.22</v>
      </c>
      <c r="S55">
        <v>17.37</v>
      </c>
      <c r="T55">
        <v>2310.13</v>
      </c>
      <c r="U55">
        <v>0.66</v>
      </c>
      <c r="V55">
        <v>0.75</v>
      </c>
      <c r="W55">
        <v>1.1499999999999999</v>
      </c>
      <c r="X55">
        <v>0.14000000000000001</v>
      </c>
      <c r="Y55">
        <v>1</v>
      </c>
      <c r="Z55">
        <v>10</v>
      </c>
    </row>
    <row r="56" spans="1:26" x14ac:dyDescent="0.3">
      <c r="A56">
        <v>54</v>
      </c>
      <c r="B56">
        <v>150</v>
      </c>
      <c r="C56" t="s">
        <v>26</v>
      </c>
      <c r="D56">
        <v>9.8170000000000002</v>
      </c>
      <c r="E56">
        <v>10.19</v>
      </c>
      <c r="F56">
        <v>6.8</v>
      </c>
      <c r="G56">
        <v>58.29</v>
      </c>
      <c r="H56">
        <v>0.79</v>
      </c>
      <c r="I56">
        <v>7</v>
      </c>
      <c r="J56">
        <v>326.20999999999998</v>
      </c>
      <c r="K56">
        <v>61.82</v>
      </c>
      <c r="L56">
        <v>14.5</v>
      </c>
      <c r="M56">
        <v>5</v>
      </c>
      <c r="N56">
        <v>99.89</v>
      </c>
      <c r="O56">
        <v>40466.92</v>
      </c>
      <c r="P56">
        <v>121.4</v>
      </c>
      <c r="Q56">
        <v>204.16</v>
      </c>
      <c r="R56">
        <v>25.26</v>
      </c>
      <c r="S56">
        <v>17.37</v>
      </c>
      <c r="T56">
        <v>1836.82</v>
      </c>
      <c r="U56">
        <v>0.69</v>
      </c>
      <c r="V56">
        <v>0.75</v>
      </c>
      <c r="W56">
        <v>1.1499999999999999</v>
      </c>
      <c r="X56">
        <v>0.11</v>
      </c>
      <c r="Y56">
        <v>1</v>
      </c>
      <c r="Z56">
        <v>10</v>
      </c>
    </row>
    <row r="57" spans="1:26" x14ac:dyDescent="0.3">
      <c r="A57">
        <v>55</v>
      </c>
      <c r="B57">
        <v>150</v>
      </c>
      <c r="C57" t="s">
        <v>26</v>
      </c>
      <c r="D57">
        <v>9.8134999999999994</v>
      </c>
      <c r="E57">
        <v>10.19</v>
      </c>
      <c r="F57">
        <v>6.8</v>
      </c>
      <c r="G57">
        <v>58.32</v>
      </c>
      <c r="H57">
        <v>0.8</v>
      </c>
      <c r="I57">
        <v>7</v>
      </c>
      <c r="J57">
        <v>326.79000000000002</v>
      </c>
      <c r="K57">
        <v>61.82</v>
      </c>
      <c r="L57">
        <v>14.75</v>
      </c>
      <c r="M57">
        <v>5</v>
      </c>
      <c r="N57">
        <v>100.22</v>
      </c>
      <c r="O57">
        <v>40538.25</v>
      </c>
      <c r="P57">
        <v>121.69</v>
      </c>
      <c r="Q57">
        <v>204.19</v>
      </c>
      <c r="R57">
        <v>25.3</v>
      </c>
      <c r="S57">
        <v>17.37</v>
      </c>
      <c r="T57">
        <v>1855.65</v>
      </c>
      <c r="U57">
        <v>0.69</v>
      </c>
      <c r="V57">
        <v>0.75</v>
      </c>
      <c r="W57">
        <v>1.1499999999999999</v>
      </c>
      <c r="X57">
        <v>0.11</v>
      </c>
      <c r="Y57">
        <v>1</v>
      </c>
      <c r="Z57">
        <v>10</v>
      </c>
    </row>
    <row r="58" spans="1:26" x14ac:dyDescent="0.3">
      <c r="A58">
        <v>56</v>
      </c>
      <c r="B58">
        <v>150</v>
      </c>
      <c r="C58" t="s">
        <v>26</v>
      </c>
      <c r="D58">
        <v>9.8097999999999992</v>
      </c>
      <c r="E58">
        <v>10.19</v>
      </c>
      <c r="F58">
        <v>6.81</v>
      </c>
      <c r="G58">
        <v>58.35</v>
      </c>
      <c r="H58">
        <v>0.82</v>
      </c>
      <c r="I58">
        <v>7</v>
      </c>
      <c r="J58">
        <v>327.37</v>
      </c>
      <c r="K58">
        <v>61.82</v>
      </c>
      <c r="L58">
        <v>15</v>
      </c>
      <c r="M58">
        <v>5</v>
      </c>
      <c r="N58">
        <v>100.55</v>
      </c>
      <c r="O58">
        <v>40609.74</v>
      </c>
      <c r="P58">
        <v>121.88</v>
      </c>
      <c r="Q58">
        <v>204.14</v>
      </c>
      <c r="R58">
        <v>25.47</v>
      </c>
      <c r="S58">
        <v>17.37</v>
      </c>
      <c r="T58">
        <v>1942.05</v>
      </c>
      <c r="U58">
        <v>0.68</v>
      </c>
      <c r="V58">
        <v>0.75</v>
      </c>
      <c r="W58">
        <v>1.1499999999999999</v>
      </c>
      <c r="X58">
        <v>0.12</v>
      </c>
      <c r="Y58">
        <v>1</v>
      </c>
      <c r="Z58">
        <v>10</v>
      </c>
    </row>
    <row r="59" spans="1:26" x14ac:dyDescent="0.3">
      <c r="A59">
        <v>57</v>
      </c>
      <c r="B59">
        <v>150</v>
      </c>
      <c r="C59" t="s">
        <v>26</v>
      </c>
      <c r="D59">
        <v>9.8148999999999997</v>
      </c>
      <c r="E59">
        <v>10.19</v>
      </c>
      <c r="F59">
        <v>6.8</v>
      </c>
      <c r="G59">
        <v>58.31</v>
      </c>
      <c r="H59">
        <v>0.83</v>
      </c>
      <c r="I59">
        <v>7</v>
      </c>
      <c r="J59">
        <v>327.95</v>
      </c>
      <c r="K59">
        <v>61.82</v>
      </c>
      <c r="L59">
        <v>15.25</v>
      </c>
      <c r="M59">
        <v>5</v>
      </c>
      <c r="N59">
        <v>100.88</v>
      </c>
      <c r="O59">
        <v>40681.39</v>
      </c>
      <c r="P59">
        <v>121.98</v>
      </c>
      <c r="Q59">
        <v>204.14</v>
      </c>
      <c r="R59">
        <v>25.29</v>
      </c>
      <c r="S59">
        <v>17.37</v>
      </c>
      <c r="T59">
        <v>1854.65</v>
      </c>
      <c r="U59">
        <v>0.69</v>
      </c>
      <c r="V59">
        <v>0.75</v>
      </c>
      <c r="W59">
        <v>1.1499999999999999</v>
      </c>
      <c r="X59">
        <v>0.11</v>
      </c>
      <c r="Y59">
        <v>1</v>
      </c>
      <c r="Z59">
        <v>10</v>
      </c>
    </row>
    <row r="60" spans="1:26" x14ac:dyDescent="0.3">
      <c r="A60">
        <v>58</v>
      </c>
      <c r="B60">
        <v>150</v>
      </c>
      <c r="C60" t="s">
        <v>26</v>
      </c>
      <c r="D60">
        <v>9.8079000000000001</v>
      </c>
      <c r="E60">
        <v>10.199999999999999</v>
      </c>
      <c r="F60">
        <v>6.81</v>
      </c>
      <c r="G60">
        <v>58.37</v>
      </c>
      <c r="H60">
        <v>0.84</v>
      </c>
      <c r="I60">
        <v>7</v>
      </c>
      <c r="J60">
        <v>328.53</v>
      </c>
      <c r="K60">
        <v>61.82</v>
      </c>
      <c r="L60">
        <v>15.5</v>
      </c>
      <c r="M60">
        <v>5</v>
      </c>
      <c r="N60">
        <v>101.21</v>
      </c>
      <c r="O60">
        <v>40753.199999999997</v>
      </c>
      <c r="P60">
        <v>122.09</v>
      </c>
      <c r="Q60">
        <v>204.15</v>
      </c>
      <c r="R60">
        <v>25.53</v>
      </c>
      <c r="S60">
        <v>17.37</v>
      </c>
      <c r="T60">
        <v>1973.02</v>
      </c>
      <c r="U60">
        <v>0.68</v>
      </c>
      <c r="V60">
        <v>0.75</v>
      </c>
      <c r="W60">
        <v>1.1499999999999999</v>
      </c>
      <c r="X60">
        <v>0.12</v>
      </c>
      <c r="Y60">
        <v>1</v>
      </c>
      <c r="Z60">
        <v>10</v>
      </c>
    </row>
    <row r="61" spans="1:26" x14ac:dyDescent="0.3">
      <c r="A61">
        <v>59</v>
      </c>
      <c r="B61">
        <v>150</v>
      </c>
      <c r="C61" t="s">
        <v>26</v>
      </c>
      <c r="D61">
        <v>9.8036999999999992</v>
      </c>
      <c r="E61">
        <v>10.199999999999999</v>
      </c>
      <c r="F61">
        <v>6.81</v>
      </c>
      <c r="G61">
        <v>58.41</v>
      </c>
      <c r="H61">
        <v>0.85</v>
      </c>
      <c r="I61">
        <v>7</v>
      </c>
      <c r="J61">
        <v>329.12</v>
      </c>
      <c r="K61">
        <v>61.82</v>
      </c>
      <c r="L61">
        <v>15.75</v>
      </c>
      <c r="M61">
        <v>5</v>
      </c>
      <c r="N61">
        <v>101.54</v>
      </c>
      <c r="O61">
        <v>40825.160000000003</v>
      </c>
      <c r="P61">
        <v>122.18</v>
      </c>
      <c r="Q61">
        <v>204.14</v>
      </c>
      <c r="R61">
        <v>25.59</v>
      </c>
      <c r="S61">
        <v>17.37</v>
      </c>
      <c r="T61">
        <v>2001.31</v>
      </c>
      <c r="U61">
        <v>0.68</v>
      </c>
      <c r="V61">
        <v>0.75</v>
      </c>
      <c r="W61">
        <v>1.1499999999999999</v>
      </c>
      <c r="X61">
        <v>0.12</v>
      </c>
      <c r="Y61">
        <v>1</v>
      </c>
      <c r="Z61">
        <v>10</v>
      </c>
    </row>
    <row r="62" spans="1:26" x14ac:dyDescent="0.3">
      <c r="A62">
        <v>60</v>
      </c>
      <c r="B62">
        <v>150</v>
      </c>
      <c r="C62" t="s">
        <v>26</v>
      </c>
      <c r="D62">
        <v>9.8093000000000004</v>
      </c>
      <c r="E62">
        <v>10.19</v>
      </c>
      <c r="F62">
        <v>6.81</v>
      </c>
      <c r="G62">
        <v>58.36</v>
      </c>
      <c r="H62">
        <v>0.86</v>
      </c>
      <c r="I62">
        <v>7</v>
      </c>
      <c r="J62">
        <v>329.7</v>
      </c>
      <c r="K62">
        <v>61.82</v>
      </c>
      <c r="L62">
        <v>16</v>
      </c>
      <c r="M62">
        <v>5</v>
      </c>
      <c r="N62">
        <v>101.88</v>
      </c>
      <c r="O62">
        <v>40897.29</v>
      </c>
      <c r="P62">
        <v>122.05</v>
      </c>
      <c r="Q62">
        <v>204.14</v>
      </c>
      <c r="R62">
        <v>25.59</v>
      </c>
      <c r="S62">
        <v>17.37</v>
      </c>
      <c r="T62">
        <v>2001.83</v>
      </c>
      <c r="U62">
        <v>0.68</v>
      </c>
      <c r="V62">
        <v>0.75</v>
      </c>
      <c r="W62">
        <v>1.1399999999999999</v>
      </c>
      <c r="X62">
        <v>0.12</v>
      </c>
      <c r="Y62">
        <v>1</v>
      </c>
      <c r="Z62">
        <v>10</v>
      </c>
    </row>
    <row r="63" spans="1:26" x14ac:dyDescent="0.3">
      <c r="A63">
        <v>61</v>
      </c>
      <c r="B63">
        <v>150</v>
      </c>
      <c r="C63" t="s">
        <v>26</v>
      </c>
      <c r="D63">
        <v>9.8049999999999997</v>
      </c>
      <c r="E63">
        <v>10.199999999999999</v>
      </c>
      <c r="F63">
        <v>6.81</v>
      </c>
      <c r="G63">
        <v>58.4</v>
      </c>
      <c r="H63">
        <v>0.88</v>
      </c>
      <c r="I63">
        <v>7</v>
      </c>
      <c r="J63">
        <v>330.29</v>
      </c>
      <c r="K63">
        <v>61.82</v>
      </c>
      <c r="L63">
        <v>16.25</v>
      </c>
      <c r="M63">
        <v>5</v>
      </c>
      <c r="N63">
        <v>102.21</v>
      </c>
      <c r="O63">
        <v>40969.57</v>
      </c>
      <c r="P63">
        <v>121.98</v>
      </c>
      <c r="Q63">
        <v>204.14</v>
      </c>
      <c r="R63">
        <v>25.67</v>
      </c>
      <c r="S63">
        <v>17.37</v>
      </c>
      <c r="T63">
        <v>2040.7</v>
      </c>
      <c r="U63">
        <v>0.68</v>
      </c>
      <c r="V63">
        <v>0.75</v>
      </c>
      <c r="W63">
        <v>1.1499999999999999</v>
      </c>
      <c r="X63">
        <v>0.12</v>
      </c>
      <c r="Y63">
        <v>1</v>
      </c>
      <c r="Z63">
        <v>10</v>
      </c>
    </row>
    <row r="64" spans="1:26" x14ac:dyDescent="0.3">
      <c r="A64">
        <v>62</v>
      </c>
      <c r="B64">
        <v>150</v>
      </c>
      <c r="C64" t="s">
        <v>26</v>
      </c>
      <c r="D64">
        <v>9.8049999999999997</v>
      </c>
      <c r="E64">
        <v>10.199999999999999</v>
      </c>
      <c r="F64">
        <v>6.81</v>
      </c>
      <c r="G64">
        <v>58.4</v>
      </c>
      <c r="H64">
        <v>0.89</v>
      </c>
      <c r="I64">
        <v>7</v>
      </c>
      <c r="J64">
        <v>330.87</v>
      </c>
      <c r="K64">
        <v>61.82</v>
      </c>
      <c r="L64">
        <v>16.5</v>
      </c>
      <c r="M64">
        <v>5</v>
      </c>
      <c r="N64">
        <v>102.55</v>
      </c>
      <c r="O64">
        <v>41042.019999999997</v>
      </c>
      <c r="P64">
        <v>121.88</v>
      </c>
      <c r="Q64">
        <v>204.14</v>
      </c>
      <c r="R64">
        <v>25.69</v>
      </c>
      <c r="S64">
        <v>17.37</v>
      </c>
      <c r="T64">
        <v>2053.87</v>
      </c>
      <c r="U64">
        <v>0.68</v>
      </c>
      <c r="V64">
        <v>0.75</v>
      </c>
      <c r="W64">
        <v>1.1499999999999999</v>
      </c>
      <c r="X64">
        <v>0.12</v>
      </c>
      <c r="Y64">
        <v>1</v>
      </c>
      <c r="Z64">
        <v>10</v>
      </c>
    </row>
    <row r="65" spans="1:26" x14ac:dyDescent="0.3">
      <c r="A65">
        <v>63</v>
      </c>
      <c r="B65">
        <v>150</v>
      </c>
      <c r="C65" t="s">
        <v>26</v>
      </c>
      <c r="D65">
        <v>9.8010000000000002</v>
      </c>
      <c r="E65">
        <v>10.199999999999999</v>
      </c>
      <c r="F65">
        <v>6.82</v>
      </c>
      <c r="G65">
        <v>58.43</v>
      </c>
      <c r="H65">
        <v>0.9</v>
      </c>
      <c r="I65">
        <v>7</v>
      </c>
      <c r="J65">
        <v>331.46</v>
      </c>
      <c r="K65">
        <v>61.82</v>
      </c>
      <c r="L65">
        <v>16.75</v>
      </c>
      <c r="M65">
        <v>5</v>
      </c>
      <c r="N65">
        <v>102.89</v>
      </c>
      <c r="O65">
        <v>41114.629999999997</v>
      </c>
      <c r="P65">
        <v>121.86</v>
      </c>
      <c r="Q65">
        <v>204.15</v>
      </c>
      <c r="R65">
        <v>25.8</v>
      </c>
      <c r="S65">
        <v>17.37</v>
      </c>
      <c r="T65">
        <v>2108.88</v>
      </c>
      <c r="U65">
        <v>0.67</v>
      </c>
      <c r="V65">
        <v>0.75</v>
      </c>
      <c r="W65">
        <v>1.1499999999999999</v>
      </c>
      <c r="X65">
        <v>0.13</v>
      </c>
      <c r="Y65">
        <v>1</v>
      </c>
      <c r="Z65">
        <v>10</v>
      </c>
    </row>
    <row r="66" spans="1:26" x14ac:dyDescent="0.3">
      <c r="A66">
        <v>64</v>
      </c>
      <c r="B66">
        <v>150</v>
      </c>
      <c r="C66" t="s">
        <v>26</v>
      </c>
      <c r="D66">
        <v>9.8049999999999997</v>
      </c>
      <c r="E66">
        <v>10.199999999999999</v>
      </c>
      <c r="F66">
        <v>6.81</v>
      </c>
      <c r="G66">
        <v>58.4</v>
      </c>
      <c r="H66">
        <v>0.91</v>
      </c>
      <c r="I66">
        <v>7</v>
      </c>
      <c r="J66">
        <v>332.05</v>
      </c>
      <c r="K66">
        <v>61.82</v>
      </c>
      <c r="L66">
        <v>17</v>
      </c>
      <c r="M66">
        <v>5</v>
      </c>
      <c r="N66">
        <v>103.23</v>
      </c>
      <c r="O66">
        <v>41187.410000000003</v>
      </c>
      <c r="P66">
        <v>121.67</v>
      </c>
      <c r="Q66">
        <v>204.15</v>
      </c>
      <c r="R66">
        <v>25.68</v>
      </c>
      <c r="S66">
        <v>17.37</v>
      </c>
      <c r="T66">
        <v>2047.25</v>
      </c>
      <c r="U66">
        <v>0.68</v>
      </c>
      <c r="V66">
        <v>0.75</v>
      </c>
      <c r="W66">
        <v>1.1499999999999999</v>
      </c>
      <c r="X66">
        <v>0.12</v>
      </c>
      <c r="Y66">
        <v>1</v>
      </c>
      <c r="Z66">
        <v>10</v>
      </c>
    </row>
    <row r="67" spans="1:26" x14ac:dyDescent="0.3">
      <c r="A67">
        <v>65</v>
      </c>
      <c r="B67">
        <v>150</v>
      </c>
      <c r="C67" t="s">
        <v>26</v>
      </c>
      <c r="D67">
        <v>9.8102999999999998</v>
      </c>
      <c r="E67">
        <v>10.19</v>
      </c>
      <c r="F67">
        <v>6.81</v>
      </c>
      <c r="G67">
        <v>58.35</v>
      </c>
      <c r="H67">
        <v>0.92</v>
      </c>
      <c r="I67">
        <v>7</v>
      </c>
      <c r="J67">
        <v>332.64</v>
      </c>
      <c r="K67">
        <v>61.82</v>
      </c>
      <c r="L67">
        <v>17.25</v>
      </c>
      <c r="M67">
        <v>5</v>
      </c>
      <c r="N67">
        <v>103.57</v>
      </c>
      <c r="O67">
        <v>41260.35</v>
      </c>
      <c r="P67">
        <v>121.39</v>
      </c>
      <c r="Q67">
        <v>204.15</v>
      </c>
      <c r="R67">
        <v>25.43</v>
      </c>
      <c r="S67">
        <v>17.37</v>
      </c>
      <c r="T67">
        <v>1919.9</v>
      </c>
      <c r="U67">
        <v>0.68</v>
      </c>
      <c r="V67">
        <v>0.75</v>
      </c>
      <c r="W67">
        <v>1.1499999999999999</v>
      </c>
      <c r="X67">
        <v>0.12</v>
      </c>
      <c r="Y67">
        <v>1</v>
      </c>
      <c r="Z67">
        <v>10</v>
      </c>
    </row>
    <row r="68" spans="1:26" x14ac:dyDescent="0.3">
      <c r="A68">
        <v>66</v>
      </c>
      <c r="B68">
        <v>150</v>
      </c>
      <c r="C68" t="s">
        <v>26</v>
      </c>
      <c r="D68">
        <v>9.8843999999999994</v>
      </c>
      <c r="E68">
        <v>10.119999999999999</v>
      </c>
      <c r="F68">
        <v>6.79</v>
      </c>
      <c r="G68">
        <v>67.86</v>
      </c>
      <c r="H68">
        <v>0.94</v>
      </c>
      <c r="I68">
        <v>6</v>
      </c>
      <c r="J68">
        <v>333.24</v>
      </c>
      <c r="K68">
        <v>61.82</v>
      </c>
      <c r="L68">
        <v>17.5</v>
      </c>
      <c r="M68">
        <v>4</v>
      </c>
      <c r="N68">
        <v>103.92</v>
      </c>
      <c r="O68">
        <v>41333.46</v>
      </c>
      <c r="P68">
        <v>121</v>
      </c>
      <c r="Q68">
        <v>204.15</v>
      </c>
      <c r="R68">
        <v>24.73</v>
      </c>
      <c r="S68">
        <v>17.37</v>
      </c>
      <c r="T68">
        <v>1575.18</v>
      </c>
      <c r="U68">
        <v>0.7</v>
      </c>
      <c r="V68">
        <v>0.75</v>
      </c>
      <c r="W68">
        <v>1.1499999999999999</v>
      </c>
      <c r="X68">
        <v>0.1</v>
      </c>
      <c r="Y68">
        <v>1</v>
      </c>
      <c r="Z68">
        <v>10</v>
      </c>
    </row>
    <row r="69" spans="1:26" x14ac:dyDescent="0.3">
      <c r="A69">
        <v>67</v>
      </c>
      <c r="B69">
        <v>150</v>
      </c>
      <c r="C69" t="s">
        <v>26</v>
      </c>
      <c r="D69">
        <v>9.8849999999999998</v>
      </c>
      <c r="E69">
        <v>10.119999999999999</v>
      </c>
      <c r="F69">
        <v>6.79</v>
      </c>
      <c r="G69">
        <v>67.86</v>
      </c>
      <c r="H69">
        <v>0.95</v>
      </c>
      <c r="I69">
        <v>6</v>
      </c>
      <c r="J69">
        <v>333.83</v>
      </c>
      <c r="K69">
        <v>61.82</v>
      </c>
      <c r="L69">
        <v>17.75</v>
      </c>
      <c r="M69">
        <v>4</v>
      </c>
      <c r="N69">
        <v>104.26</v>
      </c>
      <c r="O69">
        <v>41406.86</v>
      </c>
      <c r="P69">
        <v>121.12</v>
      </c>
      <c r="Q69">
        <v>204.14</v>
      </c>
      <c r="R69">
        <v>24.73</v>
      </c>
      <c r="S69">
        <v>17.37</v>
      </c>
      <c r="T69">
        <v>1577.64</v>
      </c>
      <c r="U69">
        <v>0.7</v>
      </c>
      <c r="V69">
        <v>0.75</v>
      </c>
      <c r="W69">
        <v>1.1499999999999999</v>
      </c>
      <c r="X69">
        <v>0.09</v>
      </c>
      <c r="Y69">
        <v>1</v>
      </c>
      <c r="Z69">
        <v>10</v>
      </c>
    </row>
    <row r="70" spans="1:26" x14ac:dyDescent="0.3">
      <c r="A70">
        <v>68</v>
      </c>
      <c r="B70">
        <v>150</v>
      </c>
      <c r="C70" t="s">
        <v>26</v>
      </c>
      <c r="D70">
        <v>9.8813999999999993</v>
      </c>
      <c r="E70">
        <v>10.119999999999999</v>
      </c>
      <c r="F70">
        <v>6.79</v>
      </c>
      <c r="G70">
        <v>67.89</v>
      </c>
      <c r="H70">
        <v>0.96</v>
      </c>
      <c r="I70">
        <v>6</v>
      </c>
      <c r="J70">
        <v>334.43</v>
      </c>
      <c r="K70">
        <v>61.82</v>
      </c>
      <c r="L70">
        <v>18</v>
      </c>
      <c r="M70">
        <v>4</v>
      </c>
      <c r="N70">
        <v>104.61</v>
      </c>
      <c r="O70">
        <v>41480.31</v>
      </c>
      <c r="P70">
        <v>121.17</v>
      </c>
      <c r="Q70">
        <v>204.14</v>
      </c>
      <c r="R70">
        <v>24.85</v>
      </c>
      <c r="S70">
        <v>17.37</v>
      </c>
      <c r="T70">
        <v>1639.29</v>
      </c>
      <c r="U70">
        <v>0.7</v>
      </c>
      <c r="V70">
        <v>0.75</v>
      </c>
      <c r="W70">
        <v>1.1499999999999999</v>
      </c>
      <c r="X70">
        <v>0.1</v>
      </c>
      <c r="Y70">
        <v>1</v>
      </c>
      <c r="Z70">
        <v>10</v>
      </c>
    </row>
    <row r="71" spans="1:26" x14ac:dyDescent="0.3">
      <c r="A71">
        <v>69</v>
      </c>
      <c r="B71">
        <v>150</v>
      </c>
      <c r="C71" t="s">
        <v>26</v>
      </c>
      <c r="D71">
        <v>9.8847000000000005</v>
      </c>
      <c r="E71">
        <v>10.119999999999999</v>
      </c>
      <c r="F71">
        <v>6.79</v>
      </c>
      <c r="G71">
        <v>67.86</v>
      </c>
      <c r="H71">
        <v>0.97</v>
      </c>
      <c r="I71">
        <v>6</v>
      </c>
      <c r="J71">
        <v>335.02</v>
      </c>
      <c r="K71">
        <v>61.82</v>
      </c>
      <c r="L71">
        <v>18.25</v>
      </c>
      <c r="M71">
        <v>4</v>
      </c>
      <c r="N71">
        <v>104.95</v>
      </c>
      <c r="O71">
        <v>41553.93</v>
      </c>
      <c r="P71">
        <v>121.26</v>
      </c>
      <c r="Q71">
        <v>204.19</v>
      </c>
      <c r="R71">
        <v>24.74</v>
      </c>
      <c r="S71">
        <v>17.37</v>
      </c>
      <c r="T71">
        <v>1580.67</v>
      </c>
      <c r="U71">
        <v>0.7</v>
      </c>
      <c r="V71">
        <v>0.75</v>
      </c>
      <c r="W71">
        <v>1.1499999999999999</v>
      </c>
      <c r="X71">
        <v>0.09</v>
      </c>
      <c r="Y71">
        <v>1</v>
      </c>
      <c r="Z71">
        <v>10</v>
      </c>
    </row>
    <row r="72" spans="1:26" x14ac:dyDescent="0.3">
      <c r="A72">
        <v>70</v>
      </c>
      <c r="B72">
        <v>150</v>
      </c>
      <c r="C72" t="s">
        <v>26</v>
      </c>
      <c r="D72">
        <v>9.8825000000000003</v>
      </c>
      <c r="E72">
        <v>10.119999999999999</v>
      </c>
      <c r="F72">
        <v>6.79</v>
      </c>
      <c r="G72">
        <v>67.88</v>
      </c>
      <c r="H72">
        <v>0.98</v>
      </c>
      <c r="I72">
        <v>6</v>
      </c>
      <c r="J72">
        <v>335.62</v>
      </c>
      <c r="K72">
        <v>61.82</v>
      </c>
      <c r="L72">
        <v>18.5</v>
      </c>
      <c r="M72">
        <v>4</v>
      </c>
      <c r="N72">
        <v>105.3</v>
      </c>
      <c r="O72">
        <v>41627.72</v>
      </c>
      <c r="P72">
        <v>121.41</v>
      </c>
      <c r="Q72">
        <v>204.14</v>
      </c>
      <c r="R72">
        <v>24.93</v>
      </c>
      <c r="S72">
        <v>17.37</v>
      </c>
      <c r="T72">
        <v>1676.94</v>
      </c>
      <c r="U72">
        <v>0.7</v>
      </c>
      <c r="V72">
        <v>0.75</v>
      </c>
      <c r="W72">
        <v>1.1399999999999999</v>
      </c>
      <c r="X72">
        <v>0.1</v>
      </c>
      <c r="Y72">
        <v>1</v>
      </c>
      <c r="Z72">
        <v>10</v>
      </c>
    </row>
    <row r="73" spans="1:26" x14ac:dyDescent="0.3">
      <c r="A73">
        <v>71</v>
      </c>
      <c r="B73">
        <v>150</v>
      </c>
      <c r="C73" t="s">
        <v>26</v>
      </c>
      <c r="D73">
        <v>9.8821999999999992</v>
      </c>
      <c r="E73">
        <v>10.119999999999999</v>
      </c>
      <c r="F73">
        <v>6.79</v>
      </c>
      <c r="G73">
        <v>67.89</v>
      </c>
      <c r="H73">
        <v>0.99</v>
      </c>
      <c r="I73">
        <v>6</v>
      </c>
      <c r="J73">
        <v>336.22</v>
      </c>
      <c r="K73">
        <v>61.82</v>
      </c>
      <c r="L73">
        <v>18.75</v>
      </c>
      <c r="M73">
        <v>4</v>
      </c>
      <c r="N73">
        <v>105.65</v>
      </c>
      <c r="O73">
        <v>41701.68</v>
      </c>
      <c r="P73">
        <v>121.49</v>
      </c>
      <c r="Q73">
        <v>204.14</v>
      </c>
      <c r="R73">
        <v>24.94</v>
      </c>
      <c r="S73">
        <v>17.37</v>
      </c>
      <c r="T73">
        <v>1681.47</v>
      </c>
      <c r="U73">
        <v>0.7</v>
      </c>
      <c r="V73">
        <v>0.75</v>
      </c>
      <c r="W73">
        <v>1.1399999999999999</v>
      </c>
      <c r="X73">
        <v>0.1</v>
      </c>
      <c r="Y73">
        <v>1</v>
      </c>
      <c r="Z73">
        <v>10</v>
      </c>
    </row>
    <row r="74" spans="1:26" x14ac:dyDescent="0.3">
      <c r="A74">
        <v>72</v>
      </c>
      <c r="B74">
        <v>150</v>
      </c>
      <c r="C74" t="s">
        <v>26</v>
      </c>
      <c r="D74">
        <v>9.8879000000000001</v>
      </c>
      <c r="E74">
        <v>10.11</v>
      </c>
      <c r="F74">
        <v>6.78</v>
      </c>
      <c r="G74">
        <v>67.83</v>
      </c>
      <c r="H74">
        <v>1.01</v>
      </c>
      <c r="I74">
        <v>6</v>
      </c>
      <c r="J74">
        <v>336.82</v>
      </c>
      <c r="K74">
        <v>61.82</v>
      </c>
      <c r="L74">
        <v>19</v>
      </c>
      <c r="M74">
        <v>4</v>
      </c>
      <c r="N74">
        <v>106</v>
      </c>
      <c r="O74">
        <v>41775.82</v>
      </c>
      <c r="P74">
        <v>121.38</v>
      </c>
      <c r="Q74">
        <v>204.15</v>
      </c>
      <c r="R74">
        <v>24.66</v>
      </c>
      <c r="S74">
        <v>17.37</v>
      </c>
      <c r="T74">
        <v>1541.56</v>
      </c>
      <c r="U74">
        <v>0.7</v>
      </c>
      <c r="V74">
        <v>0.75</v>
      </c>
      <c r="W74">
        <v>1.1499999999999999</v>
      </c>
      <c r="X74">
        <v>0.09</v>
      </c>
      <c r="Y74">
        <v>1</v>
      </c>
      <c r="Z74">
        <v>10</v>
      </c>
    </row>
    <row r="75" spans="1:26" x14ac:dyDescent="0.3">
      <c r="A75">
        <v>73</v>
      </c>
      <c r="B75">
        <v>150</v>
      </c>
      <c r="C75" t="s">
        <v>26</v>
      </c>
      <c r="D75">
        <v>9.8885000000000005</v>
      </c>
      <c r="E75">
        <v>10.11</v>
      </c>
      <c r="F75">
        <v>6.78</v>
      </c>
      <c r="G75">
        <v>67.819999999999993</v>
      </c>
      <c r="H75">
        <v>1.02</v>
      </c>
      <c r="I75">
        <v>6</v>
      </c>
      <c r="J75">
        <v>337.43</v>
      </c>
      <c r="K75">
        <v>61.82</v>
      </c>
      <c r="L75">
        <v>19.25</v>
      </c>
      <c r="M75">
        <v>4</v>
      </c>
      <c r="N75">
        <v>106.35</v>
      </c>
      <c r="O75">
        <v>41850.129999999997</v>
      </c>
      <c r="P75">
        <v>121.26</v>
      </c>
      <c r="Q75">
        <v>204.14</v>
      </c>
      <c r="R75">
        <v>24.65</v>
      </c>
      <c r="S75">
        <v>17.37</v>
      </c>
      <c r="T75">
        <v>1535.12</v>
      </c>
      <c r="U75">
        <v>0.7</v>
      </c>
      <c r="V75">
        <v>0.75</v>
      </c>
      <c r="W75">
        <v>1.1499999999999999</v>
      </c>
      <c r="X75">
        <v>0.09</v>
      </c>
      <c r="Y75">
        <v>1</v>
      </c>
      <c r="Z75">
        <v>10</v>
      </c>
    </row>
    <row r="76" spans="1:26" x14ac:dyDescent="0.3">
      <c r="A76">
        <v>74</v>
      </c>
      <c r="B76">
        <v>150</v>
      </c>
      <c r="C76" t="s">
        <v>26</v>
      </c>
      <c r="D76">
        <v>9.8811999999999998</v>
      </c>
      <c r="E76">
        <v>10.119999999999999</v>
      </c>
      <c r="F76">
        <v>6.79</v>
      </c>
      <c r="G76">
        <v>67.900000000000006</v>
      </c>
      <c r="H76">
        <v>1.03</v>
      </c>
      <c r="I76">
        <v>6</v>
      </c>
      <c r="J76">
        <v>338.03</v>
      </c>
      <c r="K76">
        <v>61.82</v>
      </c>
      <c r="L76">
        <v>19.5</v>
      </c>
      <c r="M76">
        <v>4</v>
      </c>
      <c r="N76">
        <v>106.71</v>
      </c>
      <c r="O76">
        <v>41924.620000000003</v>
      </c>
      <c r="P76">
        <v>121.32</v>
      </c>
      <c r="Q76">
        <v>204.14</v>
      </c>
      <c r="R76">
        <v>24.8</v>
      </c>
      <c r="S76">
        <v>17.37</v>
      </c>
      <c r="T76">
        <v>1610.59</v>
      </c>
      <c r="U76">
        <v>0.7</v>
      </c>
      <c r="V76">
        <v>0.75</v>
      </c>
      <c r="W76">
        <v>1.1499999999999999</v>
      </c>
      <c r="X76">
        <v>0.1</v>
      </c>
      <c r="Y76">
        <v>1</v>
      </c>
      <c r="Z76">
        <v>10</v>
      </c>
    </row>
    <row r="77" spans="1:26" x14ac:dyDescent="0.3">
      <c r="A77">
        <v>75</v>
      </c>
      <c r="B77">
        <v>150</v>
      </c>
      <c r="C77" t="s">
        <v>26</v>
      </c>
      <c r="D77">
        <v>9.8859999999999992</v>
      </c>
      <c r="E77">
        <v>10.119999999999999</v>
      </c>
      <c r="F77">
        <v>6.78</v>
      </c>
      <c r="G77">
        <v>67.849999999999994</v>
      </c>
      <c r="H77">
        <v>1.04</v>
      </c>
      <c r="I77">
        <v>6</v>
      </c>
      <c r="J77">
        <v>338.63</v>
      </c>
      <c r="K77">
        <v>61.82</v>
      </c>
      <c r="L77">
        <v>19.75</v>
      </c>
      <c r="M77">
        <v>4</v>
      </c>
      <c r="N77">
        <v>107.06</v>
      </c>
      <c r="O77">
        <v>41999.28</v>
      </c>
      <c r="P77">
        <v>121.14</v>
      </c>
      <c r="Q77">
        <v>204.18</v>
      </c>
      <c r="R77">
        <v>24.84</v>
      </c>
      <c r="S77">
        <v>17.37</v>
      </c>
      <c r="T77">
        <v>1632.36</v>
      </c>
      <c r="U77">
        <v>0.7</v>
      </c>
      <c r="V77">
        <v>0.75</v>
      </c>
      <c r="W77">
        <v>1.1399999999999999</v>
      </c>
      <c r="X77">
        <v>0.09</v>
      </c>
      <c r="Y77">
        <v>1</v>
      </c>
      <c r="Z77">
        <v>10</v>
      </c>
    </row>
    <row r="78" spans="1:26" x14ac:dyDescent="0.3">
      <c r="A78">
        <v>76</v>
      </c>
      <c r="B78">
        <v>150</v>
      </c>
      <c r="C78" t="s">
        <v>26</v>
      </c>
      <c r="D78">
        <v>9.8759999999999994</v>
      </c>
      <c r="E78">
        <v>10.130000000000001</v>
      </c>
      <c r="F78">
        <v>6.79</v>
      </c>
      <c r="G78">
        <v>67.95</v>
      </c>
      <c r="H78">
        <v>1.05</v>
      </c>
      <c r="I78">
        <v>6</v>
      </c>
      <c r="J78">
        <v>339.24</v>
      </c>
      <c r="K78">
        <v>61.82</v>
      </c>
      <c r="L78">
        <v>20</v>
      </c>
      <c r="M78">
        <v>4</v>
      </c>
      <c r="N78">
        <v>107.42</v>
      </c>
      <c r="O78">
        <v>42074.12</v>
      </c>
      <c r="P78">
        <v>121.32</v>
      </c>
      <c r="Q78">
        <v>204.15</v>
      </c>
      <c r="R78">
        <v>25.07</v>
      </c>
      <c r="S78">
        <v>17.37</v>
      </c>
      <c r="T78">
        <v>1749.07</v>
      </c>
      <c r="U78">
        <v>0.69</v>
      </c>
      <c r="V78">
        <v>0.75</v>
      </c>
      <c r="W78">
        <v>1.1499999999999999</v>
      </c>
      <c r="X78">
        <v>0.1</v>
      </c>
      <c r="Y78">
        <v>1</v>
      </c>
      <c r="Z78">
        <v>10</v>
      </c>
    </row>
    <row r="79" spans="1:26" x14ac:dyDescent="0.3">
      <c r="A79">
        <v>77</v>
      </c>
      <c r="B79">
        <v>150</v>
      </c>
      <c r="C79" t="s">
        <v>26</v>
      </c>
      <c r="D79">
        <v>9.8821999999999992</v>
      </c>
      <c r="E79">
        <v>10.119999999999999</v>
      </c>
      <c r="F79">
        <v>6.79</v>
      </c>
      <c r="G79">
        <v>67.89</v>
      </c>
      <c r="H79">
        <v>1.06</v>
      </c>
      <c r="I79">
        <v>6</v>
      </c>
      <c r="J79">
        <v>339.85</v>
      </c>
      <c r="K79">
        <v>61.82</v>
      </c>
      <c r="L79">
        <v>20.25</v>
      </c>
      <c r="M79">
        <v>4</v>
      </c>
      <c r="N79">
        <v>107.78</v>
      </c>
      <c r="O79">
        <v>42149.15</v>
      </c>
      <c r="P79">
        <v>121.09</v>
      </c>
      <c r="Q79">
        <v>204.15</v>
      </c>
      <c r="R79">
        <v>24.79</v>
      </c>
      <c r="S79">
        <v>17.37</v>
      </c>
      <c r="T79">
        <v>1608.28</v>
      </c>
      <c r="U79">
        <v>0.7</v>
      </c>
      <c r="V79">
        <v>0.75</v>
      </c>
      <c r="W79">
        <v>1.1499999999999999</v>
      </c>
      <c r="X79">
        <v>0.1</v>
      </c>
      <c r="Y79">
        <v>1</v>
      </c>
      <c r="Z79">
        <v>10</v>
      </c>
    </row>
    <row r="80" spans="1:26" x14ac:dyDescent="0.3">
      <c r="A80">
        <v>78</v>
      </c>
      <c r="B80">
        <v>150</v>
      </c>
      <c r="C80" t="s">
        <v>26</v>
      </c>
      <c r="D80">
        <v>9.8797999999999995</v>
      </c>
      <c r="E80">
        <v>10.119999999999999</v>
      </c>
      <c r="F80">
        <v>6.79</v>
      </c>
      <c r="G80">
        <v>67.91</v>
      </c>
      <c r="H80">
        <v>1.07</v>
      </c>
      <c r="I80">
        <v>6</v>
      </c>
      <c r="J80">
        <v>340.46</v>
      </c>
      <c r="K80">
        <v>61.82</v>
      </c>
      <c r="L80">
        <v>20.5</v>
      </c>
      <c r="M80">
        <v>4</v>
      </c>
      <c r="N80">
        <v>108.14</v>
      </c>
      <c r="O80">
        <v>42224.35</v>
      </c>
      <c r="P80">
        <v>121.08</v>
      </c>
      <c r="Q80">
        <v>204.15</v>
      </c>
      <c r="R80">
        <v>24.94</v>
      </c>
      <c r="S80">
        <v>17.37</v>
      </c>
      <c r="T80">
        <v>1681.26</v>
      </c>
      <c r="U80">
        <v>0.7</v>
      </c>
      <c r="V80">
        <v>0.75</v>
      </c>
      <c r="W80">
        <v>1.1499999999999999</v>
      </c>
      <c r="X80">
        <v>0.1</v>
      </c>
      <c r="Y80">
        <v>1</v>
      </c>
      <c r="Z80">
        <v>10</v>
      </c>
    </row>
    <row r="81" spans="1:26" x14ac:dyDescent="0.3">
      <c r="A81">
        <v>79</v>
      </c>
      <c r="B81">
        <v>150</v>
      </c>
      <c r="C81" t="s">
        <v>26</v>
      </c>
      <c r="D81">
        <v>9.8817000000000004</v>
      </c>
      <c r="E81">
        <v>10.119999999999999</v>
      </c>
      <c r="F81">
        <v>6.79</v>
      </c>
      <c r="G81">
        <v>67.89</v>
      </c>
      <c r="H81">
        <v>1.08</v>
      </c>
      <c r="I81">
        <v>6</v>
      </c>
      <c r="J81">
        <v>341.07</v>
      </c>
      <c r="K81">
        <v>61.82</v>
      </c>
      <c r="L81">
        <v>20.75</v>
      </c>
      <c r="M81">
        <v>4</v>
      </c>
      <c r="N81">
        <v>108.5</v>
      </c>
      <c r="O81">
        <v>42299.74</v>
      </c>
      <c r="P81">
        <v>121.08</v>
      </c>
      <c r="Q81">
        <v>204.19</v>
      </c>
      <c r="R81">
        <v>24.82</v>
      </c>
      <c r="S81">
        <v>17.37</v>
      </c>
      <c r="T81">
        <v>1621.18</v>
      </c>
      <c r="U81">
        <v>0.7</v>
      </c>
      <c r="V81">
        <v>0.75</v>
      </c>
      <c r="W81">
        <v>1.1499999999999999</v>
      </c>
      <c r="X81">
        <v>0.1</v>
      </c>
      <c r="Y81">
        <v>1</v>
      </c>
      <c r="Z81">
        <v>10</v>
      </c>
    </row>
    <row r="82" spans="1:26" x14ac:dyDescent="0.3">
      <c r="A82">
        <v>80</v>
      </c>
      <c r="B82">
        <v>150</v>
      </c>
      <c r="C82" t="s">
        <v>26</v>
      </c>
      <c r="D82">
        <v>9.8865999999999996</v>
      </c>
      <c r="E82">
        <v>10.11</v>
      </c>
      <c r="F82">
        <v>6.78</v>
      </c>
      <c r="G82">
        <v>67.84</v>
      </c>
      <c r="H82">
        <v>1.1000000000000001</v>
      </c>
      <c r="I82">
        <v>6</v>
      </c>
      <c r="J82">
        <v>341.68</v>
      </c>
      <c r="K82">
        <v>61.82</v>
      </c>
      <c r="L82">
        <v>21</v>
      </c>
      <c r="M82">
        <v>4</v>
      </c>
      <c r="N82">
        <v>108.86</v>
      </c>
      <c r="O82">
        <v>42375.31</v>
      </c>
      <c r="P82">
        <v>120.89</v>
      </c>
      <c r="Q82">
        <v>204.14</v>
      </c>
      <c r="R82">
        <v>24.78</v>
      </c>
      <c r="S82">
        <v>17.37</v>
      </c>
      <c r="T82">
        <v>1602.44</v>
      </c>
      <c r="U82">
        <v>0.7</v>
      </c>
      <c r="V82">
        <v>0.75</v>
      </c>
      <c r="W82">
        <v>1.1399999999999999</v>
      </c>
      <c r="X82">
        <v>0.09</v>
      </c>
      <c r="Y82">
        <v>1</v>
      </c>
      <c r="Z82">
        <v>10</v>
      </c>
    </row>
    <row r="83" spans="1:26" x14ac:dyDescent="0.3">
      <c r="A83">
        <v>81</v>
      </c>
      <c r="B83">
        <v>150</v>
      </c>
      <c r="C83" t="s">
        <v>26</v>
      </c>
      <c r="D83">
        <v>9.8771000000000004</v>
      </c>
      <c r="E83">
        <v>10.119999999999999</v>
      </c>
      <c r="F83">
        <v>6.79</v>
      </c>
      <c r="G83">
        <v>67.94</v>
      </c>
      <c r="H83">
        <v>1.1100000000000001</v>
      </c>
      <c r="I83">
        <v>6</v>
      </c>
      <c r="J83">
        <v>342.3</v>
      </c>
      <c r="K83">
        <v>61.82</v>
      </c>
      <c r="L83">
        <v>21.25</v>
      </c>
      <c r="M83">
        <v>4</v>
      </c>
      <c r="N83">
        <v>109.23</v>
      </c>
      <c r="O83">
        <v>42451.07</v>
      </c>
      <c r="P83">
        <v>120.85</v>
      </c>
      <c r="Q83">
        <v>204.14</v>
      </c>
      <c r="R83">
        <v>25.04</v>
      </c>
      <c r="S83">
        <v>17.37</v>
      </c>
      <c r="T83">
        <v>1734.72</v>
      </c>
      <c r="U83">
        <v>0.69</v>
      </c>
      <c r="V83">
        <v>0.75</v>
      </c>
      <c r="W83">
        <v>1.1499999999999999</v>
      </c>
      <c r="X83">
        <v>0.1</v>
      </c>
      <c r="Y83">
        <v>1</v>
      </c>
      <c r="Z83">
        <v>10</v>
      </c>
    </row>
    <row r="84" spans="1:26" x14ac:dyDescent="0.3">
      <c r="A84">
        <v>82</v>
      </c>
      <c r="B84">
        <v>150</v>
      </c>
      <c r="C84" t="s">
        <v>26</v>
      </c>
      <c r="D84">
        <v>9.9565999999999999</v>
      </c>
      <c r="E84">
        <v>10.039999999999999</v>
      </c>
      <c r="F84">
        <v>6.77</v>
      </c>
      <c r="G84">
        <v>81.22</v>
      </c>
      <c r="H84">
        <v>1.1200000000000001</v>
      </c>
      <c r="I84">
        <v>5</v>
      </c>
      <c r="J84">
        <v>342.91</v>
      </c>
      <c r="K84">
        <v>61.82</v>
      </c>
      <c r="L84">
        <v>21.5</v>
      </c>
      <c r="M84">
        <v>3</v>
      </c>
      <c r="N84">
        <v>109.59</v>
      </c>
      <c r="O84">
        <v>42527.02</v>
      </c>
      <c r="P84">
        <v>120.1</v>
      </c>
      <c r="Q84">
        <v>204.14</v>
      </c>
      <c r="R84">
        <v>24.33</v>
      </c>
      <c r="S84">
        <v>17.37</v>
      </c>
      <c r="T84">
        <v>1381.1</v>
      </c>
      <c r="U84">
        <v>0.71</v>
      </c>
      <c r="V84">
        <v>0.75</v>
      </c>
      <c r="W84">
        <v>1.1399999999999999</v>
      </c>
      <c r="X84">
        <v>0.08</v>
      </c>
      <c r="Y84">
        <v>1</v>
      </c>
      <c r="Z84">
        <v>10</v>
      </c>
    </row>
    <row r="85" spans="1:26" x14ac:dyDescent="0.3">
      <c r="A85">
        <v>83</v>
      </c>
      <c r="B85">
        <v>150</v>
      </c>
      <c r="C85" t="s">
        <v>26</v>
      </c>
      <c r="D85">
        <v>9.9529999999999994</v>
      </c>
      <c r="E85">
        <v>10.050000000000001</v>
      </c>
      <c r="F85">
        <v>6.77</v>
      </c>
      <c r="G85">
        <v>81.27</v>
      </c>
      <c r="H85">
        <v>1.1299999999999999</v>
      </c>
      <c r="I85">
        <v>5</v>
      </c>
      <c r="J85">
        <v>343.53</v>
      </c>
      <c r="K85">
        <v>61.82</v>
      </c>
      <c r="L85">
        <v>21.75</v>
      </c>
      <c r="M85">
        <v>3</v>
      </c>
      <c r="N85">
        <v>109.96</v>
      </c>
      <c r="O85">
        <v>42603.15</v>
      </c>
      <c r="P85">
        <v>120.25</v>
      </c>
      <c r="Q85">
        <v>204.14</v>
      </c>
      <c r="R85">
        <v>24.37</v>
      </c>
      <c r="S85">
        <v>17.37</v>
      </c>
      <c r="T85">
        <v>1400.98</v>
      </c>
      <c r="U85">
        <v>0.71</v>
      </c>
      <c r="V85">
        <v>0.75</v>
      </c>
      <c r="W85">
        <v>1.1399999999999999</v>
      </c>
      <c r="X85">
        <v>0.08</v>
      </c>
      <c r="Y85">
        <v>1</v>
      </c>
      <c r="Z85">
        <v>10</v>
      </c>
    </row>
    <row r="86" spans="1:26" x14ac:dyDescent="0.3">
      <c r="A86">
        <v>84</v>
      </c>
      <c r="B86">
        <v>150</v>
      </c>
      <c r="C86" t="s">
        <v>26</v>
      </c>
      <c r="D86">
        <v>9.9511000000000003</v>
      </c>
      <c r="E86">
        <v>10.050000000000001</v>
      </c>
      <c r="F86">
        <v>6.77</v>
      </c>
      <c r="G86">
        <v>81.290000000000006</v>
      </c>
      <c r="H86">
        <v>1.1399999999999999</v>
      </c>
      <c r="I86">
        <v>5</v>
      </c>
      <c r="J86">
        <v>344.15</v>
      </c>
      <c r="K86">
        <v>61.82</v>
      </c>
      <c r="L86">
        <v>22</v>
      </c>
      <c r="M86">
        <v>3</v>
      </c>
      <c r="N86">
        <v>110.33</v>
      </c>
      <c r="O86">
        <v>42679.6</v>
      </c>
      <c r="P86">
        <v>120.57</v>
      </c>
      <c r="Q86">
        <v>204.14</v>
      </c>
      <c r="R86">
        <v>24.4</v>
      </c>
      <c r="S86">
        <v>17.37</v>
      </c>
      <c r="T86">
        <v>1415.57</v>
      </c>
      <c r="U86">
        <v>0.71</v>
      </c>
      <c r="V86">
        <v>0.75</v>
      </c>
      <c r="W86">
        <v>1.1499999999999999</v>
      </c>
      <c r="X86">
        <v>0.08</v>
      </c>
      <c r="Y86">
        <v>1</v>
      </c>
      <c r="Z86">
        <v>10</v>
      </c>
    </row>
    <row r="87" spans="1:26" x14ac:dyDescent="0.3">
      <c r="A87">
        <v>85</v>
      </c>
      <c r="B87">
        <v>150</v>
      </c>
      <c r="C87" t="s">
        <v>26</v>
      </c>
      <c r="D87">
        <v>9.9490999999999996</v>
      </c>
      <c r="E87">
        <v>10.050000000000001</v>
      </c>
      <c r="F87">
        <v>6.78</v>
      </c>
      <c r="G87">
        <v>81.31</v>
      </c>
      <c r="H87">
        <v>1.1499999999999999</v>
      </c>
      <c r="I87">
        <v>5</v>
      </c>
      <c r="J87">
        <v>344.77</v>
      </c>
      <c r="K87">
        <v>61.82</v>
      </c>
      <c r="L87">
        <v>22.25</v>
      </c>
      <c r="M87">
        <v>3</v>
      </c>
      <c r="N87">
        <v>110.7</v>
      </c>
      <c r="O87">
        <v>42756.12</v>
      </c>
      <c r="P87">
        <v>120.78</v>
      </c>
      <c r="Q87">
        <v>204.14</v>
      </c>
      <c r="R87">
        <v>24.57</v>
      </c>
      <c r="S87">
        <v>17.37</v>
      </c>
      <c r="T87">
        <v>1504.7</v>
      </c>
      <c r="U87">
        <v>0.71</v>
      </c>
      <c r="V87">
        <v>0.75</v>
      </c>
      <c r="W87">
        <v>1.1399999999999999</v>
      </c>
      <c r="X87">
        <v>0.09</v>
      </c>
      <c r="Y87">
        <v>1</v>
      </c>
      <c r="Z87">
        <v>10</v>
      </c>
    </row>
    <row r="88" spans="1:26" x14ac:dyDescent="0.3">
      <c r="A88">
        <v>86</v>
      </c>
      <c r="B88">
        <v>150</v>
      </c>
      <c r="C88" t="s">
        <v>26</v>
      </c>
      <c r="D88">
        <v>9.9529999999999994</v>
      </c>
      <c r="E88">
        <v>10.050000000000001</v>
      </c>
      <c r="F88">
        <v>6.77</v>
      </c>
      <c r="G88">
        <v>81.27</v>
      </c>
      <c r="H88">
        <v>1.1599999999999999</v>
      </c>
      <c r="I88">
        <v>5</v>
      </c>
      <c r="J88">
        <v>345.39</v>
      </c>
      <c r="K88">
        <v>61.82</v>
      </c>
      <c r="L88">
        <v>22.5</v>
      </c>
      <c r="M88">
        <v>3</v>
      </c>
      <c r="N88">
        <v>111.07</v>
      </c>
      <c r="O88">
        <v>42832.82</v>
      </c>
      <c r="P88">
        <v>120.82</v>
      </c>
      <c r="Q88">
        <v>204.14</v>
      </c>
      <c r="R88">
        <v>24.37</v>
      </c>
      <c r="S88">
        <v>17.37</v>
      </c>
      <c r="T88">
        <v>1403.74</v>
      </c>
      <c r="U88">
        <v>0.71</v>
      </c>
      <c r="V88">
        <v>0.75</v>
      </c>
      <c r="W88">
        <v>1.1399999999999999</v>
      </c>
      <c r="X88">
        <v>0.08</v>
      </c>
      <c r="Y88">
        <v>1</v>
      </c>
      <c r="Z88">
        <v>10</v>
      </c>
    </row>
    <row r="89" spans="1:26" x14ac:dyDescent="0.3">
      <c r="A89">
        <v>87</v>
      </c>
      <c r="B89">
        <v>150</v>
      </c>
      <c r="C89" t="s">
        <v>26</v>
      </c>
      <c r="D89">
        <v>9.9541000000000004</v>
      </c>
      <c r="E89">
        <v>10.050000000000001</v>
      </c>
      <c r="F89">
        <v>6.77</v>
      </c>
      <c r="G89">
        <v>81.25</v>
      </c>
      <c r="H89">
        <v>1.17</v>
      </c>
      <c r="I89">
        <v>5</v>
      </c>
      <c r="J89">
        <v>346.02</v>
      </c>
      <c r="K89">
        <v>61.82</v>
      </c>
      <c r="L89">
        <v>22.75</v>
      </c>
      <c r="M89">
        <v>3</v>
      </c>
      <c r="N89">
        <v>111.45</v>
      </c>
      <c r="O89">
        <v>42909.73</v>
      </c>
      <c r="P89">
        <v>121.03</v>
      </c>
      <c r="Q89">
        <v>204.14</v>
      </c>
      <c r="R89">
        <v>24.35</v>
      </c>
      <c r="S89">
        <v>17.37</v>
      </c>
      <c r="T89">
        <v>1393.48</v>
      </c>
      <c r="U89">
        <v>0.71</v>
      </c>
      <c r="V89">
        <v>0.75</v>
      </c>
      <c r="W89">
        <v>1.1399999999999999</v>
      </c>
      <c r="X89">
        <v>0.08</v>
      </c>
      <c r="Y89">
        <v>1</v>
      </c>
      <c r="Z89">
        <v>10</v>
      </c>
    </row>
    <row r="90" spans="1:26" x14ac:dyDescent="0.3">
      <c r="A90">
        <v>88</v>
      </c>
      <c r="B90">
        <v>150</v>
      </c>
      <c r="C90" t="s">
        <v>26</v>
      </c>
      <c r="D90">
        <v>9.9494000000000007</v>
      </c>
      <c r="E90">
        <v>10.050000000000001</v>
      </c>
      <c r="F90">
        <v>6.78</v>
      </c>
      <c r="G90">
        <v>81.31</v>
      </c>
      <c r="H90">
        <v>1.18</v>
      </c>
      <c r="I90">
        <v>5</v>
      </c>
      <c r="J90">
        <v>346.64</v>
      </c>
      <c r="K90">
        <v>61.82</v>
      </c>
      <c r="L90">
        <v>23</v>
      </c>
      <c r="M90">
        <v>3</v>
      </c>
      <c r="N90">
        <v>111.82</v>
      </c>
      <c r="O90">
        <v>42986.83</v>
      </c>
      <c r="P90">
        <v>121.21</v>
      </c>
      <c r="Q90">
        <v>204.14</v>
      </c>
      <c r="R90">
        <v>24.49</v>
      </c>
      <c r="S90">
        <v>17.37</v>
      </c>
      <c r="T90">
        <v>1464.3</v>
      </c>
      <c r="U90">
        <v>0.71</v>
      </c>
      <c r="V90">
        <v>0.75</v>
      </c>
      <c r="W90">
        <v>1.1399999999999999</v>
      </c>
      <c r="X90">
        <v>0.08</v>
      </c>
      <c r="Y90">
        <v>1</v>
      </c>
      <c r="Z90">
        <v>10</v>
      </c>
    </row>
    <row r="91" spans="1:26" x14ac:dyDescent="0.3">
      <c r="A91">
        <v>89</v>
      </c>
      <c r="B91">
        <v>150</v>
      </c>
      <c r="C91" t="s">
        <v>26</v>
      </c>
      <c r="D91">
        <v>9.9502000000000006</v>
      </c>
      <c r="E91">
        <v>10.050000000000001</v>
      </c>
      <c r="F91">
        <v>6.78</v>
      </c>
      <c r="G91">
        <v>81.3</v>
      </c>
      <c r="H91">
        <v>1.19</v>
      </c>
      <c r="I91">
        <v>5</v>
      </c>
      <c r="J91">
        <v>347.27</v>
      </c>
      <c r="K91">
        <v>61.82</v>
      </c>
      <c r="L91">
        <v>23.25</v>
      </c>
      <c r="M91">
        <v>3</v>
      </c>
      <c r="N91">
        <v>112.2</v>
      </c>
      <c r="O91">
        <v>43064.12</v>
      </c>
      <c r="P91">
        <v>121.13</v>
      </c>
      <c r="Q91">
        <v>204.14</v>
      </c>
      <c r="R91">
        <v>24.5</v>
      </c>
      <c r="S91">
        <v>17.37</v>
      </c>
      <c r="T91">
        <v>1464.84</v>
      </c>
      <c r="U91">
        <v>0.71</v>
      </c>
      <c r="V91">
        <v>0.75</v>
      </c>
      <c r="W91">
        <v>1.1399999999999999</v>
      </c>
      <c r="X91">
        <v>0.08</v>
      </c>
      <c r="Y91">
        <v>1</v>
      </c>
      <c r="Z91">
        <v>10</v>
      </c>
    </row>
    <row r="92" spans="1:26" x14ac:dyDescent="0.3">
      <c r="A92">
        <v>90</v>
      </c>
      <c r="B92">
        <v>150</v>
      </c>
      <c r="C92" t="s">
        <v>26</v>
      </c>
      <c r="D92">
        <v>9.9537999999999993</v>
      </c>
      <c r="E92">
        <v>10.050000000000001</v>
      </c>
      <c r="F92">
        <v>6.77</v>
      </c>
      <c r="G92">
        <v>81.260000000000005</v>
      </c>
      <c r="H92">
        <v>1.2</v>
      </c>
      <c r="I92">
        <v>5</v>
      </c>
      <c r="J92">
        <v>347.9</v>
      </c>
      <c r="K92">
        <v>61.82</v>
      </c>
      <c r="L92">
        <v>23.5</v>
      </c>
      <c r="M92">
        <v>3</v>
      </c>
      <c r="N92">
        <v>112.58</v>
      </c>
      <c r="O92">
        <v>43141.62</v>
      </c>
      <c r="P92">
        <v>121.08</v>
      </c>
      <c r="Q92">
        <v>204.14</v>
      </c>
      <c r="R92">
        <v>24.37</v>
      </c>
      <c r="S92">
        <v>17.37</v>
      </c>
      <c r="T92">
        <v>1403.21</v>
      </c>
      <c r="U92">
        <v>0.71</v>
      </c>
      <c r="V92">
        <v>0.75</v>
      </c>
      <c r="W92">
        <v>1.1399999999999999</v>
      </c>
      <c r="X92">
        <v>0.08</v>
      </c>
      <c r="Y92">
        <v>1</v>
      </c>
      <c r="Z92">
        <v>10</v>
      </c>
    </row>
    <row r="93" spans="1:26" x14ac:dyDescent="0.3">
      <c r="A93">
        <v>91</v>
      </c>
      <c r="B93">
        <v>150</v>
      </c>
      <c r="C93" t="s">
        <v>26</v>
      </c>
      <c r="D93">
        <v>9.9499999999999993</v>
      </c>
      <c r="E93">
        <v>10.050000000000001</v>
      </c>
      <c r="F93">
        <v>6.78</v>
      </c>
      <c r="G93">
        <v>81.3</v>
      </c>
      <c r="H93">
        <v>1.21</v>
      </c>
      <c r="I93">
        <v>5</v>
      </c>
      <c r="J93">
        <v>348.53</v>
      </c>
      <c r="K93">
        <v>61.82</v>
      </c>
      <c r="L93">
        <v>23.75</v>
      </c>
      <c r="M93">
        <v>3</v>
      </c>
      <c r="N93">
        <v>112.96</v>
      </c>
      <c r="O93">
        <v>43219.31</v>
      </c>
      <c r="P93">
        <v>121.18</v>
      </c>
      <c r="Q93">
        <v>204.14</v>
      </c>
      <c r="R93">
        <v>24.5</v>
      </c>
      <c r="S93">
        <v>17.37</v>
      </c>
      <c r="T93">
        <v>1468.73</v>
      </c>
      <c r="U93">
        <v>0.71</v>
      </c>
      <c r="V93">
        <v>0.75</v>
      </c>
      <c r="W93">
        <v>1.1399999999999999</v>
      </c>
      <c r="X93">
        <v>0.08</v>
      </c>
      <c r="Y93">
        <v>1</v>
      </c>
      <c r="Z93">
        <v>10</v>
      </c>
    </row>
    <row r="94" spans="1:26" x14ac:dyDescent="0.3">
      <c r="A94">
        <v>92</v>
      </c>
      <c r="B94">
        <v>150</v>
      </c>
      <c r="C94" t="s">
        <v>26</v>
      </c>
      <c r="D94">
        <v>9.9502000000000006</v>
      </c>
      <c r="E94">
        <v>10.050000000000001</v>
      </c>
      <c r="F94">
        <v>6.78</v>
      </c>
      <c r="G94">
        <v>81.3</v>
      </c>
      <c r="H94">
        <v>1.23</v>
      </c>
      <c r="I94">
        <v>5</v>
      </c>
      <c r="J94">
        <v>349.16</v>
      </c>
      <c r="K94">
        <v>61.82</v>
      </c>
      <c r="L94">
        <v>24</v>
      </c>
      <c r="M94">
        <v>3</v>
      </c>
      <c r="N94">
        <v>113.34</v>
      </c>
      <c r="O94">
        <v>43297.21</v>
      </c>
      <c r="P94">
        <v>121.16</v>
      </c>
      <c r="Q94">
        <v>204.14</v>
      </c>
      <c r="R94">
        <v>24.47</v>
      </c>
      <c r="S94">
        <v>17.37</v>
      </c>
      <c r="T94">
        <v>1450.07</v>
      </c>
      <c r="U94">
        <v>0.71</v>
      </c>
      <c r="V94">
        <v>0.75</v>
      </c>
      <c r="W94">
        <v>1.1399999999999999</v>
      </c>
      <c r="X94">
        <v>0.08</v>
      </c>
      <c r="Y94">
        <v>1</v>
      </c>
      <c r="Z94">
        <v>10</v>
      </c>
    </row>
    <row r="95" spans="1:26" x14ac:dyDescent="0.3">
      <c r="A95">
        <v>93</v>
      </c>
      <c r="B95">
        <v>150</v>
      </c>
      <c r="C95" t="s">
        <v>26</v>
      </c>
      <c r="D95">
        <v>9.9497</v>
      </c>
      <c r="E95">
        <v>10.050000000000001</v>
      </c>
      <c r="F95">
        <v>6.78</v>
      </c>
      <c r="G95">
        <v>81.31</v>
      </c>
      <c r="H95">
        <v>1.24</v>
      </c>
      <c r="I95">
        <v>5</v>
      </c>
      <c r="J95">
        <v>349.79</v>
      </c>
      <c r="K95">
        <v>61.82</v>
      </c>
      <c r="L95">
        <v>24.25</v>
      </c>
      <c r="M95">
        <v>3</v>
      </c>
      <c r="N95">
        <v>113.72</v>
      </c>
      <c r="O95">
        <v>43375.3</v>
      </c>
      <c r="P95">
        <v>121.22</v>
      </c>
      <c r="Q95">
        <v>204.14</v>
      </c>
      <c r="R95">
        <v>24.52</v>
      </c>
      <c r="S95">
        <v>17.37</v>
      </c>
      <c r="T95">
        <v>1476.25</v>
      </c>
      <c r="U95">
        <v>0.71</v>
      </c>
      <c r="V95">
        <v>0.75</v>
      </c>
      <c r="W95">
        <v>1.1399999999999999</v>
      </c>
      <c r="X95">
        <v>0.08</v>
      </c>
      <c r="Y95">
        <v>1</v>
      </c>
      <c r="Z95">
        <v>10</v>
      </c>
    </row>
    <row r="96" spans="1:26" x14ac:dyDescent="0.3">
      <c r="A96">
        <v>94</v>
      </c>
      <c r="B96">
        <v>150</v>
      </c>
      <c r="C96" t="s">
        <v>26</v>
      </c>
      <c r="D96">
        <v>9.9543999999999997</v>
      </c>
      <c r="E96">
        <v>10.050000000000001</v>
      </c>
      <c r="F96">
        <v>6.77</v>
      </c>
      <c r="G96">
        <v>81.25</v>
      </c>
      <c r="H96">
        <v>1.25</v>
      </c>
      <c r="I96">
        <v>5</v>
      </c>
      <c r="J96">
        <v>350.43</v>
      </c>
      <c r="K96">
        <v>61.82</v>
      </c>
      <c r="L96">
        <v>24.5</v>
      </c>
      <c r="M96">
        <v>3</v>
      </c>
      <c r="N96">
        <v>114.11</v>
      </c>
      <c r="O96">
        <v>43453.61</v>
      </c>
      <c r="P96">
        <v>121.03</v>
      </c>
      <c r="Q96">
        <v>204.14</v>
      </c>
      <c r="R96">
        <v>24.33</v>
      </c>
      <c r="S96">
        <v>17.37</v>
      </c>
      <c r="T96">
        <v>1381.92</v>
      </c>
      <c r="U96">
        <v>0.71</v>
      </c>
      <c r="V96">
        <v>0.75</v>
      </c>
      <c r="W96">
        <v>1.1399999999999999</v>
      </c>
      <c r="X96">
        <v>0.08</v>
      </c>
      <c r="Y96">
        <v>1</v>
      </c>
      <c r="Z96">
        <v>10</v>
      </c>
    </row>
    <row r="97" spans="1:26" x14ac:dyDescent="0.3">
      <c r="A97">
        <v>95</v>
      </c>
      <c r="B97">
        <v>150</v>
      </c>
      <c r="C97" t="s">
        <v>26</v>
      </c>
      <c r="D97">
        <v>9.9529999999999994</v>
      </c>
      <c r="E97">
        <v>10.050000000000001</v>
      </c>
      <c r="F97">
        <v>6.77</v>
      </c>
      <c r="G97">
        <v>81.27</v>
      </c>
      <c r="H97">
        <v>1.26</v>
      </c>
      <c r="I97">
        <v>5</v>
      </c>
      <c r="J97">
        <v>351.06</v>
      </c>
      <c r="K97">
        <v>61.82</v>
      </c>
      <c r="L97">
        <v>24.75</v>
      </c>
      <c r="M97">
        <v>3</v>
      </c>
      <c r="N97">
        <v>114.49</v>
      </c>
      <c r="O97">
        <v>43532.12</v>
      </c>
      <c r="P97">
        <v>121.08</v>
      </c>
      <c r="Q97">
        <v>204.15</v>
      </c>
      <c r="R97">
        <v>24.45</v>
      </c>
      <c r="S97">
        <v>17.37</v>
      </c>
      <c r="T97">
        <v>1442.3</v>
      </c>
      <c r="U97">
        <v>0.71</v>
      </c>
      <c r="V97">
        <v>0.75</v>
      </c>
      <c r="W97">
        <v>1.1399999999999999</v>
      </c>
      <c r="X97">
        <v>0.08</v>
      </c>
      <c r="Y97">
        <v>1</v>
      </c>
      <c r="Z97">
        <v>10</v>
      </c>
    </row>
    <row r="98" spans="1:26" x14ac:dyDescent="0.3">
      <c r="A98">
        <v>96</v>
      </c>
      <c r="B98">
        <v>150</v>
      </c>
      <c r="C98" t="s">
        <v>26</v>
      </c>
      <c r="D98">
        <v>9.9580000000000002</v>
      </c>
      <c r="E98">
        <v>10.039999999999999</v>
      </c>
      <c r="F98">
        <v>6.77</v>
      </c>
      <c r="G98">
        <v>81.209999999999994</v>
      </c>
      <c r="H98">
        <v>1.27</v>
      </c>
      <c r="I98">
        <v>5</v>
      </c>
      <c r="J98">
        <v>351.7</v>
      </c>
      <c r="K98">
        <v>61.82</v>
      </c>
      <c r="L98">
        <v>25</v>
      </c>
      <c r="M98">
        <v>3</v>
      </c>
      <c r="N98">
        <v>114.88</v>
      </c>
      <c r="O98">
        <v>43610.83</v>
      </c>
      <c r="P98">
        <v>120.97</v>
      </c>
      <c r="Q98">
        <v>204.14</v>
      </c>
      <c r="R98">
        <v>24.25</v>
      </c>
      <c r="S98">
        <v>17.37</v>
      </c>
      <c r="T98">
        <v>1340.6</v>
      </c>
      <c r="U98">
        <v>0.72</v>
      </c>
      <c r="V98">
        <v>0.75</v>
      </c>
      <c r="W98">
        <v>1.1399999999999999</v>
      </c>
      <c r="X98">
        <v>0.08</v>
      </c>
      <c r="Y98">
        <v>1</v>
      </c>
      <c r="Z98">
        <v>10</v>
      </c>
    </row>
    <row r="99" spans="1:26" x14ac:dyDescent="0.3">
      <c r="A99">
        <v>97</v>
      </c>
      <c r="B99">
        <v>150</v>
      </c>
      <c r="C99" t="s">
        <v>26</v>
      </c>
      <c r="D99">
        <v>9.9580000000000002</v>
      </c>
      <c r="E99">
        <v>10.039999999999999</v>
      </c>
      <c r="F99">
        <v>6.77</v>
      </c>
      <c r="G99">
        <v>81.209999999999994</v>
      </c>
      <c r="H99">
        <v>1.28</v>
      </c>
      <c r="I99">
        <v>5</v>
      </c>
      <c r="J99">
        <v>352.34</v>
      </c>
      <c r="K99">
        <v>61.82</v>
      </c>
      <c r="L99">
        <v>25.25</v>
      </c>
      <c r="M99">
        <v>3</v>
      </c>
      <c r="N99">
        <v>115.27</v>
      </c>
      <c r="O99">
        <v>43689.760000000002</v>
      </c>
      <c r="P99">
        <v>120.87</v>
      </c>
      <c r="Q99">
        <v>204.14</v>
      </c>
      <c r="R99">
        <v>24.18</v>
      </c>
      <c r="S99">
        <v>17.37</v>
      </c>
      <c r="T99">
        <v>1307.26</v>
      </c>
      <c r="U99">
        <v>0.72</v>
      </c>
      <c r="V99">
        <v>0.75</v>
      </c>
      <c r="W99">
        <v>1.1499999999999999</v>
      </c>
      <c r="X99">
        <v>0.08</v>
      </c>
      <c r="Y99">
        <v>1</v>
      </c>
      <c r="Z99">
        <v>10</v>
      </c>
    </row>
    <row r="100" spans="1:26" x14ac:dyDescent="0.3">
      <c r="A100">
        <v>98</v>
      </c>
      <c r="B100">
        <v>150</v>
      </c>
      <c r="C100" t="s">
        <v>26</v>
      </c>
      <c r="D100">
        <v>9.9603999999999999</v>
      </c>
      <c r="E100">
        <v>10.039999999999999</v>
      </c>
      <c r="F100">
        <v>6.76</v>
      </c>
      <c r="G100">
        <v>81.180000000000007</v>
      </c>
      <c r="H100">
        <v>1.29</v>
      </c>
      <c r="I100">
        <v>5</v>
      </c>
      <c r="J100">
        <v>352.98</v>
      </c>
      <c r="K100">
        <v>61.82</v>
      </c>
      <c r="L100">
        <v>25.5</v>
      </c>
      <c r="M100">
        <v>3</v>
      </c>
      <c r="N100">
        <v>115.66</v>
      </c>
      <c r="O100">
        <v>43769.02</v>
      </c>
      <c r="P100">
        <v>120.67</v>
      </c>
      <c r="Q100">
        <v>204.14</v>
      </c>
      <c r="R100">
        <v>24.14</v>
      </c>
      <c r="S100">
        <v>17.37</v>
      </c>
      <c r="T100">
        <v>1284.9100000000001</v>
      </c>
      <c r="U100">
        <v>0.72</v>
      </c>
      <c r="V100">
        <v>0.75</v>
      </c>
      <c r="W100">
        <v>1.1399999999999999</v>
      </c>
      <c r="X100">
        <v>7.0000000000000007E-2</v>
      </c>
      <c r="Y100">
        <v>1</v>
      </c>
      <c r="Z100">
        <v>10</v>
      </c>
    </row>
    <row r="101" spans="1:26" x14ac:dyDescent="0.3">
      <c r="A101">
        <v>99</v>
      </c>
      <c r="B101">
        <v>150</v>
      </c>
      <c r="C101" t="s">
        <v>26</v>
      </c>
      <c r="D101">
        <v>9.9614999999999991</v>
      </c>
      <c r="E101">
        <v>10.039999999999999</v>
      </c>
      <c r="F101">
        <v>6.76</v>
      </c>
      <c r="G101">
        <v>81.16</v>
      </c>
      <c r="H101">
        <v>1.3</v>
      </c>
      <c r="I101">
        <v>5</v>
      </c>
      <c r="J101">
        <v>353.63</v>
      </c>
      <c r="K101">
        <v>61.82</v>
      </c>
      <c r="L101">
        <v>25.75</v>
      </c>
      <c r="M101">
        <v>3</v>
      </c>
      <c r="N101">
        <v>116.06</v>
      </c>
      <c r="O101">
        <v>43848.38</v>
      </c>
      <c r="P101">
        <v>120.48</v>
      </c>
      <c r="Q101">
        <v>204.14</v>
      </c>
      <c r="R101">
        <v>24.05</v>
      </c>
      <c r="S101">
        <v>17.37</v>
      </c>
      <c r="T101">
        <v>1241.48</v>
      </c>
      <c r="U101">
        <v>0.72</v>
      </c>
      <c r="V101">
        <v>0.76</v>
      </c>
      <c r="W101">
        <v>1.1399999999999999</v>
      </c>
      <c r="X101">
        <v>7.0000000000000007E-2</v>
      </c>
      <c r="Y101">
        <v>1</v>
      </c>
      <c r="Z101">
        <v>10</v>
      </c>
    </row>
    <row r="102" spans="1:26" x14ac:dyDescent="0.3">
      <c r="A102">
        <v>100</v>
      </c>
      <c r="B102">
        <v>150</v>
      </c>
      <c r="C102" t="s">
        <v>26</v>
      </c>
      <c r="D102">
        <v>9.9610000000000003</v>
      </c>
      <c r="E102">
        <v>10.039999999999999</v>
      </c>
      <c r="F102">
        <v>6.76</v>
      </c>
      <c r="G102">
        <v>81.17</v>
      </c>
      <c r="H102">
        <v>1.31</v>
      </c>
      <c r="I102">
        <v>5</v>
      </c>
      <c r="J102">
        <v>354.27</v>
      </c>
      <c r="K102">
        <v>61.82</v>
      </c>
      <c r="L102">
        <v>26</v>
      </c>
      <c r="M102">
        <v>3</v>
      </c>
      <c r="N102">
        <v>116.45</v>
      </c>
      <c r="O102">
        <v>43927.95</v>
      </c>
      <c r="P102">
        <v>120.38</v>
      </c>
      <c r="Q102">
        <v>204.14</v>
      </c>
      <c r="R102">
        <v>24.02</v>
      </c>
      <c r="S102">
        <v>17.37</v>
      </c>
      <c r="T102">
        <v>1227.05</v>
      </c>
      <c r="U102">
        <v>0.72</v>
      </c>
      <c r="V102">
        <v>0.75</v>
      </c>
      <c r="W102">
        <v>1.1499999999999999</v>
      </c>
      <c r="X102">
        <v>7.0000000000000007E-2</v>
      </c>
      <c r="Y102">
        <v>1</v>
      </c>
      <c r="Z102">
        <v>10</v>
      </c>
    </row>
    <row r="103" spans="1:26" x14ac:dyDescent="0.3">
      <c r="A103">
        <v>101</v>
      </c>
      <c r="B103">
        <v>150</v>
      </c>
      <c r="C103" t="s">
        <v>26</v>
      </c>
      <c r="D103">
        <v>9.9573999999999998</v>
      </c>
      <c r="E103">
        <v>10.039999999999999</v>
      </c>
      <c r="F103">
        <v>6.77</v>
      </c>
      <c r="G103">
        <v>81.209999999999994</v>
      </c>
      <c r="H103">
        <v>1.32</v>
      </c>
      <c r="I103">
        <v>5</v>
      </c>
      <c r="J103">
        <v>354.92</v>
      </c>
      <c r="K103">
        <v>61.82</v>
      </c>
      <c r="L103">
        <v>26.25</v>
      </c>
      <c r="M103">
        <v>3</v>
      </c>
      <c r="N103">
        <v>116.85</v>
      </c>
      <c r="O103">
        <v>44007.74</v>
      </c>
      <c r="P103">
        <v>120.26</v>
      </c>
      <c r="Q103">
        <v>204.14</v>
      </c>
      <c r="R103">
        <v>24.14</v>
      </c>
      <c r="S103">
        <v>17.37</v>
      </c>
      <c r="T103">
        <v>1288.6300000000001</v>
      </c>
      <c r="U103">
        <v>0.72</v>
      </c>
      <c r="V103">
        <v>0.75</v>
      </c>
      <c r="W103">
        <v>1.1499999999999999</v>
      </c>
      <c r="X103">
        <v>0.08</v>
      </c>
      <c r="Y103">
        <v>1</v>
      </c>
      <c r="Z103">
        <v>10</v>
      </c>
    </row>
    <row r="104" spans="1:26" x14ac:dyDescent="0.3">
      <c r="A104">
        <v>102</v>
      </c>
      <c r="B104">
        <v>150</v>
      </c>
      <c r="C104" t="s">
        <v>26</v>
      </c>
      <c r="D104">
        <v>9.9610000000000003</v>
      </c>
      <c r="E104">
        <v>10.039999999999999</v>
      </c>
      <c r="F104">
        <v>6.76</v>
      </c>
      <c r="G104">
        <v>81.17</v>
      </c>
      <c r="H104">
        <v>1.33</v>
      </c>
      <c r="I104">
        <v>5</v>
      </c>
      <c r="J104">
        <v>355.57</v>
      </c>
      <c r="K104">
        <v>61.82</v>
      </c>
      <c r="L104">
        <v>26.5</v>
      </c>
      <c r="M104">
        <v>3</v>
      </c>
      <c r="N104">
        <v>117.25</v>
      </c>
      <c r="O104">
        <v>44087.74</v>
      </c>
      <c r="P104">
        <v>120.02</v>
      </c>
      <c r="Q104">
        <v>204.14</v>
      </c>
      <c r="R104">
        <v>24.2</v>
      </c>
      <c r="S104">
        <v>17.37</v>
      </c>
      <c r="T104">
        <v>1318.55</v>
      </c>
      <c r="U104">
        <v>0.72</v>
      </c>
      <c r="V104">
        <v>0.75</v>
      </c>
      <c r="W104">
        <v>1.1399999999999999</v>
      </c>
      <c r="X104">
        <v>7.0000000000000007E-2</v>
      </c>
      <c r="Y104">
        <v>1</v>
      </c>
      <c r="Z104">
        <v>10</v>
      </c>
    </row>
    <row r="105" spans="1:26" x14ac:dyDescent="0.3">
      <c r="A105">
        <v>103</v>
      </c>
      <c r="B105">
        <v>150</v>
      </c>
      <c r="C105" t="s">
        <v>26</v>
      </c>
      <c r="D105">
        <v>9.9610000000000003</v>
      </c>
      <c r="E105">
        <v>10.039999999999999</v>
      </c>
      <c r="F105">
        <v>6.76</v>
      </c>
      <c r="G105">
        <v>81.17</v>
      </c>
      <c r="H105">
        <v>1.34</v>
      </c>
      <c r="I105">
        <v>5</v>
      </c>
      <c r="J105">
        <v>356.22</v>
      </c>
      <c r="K105">
        <v>61.82</v>
      </c>
      <c r="L105">
        <v>26.75</v>
      </c>
      <c r="M105">
        <v>3</v>
      </c>
      <c r="N105">
        <v>117.65</v>
      </c>
      <c r="O105">
        <v>44167.96</v>
      </c>
      <c r="P105">
        <v>119.97</v>
      </c>
      <c r="Q105">
        <v>204.14</v>
      </c>
      <c r="R105">
        <v>24.15</v>
      </c>
      <c r="S105">
        <v>17.37</v>
      </c>
      <c r="T105">
        <v>1293.31</v>
      </c>
      <c r="U105">
        <v>0.72</v>
      </c>
      <c r="V105">
        <v>0.75</v>
      </c>
      <c r="W105">
        <v>1.1399999999999999</v>
      </c>
      <c r="X105">
        <v>7.0000000000000007E-2</v>
      </c>
      <c r="Y105">
        <v>1</v>
      </c>
      <c r="Z105">
        <v>10</v>
      </c>
    </row>
    <row r="106" spans="1:26" x14ac:dyDescent="0.3">
      <c r="A106">
        <v>104</v>
      </c>
      <c r="B106">
        <v>150</v>
      </c>
      <c r="C106" t="s">
        <v>26</v>
      </c>
      <c r="D106">
        <v>9.9537999999999993</v>
      </c>
      <c r="E106">
        <v>10.050000000000001</v>
      </c>
      <c r="F106">
        <v>6.77</v>
      </c>
      <c r="G106">
        <v>81.260000000000005</v>
      </c>
      <c r="H106">
        <v>1.35</v>
      </c>
      <c r="I106">
        <v>5</v>
      </c>
      <c r="J106">
        <v>356.87</v>
      </c>
      <c r="K106">
        <v>61.82</v>
      </c>
      <c r="L106">
        <v>27</v>
      </c>
      <c r="M106">
        <v>3</v>
      </c>
      <c r="N106">
        <v>118.05</v>
      </c>
      <c r="O106">
        <v>44248.41</v>
      </c>
      <c r="P106">
        <v>120.05</v>
      </c>
      <c r="Q106">
        <v>204.17</v>
      </c>
      <c r="R106">
        <v>24.26</v>
      </c>
      <c r="S106">
        <v>17.37</v>
      </c>
      <c r="T106">
        <v>1345.9</v>
      </c>
      <c r="U106">
        <v>0.72</v>
      </c>
      <c r="V106">
        <v>0.75</v>
      </c>
      <c r="W106">
        <v>1.1499999999999999</v>
      </c>
      <c r="X106">
        <v>0.08</v>
      </c>
      <c r="Y106">
        <v>1</v>
      </c>
      <c r="Z106">
        <v>10</v>
      </c>
    </row>
    <row r="107" spans="1:26" x14ac:dyDescent="0.3">
      <c r="A107">
        <v>105</v>
      </c>
      <c r="B107">
        <v>150</v>
      </c>
      <c r="C107" t="s">
        <v>26</v>
      </c>
      <c r="D107">
        <v>9.9563000000000006</v>
      </c>
      <c r="E107">
        <v>10.039999999999999</v>
      </c>
      <c r="F107">
        <v>6.77</v>
      </c>
      <c r="G107">
        <v>81.23</v>
      </c>
      <c r="H107">
        <v>1.36</v>
      </c>
      <c r="I107">
        <v>5</v>
      </c>
      <c r="J107">
        <v>357.52</v>
      </c>
      <c r="K107">
        <v>61.82</v>
      </c>
      <c r="L107">
        <v>27.25</v>
      </c>
      <c r="M107">
        <v>3</v>
      </c>
      <c r="N107">
        <v>118.45</v>
      </c>
      <c r="O107">
        <v>44329.08</v>
      </c>
      <c r="P107">
        <v>120.03</v>
      </c>
      <c r="Q107">
        <v>204.14</v>
      </c>
      <c r="R107">
        <v>24.28</v>
      </c>
      <c r="S107">
        <v>17.37</v>
      </c>
      <c r="T107">
        <v>1356.79</v>
      </c>
      <c r="U107">
        <v>0.72</v>
      </c>
      <c r="V107">
        <v>0.75</v>
      </c>
      <c r="W107">
        <v>1.1399999999999999</v>
      </c>
      <c r="X107">
        <v>0.08</v>
      </c>
      <c r="Y107">
        <v>1</v>
      </c>
      <c r="Z107">
        <v>10</v>
      </c>
    </row>
    <row r="108" spans="1:26" x14ac:dyDescent="0.3">
      <c r="A108">
        <v>106</v>
      </c>
      <c r="B108">
        <v>150</v>
      </c>
      <c r="C108" t="s">
        <v>26</v>
      </c>
      <c r="D108">
        <v>9.9541000000000004</v>
      </c>
      <c r="E108">
        <v>10.050000000000001</v>
      </c>
      <c r="F108">
        <v>6.77</v>
      </c>
      <c r="G108">
        <v>81.25</v>
      </c>
      <c r="H108">
        <v>1.37</v>
      </c>
      <c r="I108">
        <v>5</v>
      </c>
      <c r="J108">
        <v>358.18</v>
      </c>
      <c r="K108">
        <v>61.82</v>
      </c>
      <c r="L108">
        <v>27.5</v>
      </c>
      <c r="M108">
        <v>3</v>
      </c>
      <c r="N108">
        <v>118.86</v>
      </c>
      <c r="O108">
        <v>44409.98</v>
      </c>
      <c r="P108">
        <v>119.96</v>
      </c>
      <c r="Q108">
        <v>204.14</v>
      </c>
      <c r="R108">
        <v>24.37</v>
      </c>
      <c r="S108">
        <v>17.37</v>
      </c>
      <c r="T108">
        <v>1400.62</v>
      </c>
      <c r="U108">
        <v>0.71</v>
      </c>
      <c r="V108">
        <v>0.75</v>
      </c>
      <c r="W108">
        <v>1.1399999999999999</v>
      </c>
      <c r="X108">
        <v>0.08</v>
      </c>
      <c r="Y108">
        <v>1</v>
      </c>
      <c r="Z108">
        <v>10</v>
      </c>
    </row>
    <row r="109" spans="1:26" x14ac:dyDescent="0.3">
      <c r="A109">
        <v>107</v>
      </c>
      <c r="B109">
        <v>150</v>
      </c>
      <c r="C109" t="s">
        <v>26</v>
      </c>
      <c r="D109">
        <v>9.9512999999999998</v>
      </c>
      <c r="E109">
        <v>10.050000000000001</v>
      </c>
      <c r="F109">
        <v>6.77</v>
      </c>
      <c r="G109">
        <v>81.290000000000006</v>
      </c>
      <c r="H109">
        <v>1.38</v>
      </c>
      <c r="I109">
        <v>5</v>
      </c>
      <c r="J109">
        <v>358.84</v>
      </c>
      <c r="K109">
        <v>61.82</v>
      </c>
      <c r="L109">
        <v>27.75</v>
      </c>
      <c r="M109">
        <v>3</v>
      </c>
      <c r="N109">
        <v>119.27</v>
      </c>
      <c r="O109">
        <v>44491.1</v>
      </c>
      <c r="P109">
        <v>119.98</v>
      </c>
      <c r="Q109">
        <v>204.14</v>
      </c>
      <c r="R109">
        <v>24.39</v>
      </c>
      <c r="S109">
        <v>17.37</v>
      </c>
      <c r="T109">
        <v>1414.54</v>
      </c>
      <c r="U109">
        <v>0.71</v>
      </c>
      <c r="V109">
        <v>0.75</v>
      </c>
      <c r="W109">
        <v>1.1499999999999999</v>
      </c>
      <c r="X109">
        <v>0.08</v>
      </c>
      <c r="Y109">
        <v>1</v>
      </c>
      <c r="Z109">
        <v>10</v>
      </c>
    </row>
    <row r="110" spans="1:26" x14ac:dyDescent="0.3">
      <c r="A110">
        <v>108</v>
      </c>
      <c r="B110">
        <v>150</v>
      </c>
      <c r="C110" t="s">
        <v>26</v>
      </c>
      <c r="D110">
        <v>9.9571000000000005</v>
      </c>
      <c r="E110">
        <v>10.039999999999999</v>
      </c>
      <c r="F110">
        <v>6.77</v>
      </c>
      <c r="G110">
        <v>81.22</v>
      </c>
      <c r="H110">
        <v>1.39</v>
      </c>
      <c r="I110">
        <v>5</v>
      </c>
      <c r="J110">
        <v>359.5</v>
      </c>
      <c r="K110">
        <v>61.82</v>
      </c>
      <c r="L110">
        <v>28</v>
      </c>
      <c r="M110">
        <v>3</v>
      </c>
      <c r="N110">
        <v>119.68</v>
      </c>
      <c r="O110">
        <v>44572.45</v>
      </c>
      <c r="P110">
        <v>119.66</v>
      </c>
      <c r="Q110">
        <v>204.14</v>
      </c>
      <c r="R110">
        <v>24.25</v>
      </c>
      <c r="S110">
        <v>17.37</v>
      </c>
      <c r="T110">
        <v>1343.86</v>
      </c>
      <c r="U110">
        <v>0.72</v>
      </c>
      <c r="V110">
        <v>0.75</v>
      </c>
      <c r="W110">
        <v>1.1399999999999999</v>
      </c>
      <c r="X110">
        <v>0.08</v>
      </c>
      <c r="Y110">
        <v>1</v>
      </c>
      <c r="Z110">
        <v>10</v>
      </c>
    </row>
    <row r="111" spans="1:26" x14ac:dyDescent="0.3">
      <c r="A111">
        <v>109</v>
      </c>
      <c r="B111">
        <v>150</v>
      </c>
      <c r="C111" t="s">
        <v>26</v>
      </c>
      <c r="D111">
        <v>9.9563000000000006</v>
      </c>
      <c r="E111">
        <v>10.039999999999999</v>
      </c>
      <c r="F111">
        <v>6.77</v>
      </c>
      <c r="G111">
        <v>81.23</v>
      </c>
      <c r="H111">
        <v>1.4</v>
      </c>
      <c r="I111">
        <v>5</v>
      </c>
      <c r="J111">
        <v>360.16</v>
      </c>
      <c r="K111">
        <v>61.82</v>
      </c>
      <c r="L111">
        <v>28.25</v>
      </c>
      <c r="M111">
        <v>3</v>
      </c>
      <c r="N111">
        <v>120.09</v>
      </c>
      <c r="O111">
        <v>44654.04</v>
      </c>
      <c r="P111">
        <v>119.55</v>
      </c>
      <c r="Q111">
        <v>204.19</v>
      </c>
      <c r="R111">
        <v>24.2</v>
      </c>
      <c r="S111">
        <v>17.37</v>
      </c>
      <c r="T111">
        <v>1316.08</v>
      </c>
      <c r="U111">
        <v>0.72</v>
      </c>
      <c r="V111">
        <v>0.75</v>
      </c>
      <c r="W111">
        <v>1.1499999999999999</v>
      </c>
      <c r="X111">
        <v>0.08</v>
      </c>
      <c r="Y111">
        <v>1</v>
      </c>
      <c r="Z111">
        <v>10</v>
      </c>
    </row>
    <row r="112" spans="1:26" x14ac:dyDescent="0.3">
      <c r="A112">
        <v>110</v>
      </c>
      <c r="B112">
        <v>150</v>
      </c>
      <c r="C112" t="s">
        <v>26</v>
      </c>
      <c r="D112">
        <v>10.039300000000001</v>
      </c>
      <c r="E112">
        <v>9.9600000000000009</v>
      </c>
      <c r="F112">
        <v>6.74</v>
      </c>
      <c r="G112">
        <v>101.12</v>
      </c>
      <c r="H112">
        <v>1.41</v>
      </c>
      <c r="I112">
        <v>4</v>
      </c>
      <c r="J112">
        <v>360.82</v>
      </c>
      <c r="K112">
        <v>61.82</v>
      </c>
      <c r="L112">
        <v>28.5</v>
      </c>
      <c r="M112">
        <v>2</v>
      </c>
      <c r="N112">
        <v>120.5</v>
      </c>
      <c r="O112">
        <v>44735.86</v>
      </c>
      <c r="P112">
        <v>118.96</v>
      </c>
      <c r="Q112">
        <v>204.14</v>
      </c>
      <c r="R112">
        <v>23.47</v>
      </c>
      <c r="S112">
        <v>17.37</v>
      </c>
      <c r="T112">
        <v>956.56</v>
      </c>
      <c r="U112">
        <v>0.74</v>
      </c>
      <c r="V112">
        <v>0.76</v>
      </c>
      <c r="W112">
        <v>1.1399999999999999</v>
      </c>
      <c r="X112">
        <v>0.05</v>
      </c>
      <c r="Y112">
        <v>1</v>
      </c>
      <c r="Z112">
        <v>10</v>
      </c>
    </row>
    <row r="113" spans="1:26" x14ac:dyDescent="0.3">
      <c r="A113">
        <v>111</v>
      </c>
      <c r="B113">
        <v>150</v>
      </c>
      <c r="C113" t="s">
        <v>26</v>
      </c>
      <c r="D113">
        <v>10.037100000000001</v>
      </c>
      <c r="E113">
        <v>9.9600000000000009</v>
      </c>
      <c r="F113">
        <v>6.74</v>
      </c>
      <c r="G113">
        <v>101.15</v>
      </c>
      <c r="H113">
        <v>1.42</v>
      </c>
      <c r="I113">
        <v>4</v>
      </c>
      <c r="J113">
        <v>361.49</v>
      </c>
      <c r="K113">
        <v>61.82</v>
      </c>
      <c r="L113">
        <v>28.75</v>
      </c>
      <c r="M113">
        <v>2</v>
      </c>
      <c r="N113">
        <v>120.92</v>
      </c>
      <c r="O113">
        <v>44817.91</v>
      </c>
      <c r="P113">
        <v>119.02</v>
      </c>
      <c r="Q113">
        <v>204.14</v>
      </c>
      <c r="R113">
        <v>23.45</v>
      </c>
      <c r="S113">
        <v>17.37</v>
      </c>
      <c r="T113">
        <v>948.79</v>
      </c>
      <c r="U113">
        <v>0.74</v>
      </c>
      <c r="V113">
        <v>0.76</v>
      </c>
      <c r="W113">
        <v>1.1399999999999999</v>
      </c>
      <c r="X113">
        <v>0.05</v>
      </c>
      <c r="Y113">
        <v>1</v>
      </c>
      <c r="Z113">
        <v>10</v>
      </c>
    </row>
    <row r="114" spans="1:26" x14ac:dyDescent="0.3">
      <c r="A114">
        <v>112</v>
      </c>
      <c r="B114">
        <v>150</v>
      </c>
      <c r="C114" t="s">
        <v>26</v>
      </c>
      <c r="D114">
        <v>10.0334</v>
      </c>
      <c r="E114">
        <v>9.9700000000000006</v>
      </c>
      <c r="F114">
        <v>6.75</v>
      </c>
      <c r="G114">
        <v>101.21</v>
      </c>
      <c r="H114">
        <v>1.43</v>
      </c>
      <c r="I114">
        <v>4</v>
      </c>
      <c r="J114">
        <v>362.16</v>
      </c>
      <c r="K114">
        <v>61.82</v>
      </c>
      <c r="L114">
        <v>29</v>
      </c>
      <c r="M114">
        <v>2</v>
      </c>
      <c r="N114">
        <v>121.34</v>
      </c>
      <c r="O114">
        <v>44900.33</v>
      </c>
      <c r="P114">
        <v>119.29</v>
      </c>
      <c r="Q114">
        <v>204.14</v>
      </c>
      <c r="R114">
        <v>23.49</v>
      </c>
      <c r="S114">
        <v>17.37</v>
      </c>
      <c r="T114">
        <v>965.76</v>
      </c>
      <c r="U114">
        <v>0.74</v>
      </c>
      <c r="V114">
        <v>0.76</v>
      </c>
      <c r="W114">
        <v>1.1499999999999999</v>
      </c>
      <c r="X114">
        <v>0.06</v>
      </c>
      <c r="Y114">
        <v>1</v>
      </c>
      <c r="Z114">
        <v>10</v>
      </c>
    </row>
    <row r="115" spans="1:26" x14ac:dyDescent="0.3">
      <c r="A115">
        <v>113</v>
      </c>
      <c r="B115">
        <v>150</v>
      </c>
      <c r="C115" t="s">
        <v>26</v>
      </c>
      <c r="D115">
        <v>10.034800000000001</v>
      </c>
      <c r="E115">
        <v>9.9700000000000006</v>
      </c>
      <c r="F115">
        <v>6.75</v>
      </c>
      <c r="G115">
        <v>101.19</v>
      </c>
      <c r="H115">
        <v>1.44</v>
      </c>
      <c r="I115">
        <v>4</v>
      </c>
      <c r="J115">
        <v>362.83</v>
      </c>
      <c r="K115">
        <v>61.82</v>
      </c>
      <c r="L115">
        <v>29.25</v>
      </c>
      <c r="M115">
        <v>2</v>
      </c>
      <c r="N115">
        <v>121.75</v>
      </c>
      <c r="O115">
        <v>44982.86</v>
      </c>
      <c r="P115">
        <v>119.34</v>
      </c>
      <c r="Q115">
        <v>204.14</v>
      </c>
      <c r="R115">
        <v>23.51</v>
      </c>
      <c r="S115">
        <v>17.37</v>
      </c>
      <c r="T115">
        <v>978.99</v>
      </c>
      <c r="U115">
        <v>0.74</v>
      </c>
      <c r="V115">
        <v>0.76</v>
      </c>
      <c r="W115">
        <v>1.1399999999999999</v>
      </c>
      <c r="X115">
        <v>0.05</v>
      </c>
      <c r="Y115">
        <v>1</v>
      </c>
      <c r="Z115">
        <v>10</v>
      </c>
    </row>
    <row r="116" spans="1:26" x14ac:dyDescent="0.3">
      <c r="A116">
        <v>114</v>
      </c>
      <c r="B116">
        <v>150</v>
      </c>
      <c r="C116" t="s">
        <v>26</v>
      </c>
      <c r="D116">
        <v>10.030900000000001</v>
      </c>
      <c r="E116">
        <v>9.9700000000000006</v>
      </c>
      <c r="F116">
        <v>6.75</v>
      </c>
      <c r="G116">
        <v>101.25</v>
      </c>
      <c r="H116">
        <v>1.45</v>
      </c>
      <c r="I116">
        <v>4</v>
      </c>
      <c r="J116">
        <v>363.5</v>
      </c>
      <c r="K116">
        <v>61.82</v>
      </c>
      <c r="L116">
        <v>29.5</v>
      </c>
      <c r="M116">
        <v>2</v>
      </c>
      <c r="N116">
        <v>122.18</v>
      </c>
      <c r="O116">
        <v>45065.64</v>
      </c>
      <c r="P116">
        <v>119.65</v>
      </c>
      <c r="Q116">
        <v>204.14</v>
      </c>
      <c r="R116">
        <v>23.65</v>
      </c>
      <c r="S116">
        <v>17.37</v>
      </c>
      <c r="T116">
        <v>1048.94</v>
      </c>
      <c r="U116">
        <v>0.73</v>
      </c>
      <c r="V116">
        <v>0.76</v>
      </c>
      <c r="W116">
        <v>1.1399999999999999</v>
      </c>
      <c r="X116">
        <v>0.06</v>
      </c>
      <c r="Y116">
        <v>1</v>
      </c>
      <c r="Z116">
        <v>10</v>
      </c>
    </row>
    <row r="117" spans="1:26" x14ac:dyDescent="0.3">
      <c r="A117">
        <v>115</v>
      </c>
      <c r="B117">
        <v>150</v>
      </c>
      <c r="C117" t="s">
        <v>26</v>
      </c>
      <c r="D117">
        <v>10.033200000000001</v>
      </c>
      <c r="E117">
        <v>9.9700000000000006</v>
      </c>
      <c r="F117">
        <v>6.75</v>
      </c>
      <c r="G117">
        <v>101.21</v>
      </c>
      <c r="H117">
        <v>1.46</v>
      </c>
      <c r="I117">
        <v>4</v>
      </c>
      <c r="J117">
        <v>364.17</v>
      </c>
      <c r="K117">
        <v>61.82</v>
      </c>
      <c r="L117">
        <v>29.75</v>
      </c>
      <c r="M117">
        <v>2</v>
      </c>
      <c r="N117">
        <v>122.6</v>
      </c>
      <c r="O117">
        <v>45148.66</v>
      </c>
      <c r="P117">
        <v>119.79</v>
      </c>
      <c r="Q117">
        <v>204.14</v>
      </c>
      <c r="R117">
        <v>23.6</v>
      </c>
      <c r="S117">
        <v>17.37</v>
      </c>
      <c r="T117">
        <v>1024.78</v>
      </c>
      <c r="U117">
        <v>0.74</v>
      </c>
      <c r="V117">
        <v>0.76</v>
      </c>
      <c r="W117">
        <v>1.1399999999999999</v>
      </c>
      <c r="X117">
        <v>0.06</v>
      </c>
      <c r="Y117">
        <v>1</v>
      </c>
      <c r="Z117">
        <v>10</v>
      </c>
    </row>
    <row r="118" spans="1:26" x14ac:dyDescent="0.3">
      <c r="A118">
        <v>116</v>
      </c>
      <c r="B118">
        <v>150</v>
      </c>
      <c r="C118" t="s">
        <v>26</v>
      </c>
      <c r="D118">
        <v>10.030900000000001</v>
      </c>
      <c r="E118">
        <v>9.9700000000000006</v>
      </c>
      <c r="F118">
        <v>6.75</v>
      </c>
      <c r="G118">
        <v>101.25</v>
      </c>
      <c r="H118">
        <v>1.47</v>
      </c>
      <c r="I118">
        <v>4</v>
      </c>
      <c r="J118">
        <v>364.85</v>
      </c>
      <c r="K118">
        <v>61.82</v>
      </c>
      <c r="L118">
        <v>30</v>
      </c>
      <c r="M118">
        <v>2</v>
      </c>
      <c r="N118">
        <v>123.02</v>
      </c>
      <c r="O118">
        <v>45231.92</v>
      </c>
      <c r="P118">
        <v>119.98</v>
      </c>
      <c r="Q118">
        <v>204.14</v>
      </c>
      <c r="R118">
        <v>23.64</v>
      </c>
      <c r="S118">
        <v>17.37</v>
      </c>
      <c r="T118">
        <v>1042.3</v>
      </c>
      <c r="U118">
        <v>0.73</v>
      </c>
      <c r="V118">
        <v>0.76</v>
      </c>
      <c r="W118">
        <v>1.1399999999999999</v>
      </c>
      <c r="X118">
        <v>0.06</v>
      </c>
      <c r="Y118">
        <v>1</v>
      </c>
      <c r="Z118">
        <v>10</v>
      </c>
    </row>
    <row r="119" spans="1:26" x14ac:dyDescent="0.3">
      <c r="A119">
        <v>117</v>
      </c>
      <c r="B119">
        <v>150</v>
      </c>
      <c r="C119" t="s">
        <v>26</v>
      </c>
      <c r="D119">
        <v>10.032</v>
      </c>
      <c r="E119">
        <v>9.9700000000000006</v>
      </c>
      <c r="F119">
        <v>6.75</v>
      </c>
      <c r="G119">
        <v>101.23</v>
      </c>
      <c r="H119">
        <v>1.48</v>
      </c>
      <c r="I119">
        <v>4</v>
      </c>
      <c r="J119">
        <v>365.52</v>
      </c>
      <c r="K119">
        <v>61.82</v>
      </c>
      <c r="L119">
        <v>30.25</v>
      </c>
      <c r="M119">
        <v>2</v>
      </c>
      <c r="N119">
        <v>123.45</v>
      </c>
      <c r="O119">
        <v>45315.43</v>
      </c>
      <c r="P119">
        <v>120.01</v>
      </c>
      <c r="Q119">
        <v>204.14</v>
      </c>
      <c r="R119">
        <v>23.7</v>
      </c>
      <c r="S119">
        <v>17.37</v>
      </c>
      <c r="T119">
        <v>1072.21</v>
      </c>
      <c r="U119">
        <v>0.73</v>
      </c>
      <c r="V119">
        <v>0.76</v>
      </c>
      <c r="W119">
        <v>1.1399999999999999</v>
      </c>
      <c r="X119">
        <v>0.06</v>
      </c>
      <c r="Y119">
        <v>1</v>
      </c>
      <c r="Z119">
        <v>10</v>
      </c>
    </row>
    <row r="120" spans="1:26" x14ac:dyDescent="0.3">
      <c r="A120">
        <v>118</v>
      </c>
      <c r="B120">
        <v>150</v>
      </c>
      <c r="C120" t="s">
        <v>26</v>
      </c>
      <c r="D120">
        <v>10.030900000000001</v>
      </c>
      <c r="E120">
        <v>9.9700000000000006</v>
      </c>
      <c r="F120">
        <v>6.75</v>
      </c>
      <c r="G120">
        <v>101.25</v>
      </c>
      <c r="H120">
        <v>1.49</v>
      </c>
      <c r="I120">
        <v>4</v>
      </c>
      <c r="J120">
        <v>366.2</v>
      </c>
      <c r="K120">
        <v>61.82</v>
      </c>
      <c r="L120">
        <v>30.5</v>
      </c>
      <c r="M120">
        <v>2</v>
      </c>
      <c r="N120">
        <v>123.88</v>
      </c>
      <c r="O120">
        <v>45399.199999999997</v>
      </c>
      <c r="P120">
        <v>120.24</v>
      </c>
      <c r="Q120">
        <v>204.14</v>
      </c>
      <c r="R120">
        <v>23.69</v>
      </c>
      <c r="S120">
        <v>17.37</v>
      </c>
      <c r="T120">
        <v>1067.6099999999999</v>
      </c>
      <c r="U120">
        <v>0.73</v>
      </c>
      <c r="V120">
        <v>0.76</v>
      </c>
      <c r="W120">
        <v>1.1399999999999999</v>
      </c>
      <c r="X120">
        <v>0.06</v>
      </c>
      <c r="Y120">
        <v>1</v>
      </c>
      <c r="Z120">
        <v>10</v>
      </c>
    </row>
    <row r="121" spans="1:26" x14ac:dyDescent="0.3">
      <c r="A121">
        <v>119</v>
      </c>
      <c r="B121">
        <v>150</v>
      </c>
      <c r="C121" t="s">
        <v>26</v>
      </c>
      <c r="D121">
        <v>10.0343</v>
      </c>
      <c r="E121">
        <v>9.9700000000000006</v>
      </c>
      <c r="F121">
        <v>6.75</v>
      </c>
      <c r="G121">
        <v>101.2</v>
      </c>
      <c r="H121">
        <v>1.49</v>
      </c>
      <c r="I121">
        <v>4</v>
      </c>
      <c r="J121">
        <v>366.88</v>
      </c>
      <c r="K121">
        <v>61.82</v>
      </c>
      <c r="L121">
        <v>30.75</v>
      </c>
      <c r="M121">
        <v>2</v>
      </c>
      <c r="N121">
        <v>124.31</v>
      </c>
      <c r="O121">
        <v>45483.22</v>
      </c>
      <c r="P121">
        <v>120.37</v>
      </c>
      <c r="Q121">
        <v>204.14</v>
      </c>
      <c r="R121">
        <v>23.6</v>
      </c>
      <c r="S121">
        <v>17.37</v>
      </c>
      <c r="T121">
        <v>1021.43</v>
      </c>
      <c r="U121">
        <v>0.74</v>
      </c>
      <c r="V121">
        <v>0.76</v>
      </c>
      <c r="W121">
        <v>1.1399999999999999</v>
      </c>
      <c r="X121">
        <v>0.06</v>
      </c>
      <c r="Y121">
        <v>1</v>
      </c>
      <c r="Z121">
        <v>10</v>
      </c>
    </row>
    <row r="122" spans="1:26" x14ac:dyDescent="0.3">
      <c r="A122">
        <v>120</v>
      </c>
      <c r="B122">
        <v>150</v>
      </c>
      <c r="C122" t="s">
        <v>26</v>
      </c>
      <c r="D122">
        <v>10.036</v>
      </c>
      <c r="E122">
        <v>9.9600000000000009</v>
      </c>
      <c r="F122">
        <v>6.74</v>
      </c>
      <c r="G122">
        <v>101.17</v>
      </c>
      <c r="H122">
        <v>1.5</v>
      </c>
      <c r="I122">
        <v>4</v>
      </c>
      <c r="J122">
        <v>367.57</v>
      </c>
      <c r="K122">
        <v>61.82</v>
      </c>
      <c r="L122">
        <v>31</v>
      </c>
      <c r="M122">
        <v>2</v>
      </c>
      <c r="N122">
        <v>124.74</v>
      </c>
      <c r="O122">
        <v>45567.49</v>
      </c>
      <c r="P122">
        <v>120.42</v>
      </c>
      <c r="Q122">
        <v>204.14</v>
      </c>
      <c r="R122">
        <v>23.53</v>
      </c>
      <c r="S122">
        <v>17.37</v>
      </c>
      <c r="T122">
        <v>989.42</v>
      </c>
      <c r="U122">
        <v>0.74</v>
      </c>
      <c r="V122">
        <v>0.76</v>
      </c>
      <c r="W122">
        <v>1.1399999999999999</v>
      </c>
      <c r="X122">
        <v>0.05</v>
      </c>
      <c r="Y122">
        <v>1</v>
      </c>
      <c r="Z122">
        <v>10</v>
      </c>
    </row>
    <row r="123" spans="1:26" x14ac:dyDescent="0.3">
      <c r="A123">
        <v>121</v>
      </c>
      <c r="B123">
        <v>150</v>
      </c>
      <c r="C123" t="s">
        <v>26</v>
      </c>
      <c r="D123">
        <v>10.039300000000001</v>
      </c>
      <c r="E123">
        <v>9.9600000000000009</v>
      </c>
      <c r="F123">
        <v>6.74</v>
      </c>
      <c r="G123">
        <v>101.12</v>
      </c>
      <c r="H123">
        <v>1.51</v>
      </c>
      <c r="I123">
        <v>4</v>
      </c>
      <c r="J123">
        <v>368.25</v>
      </c>
      <c r="K123">
        <v>61.82</v>
      </c>
      <c r="L123">
        <v>31.25</v>
      </c>
      <c r="M123">
        <v>2</v>
      </c>
      <c r="N123">
        <v>125.18</v>
      </c>
      <c r="O123">
        <v>45652.02</v>
      </c>
      <c r="P123">
        <v>120.42</v>
      </c>
      <c r="Q123">
        <v>204.14</v>
      </c>
      <c r="R123">
        <v>23.43</v>
      </c>
      <c r="S123">
        <v>17.37</v>
      </c>
      <c r="T123">
        <v>937.14</v>
      </c>
      <c r="U123">
        <v>0.74</v>
      </c>
      <c r="V123">
        <v>0.76</v>
      </c>
      <c r="W123">
        <v>1.1399999999999999</v>
      </c>
      <c r="X123">
        <v>0.05</v>
      </c>
      <c r="Y123">
        <v>1</v>
      </c>
      <c r="Z123">
        <v>10</v>
      </c>
    </row>
    <row r="124" spans="1:26" x14ac:dyDescent="0.3">
      <c r="A124">
        <v>122</v>
      </c>
      <c r="B124">
        <v>150</v>
      </c>
      <c r="C124" t="s">
        <v>26</v>
      </c>
      <c r="D124">
        <v>10.037100000000001</v>
      </c>
      <c r="E124">
        <v>9.9600000000000009</v>
      </c>
      <c r="F124">
        <v>6.74</v>
      </c>
      <c r="G124">
        <v>101.15</v>
      </c>
      <c r="H124">
        <v>1.52</v>
      </c>
      <c r="I124">
        <v>4</v>
      </c>
      <c r="J124">
        <v>368.94</v>
      </c>
      <c r="K124">
        <v>61.82</v>
      </c>
      <c r="L124">
        <v>31.5</v>
      </c>
      <c r="M124">
        <v>2</v>
      </c>
      <c r="N124">
        <v>125.62</v>
      </c>
      <c r="O124">
        <v>45736.800000000003</v>
      </c>
      <c r="P124">
        <v>120.57</v>
      </c>
      <c r="Q124">
        <v>204.14</v>
      </c>
      <c r="R124">
        <v>23.5</v>
      </c>
      <c r="S124">
        <v>17.37</v>
      </c>
      <c r="T124">
        <v>973.41</v>
      </c>
      <c r="U124">
        <v>0.74</v>
      </c>
      <c r="V124">
        <v>0.76</v>
      </c>
      <c r="W124">
        <v>1.1399999999999999</v>
      </c>
      <c r="X124">
        <v>0.05</v>
      </c>
      <c r="Y124">
        <v>1</v>
      </c>
      <c r="Z124">
        <v>10</v>
      </c>
    </row>
    <row r="125" spans="1:26" x14ac:dyDescent="0.3">
      <c r="A125">
        <v>123</v>
      </c>
      <c r="B125">
        <v>150</v>
      </c>
      <c r="C125" t="s">
        <v>26</v>
      </c>
      <c r="D125">
        <v>10.0343</v>
      </c>
      <c r="E125">
        <v>9.9700000000000006</v>
      </c>
      <c r="F125">
        <v>6.75</v>
      </c>
      <c r="G125">
        <v>101.2</v>
      </c>
      <c r="H125">
        <v>1.53</v>
      </c>
      <c r="I125">
        <v>4</v>
      </c>
      <c r="J125">
        <v>369.63</v>
      </c>
      <c r="K125">
        <v>61.82</v>
      </c>
      <c r="L125">
        <v>31.75</v>
      </c>
      <c r="M125">
        <v>2</v>
      </c>
      <c r="N125">
        <v>126.06</v>
      </c>
      <c r="O125">
        <v>45821.85</v>
      </c>
      <c r="P125">
        <v>120.72</v>
      </c>
      <c r="Q125">
        <v>204.14</v>
      </c>
      <c r="R125">
        <v>23.49</v>
      </c>
      <c r="S125">
        <v>17.37</v>
      </c>
      <c r="T125">
        <v>968.3</v>
      </c>
      <c r="U125">
        <v>0.74</v>
      </c>
      <c r="V125">
        <v>0.76</v>
      </c>
      <c r="W125">
        <v>1.1399999999999999</v>
      </c>
      <c r="X125">
        <v>0.06</v>
      </c>
      <c r="Y125">
        <v>1</v>
      </c>
      <c r="Z125">
        <v>10</v>
      </c>
    </row>
    <row r="126" spans="1:26" x14ac:dyDescent="0.3">
      <c r="A126">
        <v>124</v>
      </c>
      <c r="B126">
        <v>150</v>
      </c>
      <c r="C126" t="s">
        <v>26</v>
      </c>
      <c r="D126">
        <v>10.0357</v>
      </c>
      <c r="E126">
        <v>9.9600000000000009</v>
      </c>
      <c r="F126">
        <v>6.75</v>
      </c>
      <c r="G126">
        <v>101.17</v>
      </c>
      <c r="H126">
        <v>1.54</v>
      </c>
      <c r="I126">
        <v>4</v>
      </c>
      <c r="J126">
        <v>370.32</v>
      </c>
      <c r="K126">
        <v>61.82</v>
      </c>
      <c r="L126">
        <v>32</v>
      </c>
      <c r="M126">
        <v>2</v>
      </c>
      <c r="N126">
        <v>126.5</v>
      </c>
      <c r="O126">
        <v>45907.3</v>
      </c>
      <c r="P126">
        <v>120.76</v>
      </c>
      <c r="Q126">
        <v>204.14</v>
      </c>
      <c r="R126">
        <v>23.55</v>
      </c>
      <c r="S126">
        <v>17.37</v>
      </c>
      <c r="T126">
        <v>994.95</v>
      </c>
      <c r="U126">
        <v>0.74</v>
      </c>
      <c r="V126">
        <v>0.76</v>
      </c>
      <c r="W126">
        <v>1.1399999999999999</v>
      </c>
      <c r="X126">
        <v>0.05</v>
      </c>
      <c r="Y126">
        <v>1</v>
      </c>
      <c r="Z126">
        <v>10</v>
      </c>
    </row>
    <row r="127" spans="1:26" x14ac:dyDescent="0.3">
      <c r="A127">
        <v>125</v>
      </c>
      <c r="B127">
        <v>150</v>
      </c>
      <c r="C127" t="s">
        <v>26</v>
      </c>
      <c r="D127">
        <v>10.029500000000001</v>
      </c>
      <c r="E127">
        <v>9.9700000000000006</v>
      </c>
      <c r="F127">
        <v>6.75</v>
      </c>
      <c r="G127">
        <v>101.27</v>
      </c>
      <c r="H127">
        <v>1.55</v>
      </c>
      <c r="I127">
        <v>4</v>
      </c>
      <c r="J127">
        <v>371.02</v>
      </c>
      <c r="K127">
        <v>61.82</v>
      </c>
      <c r="L127">
        <v>32.25</v>
      </c>
      <c r="M127">
        <v>2</v>
      </c>
      <c r="N127">
        <v>126.94</v>
      </c>
      <c r="O127">
        <v>45992.88</v>
      </c>
      <c r="P127">
        <v>120.93</v>
      </c>
      <c r="Q127">
        <v>204.14</v>
      </c>
      <c r="R127">
        <v>23.7</v>
      </c>
      <c r="S127">
        <v>17.37</v>
      </c>
      <c r="T127">
        <v>1072.51</v>
      </c>
      <c r="U127">
        <v>0.73</v>
      </c>
      <c r="V127">
        <v>0.76</v>
      </c>
      <c r="W127">
        <v>1.1399999999999999</v>
      </c>
      <c r="X127">
        <v>0.06</v>
      </c>
      <c r="Y127">
        <v>1</v>
      </c>
      <c r="Z127">
        <v>10</v>
      </c>
    </row>
    <row r="128" spans="1:26" x14ac:dyDescent="0.3">
      <c r="A128">
        <v>126</v>
      </c>
      <c r="B128">
        <v>150</v>
      </c>
      <c r="C128" t="s">
        <v>26</v>
      </c>
      <c r="D128">
        <v>10.0281</v>
      </c>
      <c r="E128">
        <v>9.9700000000000006</v>
      </c>
      <c r="F128">
        <v>6.75</v>
      </c>
      <c r="G128">
        <v>101.29</v>
      </c>
      <c r="H128">
        <v>1.56</v>
      </c>
      <c r="I128">
        <v>4</v>
      </c>
      <c r="J128">
        <v>371.71</v>
      </c>
      <c r="K128">
        <v>61.82</v>
      </c>
      <c r="L128">
        <v>32.5</v>
      </c>
      <c r="M128">
        <v>2</v>
      </c>
      <c r="N128">
        <v>127.39</v>
      </c>
      <c r="O128">
        <v>46078.74</v>
      </c>
      <c r="P128">
        <v>121.04</v>
      </c>
      <c r="Q128">
        <v>204.15</v>
      </c>
      <c r="R128">
        <v>23.72</v>
      </c>
      <c r="S128">
        <v>17.37</v>
      </c>
      <c r="T128">
        <v>1082.78</v>
      </c>
      <c r="U128">
        <v>0.73</v>
      </c>
      <c r="V128">
        <v>0.76</v>
      </c>
      <c r="W128">
        <v>1.1399999999999999</v>
      </c>
      <c r="X128">
        <v>0.06</v>
      </c>
      <c r="Y128">
        <v>1</v>
      </c>
      <c r="Z128">
        <v>10</v>
      </c>
    </row>
    <row r="129" spans="1:26" x14ac:dyDescent="0.3">
      <c r="A129">
        <v>127</v>
      </c>
      <c r="B129">
        <v>150</v>
      </c>
      <c r="C129" t="s">
        <v>26</v>
      </c>
      <c r="D129">
        <v>10.0312</v>
      </c>
      <c r="E129">
        <v>9.9700000000000006</v>
      </c>
      <c r="F129">
        <v>6.75</v>
      </c>
      <c r="G129">
        <v>101.24</v>
      </c>
      <c r="H129">
        <v>1.57</v>
      </c>
      <c r="I129">
        <v>4</v>
      </c>
      <c r="J129">
        <v>372.41</v>
      </c>
      <c r="K129">
        <v>61.82</v>
      </c>
      <c r="L129">
        <v>32.75</v>
      </c>
      <c r="M129">
        <v>2</v>
      </c>
      <c r="N129">
        <v>127.84</v>
      </c>
      <c r="O129">
        <v>46164.87</v>
      </c>
      <c r="P129">
        <v>121.02</v>
      </c>
      <c r="Q129">
        <v>204.14</v>
      </c>
      <c r="R129">
        <v>23.7</v>
      </c>
      <c r="S129">
        <v>17.37</v>
      </c>
      <c r="T129">
        <v>1073.6300000000001</v>
      </c>
      <c r="U129">
        <v>0.73</v>
      </c>
      <c r="V129">
        <v>0.76</v>
      </c>
      <c r="W129">
        <v>1.1399999999999999</v>
      </c>
      <c r="X129">
        <v>0.06</v>
      </c>
      <c r="Y129">
        <v>1</v>
      </c>
      <c r="Z129">
        <v>10</v>
      </c>
    </row>
    <row r="130" spans="1:26" x14ac:dyDescent="0.3">
      <c r="A130">
        <v>128</v>
      </c>
      <c r="B130">
        <v>150</v>
      </c>
      <c r="C130" t="s">
        <v>26</v>
      </c>
      <c r="D130">
        <v>10.0273</v>
      </c>
      <c r="E130">
        <v>9.9700000000000006</v>
      </c>
      <c r="F130">
        <v>6.75</v>
      </c>
      <c r="G130">
        <v>101.3</v>
      </c>
      <c r="H130">
        <v>1.58</v>
      </c>
      <c r="I130">
        <v>4</v>
      </c>
      <c r="J130">
        <v>373.11</v>
      </c>
      <c r="K130">
        <v>61.82</v>
      </c>
      <c r="L130">
        <v>33</v>
      </c>
      <c r="M130">
        <v>2</v>
      </c>
      <c r="N130">
        <v>128.29</v>
      </c>
      <c r="O130">
        <v>46251.27</v>
      </c>
      <c r="P130">
        <v>121.17</v>
      </c>
      <c r="Q130">
        <v>204.14</v>
      </c>
      <c r="R130">
        <v>23.76</v>
      </c>
      <c r="S130">
        <v>17.37</v>
      </c>
      <c r="T130">
        <v>1101.53</v>
      </c>
      <c r="U130">
        <v>0.73</v>
      </c>
      <c r="V130">
        <v>0.76</v>
      </c>
      <c r="W130">
        <v>1.1399999999999999</v>
      </c>
      <c r="X130">
        <v>0.06</v>
      </c>
      <c r="Y130">
        <v>1</v>
      </c>
      <c r="Z130">
        <v>10</v>
      </c>
    </row>
    <row r="131" spans="1:26" x14ac:dyDescent="0.3">
      <c r="A131">
        <v>129</v>
      </c>
      <c r="B131">
        <v>150</v>
      </c>
      <c r="C131" t="s">
        <v>26</v>
      </c>
      <c r="D131">
        <v>10.0343</v>
      </c>
      <c r="E131">
        <v>9.9700000000000006</v>
      </c>
      <c r="F131">
        <v>6.75</v>
      </c>
      <c r="G131">
        <v>101.2</v>
      </c>
      <c r="H131">
        <v>1.59</v>
      </c>
      <c r="I131">
        <v>4</v>
      </c>
      <c r="J131">
        <v>373.81</v>
      </c>
      <c r="K131">
        <v>61.82</v>
      </c>
      <c r="L131">
        <v>33.25</v>
      </c>
      <c r="M131">
        <v>2</v>
      </c>
      <c r="N131">
        <v>128.74</v>
      </c>
      <c r="O131">
        <v>46337.95</v>
      </c>
      <c r="P131">
        <v>121.05</v>
      </c>
      <c r="Q131">
        <v>204.14</v>
      </c>
      <c r="R131">
        <v>23.63</v>
      </c>
      <c r="S131">
        <v>17.37</v>
      </c>
      <c r="T131">
        <v>1037.27</v>
      </c>
      <c r="U131">
        <v>0.74</v>
      </c>
      <c r="V131">
        <v>0.76</v>
      </c>
      <c r="W131">
        <v>1.1399999999999999</v>
      </c>
      <c r="X131">
        <v>0.06</v>
      </c>
      <c r="Y131">
        <v>1</v>
      </c>
      <c r="Z131">
        <v>10</v>
      </c>
    </row>
    <row r="132" spans="1:26" x14ac:dyDescent="0.3">
      <c r="A132">
        <v>130</v>
      </c>
      <c r="B132">
        <v>150</v>
      </c>
      <c r="C132" t="s">
        <v>26</v>
      </c>
      <c r="D132">
        <v>10.032</v>
      </c>
      <c r="E132">
        <v>9.9700000000000006</v>
      </c>
      <c r="F132">
        <v>6.75</v>
      </c>
      <c r="G132">
        <v>101.23</v>
      </c>
      <c r="H132">
        <v>1.6</v>
      </c>
      <c r="I132">
        <v>4</v>
      </c>
      <c r="J132">
        <v>374.52</v>
      </c>
      <c r="K132">
        <v>61.82</v>
      </c>
      <c r="L132">
        <v>33.5</v>
      </c>
      <c r="M132">
        <v>2</v>
      </c>
      <c r="N132">
        <v>129.19999999999999</v>
      </c>
      <c r="O132">
        <v>46424.91</v>
      </c>
      <c r="P132">
        <v>121.07</v>
      </c>
      <c r="Q132">
        <v>204.14</v>
      </c>
      <c r="R132">
        <v>23.57</v>
      </c>
      <c r="S132">
        <v>17.37</v>
      </c>
      <c r="T132">
        <v>1008.3</v>
      </c>
      <c r="U132">
        <v>0.74</v>
      </c>
      <c r="V132">
        <v>0.76</v>
      </c>
      <c r="W132">
        <v>1.1399999999999999</v>
      </c>
      <c r="X132">
        <v>0.06</v>
      </c>
      <c r="Y132">
        <v>1</v>
      </c>
      <c r="Z132">
        <v>10</v>
      </c>
    </row>
    <row r="133" spans="1:26" x14ac:dyDescent="0.3">
      <c r="A133">
        <v>131</v>
      </c>
      <c r="B133">
        <v>150</v>
      </c>
      <c r="C133" t="s">
        <v>26</v>
      </c>
      <c r="D133">
        <v>10.0318</v>
      </c>
      <c r="E133">
        <v>9.9700000000000006</v>
      </c>
      <c r="F133">
        <v>6.75</v>
      </c>
      <c r="G133">
        <v>101.23</v>
      </c>
      <c r="H133">
        <v>1.6</v>
      </c>
      <c r="I133">
        <v>4</v>
      </c>
      <c r="J133">
        <v>375.23</v>
      </c>
      <c r="K133">
        <v>61.82</v>
      </c>
      <c r="L133">
        <v>33.75</v>
      </c>
      <c r="M133">
        <v>2</v>
      </c>
      <c r="N133">
        <v>129.65</v>
      </c>
      <c r="O133">
        <v>46512.15</v>
      </c>
      <c r="P133">
        <v>121.16</v>
      </c>
      <c r="Q133">
        <v>204.14</v>
      </c>
      <c r="R133">
        <v>23.61</v>
      </c>
      <c r="S133">
        <v>17.37</v>
      </c>
      <c r="T133">
        <v>1026.6099999999999</v>
      </c>
      <c r="U133">
        <v>0.74</v>
      </c>
      <c r="V133">
        <v>0.76</v>
      </c>
      <c r="W133">
        <v>1.1399999999999999</v>
      </c>
      <c r="X133">
        <v>0.06</v>
      </c>
      <c r="Y133">
        <v>1</v>
      </c>
      <c r="Z133">
        <v>10</v>
      </c>
    </row>
    <row r="134" spans="1:26" x14ac:dyDescent="0.3">
      <c r="A134">
        <v>132</v>
      </c>
      <c r="B134">
        <v>150</v>
      </c>
      <c r="C134" t="s">
        <v>26</v>
      </c>
      <c r="D134">
        <v>10.034599999999999</v>
      </c>
      <c r="E134">
        <v>9.9700000000000006</v>
      </c>
      <c r="F134">
        <v>6.75</v>
      </c>
      <c r="G134">
        <v>101.19</v>
      </c>
      <c r="H134">
        <v>1.61</v>
      </c>
      <c r="I134">
        <v>4</v>
      </c>
      <c r="J134">
        <v>375.93</v>
      </c>
      <c r="K134">
        <v>61.82</v>
      </c>
      <c r="L134">
        <v>34</v>
      </c>
      <c r="M134">
        <v>2</v>
      </c>
      <c r="N134">
        <v>130.11000000000001</v>
      </c>
      <c r="O134">
        <v>46599.68</v>
      </c>
      <c r="P134">
        <v>121.14</v>
      </c>
      <c r="Q134">
        <v>204.14</v>
      </c>
      <c r="R134">
        <v>23.56</v>
      </c>
      <c r="S134">
        <v>17.37</v>
      </c>
      <c r="T134">
        <v>1004.11</v>
      </c>
      <c r="U134">
        <v>0.74</v>
      </c>
      <c r="V134">
        <v>0.76</v>
      </c>
      <c r="W134">
        <v>1.1399999999999999</v>
      </c>
      <c r="X134">
        <v>0.06</v>
      </c>
      <c r="Y134">
        <v>1</v>
      </c>
      <c r="Z134">
        <v>10</v>
      </c>
    </row>
    <row r="135" spans="1:26" x14ac:dyDescent="0.3">
      <c r="A135">
        <v>133</v>
      </c>
      <c r="B135">
        <v>150</v>
      </c>
      <c r="C135" t="s">
        <v>26</v>
      </c>
      <c r="D135">
        <v>10.0374</v>
      </c>
      <c r="E135">
        <v>9.9600000000000009</v>
      </c>
      <c r="F135">
        <v>6.74</v>
      </c>
      <c r="G135">
        <v>101.15</v>
      </c>
      <c r="H135">
        <v>1.62</v>
      </c>
      <c r="I135">
        <v>4</v>
      </c>
      <c r="J135">
        <v>376.65</v>
      </c>
      <c r="K135">
        <v>61.82</v>
      </c>
      <c r="L135">
        <v>34.25</v>
      </c>
      <c r="M135">
        <v>2</v>
      </c>
      <c r="N135">
        <v>130.58000000000001</v>
      </c>
      <c r="O135">
        <v>46687.5</v>
      </c>
      <c r="P135">
        <v>121.05</v>
      </c>
      <c r="Q135">
        <v>204.14</v>
      </c>
      <c r="R135">
        <v>23.46</v>
      </c>
      <c r="S135">
        <v>17.37</v>
      </c>
      <c r="T135">
        <v>951.09</v>
      </c>
      <c r="U135">
        <v>0.74</v>
      </c>
      <c r="V135">
        <v>0.76</v>
      </c>
      <c r="W135">
        <v>1.1399999999999999</v>
      </c>
      <c r="X135">
        <v>0.05</v>
      </c>
      <c r="Y135">
        <v>1</v>
      </c>
      <c r="Z135">
        <v>10</v>
      </c>
    </row>
    <row r="136" spans="1:26" x14ac:dyDescent="0.3">
      <c r="A136">
        <v>134</v>
      </c>
      <c r="B136">
        <v>150</v>
      </c>
      <c r="C136" t="s">
        <v>26</v>
      </c>
      <c r="D136">
        <v>10.039300000000001</v>
      </c>
      <c r="E136">
        <v>9.9600000000000009</v>
      </c>
      <c r="F136">
        <v>6.74</v>
      </c>
      <c r="G136">
        <v>101.12</v>
      </c>
      <c r="H136">
        <v>1.63</v>
      </c>
      <c r="I136">
        <v>4</v>
      </c>
      <c r="J136">
        <v>377.36</v>
      </c>
      <c r="K136">
        <v>61.82</v>
      </c>
      <c r="L136">
        <v>34.5</v>
      </c>
      <c r="M136">
        <v>2</v>
      </c>
      <c r="N136">
        <v>131.04</v>
      </c>
      <c r="O136">
        <v>46775.73</v>
      </c>
      <c r="P136">
        <v>121.07</v>
      </c>
      <c r="Q136">
        <v>204.14</v>
      </c>
      <c r="R136">
        <v>23.36</v>
      </c>
      <c r="S136">
        <v>17.37</v>
      </c>
      <c r="T136">
        <v>904.77</v>
      </c>
      <c r="U136">
        <v>0.74</v>
      </c>
      <c r="V136">
        <v>0.76</v>
      </c>
      <c r="W136">
        <v>1.1399999999999999</v>
      </c>
      <c r="X136">
        <v>0.05</v>
      </c>
      <c r="Y136">
        <v>1</v>
      </c>
      <c r="Z136">
        <v>10</v>
      </c>
    </row>
    <row r="137" spans="1:26" x14ac:dyDescent="0.3">
      <c r="A137">
        <v>135</v>
      </c>
      <c r="B137">
        <v>150</v>
      </c>
      <c r="C137" t="s">
        <v>26</v>
      </c>
      <c r="D137">
        <v>10.0379</v>
      </c>
      <c r="E137">
        <v>9.9600000000000009</v>
      </c>
      <c r="F137">
        <v>6.74</v>
      </c>
      <c r="G137">
        <v>101.14</v>
      </c>
      <c r="H137">
        <v>1.64</v>
      </c>
      <c r="I137">
        <v>4</v>
      </c>
      <c r="J137">
        <v>378.08</v>
      </c>
      <c r="K137">
        <v>61.82</v>
      </c>
      <c r="L137">
        <v>34.75</v>
      </c>
      <c r="M137">
        <v>2</v>
      </c>
      <c r="N137">
        <v>131.51</v>
      </c>
      <c r="O137">
        <v>46864.14</v>
      </c>
      <c r="P137">
        <v>121.04</v>
      </c>
      <c r="Q137">
        <v>204.14</v>
      </c>
      <c r="R137">
        <v>23.42</v>
      </c>
      <c r="S137">
        <v>17.37</v>
      </c>
      <c r="T137">
        <v>930.56</v>
      </c>
      <c r="U137">
        <v>0.74</v>
      </c>
      <c r="V137">
        <v>0.76</v>
      </c>
      <c r="W137">
        <v>1.1399999999999999</v>
      </c>
      <c r="X137">
        <v>0.05</v>
      </c>
      <c r="Y137">
        <v>1</v>
      </c>
      <c r="Z137">
        <v>10</v>
      </c>
    </row>
    <row r="138" spans="1:26" x14ac:dyDescent="0.3">
      <c r="A138">
        <v>136</v>
      </c>
      <c r="B138">
        <v>150</v>
      </c>
      <c r="C138" t="s">
        <v>26</v>
      </c>
      <c r="D138">
        <v>10.0388</v>
      </c>
      <c r="E138">
        <v>9.9600000000000009</v>
      </c>
      <c r="F138">
        <v>6.74</v>
      </c>
      <c r="G138">
        <v>101.13</v>
      </c>
      <c r="H138">
        <v>1.65</v>
      </c>
      <c r="I138">
        <v>4</v>
      </c>
      <c r="J138">
        <v>378.8</v>
      </c>
      <c r="K138">
        <v>61.82</v>
      </c>
      <c r="L138">
        <v>35</v>
      </c>
      <c r="M138">
        <v>2</v>
      </c>
      <c r="N138">
        <v>131.97999999999999</v>
      </c>
      <c r="O138">
        <v>46952.84</v>
      </c>
      <c r="P138">
        <v>121.02</v>
      </c>
      <c r="Q138">
        <v>204.14</v>
      </c>
      <c r="R138">
        <v>23.44</v>
      </c>
      <c r="S138">
        <v>17.37</v>
      </c>
      <c r="T138">
        <v>941.82</v>
      </c>
      <c r="U138">
        <v>0.74</v>
      </c>
      <c r="V138">
        <v>0.76</v>
      </c>
      <c r="W138">
        <v>1.1399999999999999</v>
      </c>
      <c r="X138">
        <v>0.05</v>
      </c>
      <c r="Y138">
        <v>1</v>
      </c>
      <c r="Z138">
        <v>10</v>
      </c>
    </row>
    <row r="139" spans="1:26" x14ac:dyDescent="0.3">
      <c r="A139">
        <v>137</v>
      </c>
      <c r="B139">
        <v>150</v>
      </c>
      <c r="C139" t="s">
        <v>26</v>
      </c>
      <c r="D139">
        <v>10.038500000000001</v>
      </c>
      <c r="E139">
        <v>9.9600000000000009</v>
      </c>
      <c r="F139">
        <v>6.74</v>
      </c>
      <c r="G139">
        <v>101.13</v>
      </c>
      <c r="H139">
        <v>1.66</v>
      </c>
      <c r="I139">
        <v>4</v>
      </c>
      <c r="J139">
        <v>379.52</v>
      </c>
      <c r="K139">
        <v>61.82</v>
      </c>
      <c r="L139">
        <v>35.25</v>
      </c>
      <c r="M139">
        <v>2</v>
      </c>
      <c r="N139">
        <v>132.44999999999999</v>
      </c>
      <c r="O139">
        <v>47041.84</v>
      </c>
      <c r="P139">
        <v>120.98</v>
      </c>
      <c r="Q139">
        <v>204.14</v>
      </c>
      <c r="R139">
        <v>23.48</v>
      </c>
      <c r="S139">
        <v>17.37</v>
      </c>
      <c r="T139">
        <v>961.21</v>
      </c>
      <c r="U139">
        <v>0.74</v>
      </c>
      <c r="V139">
        <v>0.76</v>
      </c>
      <c r="W139">
        <v>1.1399999999999999</v>
      </c>
      <c r="X139">
        <v>0.05</v>
      </c>
      <c r="Y139">
        <v>1</v>
      </c>
      <c r="Z139">
        <v>10</v>
      </c>
    </row>
    <row r="140" spans="1:26" x14ac:dyDescent="0.3">
      <c r="A140">
        <v>138</v>
      </c>
      <c r="B140">
        <v>150</v>
      </c>
      <c r="C140" t="s">
        <v>26</v>
      </c>
      <c r="D140">
        <v>10.039300000000001</v>
      </c>
      <c r="E140">
        <v>9.9600000000000009</v>
      </c>
      <c r="F140">
        <v>6.74</v>
      </c>
      <c r="G140">
        <v>101.12</v>
      </c>
      <c r="H140">
        <v>1.67</v>
      </c>
      <c r="I140">
        <v>4</v>
      </c>
      <c r="J140">
        <v>380.24</v>
      </c>
      <c r="K140">
        <v>61.82</v>
      </c>
      <c r="L140">
        <v>35.5</v>
      </c>
      <c r="M140">
        <v>2</v>
      </c>
      <c r="N140">
        <v>132.91999999999999</v>
      </c>
      <c r="O140">
        <v>47131.15</v>
      </c>
      <c r="P140">
        <v>120.95</v>
      </c>
      <c r="Q140">
        <v>204.15</v>
      </c>
      <c r="R140">
        <v>23.38</v>
      </c>
      <c r="S140">
        <v>17.37</v>
      </c>
      <c r="T140">
        <v>914.67</v>
      </c>
      <c r="U140">
        <v>0.74</v>
      </c>
      <c r="V140">
        <v>0.76</v>
      </c>
      <c r="W140">
        <v>1.1399999999999999</v>
      </c>
      <c r="X140">
        <v>0.05</v>
      </c>
      <c r="Y140">
        <v>1</v>
      </c>
      <c r="Z140">
        <v>10</v>
      </c>
    </row>
    <row r="141" spans="1:26" x14ac:dyDescent="0.3">
      <c r="A141">
        <v>139</v>
      </c>
      <c r="B141">
        <v>150</v>
      </c>
      <c r="C141" t="s">
        <v>26</v>
      </c>
      <c r="D141">
        <v>10.0382</v>
      </c>
      <c r="E141">
        <v>9.9600000000000009</v>
      </c>
      <c r="F141">
        <v>6.74</v>
      </c>
      <c r="G141">
        <v>101.14</v>
      </c>
      <c r="H141">
        <v>1.67</v>
      </c>
      <c r="I141">
        <v>4</v>
      </c>
      <c r="J141">
        <v>380.97</v>
      </c>
      <c r="K141">
        <v>61.82</v>
      </c>
      <c r="L141">
        <v>35.75</v>
      </c>
      <c r="M141">
        <v>2</v>
      </c>
      <c r="N141">
        <v>133.4</v>
      </c>
      <c r="O141">
        <v>47220.77</v>
      </c>
      <c r="P141">
        <v>120.99</v>
      </c>
      <c r="Q141">
        <v>204.14</v>
      </c>
      <c r="R141">
        <v>23.37</v>
      </c>
      <c r="S141">
        <v>17.37</v>
      </c>
      <c r="T141">
        <v>904.94</v>
      </c>
      <c r="U141">
        <v>0.74</v>
      </c>
      <c r="V141">
        <v>0.76</v>
      </c>
      <c r="W141">
        <v>1.1399999999999999</v>
      </c>
      <c r="X141">
        <v>0.05</v>
      </c>
      <c r="Y141">
        <v>1</v>
      </c>
      <c r="Z141">
        <v>10</v>
      </c>
    </row>
    <row r="142" spans="1:26" x14ac:dyDescent="0.3">
      <c r="A142">
        <v>140</v>
      </c>
      <c r="B142">
        <v>150</v>
      </c>
      <c r="C142" t="s">
        <v>26</v>
      </c>
      <c r="D142">
        <v>10.0396</v>
      </c>
      <c r="E142">
        <v>9.9600000000000009</v>
      </c>
      <c r="F142">
        <v>6.74</v>
      </c>
      <c r="G142">
        <v>101.12</v>
      </c>
      <c r="H142">
        <v>1.68</v>
      </c>
      <c r="I142">
        <v>4</v>
      </c>
      <c r="J142">
        <v>381.7</v>
      </c>
      <c r="K142">
        <v>61.82</v>
      </c>
      <c r="L142">
        <v>36</v>
      </c>
      <c r="M142">
        <v>2</v>
      </c>
      <c r="N142">
        <v>133.88</v>
      </c>
      <c r="O142">
        <v>47310.69</v>
      </c>
      <c r="P142">
        <v>120.88</v>
      </c>
      <c r="Q142">
        <v>204.14</v>
      </c>
      <c r="R142">
        <v>23.39</v>
      </c>
      <c r="S142">
        <v>17.37</v>
      </c>
      <c r="T142">
        <v>916.58</v>
      </c>
      <c r="U142">
        <v>0.74</v>
      </c>
      <c r="V142">
        <v>0.76</v>
      </c>
      <c r="W142">
        <v>1.1399999999999999</v>
      </c>
      <c r="X142">
        <v>0.05</v>
      </c>
      <c r="Y142">
        <v>1</v>
      </c>
      <c r="Z142">
        <v>10</v>
      </c>
    </row>
    <row r="143" spans="1:26" x14ac:dyDescent="0.3">
      <c r="A143">
        <v>141</v>
      </c>
      <c r="B143">
        <v>150</v>
      </c>
      <c r="C143" t="s">
        <v>26</v>
      </c>
      <c r="D143">
        <v>10.039</v>
      </c>
      <c r="E143">
        <v>9.9600000000000009</v>
      </c>
      <c r="F143">
        <v>6.74</v>
      </c>
      <c r="G143">
        <v>101.12</v>
      </c>
      <c r="H143">
        <v>1.69</v>
      </c>
      <c r="I143">
        <v>4</v>
      </c>
      <c r="J143">
        <v>382.43</v>
      </c>
      <c r="K143">
        <v>61.82</v>
      </c>
      <c r="L143">
        <v>36.25</v>
      </c>
      <c r="M143">
        <v>2</v>
      </c>
      <c r="N143">
        <v>134.36000000000001</v>
      </c>
      <c r="O143">
        <v>47400.92</v>
      </c>
      <c r="P143">
        <v>120.83</v>
      </c>
      <c r="Q143">
        <v>204.14</v>
      </c>
      <c r="R143">
        <v>23.4</v>
      </c>
      <c r="S143">
        <v>17.37</v>
      </c>
      <c r="T143">
        <v>921.17</v>
      </c>
      <c r="U143">
        <v>0.74</v>
      </c>
      <c r="V143">
        <v>0.76</v>
      </c>
      <c r="W143">
        <v>1.1399999999999999</v>
      </c>
      <c r="X143">
        <v>0.05</v>
      </c>
      <c r="Y143">
        <v>1</v>
      </c>
      <c r="Z143">
        <v>10</v>
      </c>
    </row>
    <row r="144" spans="1:26" x14ac:dyDescent="0.3">
      <c r="A144">
        <v>142</v>
      </c>
      <c r="B144">
        <v>150</v>
      </c>
      <c r="C144" t="s">
        <v>26</v>
      </c>
      <c r="D144">
        <v>10.0374</v>
      </c>
      <c r="E144">
        <v>9.9600000000000009</v>
      </c>
      <c r="F144">
        <v>6.74</v>
      </c>
      <c r="G144">
        <v>101.15</v>
      </c>
      <c r="H144">
        <v>1.7</v>
      </c>
      <c r="I144">
        <v>4</v>
      </c>
      <c r="J144">
        <v>383.17</v>
      </c>
      <c r="K144">
        <v>61.82</v>
      </c>
      <c r="L144">
        <v>36.5</v>
      </c>
      <c r="M144">
        <v>2</v>
      </c>
      <c r="N144">
        <v>134.84</v>
      </c>
      <c r="O144">
        <v>47491.48</v>
      </c>
      <c r="P144">
        <v>120.81</v>
      </c>
      <c r="Q144">
        <v>204.14</v>
      </c>
      <c r="R144">
        <v>23.43</v>
      </c>
      <c r="S144">
        <v>17.37</v>
      </c>
      <c r="T144">
        <v>938.75</v>
      </c>
      <c r="U144">
        <v>0.74</v>
      </c>
      <c r="V144">
        <v>0.76</v>
      </c>
      <c r="W144">
        <v>1.1399999999999999</v>
      </c>
      <c r="X144">
        <v>0.05</v>
      </c>
      <c r="Y144">
        <v>1</v>
      </c>
      <c r="Z144">
        <v>10</v>
      </c>
    </row>
    <row r="145" spans="1:26" x14ac:dyDescent="0.3">
      <c r="A145">
        <v>143</v>
      </c>
      <c r="B145">
        <v>150</v>
      </c>
      <c r="C145" t="s">
        <v>26</v>
      </c>
      <c r="D145">
        <v>10.044600000000001</v>
      </c>
      <c r="E145">
        <v>9.9600000000000009</v>
      </c>
      <c r="F145">
        <v>6.74</v>
      </c>
      <c r="G145">
        <v>101.04</v>
      </c>
      <c r="H145">
        <v>1.71</v>
      </c>
      <c r="I145">
        <v>4</v>
      </c>
      <c r="J145">
        <v>383.9</v>
      </c>
      <c r="K145">
        <v>61.82</v>
      </c>
      <c r="L145">
        <v>36.75</v>
      </c>
      <c r="M145">
        <v>2</v>
      </c>
      <c r="N145">
        <v>135.33000000000001</v>
      </c>
      <c r="O145">
        <v>47582.35</v>
      </c>
      <c r="P145">
        <v>120.69</v>
      </c>
      <c r="Q145">
        <v>204.14</v>
      </c>
      <c r="R145">
        <v>23.2</v>
      </c>
      <c r="S145">
        <v>17.37</v>
      </c>
      <c r="T145">
        <v>822.36</v>
      </c>
      <c r="U145">
        <v>0.75</v>
      </c>
      <c r="V145">
        <v>0.76</v>
      </c>
      <c r="W145">
        <v>1.1399999999999999</v>
      </c>
      <c r="X145">
        <v>0.04</v>
      </c>
      <c r="Y145">
        <v>1</v>
      </c>
      <c r="Z145">
        <v>10</v>
      </c>
    </row>
    <row r="146" spans="1:26" x14ac:dyDescent="0.3">
      <c r="A146">
        <v>144</v>
      </c>
      <c r="B146">
        <v>150</v>
      </c>
      <c r="C146" t="s">
        <v>26</v>
      </c>
      <c r="D146">
        <v>10.045500000000001</v>
      </c>
      <c r="E146">
        <v>9.9499999999999993</v>
      </c>
      <c r="F146">
        <v>6.74</v>
      </c>
      <c r="G146">
        <v>101.03</v>
      </c>
      <c r="H146">
        <v>1.72</v>
      </c>
      <c r="I146">
        <v>4</v>
      </c>
      <c r="J146">
        <v>384.64</v>
      </c>
      <c r="K146">
        <v>61.82</v>
      </c>
      <c r="L146">
        <v>37</v>
      </c>
      <c r="M146">
        <v>2</v>
      </c>
      <c r="N146">
        <v>135.82</v>
      </c>
      <c r="O146">
        <v>47673.67</v>
      </c>
      <c r="P146">
        <v>120.56</v>
      </c>
      <c r="Q146">
        <v>204.15</v>
      </c>
      <c r="R146">
        <v>23.16</v>
      </c>
      <c r="S146">
        <v>17.37</v>
      </c>
      <c r="T146">
        <v>800.58</v>
      </c>
      <c r="U146">
        <v>0.75</v>
      </c>
      <c r="V146">
        <v>0.76</v>
      </c>
      <c r="W146">
        <v>1.1399999999999999</v>
      </c>
      <c r="X146">
        <v>0.04</v>
      </c>
      <c r="Y146">
        <v>1</v>
      </c>
      <c r="Z146">
        <v>10</v>
      </c>
    </row>
    <row r="147" spans="1:26" x14ac:dyDescent="0.3">
      <c r="A147">
        <v>145</v>
      </c>
      <c r="B147">
        <v>150</v>
      </c>
      <c r="C147" t="s">
        <v>26</v>
      </c>
      <c r="D147">
        <v>10.046900000000001</v>
      </c>
      <c r="E147">
        <v>9.9499999999999993</v>
      </c>
      <c r="F147">
        <v>6.73</v>
      </c>
      <c r="G147">
        <v>101.01</v>
      </c>
      <c r="H147">
        <v>1.72</v>
      </c>
      <c r="I147">
        <v>4</v>
      </c>
      <c r="J147">
        <v>385.38</v>
      </c>
      <c r="K147">
        <v>61.82</v>
      </c>
      <c r="L147">
        <v>37.25</v>
      </c>
      <c r="M147">
        <v>2</v>
      </c>
      <c r="N147">
        <v>136.31</v>
      </c>
      <c r="O147">
        <v>47765.19</v>
      </c>
      <c r="P147">
        <v>120.54</v>
      </c>
      <c r="Q147">
        <v>204.15</v>
      </c>
      <c r="R147">
        <v>23.11</v>
      </c>
      <c r="S147">
        <v>17.37</v>
      </c>
      <c r="T147">
        <v>776.31</v>
      </c>
      <c r="U147">
        <v>0.75</v>
      </c>
      <c r="V147">
        <v>0.76</v>
      </c>
      <c r="W147">
        <v>1.1399999999999999</v>
      </c>
      <c r="X147">
        <v>0.04</v>
      </c>
      <c r="Y147">
        <v>1</v>
      </c>
      <c r="Z147">
        <v>10</v>
      </c>
    </row>
    <row r="148" spans="1:26" x14ac:dyDescent="0.3">
      <c r="A148">
        <v>146</v>
      </c>
      <c r="B148">
        <v>150</v>
      </c>
      <c r="C148" t="s">
        <v>26</v>
      </c>
      <c r="D148">
        <v>10.045500000000001</v>
      </c>
      <c r="E148">
        <v>9.9499999999999993</v>
      </c>
      <c r="F148">
        <v>6.74</v>
      </c>
      <c r="G148">
        <v>101.03</v>
      </c>
      <c r="H148">
        <v>1.73</v>
      </c>
      <c r="I148">
        <v>4</v>
      </c>
      <c r="J148">
        <v>386.13</v>
      </c>
      <c r="K148">
        <v>61.82</v>
      </c>
      <c r="L148">
        <v>37.5</v>
      </c>
      <c r="M148">
        <v>2</v>
      </c>
      <c r="N148">
        <v>136.81</v>
      </c>
      <c r="O148">
        <v>47857.05</v>
      </c>
      <c r="P148">
        <v>120.52</v>
      </c>
      <c r="Q148">
        <v>204.14</v>
      </c>
      <c r="R148">
        <v>23.11</v>
      </c>
      <c r="S148">
        <v>17.37</v>
      </c>
      <c r="T148">
        <v>775.75</v>
      </c>
      <c r="U148">
        <v>0.75</v>
      </c>
      <c r="V148">
        <v>0.76</v>
      </c>
      <c r="W148">
        <v>1.1399999999999999</v>
      </c>
      <c r="X148">
        <v>0.04</v>
      </c>
      <c r="Y148">
        <v>1</v>
      </c>
      <c r="Z148">
        <v>10</v>
      </c>
    </row>
    <row r="149" spans="1:26" x14ac:dyDescent="0.3">
      <c r="A149">
        <v>147</v>
      </c>
      <c r="B149">
        <v>150</v>
      </c>
      <c r="C149" t="s">
        <v>26</v>
      </c>
      <c r="D149">
        <v>10.044600000000001</v>
      </c>
      <c r="E149">
        <v>9.9600000000000009</v>
      </c>
      <c r="F149">
        <v>6.74</v>
      </c>
      <c r="G149">
        <v>101.04</v>
      </c>
      <c r="H149">
        <v>1.74</v>
      </c>
      <c r="I149">
        <v>4</v>
      </c>
      <c r="J149">
        <v>386.88</v>
      </c>
      <c r="K149">
        <v>61.82</v>
      </c>
      <c r="L149">
        <v>37.75</v>
      </c>
      <c r="M149">
        <v>2</v>
      </c>
      <c r="N149">
        <v>137.31</v>
      </c>
      <c r="O149">
        <v>47949.23</v>
      </c>
      <c r="P149">
        <v>120.4</v>
      </c>
      <c r="Q149">
        <v>204.14</v>
      </c>
      <c r="R149">
        <v>23.14</v>
      </c>
      <c r="S149">
        <v>17.37</v>
      </c>
      <c r="T149">
        <v>793.88</v>
      </c>
      <c r="U149">
        <v>0.75</v>
      </c>
      <c r="V149">
        <v>0.76</v>
      </c>
      <c r="W149">
        <v>1.1399999999999999</v>
      </c>
      <c r="X149">
        <v>0.04</v>
      </c>
      <c r="Y149">
        <v>1</v>
      </c>
      <c r="Z149">
        <v>10</v>
      </c>
    </row>
    <row r="150" spans="1:26" x14ac:dyDescent="0.3">
      <c r="A150">
        <v>148</v>
      </c>
      <c r="B150">
        <v>150</v>
      </c>
      <c r="C150" t="s">
        <v>26</v>
      </c>
      <c r="D150">
        <v>10.0444</v>
      </c>
      <c r="E150">
        <v>9.9600000000000009</v>
      </c>
      <c r="F150">
        <v>6.74</v>
      </c>
      <c r="G150">
        <v>101.05</v>
      </c>
      <c r="H150">
        <v>1.75</v>
      </c>
      <c r="I150">
        <v>4</v>
      </c>
      <c r="J150">
        <v>387.63</v>
      </c>
      <c r="K150">
        <v>61.82</v>
      </c>
      <c r="L150">
        <v>38</v>
      </c>
      <c r="M150">
        <v>2</v>
      </c>
      <c r="N150">
        <v>137.81</v>
      </c>
      <c r="O150">
        <v>48041.760000000002</v>
      </c>
      <c r="P150">
        <v>120.4</v>
      </c>
      <c r="Q150">
        <v>204.14</v>
      </c>
      <c r="R150">
        <v>23.2</v>
      </c>
      <c r="S150">
        <v>17.37</v>
      </c>
      <c r="T150">
        <v>822.06</v>
      </c>
      <c r="U150">
        <v>0.75</v>
      </c>
      <c r="V150">
        <v>0.76</v>
      </c>
      <c r="W150">
        <v>1.1399999999999999</v>
      </c>
      <c r="X150">
        <v>0.05</v>
      </c>
      <c r="Y150">
        <v>1</v>
      </c>
      <c r="Z150">
        <v>10</v>
      </c>
    </row>
    <row r="151" spans="1:26" x14ac:dyDescent="0.3">
      <c r="A151">
        <v>149</v>
      </c>
      <c r="B151">
        <v>150</v>
      </c>
      <c r="C151" t="s">
        <v>26</v>
      </c>
      <c r="D151">
        <v>10.043200000000001</v>
      </c>
      <c r="E151">
        <v>9.9600000000000009</v>
      </c>
      <c r="F151">
        <v>6.74</v>
      </c>
      <c r="G151">
        <v>101.06</v>
      </c>
      <c r="H151">
        <v>1.76</v>
      </c>
      <c r="I151">
        <v>4</v>
      </c>
      <c r="J151">
        <v>388.38</v>
      </c>
      <c r="K151">
        <v>61.82</v>
      </c>
      <c r="L151">
        <v>38.25</v>
      </c>
      <c r="M151">
        <v>2</v>
      </c>
      <c r="N151">
        <v>138.31</v>
      </c>
      <c r="O151">
        <v>48134.63</v>
      </c>
      <c r="P151">
        <v>120.44</v>
      </c>
      <c r="Q151">
        <v>204.14</v>
      </c>
      <c r="R151">
        <v>23.25</v>
      </c>
      <c r="S151">
        <v>17.37</v>
      </c>
      <c r="T151">
        <v>845.03</v>
      </c>
      <c r="U151">
        <v>0.75</v>
      </c>
      <c r="V151">
        <v>0.76</v>
      </c>
      <c r="W151">
        <v>1.1399999999999999</v>
      </c>
      <c r="X151">
        <v>0.05</v>
      </c>
      <c r="Y151">
        <v>1</v>
      </c>
      <c r="Z151">
        <v>10</v>
      </c>
    </row>
    <row r="152" spans="1:26" x14ac:dyDescent="0.3">
      <c r="A152">
        <v>150</v>
      </c>
      <c r="B152">
        <v>150</v>
      </c>
      <c r="C152" t="s">
        <v>26</v>
      </c>
      <c r="D152">
        <v>10.0449</v>
      </c>
      <c r="E152">
        <v>9.9600000000000009</v>
      </c>
      <c r="F152">
        <v>6.74</v>
      </c>
      <c r="G152">
        <v>101.04</v>
      </c>
      <c r="H152">
        <v>1.76</v>
      </c>
      <c r="I152">
        <v>4</v>
      </c>
      <c r="J152">
        <v>389.14</v>
      </c>
      <c r="K152">
        <v>61.82</v>
      </c>
      <c r="L152">
        <v>38.5</v>
      </c>
      <c r="M152">
        <v>2</v>
      </c>
      <c r="N152">
        <v>138.81</v>
      </c>
      <c r="O152">
        <v>48227.839999999997</v>
      </c>
      <c r="P152">
        <v>120.37</v>
      </c>
      <c r="Q152">
        <v>204.14</v>
      </c>
      <c r="R152">
        <v>23.24</v>
      </c>
      <c r="S152">
        <v>17.37</v>
      </c>
      <c r="T152">
        <v>843.32</v>
      </c>
      <c r="U152">
        <v>0.75</v>
      </c>
      <c r="V152">
        <v>0.76</v>
      </c>
      <c r="W152">
        <v>1.1399999999999999</v>
      </c>
      <c r="X152">
        <v>0.04</v>
      </c>
      <c r="Y152">
        <v>1</v>
      </c>
      <c r="Z152">
        <v>10</v>
      </c>
    </row>
    <row r="153" spans="1:26" x14ac:dyDescent="0.3">
      <c r="A153">
        <v>151</v>
      </c>
      <c r="B153">
        <v>150</v>
      </c>
      <c r="C153" t="s">
        <v>26</v>
      </c>
      <c r="D153">
        <v>10.041600000000001</v>
      </c>
      <c r="E153">
        <v>9.9600000000000009</v>
      </c>
      <c r="F153">
        <v>6.74</v>
      </c>
      <c r="G153">
        <v>101.09</v>
      </c>
      <c r="H153">
        <v>1.77</v>
      </c>
      <c r="I153">
        <v>4</v>
      </c>
      <c r="J153">
        <v>389.89</v>
      </c>
      <c r="K153">
        <v>61.82</v>
      </c>
      <c r="L153">
        <v>38.75</v>
      </c>
      <c r="M153">
        <v>2</v>
      </c>
      <c r="N153">
        <v>139.32</v>
      </c>
      <c r="O153">
        <v>48321.4</v>
      </c>
      <c r="P153">
        <v>120.37</v>
      </c>
      <c r="Q153">
        <v>204.15</v>
      </c>
      <c r="R153">
        <v>23.28</v>
      </c>
      <c r="S153">
        <v>17.37</v>
      </c>
      <c r="T153">
        <v>863.43</v>
      </c>
      <c r="U153">
        <v>0.75</v>
      </c>
      <c r="V153">
        <v>0.76</v>
      </c>
      <c r="W153">
        <v>1.1399999999999999</v>
      </c>
      <c r="X153">
        <v>0.05</v>
      </c>
      <c r="Y153">
        <v>1</v>
      </c>
      <c r="Z153">
        <v>10</v>
      </c>
    </row>
    <row r="154" spans="1:26" x14ac:dyDescent="0.3">
      <c r="A154">
        <v>152</v>
      </c>
      <c r="B154">
        <v>150</v>
      </c>
      <c r="C154" t="s">
        <v>26</v>
      </c>
      <c r="D154">
        <v>10.039300000000001</v>
      </c>
      <c r="E154">
        <v>9.9600000000000009</v>
      </c>
      <c r="F154">
        <v>6.74</v>
      </c>
      <c r="G154">
        <v>101.12</v>
      </c>
      <c r="H154">
        <v>1.78</v>
      </c>
      <c r="I154">
        <v>4</v>
      </c>
      <c r="J154">
        <v>390.66</v>
      </c>
      <c r="K154">
        <v>61.82</v>
      </c>
      <c r="L154">
        <v>39</v>
      </c>
      <c r="M154">
        <v>2</v>
      </c>
      <c r="N154">
        <v>139.83000000000001</v>
      </c>
      <c r="O154">
        <v>48415.31</v>
      </c>
      <c r="P154">
        <v>120.38</v>
      </c>
      <c r="Q154">
        <v>204.14</v>
      </c>
      <c r="R154">
        <v>23.37</v>
      </c>
      <c r="S154">
        <v>17.37</v>
      </c>
      <c r="T154">
        <v>906.03</v>
      </c>
      <c r="U154">
        <v>0.74</v>
      </c>
      <c r="V154">
        <v>0.76</v>
      </c>
      <c r="W154">
        <v>1.1399999999999999</v>
      </c>
      <c r="X154">
        <v>0.05</v>
      </c>
      <c r="Y154">
        <v>1</v>
      </c>
      <c r="Z154">
        <v>10</v>
      </c>
    </row>
    <row r="155" spans="1:26" x14ac:dyDescent="0.3">
      <c r="A155">
        <v>153</v>
      </c>
      <c r="B155">
        <v>150</v>
      </c>
      <c r="C155" t="s">
        <v>26</v>
      </c>
      <c r="D155">
        <v>10.0382</v>
      </c>
      <c r="E155">
        <v>9.9600000000000009</v>
      </c>
      <c r="F155">
        <v>6.74</v>
      </c>
      <c r="G155">
        <v>101.14</v>
      </c>
      <c r="H155">
        <v>1.79</v>
      </c>
      <c r="I155">
        <v>4</v>
      </c>
      <c r="J155">
        <v>391.42</v>
      </c>
      <c r="K155">
        <v>61.82</v>
      </c>
      <c r="L155">
        <v>39.25</v>
      </c>
      <c r="M155">
        <v>2</v>
      </c>
      <c r="N155">
        <v>140.35</v>
      </c>
      <c r="O155">
        <v>48509.7</v>
      </c>
      <c r="P155">
        <v>120.23</v>
      </c>
      <c r="Q155">
        <v>204.14</v>
      </c>
      <c r="R155">
        <v>23.39</v>
      </c>
      <c r="S155">
        <v>17.37</v>
      </c>
      <c r="T155">
        <v>914.87</v>
      </c>
      <c r="U155">
        <v>0.74</v>
      </c>
      <c r="V155">
        <v>0.76</v>
      </c>
      <c r="W155">
        <v>1.1399999999999999</v>
      </c>
      <c r="X155">
        <v>0.05</v>
      </c>
      <c r="Y155">
        <v>1</v>
      </c>
      <c r="Z155">
        <v>10</v>
      </c>
    </row>
    <row r="156" spans="1:26" x14ac:dyDescent="0.3">
      <c r="A156">
        <v>154</v>
      </c>
      <c r="B156">
        <v>150</v>
      </c>
      <c r="C156" t="s">
        <v>26</v>
      </c>
      <c r="D156">
        <v>10.039899999999999</v>
      </c>
      <c r="E156">
        <v>9.9600000000000009</v>
      </c>
      <c r="F156">
        <v>6.74</v>
      </c>
      <c r="G156">
        <v>101.11</v>
      </c>
      <c r="H156">
        <v>1.8</v>
      </c>
      <c r="I156">
        <v>4</v>
      </c>
      <c r="J156">
        <v>392.19</v>
      </c>
      <c r="K156">
        <v>61.82</v>
      </c>
      <c r="L156">
        <v>39.5</v>
      </c>
      <c r="M156">
        <v>2</v>
      </c>
      <c r="N156">
        <v>140.87</v>
      </c>
      <c r="O156">
        <v>48604.33</v>
      </c>
      <c r="P156">
        <v>120.18</v>
      </c>
      <c r="Q156">
        <v>204.14</v>
      </c>
      <c r="R156">
        <v>23.36</v>
      </c>
      <c r="S156">
        <v>17.37</v>
      </c>
      <c r="T156">
        <v>904</v>
      </c>
      <c r="U156">
        <v>0.74</v>
      </c>
      <c r="V156">
        <v>0.76</v>
      </c>
      <c r="W156">
        <v>1.1399999999999999</v>
      </c>
      <c r="X156">
        <v>0.05</v>
      </c>
      <c r="Y156">
        <v>1</v>
      </c>
      <c r="Z156">
        <v>10</v>
      </c>
    </row>
    <row r="157" spans="1:26" x14ac:dyDescent="0.3">
      <c r="A157">
        <v>155</v>
      </c>
      <c r="B157">
        <v>150</v>
      </c>
      <c r="C157" t="s">
        <v>26</v>
      </c>
      <c r="D157">
        <v>10.039899999999999</v>
      </c>
      <c r="E157">
        <v>9.9600000000000009</v>
      </c>
      <c r="F157">
        <v>6.74</v>
      </c>
      <c r="G157">
        <v>101.11</v>
      </c>
      <c r="H157">
        <v>1.8</v>
      </c>
      <c r="I157">
        <v>4</v>
      </c>
      <c r="J157">
        <v>392.96</v>
      </c>
      <c r="K157">
        <v>61.82</v>
      </c>
      <c r="L157">
        <v>39.75</v>
      </c>
      <c r="M157">
        <v>2</v>
      </c>
      <c r="N157">
        <v>141.38999999999999</v>
      </c>
      <c r="O157">
        <v>48699.33</v>
      </c>
      <c r="P157">
        <v>120.11</v>
      </c>
      <c r="Q157">
        <v>204.14</v>
      </c>
      <c r="R157">
        <v>23.31</v>
      </c>
      <c r="S157">
        <v>17.37</v>
      </c>
      <c r="T157">
        <v>877.07</v>
      </c>
      <c r="U157">
        <v>0.75</v>
      </c>
      <c r="V157">
        <v>0.76</v>
      </c>
      <c r="W157">
        <v>1.1399999999999999</v>
      </c>
      <c r="X157">
        <v>0.05</v>
      </c>
      <c r="Y157">
        <v>1</v>
      </c>
      <c r="Z157">
        <v>10</v>
      </c>
    </row>
    <row r="158" spans="1:26" x14ac:dyDescent="0.3">
      <c r="A158">
        <v>156</v>
      </c>
      <c r="B158">
        <v>150</v>
      </c>
      <c r="C158" t="s">
        <v>26</v>
      </c>
      <c r="D158">
        <v>10.042400000000001</v>
      </c>
      <c r="E158">
        <v>9.9600000000000009</v>
      </c>
      <c r="F158">
        <v>6.74</v>
      </c>
      <c r="G158">
        <v>101.08</v>
      </c>
      <c r="H158">
        <v>1.81</v>
      </c>
      <c r="I158">
        <v>4</v>
      </c>
      <c r="J158">
        <v>393.73</v>
      </c>
      <c r="K158">
        <v>61.82</v>
      </c>
      <c r="L158">
        <v>40</v>
      </c>
      <c r="M158">
        <v>2</v>
      </c>
      <c r="N158">
        <v>141.91</v>
      </c>
      <c r="O158">
        <v>48794.7</v>
      </c>
      <c r="P158">
        <v>120.01</v>
      </c>
      <c r="Q158">
        <v>204.14</v>
      </c>
      <c r="R158">
        <v>23.26</v>
      </c>
      <c r="S158">
        <v>17.37</v>
      </c>
      <c r="T158">
        <v>852.15</v>
      </c>
      <c r="U158">
        <v>0.75</v>
      </c>
      <c r="V158">
        <v>0.76</v>
      </c>
      <c r="W158">
        <v>1.1399999999999999</v>
      </c>
      <c r="X158">
        <v>0.05</v>
      </c>
      <c r="Y158">
        <v>1</v>
      </c>
      <c r="Z158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Planilha11"/>
  <dimension ref="A1:Z2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10</v>
      </c>
      <c r="C2" t="s">
        <v>26</v>
      </c>
      <c r="D2">
        <v>11.079000000000001</v>
      </c>
      <c r="E2">
        <v>9.0299999999999994</v>
      </c>
      <c r="F2">
        <v>7.13</v>
      </c>
      <c r="G2">
        <v>19.46</v>
      </c>
      <c r="H2">
        <v>0.64</v>
      </c>
      <c r="I2">
        <v>22</v>
      </c>
      <c r="J2">
        <v>26.11</v>
      </c>
      <c r="K2">
        <v>12.1</v>
      </c>
      <c r="L2">
        <v>1</v>
      </c>
      <c r="M2">
        <v>0</v>
      </c>
      <c r="N2">
        <v>3.01</v>
      </c>
      <c r="O2">
        <v>3454.41</v>
      </c>
      <c r="P2">
        <v>20.64</v>
      </c>
      <c r="Q2">
        <v>204.2</v>
      </c>
      <c r="R2">
        <v>34.82</v>
      </c>
      <c r="S2">
        <v>17.37</v>
      </c>
      <c r="T2">
        <v>6541.6</v>
      </c>
      <c r="U2">
        <v>0.5</v>
      </c>
      <c r="V2">
        <v>0.72</v>
      </c>
      <c r="W2">
        <v>1.2</v>
      </c>
      <c r="X2">
        <v>0.44</v>
      </c>
      <c r="Y2">
        <v>1</v>
      </c>
      <c r="Z2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Planilha12"/>
  <dimension ref="A1:Z29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45</v>
      </c>
      <c r="C2" t="s">
        <v>26</v>
      </c>
      <c r="D2">
        <v>9.3554999999999993</v>
      </c>
      <c r="E2">
        <v>10.69</v>
      </c>
      <c r="F2">
        <v>7.67</v>
      </c>
      <c r="G2">
        <v>9.2100000000000009</v>
      </c>
      <c r="H2">
        <v>0.18</v>
      </c>
      <c r="I2">
        <v>50</v>
      </c>
      <c r="J2">
        <v>98.71</v>
      </c>
      <c r="K2">
        <v>39.72</v>
      </c>
      <c r="L2">
        <v>1</v>
      </c>
      <c r="M2">
        <v>48</v>
      </c>
      <c r="N2">
        <v>12.99</v>
      </c>
      <c r="O2">
        <v>12407.75</v>
      </c>
      <c r="P2">
        <v>68.06</v>
      </c>
      <c r="Q2">
        <v>204.24</v>
      </c>
      <c r="R2">
        <v>52.35</v>
      </c>
      <c r="S2">
        <v>17.37</v>
      </c>
      <c r="T2">
        <v>15165.68</v>
      </c>
      <c r="U2">
        <v>0.33</v>
      </c>
      <c r="V2">
        <v>0.67</v>
      </c>
      <c r="W2">
        <v>1.22</v>
      </c>
      <c r="X2">
        <v>0.98</v>
      </c>
      <c r="Y2">
        <v>1</v>
      </c>
      <c r="Z2">
        <v>10</v>
      </c>
    </row>
    <row r="3" spans="1:26" x14ac:dyDescent="0.3">
      <c r="A3">
        <v>1</v>
      </c>
      <c r="B3">
        <v>45</v>
      </c>
      <c r="C3" t="s">
        <v>26</v>
      </c>
      <c r="D3">
        <v>9.7382000000000009</v>
      </c>
      <c r="E3">
        <v>10.27</v>
      </c>
      <c r="F3">
        <v>7.48</v>
      </c>
      <c r="G3">
        <v>11.51</v>
      </c>
      <c r="H3">
        <v>0.22</v>
      </c>
      <c r="I3">
        <v>39</v>
      </c>
      <c r="J3">
        <v>99.02</v>
      </c>
      <c r="K3">
        <v>39.72</v>
      </c>
      <c r="L3">
        <v>1.25</v>
      </c>
      <c r="M3">
        <v>37</v>
      </c>
      <c r="N3">
        <v>13.05</v>
      </c>
      <c r="O3">
        <v>12446.14</v>
      </c>
      <c r="P3">
        <v>66</v>
      </c>
      <c r="Q3">
        <v>204.15</v>
      </c>
      <c r="R3">
        <v>46.14</v>
      </c>
      <c r="S3">
        <v>17.37</v>
      </c>
      <c r="T3">
        <v>12118.15</v>
      </c>
      <c r="U3">
        <v>0.38</v>
      </c>
      <c r="V3">
        <v>0.68</v>
      </c>
      <c r="W3">
        <v>1.21</v>
      </c>
      <c r="X3">
        <v>0.79</v>
      </c>
      <c r="Y3">
        <v>1</v>
      </c>
      <c r="Z3">
        <v>10</v>
      </c>
    </row>
    <row r="4" spans="1:26" x14ac:dyDescent="0.3">
      <c r="A4">
        <v>2</v>
      </c>
      <c r="B4">
        <v>45</v>
      </c>
      <c r="C4" t="s">
        <v>26</v>
      </c>
      <c r="D4">
        <v>10.030900000000001</v>
      </c>
      <c r="E4">
        <v>9.9700000000000006</v>
      </c>
      <c r="F4">
        <v>7.32</v>
      </c>
      <c r="G4">
        <v>13.73</v>
      </c>
      <c r="H4">
        <v>0.27</v>
      </c>
      <c r="I4">
        <v>32</v>
      </c>
      <c r="J4">
        <v>99.33</v>
      </c>
      <c r="K4">
        <v>39.72</v>
      </c>
      <c r="L4">
        <v>1.5</v>
      </c>
      <c r="M4">
        <v>30</v>
      </c>
      <c r="N4">
        <v>13.11</v>
      </c>
      <c r="O4">
        <v>12484.55</v>
      </c>
      <c r="P4">
        <v>64.17</v>
      </c>
      <c r="Q4">
        <v>204.19</v>
      </c>
      <c r="R4">
        <v>41.3</v>
      </c>
      <c r="S4">
        <v>17.37</v>
      </c>
      <c r="T4">
        <v>9730.31</v>
      </c>
      <c r="U4">
        <v>0.42</v>
      </c>
      <c r="V4">
        <v>0.7</v>
      </c>
      <c r="W4">
        <v>1.19</v>
      </c>
      <c r="X4">
        <v>0.63</v>
      </c>
      <c r="Y4">
        <v>1</v>
      </c>
      <c r="Z4">
        <v>10</v>
      </c>
    </row>
    <row r="5" spans="1:26" x14ac:dyDescent="0.3">
      <c r="A5">
        <v>3</v>
      </c>
      <c r="B5">
        <v>45</v>
      </c>
      <c r="C5" t="s">
        <v>26</v>
      </c>
      <c r="D5">
        <v>10.2471</v>
      </c>
      <c r="E5">
        <v>9.76</v>
      </c>
      <c r="F5">
        <v>7.22</v>
      </c>
      <c r="G5">
        <v>16.04</v>
      </c>
      <c r="H5">
        <v>0.31</v>
      </c>
      <c r="I5">
        <v>27</v>
      </c>
      <c r="J5">
        <v>99.64</v>
      </c>
      <c r="K5">
        <v>39.72</v>
      </c>
      <c r="L5">
        <v>1.75</v>
      </c>
      <c r="M5">
        <v>25</v>
      </c>
      <c r="N5">
        <v>13.18</v>
      </c>
      <c r="O5">
        <v>12522.99</v>
      </c>
      <c r="P5">
        <v>62.86</v>
      </c>
      <c r="Q5">
        <v>204.16</v>
      </c>
      <c r="R5">
        <v>37.99</v>
      </c>
      <c r="S5">
        <v>17.37</v>
      </c>
      <c r="T5">
        <v>8101.19</v>
      </c>
      <c r="U5">
        <v>0.46</v>
      </c>
      <c r="V5">
        <v>0.71</v>
      </c>
      <c r="W5">
        <v>1.19</v>
      </c>
      <c r="X5">
        <v>0.52</v>
      </c>
      <c r="Y5">
        <v>1</v>
      </c>
      <c r="Z5">
        <v>10</v>
      </c>
    </row>
    <row r="6" spans="1:26" x14ac:dyDescent="0.3">
      <c r="A6">
        <v>4</v>
      </c>
      <c r="B6">
        <v>45</v>
      </c>
      <c r="C6" t="s">
        <v>26</v>
      </c>
      <c r="D6">
        <v>10.3803</v>
      </c>
      <c r="E6">
        <v>9.6300000000000008</v>
      </c>
      <c r="F6">
        <v>7.15</v>
      </c>
      <c r="G6">
        <v>17.88</v>
      </c>
      <c r="H6">
        <v>0.35</v>
      </c>
      <c r="I6">
        <v>24</v>
      </c>
      <c r="J6">
        <v>99.95</v>
      </c>
      <c r="K6">
        <v>39.72</v>
      </c>
      <c r="L6">
        <v>2</v>
      </c>
      <c r="M6">
        <v>22</v>
      </c>
      <c r="N6">
        <v>13.24</v>
      </c>
      <c r="O6">
        <v>12561.45</v>
      </c>
      <c r="P6">
        <v>61.92</v>
      </c>
      <c r="Q6">
        <v>204.19</v>
      </c>
      <c r="R6">
        <v>36.24</v>
      </c>
      <c r="S6">
        <v>17.37</v>
      </c>
      <c r="T6">
        <v>7240.04</v>
      </c>
      <c r="U6">
        <v>0.48</v>
      </c>
      <c r="V6">
        <v>0.71</v>
      </c>
      <c r="W6">
        <v>1.17</v>
      </c>
      <c r="X6">
        <v>0.46</v>
      </c>
      <c r="Y6">
        <v>1</v>
      </c>
      <c r="Z6">
        <v>10</v>
      </c>
    </row>
    <row r="7" spans="1:26" x14ac:dyDescent="0.3">
      <c r="A7">
        <v>5</v>
      </c>
      <c r="B7">
        <v>45</v>
      </c>
      <c r="C7" t="s">
        <v>26</v>
      </c>
      <c r="D7">
        <v>10.520799999999999</v>
      </c>
      <c r="E7">
        <v>9.51</v>
      </c>
      <c r="F7">
        <v>7.09</v>
      </c>
      <c r="G7">
        <v>20.239999999999998</v>
      </c>
      <c r="H7">
        <v>0.39</v>
      </c>
      <c r="I7">
        <v>21</v>
      </c>
      <c r="J7">
        <v>100.27</v>
      </c>
      <c r="K7">
        <v>39.72</v>
      </c>
      <c r="L7">
        <v>2.25</v>
      </c>
      <c r="M7">
        <v>19</v>
      </c>
      <c r="N7">
        <v>13.3</v>
      </c>
      <c r="O7">
        <v>12599.94</v>
      </c>
      <c r="P7">
        <v>60.93</v>
      </c>
      <c r="Q7">
        <v>204.16</v>
      </c>
      <c r="R7">
        <v>34.11</v>
      </c>
      <c r="S7">
        <v>17.37</v>
      </c>
      <c r="T7">
        <v>6192.65</v>
      </c>
      <c r="U7">
        <v>0.51</v>
      </c>
      <c r="V7">
        <v>0.72</v>
      </c>
      <c r="W7">
        <v>1.17</v>
      </c>
      <c r="X7">
        <v>0.39</v>
      </c>
      <c r="Y7">
        <v>1</v>
      </c>
      <c r="Z7">
        <v>10</v>
      </c>
    </row>
    <row r="8" spans="1:26" x14ac:dyDescent="0.3">
      <c r="A8">
        <v>6</v>
      </c>
      <c r="B8">
        <v>45</v>
      </c>
      <c r="C8" t="s">
        <v>26</v>
      </c>
      <c r="D8">
        <v>10.6073</v>
      </c>
      <c r="E8">
        <v>9.43</v>
      </c>
      <c r="F8">
        <v>7.05</v>
      </c>
      <c r="G8">
        <v>22.26</v>
      </c>
      <c r="H8">
        <v>0.44</v>
      </c>
      <c r="I8">
        <v>19</v>
      </c>
      <c r="J8">
        <v>100.58</v>
      </c>
      <c r="K8">
        <v>39.72</v>
      </c>
      <c r="L8">
        <v>2.5</v>
      </c>
      <c r="M8">
        <v>17</v>
      </c>
      <c r="N8">
        <v>13.36</v>
      </c>
      <c r="O8">
        <v>12638.45</v>
      </c>
      <c r="P8">
        <v>60.31</v>
      </c>
      <c r="Q8">
        <v>204.18</v>
      </c>
      <c r="R8">
        <v>32.86</v>
      </c>
      <c r="S8">
        <v>17.37</v>
      </c>
      <c r="T8">
        <v>5575.14</v>
      </c>
      <c r="U8">
        <v>0.53</v>
      </c>
      <c r="V8">
        <v>0.72</v>
      </c>
      <c r="W8">
        <v>1.17</v>
      </c>
      <c r="X8">
        <v>0.36</v>
      </c>
      <c r="Y8">
        <v>1</v>
      </c>
      <c r="Z8">
        <v>10</v>
      </c>
    </row>
    <row r="9" spans="1:26" x14ac:dyDescent="0.3">
      <c r="A9">
        <v>7</v>
      </c>
      <c r="B9">
        <v>45</v>
      </c>
      <c r="C9" t="s">
        <v>26</v>
      </c>
      <c r="D9">
        <v>10.678699999999999</v>
      </c>
      <c r="E9">
        <v>9.36</v>
      </c>
      <c r="F9">
        <v>7.03</v>
      </c>
      <c r="G9">
        <v>24.8</v>
      </c>
      <c r="H9">
        <v>0.48</v>
      </c>
      <c r="I9">
        <v>17</v>
      </c>
      <c r="J9">
        <v>100.89</v>
      </c>
      <c r="K9">
        <v>39.72</v>
      </c>
      <c r="L9">
        <v>2.75</v>
      </c>
      <c r="M9">
        <v>15</v>
      </c>
      <c r="N9">
        <v>13.42</v>
      </c>
      <c r="O9">
        <v>12676.98</v>
      </c>
      <c r="P9">
        <v>59.77</v>
      </c>
      <c r="Q9">
        <v>204.15</v>
      </c>
      <c r="R9">
        <v>32.32</v>
      </c>
      <c r="S9">
        <v>17.37</v>
      </c>
      <c r="T9">
        <v>5315.47</v>
      </c>
      <c r="U9">
        <v>0.54</v>
      </c>
      <c r="V9">
        <v>0.73</v>
      </c>
      <c r="W9">
        <v>1.1599999999999999</v>
      </c>
      <c r="X9">
        <v>0.34</v>
      </c>
      <c r="Y9">
        <v>1</v>
      </c>
      <c r="Z9">
        <v>10</v>
      </c>
    </row>
    <row r="10" spans="1:26" x14ac:dyDescent="0.3">
      <c r="A10">
        <v>8</v>
      </c>
      <c r="B10">
        <v>45</v>
      </c>
      <c r="C10" t="s">
        <v>26</v>
      </c>
      <c r="D10">
        <v>10.722300000000001</v>
      </c>
      <c r="E10">
        <v>9.33</v>
      </c>
      <c r="F10">
        <v>7.01</v>
      </c>
      <c r="G10">
        <v>26.29</v>
      </c>
      <c r="H10">
        <v>0.52</v>
      </c>
      <c r="I10">
        <v>16</v>
      </c>
      <c r="J10">
        <v>101.2</v>
      </c>
      <c r="K10">
        <v>39.72</v>
      </c>
      <c r="L10">
        <v>3</v>
      </c>
      <c r="M10">
        <v>14</v>
      </c>
      <c r="N10">
        <v>13.49</v>
      </c>
      <c r="O10">
        <v>12715.54</v>
      </c>
      <c r="P10">
        <v>59.16</v>
      </c>
      <c r="Q10">
        <v>204.2</v>
      </c>
      <c r="R10">
        <v>31.84</v>
      </c>
      <c r="S10">
        <v>17.37</v>
      </c>
      <c r="T10">
        <v>5081.59</v>
      </c>
      <c r="U10">
        <v>0.55000000000000004</v>
      </c>
      <c r="V10">
        <v>0.73</v>
      </c>
      <c r="W10">
        <v>1.1599999999999999</v>
      </c>
      <c r="X10">
        <v>0.32</v>
      </c>
      <c r="Y10">
        <v>1</v>
      </c>
      <c r="Z10">
        <v>10</v>
      </c>
    </row>
    <row r="11" spans="1:26" x14ac:dyDescent="0.3">
      <c r="A11">
        <v>9</v>
      </c>
      <c r="B11">
        <v>45</v>
      </c>
      <c r="C11" t="s">
        <v>26</v>
      </c>
      <c r="D11">
        <v>10.8375</v>
      </c>
      <c r="E11">
        <v>9.23</v>
      </c>
      <c r="F11">
        <v>6.95</v>
      </c>
      <c r="G11">
        <v>29.79</v>
      </c>
      <c r="H11">
        <v>0.56000000000000005</v>
      </c>
      <c r="I11">
        <v>14</v>
      </c>
      <c r="J11">
        <v>101.52</v>
      </c>
      <c r="K11">
        <v>39.72</v>
      </c>
      <c r="L11">
        <v>3.25</v>
      </c>
      <c r="M11">
        <v>12</v>
      </c>
      <c r="N11">
        <v>13.55</v>
      </c>
      <c r="O11">
        <v>12754.13</v>
      </c>
      <c r="P11">
        <v>58.26</v>
      </c>
      <c r="Q11">
        <v>204.21</v>
      </c>
      <c r="R11">
        <v>29.99</v>
      </c>
      <c r="S11">
        <v>17.37</v>
      </c>
      <c r="T11">
        <v>4168.6099999999997</v>
      </c>
      <c r="U11">
        <v>0.57999999999999996</v>
      </c>
      <c r="V11">
        <v>0.73</v>
      </c>
      <c r="W11">
        <v>1.1599999999999999</v>
      </c>
      <c r="X11">
        <v>0.26</v>
      </c>
      <c r="Y11">
        <v>1</v>
      </c>
      <c r="Z11">
        <v>10</v>
      </c>
    </row>
    <row r="12" spans="1:26" x14ac:dyDescent="0.3">
      <c r="A12">
        <v>10</v>
      </c>
      <c r="B12">
        <v>45</v>
      </c>
      <c r="C12" t="s">
        <v>26</v>
      </c>
      <c r="D12">
        <v>10.888999999999999</v>
      </c>
      <c r="E12">
        <v>9.18</v>
      </c>
      <c r="F12">
        <v>6.93</v>
      </c>
      <c r="G12">
        <v>31.98</v>
      </c>
      <c r="H12">
        <v>0.6</v>
      </c>
      <c r="I12">
        <v>13</v>
      </c>
      <c r="J12">
        <v>101.83</v>
      </c>
      <c r="K12">
        <v>39.72</v>
      </c>
      <c r="L12">
        <v>3.5</v>
      </c>
      <c r="M12">
        <v>11</v>
      </c>
      <c r="N12">
        <v>13.61</v>
      </c>
      <c r="O12">
        <v>12792.74</v>
      </c>
      <c r="P12">
        <v>57.72</v>
      </c>
      <c r="Q12">
        <v>204.14</v>
      </c>
      <c r="R12">
        <v>29.25</v>
      </c>
      <c r="S12">
        <v>17.37</v>
      </c>
      <c r="T12">
        <v>3803.24</v>
      </c>
      <c r="U12">
        <v>0.59</v>
      </c>
      <c r="V12">
        <v>0.74</v>
      </c>
      <c r="W12">
        <v>1.1599999999999999</v>
      </c>
      <c r="X12">
        <v>0.24</v>
      </c>
      <c r="Y12">
        <v>1</v>
      </c>
      <c r="Z12">
        <v>10</v>
      </c>
    </row>
    <row r="13" spans="1:26" x14ac:dyDescent="0.3">
      <c r="A13">
        <v>11</v>
      </c>
      <c r="B13">
        <v>45</v>
      </c>
      <c r="C13" t="s">
        <v>26</v>
      </c>
      <c r="D13">
        <v>10.9373</v>
      </c>
      <c r="E13">
        <v>9.14</v>
      </c>
      <c r="F13">
        <v>6.91</v>
      </c>
      <c r="G13">
        <v>34.54</v>
      </c>
      <c r="H13">
        <v>0.65</v>
      </c>
      <c r="I13">
        <v>12</v>
      </c>
      <c r="J13">
        <v>102.14</v>
      </c>
      <c r="K13">
        <v>39.72</v>
      </c>
      <c r="L13">
        <v>3.75</v>
      </c>
      <c r="M13">
        <v>10</v>
      </c>
      <c r="N13">
        <v>13.68</v>
      </c>
      <c r="O13">
        <v>12831.37</v>
      </c>
      <c r="P13">
        <v>57.17</v>
      </c>
      <c r="Q13">
        <v>204.14</v>
      </c>
      <c r="R13">
        <v>28.75</v>
      </c>
      <c r="S13">
        <v>17.37</v>
      </c>
      <c r="T13">
        <v>3558.02</v>
      </c>
      <c r="U13">
        <v>0.6</v>
      </c>
      <c r="V13">
        <v>0.74</v>
      </c>
      <c r="W13">
        <v>1.1499999999999999</v>
      </c>
      <c r="X13">
        <v>0.22</v>
      </c>
      <c r="Y13">
        <v>1</v>
      </c>
      <c r="Z13">
        <v>10</v>
      </c>
    </row>
    <row r="14" spans="1:26" x14ac:dyDescent="0.3">
      <c r="A14">
        <v>12</v>
      </c>
      <c r="B14">
        <v>45</v>
      </c>
      <c r="C14" t="s">
        <v>26</v>
      </c>
      <c r="D14">
        <v>10.933299999999999</v>
      </c>
      <c r="E14">
        <v>9.15</v>
      </c>
      <c r="F14">
        <v>6.91</v>
      </c>
      <c r="G14">
        <v>34.56</v>
      </c>
      <c r="H14">
        <v>0.69</v>
      </c>
      <c r="I14">
        <v>12</v>
      </c>
      <c r="J14">
        <v>102.45</v>
      </c>
      <c r="K14">
        <v>39.72</v>
      </c>
      <c r="L14">
        <v>4</v>
      </c>
      <c r="M14">
        <v>10</v>
      </c>
      <c r="N14">
        <v>13.74</v>
      </c>
      <c r="O14">
        <v>12870.03</v>
      </c>
      <c r="P14">
        <v>56.7</v>
      </c>
      <c r="Q14">
        <v>204.16</v>
      </c>
      <c r="R14">
        <v>28.58</v>
      </c>
      <c r="S14">
        <v>17.37</v>
      </c>
      <c r="T14">
        <v>3474.38</v>
      </c>
      <c r="U14">
        <v>0.61</v>
      </c>
      <c r="V14">
        <v>0.74</v>
      </c>
      <c r="W14">
        <v>1.1599999999999999</v>
      </c>
      <c r="X14">
        <v>0.22</v>
      </c>
      <c r="Y14">
        <v>1</v>
      </c>
      <c r="Z14">
        <v>10</v>
      </c>
    </row>
    <row r="15" spans="1:26" x14ac:dyDescent="0.3">
      <c r="A15">
        <v>13</v>
      </c>
      <c r="B15">
        <v>45</v>
      </c>
      <c r="C15" t="s">
        <v>26</v>
      </c>
      <c r="D15">
        <v>10.9863</v>
      </c>
      <c r="E15">
        <v>9.1</v>
      </c>
      <c r="F15">
        <v>6.89</v>
      </c>
      <c r="G15">
        <v>37.57</v>
      </c>
      <c r="H15">
        <v>0.73</v>
      </c>
      <c r="I15">
        <v>11</v>
      </c>
      <c r="J15">
        <v>102.77</v>
      </c>
      <c r="K15">
        <v>39.72</v>
      </c>
      <c r="L15">
        <v>4.25</v>
      </c>
      <c r="M15">
        <v>9</v>
      </c>
      <c r="N15">
        <v>13.8</v>
      </c>
      <c r="O15">
        <v>12908.71</v>
      </c>
      <c r="P15">
        <v>56.1</v>
      </c>
      <c r="Q15">
        <v>204.14</v>
      </c>
      <c r="R15">
        <v>28.09</v>
      </c>
      <c r="S15">
        <v>17.37</v>
      </c>
      <c r="T15">
        <v>3234.16</v>
      </c>
      <c r="U15">
        <v>0.62</v>
      </c>
      <c r="V15">
        <v>0.74</v>
      </c>
      <c r="W15">
        <v>1.1499999999999999</v>
      </c>
      <c r="X15">
        <v>0.2</v>
      </c>
      <c r="Y15">
        <v>1</v>
      </c>
      <c r="Z15">
        <v>10</v>
      </c>
    </row>
    <row r="16" spans="1:26" x14ac:dyDescent="0.3">
      <c r="A16">
        <v>14</v>
      </c>
      <c r="B16">
        <v>45</v>
      </c>
      <c r="C16" t="s">
        <v>26</v>
      </c>
      <c r="D16">
        <v>11.0314</v>
      </c>
      <c r="E16">
        <v>9.06</v>
      </c>
      <c r="F16">
        <v>6.87</v>
      </c>
      <c r="G16">
        <v>41.23</v>
      </c>
      <c r="H16">
        <v>0.77</v>
      </c>
      <c r="I16">
        <v>10</v>
      </c>
      <c r="J16">
        <v>103.08</v>
      </c>
      <c r="K16">
        <v>39.72</v>
      </c>
      <c r="L16">
        <v>4.5</v>
      </c>
      <c r="M16">
        <v>8</v>
      </c>
      <c r="N16">
        <v>13.87</v>
      </c>
      <c r="O16">
        <v>12947.42</v>
      </c>
      <c r="P16">
        <v>55.3</v>
      </c>
      <c r="Q16">
        <v>204.15</v>
      </c>
      <c r="R16">
        <v>27.33</v>
      </c>
      <c r="S16">
        <v>17.37</v>
      </c>
      <c r="T16">
        <v>2856.13</v>
      </c>
      <c r="U16">
        <v>0.64</v>
      </c>
      <c r="V16">
        <v>0.74</v>
      </c>
      <c r="W16">
        <v>1.1499999999999999</v>
      </c>
      <c r="X16">
        <v>0.18</v>
      </c>
      <c r="Y16">
        <v>1</v>
      </c>
      <c r="Z16">
        <v>10</v>
      </c>
    </row>
    <row r="17" spans="1:26" x14ac:dyDescent="0.3">
      <c r="A17">
        <v>15</v>
      </c>
      <c r="B17">
        <v>45</v>
      </c>
      <c r="C17" t="s">
        <v>26</v>
      </c>
      <c r="D17">
        <v>11.0426</v>
      </c>
      <c r="E17">
        <v>9.06</v>
      </c>
      <c r="F17">
        <v>6.86</v>
      </c>
      <c r="G17">
        <v>41.17</v>
      </c>
      <c r="H17">
        <v>0.81</v>
      </c>
      <c r="I17">
        <v>10</v>
      </c>
      <c r="J17">
        <v>103.4</v>
      </c>
      <c r="K17">
        <v>39.72</v>
      </c>
      <c r="L17">
        <v>4.75</v>
      </c>
      <c r="M17">
        <v>8</v>
      </c>
      <c r="N17">
        <v>13.93</v>
      </c>
      <c r="O17">
        <v>12986.15</v>
      </c>
      <c r="P17">
        <v>55.15</v>
      </c>
      <c r="Q17">
        <v>204.14</v>
      </c>
      <c r="R17">
        <v>27.15</v>
      </c>
      <c r="S17">
        <v>17.37</v>
      </c>
      <c r="T17">
        <v>2767.93</v>
      </c>
      <c r="U17">
        <v>0.64</v>
      </c>
      <c r="V17">
        <v>0.74</v>
      </c>
      <c r="W17">
        <v>1.1499999999999999</v>
      </c>
      <c r="X17">
        <v>0.17</v>
      </c>
      <c r="Y17">
        <v>1</v>
      </c>
      <c r="Z17">
        <v>10</v>
      </c>
    </row>
    <row r="18" spans="1:26" x14ac:dyDescent="0.3">
      <c r="A18">
        <v>16</v>
      </c>
      <c r="B18">
        <v>45</v>
      </c>
      <c r="C18" t="s">
        <v>26</v>
      </c>
      <c r="D18">
        <v>11.069800000000001</v>
      </c>
      <c r="E18">
        <v>9.0299999999999994</v>
      </c>
      <c r="F18">
        <v>6.86</v>
      </c>
      <c r="G18">
        <v>45.74</v>
      </c>
      <c r="H18">
        <v>0.85</v>
      </c>
      <c r="I18">
        <v>9</v>
      </c>
      <c r="J18">
        <v>103.71</v>
      </c>
      <c r="K18">
        <v>39.72</v>
      </c>
      <c r="L18">
        <v>5</v>
      </c>
      <c r="M18">
        <v>7</v>
      </c>
      <c r="N18">
        <v>14</v>
      </c>
      <c r="O18">
        <v>13024.91</v>
      </c>
      <c r="P18">
        <v>54.76</v>
      </c>
      <c r="Q18">
        <v>204.15</v>
      </c>
      <c r="R18">
        <v>27.05</v>
      </c>
      <c r="S18">
        <v>17.37</v>
      </c>
      <c r="T18">
        <v>2724.02</v>
      </c>
      <c r="U18">
        <v>0.64</v>
      </c>
      <c r="V18">
        <v>0.74</v>
      </c>
      <c r="W18">
        <v>1.1499999999999999</v>
      </c>
      <c r="X18">
        <v>0.17</v>
      </c>
      <c r="Y18">
        <v>1</v>
      </c>
      <c r="Z18">
        <v>10</v>
      </c>
    </row>
    <row r="19" spans="1:26" x14ac:dyDescent="0.3">
      <c r="A19">
        <v>17</v>
      </c>
      <c r="B19">
        <v>45</v>
      </c>
      <c r="C19" t="s">
        <v>26</v>
      </c>
      <c r="D19">
        <v>11.0756</v>
      </c>
      <c r="E19">
        <v>9.0299999999999994</v>
      </c>
      <c r="F19">
        <v>6.86</v>
      </c>
      <c r="G19">
        <v>45.71</v>
      </c>
      <c r="H19">
        <v>0.89</v>
      </c>
      <c r="I19">
        <v>9</v>
      </c>
      <c r="J19">
        <v>104.03</v>
      </c>
      <c r="K19">
        <v>39.72</v>
      </c>
      <c r="L19">
        <v>5.25</v>
      </c>
      <c r="M19">
        <v>7</v>
      </c>
      <c r="N19">
        <v>14.06</v>
      </c>
      <c r="O19">
        <v>13063.69</v>
      </c>
      <c r="P19">
        <v>54.34</v>
      </c>
      <c r="Q19">
        <v>204.17</v>
      </c>
      <c r="R19">
        <v>27.03</v>
      </c>
      <c r="S19">
        <v>17.37</v>
      </c>
      <c r="T19">
        <v>2710.53</v>
      </c>
      <c r="U19">
        <v>0.64</v>
      </c>
      <c r="V19">
        <v>0.74</v>
      </c>
      <c r="W19">
        <v>1.1499999999999999</v>
      </c>
      <c r="X19">
        <v>0.16</v>
      </c>
      <c r="Y19">
        <v>1</v>
      </c>
      <c r="Z19">
        <v>10</v>
      </c>
    </row>
    <row r="20" spans="1:26" x14ac:dyDescent="0.3">
      <c r="A20">
        <v>18</v>
      </c>
      <c r="B20">
        <v>45</v>
      </c>
      <c r="C20" t="s">
        <v>26</v>
      </c>
      <c r="D20">
        <v>11.126200000000001</v>
      </c>
      <c r="E20">
        <v>8.99</v>
      </c>
      <c r="F20">
        <v>6.84</v>
      </c>
      <c r="G20">
        <v>51.26</v>
      </c>
      <c r="H20">
        <v>0.93</v>
      </c>
      <c r="I20">
        <v>8</v>
      </c>
      <c r="J20">
        <v>104.34</v>
      </c>
      <c r="K20">
        <v>39.72</v>
      </c>
      <c r="L20">
        <v>5.5</v>
      </c>
      <c r="M20">
        <v>6</v>
      </c>
      <c r="N20">
        <v>14.12</v>
      </c>
      <c r="O20">
        <v>13102.5</v>
      </c>
      <c r="P20">
        <v>53.52</v>
      </c>
      <c r="Q20">
        <v>204.19</v>
      </c>
      <c r="R20">
        <v>26.29</v>
      </c>
      <c r="S20">
        <v>17.37</v>
      </c>
      <c r="T20">
        <v>2347.39</v>
      </c>
      <c r="U20">
        <v>0.66</v>
      </c>
      <c r="V20">
        <v>0.75</v>
      </c>
      <c r="W20">
        <v>1.1499999999999999</v>
      </c>
      <c r="X20">
        <v>0.14000000000000001</v>
      </c>
      <c r="Y20">
        <v>1</v>
      </c>
      <c r="Z20">
        <v>10</v>
      </c>
    </row>
    <row r="21" spans="1:26" x14ac:dyDescent="0.3">
      <c r="A21">
        <v>19</v>
      </c>
      <c r="B21">
        <v>45</v>
      </c>
      <c r="C21" t="s">
        <v>26</v>
      </c>
      <c r="D21">
        <v>11.126899999999999</v>
      </c>
      <c r="E21">
        <v>8.99</v>
      </c>
      <c r="F21">
        <v>6.83</v>
      </c>
      <c r="G21">
        <v>51.26</v>
      </c>
      <c r="H21">
        <v>0.97</v>
      </c>
      <c r="I21">
        <v>8</v>
      </c>
      <c r="J21">
        <v>104.65</v>
      </c>
      <c r="K21">
        <v>39.72</v>
      </c>
      <c r="L21">
        <v>5.75</v>
      </c>
      <c r="M21">
        <v>6</v>
      </c>
      <c r="N21">
        <v>14.19</v>
      </c>
      <c r="O21">
        <v>13141.33</v>
      </c>
      <c r="P21">
        <v>52.8</v>
      </c>
      <c r="Q21">
        <v>204.14</v>
      </c>
      <c r="R21">
        <v>26.32</v>
      </c>
      <c r="S21">
        <v>17.37</v>
      </c>
      <c r="T21">
        <v>2361.02</v>
      </c>
      <c r="U21">
        <v>0.66</v>
      </c>
      <c r="V21">
        <v>0.75</v>
      </c>
      <c r="W21">
        <v>1.1499999999999999</v>
      </c>
      <c r="X21">
        <v>0.14000000000000001</v>
      </c>
      <c r="Y21">
        <v>1</v>
      </c>
      <c r="Z21">
        <v>10</v>
      </c>
    </row>
    <row r="22" spans="1:26" x14ac:dyDescent="0.3">
      <c r="A22">
        <v>20</v>
      </c>
      <c r="B22">
        <v>45</v>
      </c>
      <c r="C22" t="s">
        <v>26</v>
      </c>
      <c r="D22">
        <v>11.1328</v>
      </c>
      <c r="E22">
        <v>8.98</v>
      </c>
      <c r="F22">
        <v>6.83</v>
      </c>
      <c r="G22">
        <v>51.23</v>
      </c>
      <c r="H22">
        <v>1.01</v>
      </c>
      <c r="I22">
        <v>8</v>
      </c>
      <c r="J22">
        <v>104.97</v>
      </c>
      <c r="K22">
        <v>39.72</v>
      </c>
      <c r="L22">
        <v>6</v>
      </c>
      <c r="M22">
        <v>6</v>
      </c>
      <c r="N22">
        <v>14.25</v>
      </c>
      <c r="O22">
        <v>13180.19</v>
      </c>
      <c r="P22">
        <v>52.46</v>
      </c>
      <c r="Q22">
        <v>204.14</v>
      </c>
      <c r="R22">
        <v>26.17</v>
      </c>
      <c r="S22">
        <v>17.37</v>
      </c>
      <c r="T22">
        <v>2287.54</v>
      </c>
      <c r="U22">
        <v>0.66</v>
      </c>
      <c r="V22">
        <v>0.75</v>
      </c>
      <c r="W22">
        <v>1.1499999999999999</v>
      </c>
      <c r="X22">
        <v>0.14000000000000001</v>
      </c>
      <c r="Y22">
        <v>1</v>
      </c>
      <c r="Z22">
        <v>10</v>
      </c>
    </row>
    <row r="23" spans="1:26" x14ac:dyDescent="0.3">
      <c r="A23">
        <v>21</v>
      </c>
      <c r="B23">
        <v>45</v>
      </c>
      <c r="C23" t="s">
        <v>26</v>
      </c>
      <c r="D23">
        <v>11.1912</v>
      </c>
      <c r="E23">
        <v>8.94</v>
      </c>
      <c r="F23">
        <v>6.8</v>
      </c>
      <c r="G23">
        <v>58.32</v>
      </c>
      <c r="H23">
        <v>1.05</v>
      </c>
      <c r="I23">
        <v>7</v>
      </c>
      <c r="J23">
        <v>105.28</v>
      </c>
      <c r="K23">
        <v>39.72</v>
      </c>
      <c r="L23">
        <v>6.25</v>
      </c>
      <c r="M23">
        <v>5</v>
      </c>
      <c r="N23">
        <v>14.32</v>
      </c>
      <c r="O23">
        <v>13219.07</v>
      </c>
      <c r="P23">
        <v>51.82</v>
      </c>
      <c r="Q23">
        <v>204.2</v>
      </c>
      <c r="R23">
        <v>25.31</v>
      </c>
      <c r="S23">
        <v>17.37</v>
      </c>
      <c r="T23">
        <v>1862.59</v>
      </c>
      <c r="U23">
        <v>0.69</v>
      </c>
      <c r="V23">
        <v>0.75</v>
      </c>
      <c r="W23">
        <v>1.1499999999999999</v>
      </c>
      <c r="X23">
        <v>0.11</v>
      </c>
      <c r="Y23">
        <v>1</v>
      </c>
      <c r="Z23">
        <v>10</v>
      </c>
    </row>
    <row r="24" spans="1:26" x14ac:dyDescent="0.3">
      <c r="A24">
        <v>22</v>
      </c>
      <c r="B24">
        <v>45</v>
      </c>
      <c r="C24" t="s">
        <v>26</v>
      </c>
      <c r="D24">
        <v>11.1829</v>
      </c>
      <c r="E24">
        <v>8.94</v>
      </c>
      <c r="F24">
        <v>6.81</v>
      </c>
      <c r="G24">
        <v>58.37</v>
      </c>
      <c r="H24">
        <v>1.08</v>
      </c>
      <c r="I24">
        <v>7</v>
      </c>
      <c r="J24">
        <v>105.6</v>
      </c>
      <c r="K24">
        <v>39.72</v>
      </c>
      <c r="L24">
        <v>6.5</v>
      </c>
      <c r="M24">
        <v>5</v>
      </c>
      <c r="N24">
        <v>14.39</v>
      </c>
      <c r="O24">
        <v>13257.98</v>
      </c>
      <c r="P24">
        <v>51.8</v>
      </c>
      <c r="Q24">
        <v>204.14</v>
      </c>
      <c r="R24">
        <v>25.58</v>
      </c>
      <c r="S24">
        <v>17.37</v>
      </c>
      <c r="T24">
        <v>1999.57</v>
      </c>
      <c r="U24">
        <v>0.68</v>
      </c>
      <c r="V24">
        <v>0.75</v>
      </c>
      <c r="W24">
        <v>1.1499999999999999</v>
      </c>
      <c r="X24">
        <v>0.12</v>
      </c>
      <c r="Y24">
        <v>1</v>
      </c>
      <c r="Z24">
        <v>10</v>
      </c>
    </row>
    <row r="25" spans="1:26" x14ac:dyDescent="0.3">
      <c r="A25">
        <v>23</v>
      </c>
      <c r="B25">
        <v>45</v>
      </c>
      <c r="C25" t="s">
        <v>26</v>
      </c>
      <c r="D25">
        <v>11.1829</v>
      </c>
      <c r="E25">
        <v>8.94</v>
      </c>
      <c r="F25">
        <v>6.81</v>
      </c>
      <c r="G25">
        <v>58.37</v>
      </c>
      <c r="H25">
        <v>1.1200000000000001</v>
      </c>
      <c r="I25">
        <v>7</v>
      </c>
      <c r="J25">
        <v>105.92</v>
      </c>
      <c r="K25">
        <v>39.72</v>
      </c>
      <c r="L25">
        <v>6.75</v>
      </c>
      <c r="M25">
        <v>5</v>
      </c>
      <c r="N25">
        <v>14.45</v>
      </c>
      <c r="O25">
        <v>13296.91</v>
      </c>
      <c r="P25">
        <v>51.43</v>
      </c>
      <c r="Q25">
        <v>204.16</v>
      </c>
      <c r="R25">
        <v>25.63</v>
      </c>
      <c r="S25">
        <v>17.37</v>
      </c>
      <c r="T25">
        <v>2022.45</v>
      </c>
      <c r="U25">
        <v>0.68</v>
      </c>
      <c r="V25">
        <v>0.75</v>
      </c>
      <c r="W25">
        <v>1.1499999999999999</v>
      </c>
      <c r="X25">
        <v>0.12</v>
      </c>
      <c r="Y25">
        <v>1</v>
      </c>
      <c r="Z25">
        <v>10</v>
      </c>
    </row>
    <row r="26" spans="1:26" x14ac:dyDescent="0.3">
      <c r="A26">
        <v>24</v>
      </c>
      <c r="B26">
        <v>45</v>
      </c>
      <c r="C26" t="s">
        <v>26</v>
      </c>
      <c r="D26">
        <v>11.1798</v>
      </c>
      <c r="E26">
        <v>8.94</v>
      </c>
      <c r="F26">
        <v>6.81</v>
      </c>
      <c r="G26">
        <v>58.4</v>
      </c>
      <c r="H26">
        <v>1.1599999999999999</v>
      </c>
      <c r="I26">
        <v>7</v>
      </c>
      <c r="J26">
        <v>106.23</v>
      </c>
      <c r="K26">
        <v>39.72</v>
      </c>
      <c r="L26">
        <v>7</v>
      </c>
      <c r="M26">
        <v>5</v>
      </c>
      <c r="N26">
        <v>14.52</v>
      </c>
      <c r="O26">
        <v>13335.87</v>
      </c>
      <c r="P26">
        <v>50.62</v>
      </c>
      <c r="Q26">
        <v>204.14</v>
      </c>
      <c r="R26">
        <v>25.62</v>
      </c>
      <c r="S26">
        <v>17.37</v>
      </c>
      <c r="T26">
        <v>2019.23</v>
      </c>
      <c r="U26">
        <v>0.68</v>
      </c>
      <c r="V26">
        <v>0.75</v>
      </c>
      <c r="W26">
        <v>1.1499999999999999</v>
      </c>
      <c r="X26">
        <v>0.12</v>
      </c>
      <c r="Y26">
        <v>1</v>
      </c>
      <c r="Z26">
        <v>10</v>
      </c>
    </row>
    <row r="27" spans="1:26" x14ac:dyDescent="0.3">
      <c r="A27">
        <v>25</v>
      </c>
      <c r="B27">
        <v>45</v>
      </c>
      <c r="C27" t="s">
        <v>26</v>
      </c>
      <c r="D27">
        <v>11.2433</v>
      </c>
      <c r="E27">
        <v>8.89</v>
      </c>
      <c r="F27">
        <v>6.78</v>
      </c>
      <c r="G27">
        <v>67.83</v>
      </c>
      <c r="H27">
        <v>1.2</v>
      </c>
      <c r="I27">
        <v>6</v>
      </c>
      <c r="J27">
        <v>106.55</v>
      </c>
      <c r="K27">
        <v>39.72</v>
      </c>
      <c r="L27">
        <v>7.25</v>
      </c>
      <c r="M27">
        <v>3</v>
      </c>
      <c r="N27">
        <v>14.58</v>
      </c>
      <c r="O27">
        <v>13374.86</v>
      </c>
      <c r="P27">
        <v>49.78</v>
      </c>
      <c r="Q27">
        <v>204.14</v>
      </c>
      <c r="R27">
        <v>24.59</v>
      </c>
      <c r="S27">
        <v>17.37</v>
      </c>
      <c r="T27">
        <v>1508.33</v>
      </c>
      <c r="U27">
        <v>0.71</v>
      </c>
      <c r="V27">
        <v>0.75</v>
      </c>
      <c r="W27">
        <v>1.1499999999999999</v>
      </c>
      <c r="X27">
        <v>0.09</v>
      </c>
      <c r="Y27">
        <v>1</v>
      </c>
      <c r="Z27">
        <v>10</v>
      </c>
    </row>
    <row r="28" spans="1:26" x14ac:dyDescent="0.3">
      <c r="A28">
        <v>26</v>
      </c>
      <c r="B28">
        <v>45</v>
      </c>
      <c r="C28" t="s">
        <v>26</v>
      </c>
      <c r="D28">
        <v>11.236000000000001</v>
      </c>
      <c r="E28">
        <v>8.9</v>
      </c>
      <c r="F28">
        <v>6.79</v>
      </c>
      <c r="G28">
        <v>67.89</v>
      </c>
      <c r="H28">
        <v>1.24</v>
      </c>
      <c r="I28">
        <v>6</v>
      </c>
      <c r="J28">
        <v>106.86</v>
      </c>
      <c r="K28">
        <v>39.72</v>
      </c>
      <c r="L28">
        <v>7.5</v>
      </c>
      <c r="M28">
        <v>3</v>
      </c>
      <c r="N28">
        <v>14.65</v>
      </c>
      <c r="O28">
        <v>13413.87</v>
      </c>
      <c r="P28">
        <v>49.78</v>
      </c>
      <c r="Q28">
        <v>204.15</v>
      </c>
      <c r="R28">
        <v>24.81</v>
      </c>
      <c r="S28">
        <v>17.37</v>
      </c>
      <c r="T28">
        <v>1617.97</v>
      </c>
      <c r="U28">
        <v>0.7</v>
      </c>
      <c r="V28">
        <v>0.75</v>
      </c>
      <c r="W28">
        <v>1.1499999999999999</v>
      </c>
      <c r="X28">
        <v>0.1</v>
      </c>
      <c r="Y28">
        <v>1</v>
      </c>
      <c r="Z28">
        <v>10</v>
      </c>
    </row>
    <row r="29" spans="1:26" x14ac:dyDescent="0.3">
      <c r="A29">
        <v>27</v>
      </c>
      <c r="B29">
        <v>45</v>
      </c>
      <c r="C29" t="s">
        <v>26</v>
      </c>
      <c r="D29">
        <v>11.2346</v>
      </c>
      <c r="E29">
        <v>8.9</v>
      </c>
      <c r="F29">
        <v>6.79</v>
      </c>
      <c r="G29">
        <v>67.900000000000006</v>
      </c>
      <c r="H29">
        <v>1.27</v>
      </c>
      <c r="I29">
        <v>6</v>
      </c>
      <c r="J29">
        <v>107.18</v>
      </c>
      <c r="K29">
        <v>39.72</v>
      </c>
      <c r="L29">
        <v>7.75</v>
      </c>
      <c r="M29">
        <v>0</v>
      </c>
      <c r="N29">
        <v>14.72</v>
      </c>
      <c r="O29">
        <v>13452.9</v>
      </c>
      <c r="P29">
        <v>49.83</v>
      </c>
      <c r="Q29">
        <v>204.14</v>
      </c>
      <c r="R29">
        <v>24.68</v>
      </c>
      <c r="S29">
        <v>17.37</v>
      </c>
      <c r="T29">
        <v>1552.03</v>
      </c>
      <c r="U29">
        <v>0.7</v>
      </c>
      <c r="V29">
        <v>0.75</v>
      </c>
      <c r="W29">
        <v>1.1499999999999999</v>
      </c>
      <c r="X29">
        <v>0.1</v>
      </c>
      <c r="Y29">
        <v>1</v>
      </c>
      <c r="Z2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Planilha13"/>
  <dimension ref="A1:Z113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105</v>
      </c>
      <c r="C2" t="s">
        <v>26</v>
      </c>
      <c r="D2">
        <v>6.8075999999999999</v>
      </c>
      <c r="E2">
        <v>14.69</v>
      </c>
      <c r="F2">
        <v>8.52</v>
      </c>
      <c r="G2">
        <v>5.74</v>
      </c>
      <c r="H2">
        <v>0.09</v>
      </c>
      <c r="I2">
        <v>89</v>
      </c>
      <c r="J2">
        <v>204</v>
      </c>
      <c r="K2">
        <v>55.27</v>
      </c>
      <c r="L2">
        <v>1</v>
      </c>
      <c r="M2">
        <v>87</v>
      </c>
      <c r="N2">
        <v>42.72</v>
      </c>
      <c r="O2">
        <v>25393.599999999999</v>
      </c>
      <c r="P2">
        <v>122.61</v>
      </c>
      <c r="Q2">
        <v>204.17</v>
      </c>
      <c r="R2">
        <v>78.27</v>
      </c>
      <c r="S2">
        <v>17.37</v>
      </c>
      <c r="T2">
        <v>27932.44</v>
      </c>
      <c r="U2">
        <v>0.22</v>
      </c>
      <c r="V2">
        <v>0.6</v>
      </c>
      <c r="W2">
        <v>1.3</v>
      </c>
      <c r="X2">
        <v>1.82</v>
      </c>
      <c r="Y2">
        <v>1</v>
      </c>
      <c r="Z2">
        <v>10</v>
      </c>
    </row>
    <row r="3" spans="1:26" x14ac:dyDescent="0.3">
      <c r="A3">
        <v>1</v>
      </c>
      <c r="B3">
        <v>105</v>
      </c>
      <c r="C3" t="s">
        <v>26</v>
      </c>
      <c r="D3">
        <v>7.4703999999999997</v>
      </c>
      <c r="E3">
        <v>13.39</v>
      </c>
      <c r="F3">
        <v>8.06</v>
      </c>
      <c r="G3">
        <v>7.11</v>
      </c>
      <c r="H3">
        <v>0.11</v>
      </c>
      <c r="I3">
        <v>68</v>
      </c>
      <c r="J3">
        <v>204.39</v>
      </c>
      <c r="K3">
        <v>55.27</v>
      </c>
      <c r="L3">
        <v>1.25</v>
      </c>
      <c r="M3">
        <v>66</v>
      </c>
      <c r="N3">
        <v>42.87</v>
      </c>
      <c r="O3">
        <v>25442.42</v>
      </c>
      <c r="P3">
        <v>115.95</v>
      </c>
      <c r="Q3">
        <v>204.15</v>
      </c>
      <c r="R3">
        <v>64.430000000000007</v>
      </c>
      <c r="S3">
        <v>17.37</v>
      </c>
      <c r="T3">
        <v>21115.61</v>
      </c>
      <c r="U3">
        <v>0.27</v>
      </c>
      <c r="V3">
        <v>0.63</v>
      </c>
      <c r="W3">
        <v>1.26</v>
      </c>
      <c r="X3">
        <v>1.37</v>
      </c>
      <c r="Y3">
        <v>1</v>
      </c>
      <c r="Z3">
        <v>10</v>
      </c>
    </row>
    <row r="4" spans="1:26" x14ac:dyDescent="0.3">
      <c r="A4">
        <v>2</v>
      </c>
      <c r="B4">
        <v>105</v>
      </c>
      <c r="C4" t="s">
        <v>26</v>
      </c>
      <c r="D4">
        <v>7.9447000000000001</v>
      </c>
      <c r="E4">
        <v>12.59</v>
      </c>
      <c r="F4">
        <v>7.79</v>
      </c>
      <c r="G4">
        <v>8.5</v>
      </c>
      <c r="H4">
        <v>0.13</v>
      </c>
      <c r="I4">
        <v>55</v>
      </c>
      <c r="J4">
        <v>204.79</v>
      </c>
      <c r="K4">
        <v>55.27</v>
      </c>
      <c r="L4">
        <v>1.5</v>
      </c>
      <c r="M4">
        <v>53</v>
      </c>
      <c r="N4">
        <v>43.02</v>
      </c>
      <c r="O4">
        <v>25491.3</v>
      </c>
      <c r="P4">
        <v>111.88</v>
      </c>
      <c r="Q4">
        <v>204.18</v>
      </c>
      <c r="R4">
        <v>55.89</v>
      </c>
      <c r="S4">
        <v>17.37</v>
      </c>
      <c r="T4">
        <v>16913.48</v>
      </c>
      <c r="U4">
        <v>0.31</v>
      </c>
      <c r="V4">
        <v>0.66</v>
      </c>
      <c r="W4">
        <v>1.23</v>
      </c>
      <c r="X4">
        <v>1.1000000000000001</v>
      </c>
      <c r="Y4">
        <v>1</v>
      </c>
      <c r="Z4">
        <v>10</v>
      </c>
    </row>
    <row r="5" spans="1:26" x14ac:dyDescent="0.3">
      <c r="A5">
        <v>3</v>
      </c>
      <c r="B5">
        <v>105</v>
      </c>
      <c r="C5" t="s">
        <v>26</v>
      </c>
      <c r="D5">
        <v>8.3203999999999994</v>
      </c>
      <c r="E5">
        <v>12.02</v>
      </c>
      <c r="F5">
        <v>7.59</v>
      </c>
      <c r="G5">
        <v>9.9</v>
      </c>
      <c r="H5">
        <v>0.15</v>
      </c>
      <c r="I5">
        <v>46</v>
      </c>
      <c r="J5">
        <v>205.18</v>
      </c>
      <c r="K5">
        <v>55.27</v>
      </c>
      <c r="L5">
        <v>1.75</v>
      </c>
      <c r="M5">
        <v>44</v>
      </c>
      <c r="N5">
        <v>43.16</v>
      </c>
      <c r="O5">
        <v>25540.22</v>
      </c>
      <c r="P5">
        <v>108.82</v>
      </c>
      <c r="Q5">
        <v>204.19</v>
      </c>
      <c r="R5">
        <v>49.75</v>
      </c>
      <c r="S5">
        <v>17.37</v>
      </c>
      <c r="T5">
        <v>13889.27</v>
      </c>
      <c r="U5">
        <v>0.35</v>
      </c>
      <c r="V5">
        <v>0.67</v>
      </c>
      <c r="W5">
        <v>1.21</v>
      </c>
      <c r="X5">
        <v>0.9</v>
      </c>
      <c r="Y5">
        <v>1</v>
      </c>
      <c r="Z5">
        <v>10</v>
      </c>
    </row>
    <row r="6" spans="1:26" x14ac:dyDescent="0.3">
      <c r="A6">
        <v>4</v>
      </c>
      <c r="B6">
        <v>105</v>
      </c>
      <c r="C6" t="s">
        <v>26</v>
      </c>
      <c r="D6">
        <v>8.5759000000000007</v>
      </c>
      <c r="E6">
        <v>11.66</v>
      </c>
      <c r="F6">
        <v>7.47</v>
      </c>
      <c r="G6">
        <v>11.21</v>
      </c>
      <c r="H6">
        <v>0.17</v>
      </c>
      <c r="I6">
        <v>40</v>
      </c>
      <c r="J6">
        <v>205.58</v>
      </c>
      <c r="K6">
        <v>55.27</v>
      </c>
      <c r="L6">
        <v>2</v>
      </c>
      <c r="M6">
        <v>38</v>
      </c>
      <c r="N6">
        <v>43.31</v>
      </c>
      <c r="O6">
        <v>25589.200000000001</v>
      </c>
      <c r="P6">
        <v>107</v>
      </c>
      <c r="Q6">
        <v>204.14</v>
      </c>
      <c r="R6">
        <v>46.21</v>
      </c>
      <c r="S6">
        <v>17.37</v>
      </c>
      <c r="T6">
        <v>12149.48</v>
      </c>
      <c r="U6">
        <v>0.38</v>
      </c>
      <c r="V6">
        <v>0.68</v>
      </c>
      <c r="W6">
        <v>1.2</v>
      </c>
      <c r="X6">
        <v>0.78</v>
      </c>
      <c r="Y6">
        <v>1</v>
      </c>
      <c r="Z6">
        <v>10</v>
      </c>
    </row>
    <row r="7" spans="1:26" x14ac:dyDescent="0.3">
      <c r="A7">
        <v>5</v>
      </c>
      <c r="B7">
        <v>105</v>
      </c>
      <c r="C7" t="s">
        <v>26</v>
      </c>
      <c r="D7">
        <v>8.7893000000000008</v>
      </c>
      <c r="E7">
        <v>11.38</v>
      </c>
      <c r="F7">
        <v>7.39</v>
      </c>
      <c r="G7">
        <v>12.67</v>
      </c>
      <c r="H7">
        <v>0.19</v>
      </c>
      <c r="I7">
        <v>35</v>
      </c>
      <c r="J7">
        <v>205.98</v>
      </c>
      <c r="K7">
        <v>55.27</v>
      </c>
      <c r="L7">
        <v>2.25</v>
      </c>
      <c r="M7">
        <v>33</v>
      </c>
      <c r="N7">
        <v>43.46</v>
      </c>
      <c r="O7">
        <v>25638.22</v>
      </c>
      <c r="P7">
        <v>105.74</v>
      </c>
      <c r="Q7">
        <v>204.23</v>
      </c>
      <c r="R7">
        <v>43.57</v>
      </c>
      <c r="S7">
        <v>17.37</v>
      </c>
      <c r="T7">
        <v>10853.4</v>
      </c>
      <c r="U7">
        <v>0.4</v>
      </c>
      <c r="V7">
        <v>0.69</v>
      </c>
      <c r="W7">
        <v>1.2</v>
      </c>
      <c r="X7">
        <v>0.7</v>
      </c>
      <c r="Y7">
        <v>1</v>
      </c>
      <c r="Z7">
        <v>10</v>
      </c>
    </row>
    <row r="8" spans="1:26" x14ac:dyDescent="0.3">
      <c r="A8">
        <v>6</v>
      </c>
      <c r="B8">
        <v>105</v>
      </c>
      <c r="C8" t="s">
        <v>26</v>
      </c>
      <c r="D8">
        <v>9.0010999999999992</v>
      </c>
      <c r="E8">
        <v>11.11</v>
      </c>
      <c r="F8">
        <v>7.29</v>
      </c>
      <c r="G8">
        <v>14.11</v>
      </c>
      <c r="H8">
        <v>0.22</v>
      </c>
      <c r="I8">
        <v>31</v>
      </c>
      <c r="J8">
        <v>206.38</v>
      </c>
      <c r="K8">
        <v>55.27</v>
      </c>
      <c r="L8">
        <v>2.5</v>
      </c>
      <c r="M8">
        <v>29</v>
      </c>
      <c r="N8">
        <v>43.6</v>
      </c>
      <c r="O8">
        <v>25687.3</v>
      </c>
      <c r="P8">
        <v>104.07</v>
      </c>
      <c r="Q8">
        <v>204.2</v>
      </c>
      <c r="R8">
        <v>40.14</v>
      </c>
      <c r="S8">
        <v>17.37</v>
      </c>
      <c r="T8">
        <v>9155.81</v>
      </c>
      <c r="U8">
        <v>0.43</v>
      </c>
      <c r="V8">
        <v>0.7</v>
      </c>
      <c r="W8">
        <v>1.19</v>
      </c>
      <c r="X8">
        <v>0.59</v>
      </c>
      <c r="Y8">
        <v>1</v>
      </c>
      <c r="Z8">
        <v>10</v>
      </c>
    </row>
    <row r="9" spans="1:26" x14ac:dyDescent="0.3">
      <c r="A9">
        <v>7</v>
      </c>
      <c r="B9">
        <v>105</v>
      </c>
      <c r="C9" t="s">
        <v>26</v>
      </c>
      <c r="D9">
        <v>9.1494</v>
      </c>
      <c r="E9">
        <v>10.93</v>
      </c>
      <c r="F9">
        <v>7.23</v>
      </c>
      <c r="G9">
        <v>15.49</v>
      </c>
      <c r="H9">
        <v>0.24</v>
      </c>
      <c r="I9">
        <v>28</v>
      </c>
      <c r="J9">
        <v>206.78</v>
      </c>
      <c r="K9">
        <v>55.27</v>
      </c>
      <c r="L9">
        <v>2.75</v>
      </c>
      <c r="M9">
        <v>26</v>
      </c>
      <c r="N9">
        <v>43.75</v>
      </c>
      <c r="O9">
        <v>25736.42</v>
      </c>
      <c r="P9">
        <v>103.05</v>
      </c>
      <c r="Q9">
        <v>204.14</v>
      </c>
      <c r="R9">
        <v>38.74</v>
      </c>
      <c r="S9">
        <v>17.37</v>
      </c>
      <c r="T9">
        <v>8471.93</v>
      </c>
      <c r="U9">
        <v>0.45</v>
      </c>
      <c r="V9">
        <v>0.71</v>
      </c>
      <c r="W9">
        <v>1.18</v>
      </c>
      <c r="X9">
        <v>0.54</v>
      </c>
      <c r="Y9">
        <v>1</v>
      </c>
      <c r="Z9">
        <v>10</v>
      </c>
    </row>
    <row r="10" spans="1:26" x14ac:dyDescent="0.3">
      <c r="A10">
        <v>8</v>
      </c>
      <c r="B10">
        <v>105</v>
      </c>
      <c r="C10" t="s">
        <v>26</v>
      </c>
      <c r="D10">
        <v>9.2497000000000007</v>
      </c>
      <c r="E10">
        <v>10.81</v>
      </c>
      <c r="F10">
        <v>7.19</v>
      </c>
      <c r="G10">
        <v>16.600000000000001</v>
      </c>
      <c r="H10">
        <v>0.26</v>
      </c>
      <c r="I10">
        <v>26</v>
      </c>
      <c r="J10">
        <v>207.17</v>
      </c>
      <c r="K10">
        <v>55.27</v>
      </c>
      <c r="L10">
        <v>3</v>
      </c>
      <c r="M10">
        <v>24</v>
      </c>
      <c r="N10">
        <v>43.9</v>
      </c>
      <c r="O10">
        <v>25785.599999999999</v>
      </c>
      <c r="P10">
        <v>102.41</v>
      </c>
      <c r="Q10">
        <v>204.21</v>
      </c>
      <c r="R10">
        <v>37.65</v>
      </c>
      <c r="S10">
        <v>17.37</v>
      </c>
      <c r="T10">
        <v>7934.84</v>
      </c>
      <c r="U10">
        <v>0.46</v>
      </c>
      <c r="V10">
        <v>0.71</v>
      </c>
      <c r="W10">
        <v>1.17</v>
      </c>
      <c r="X10">
        <v>0.5</v>
      </c>
      <c r="Y10">
        <v>1</v>
      </c>
      <c r="Z10">
        <v>10</v>
      </c>
    </row>
    <row r="11" spans="1:26" x14ac:dyDescent="0.3">
      <c r="A11">
        <v>9</v>
      </c>
      <c r="B11">
        <v>105</v>
      </c>
      <c r="C11" t="s">
        <v>26</v>
      </c>
      <c r="D11">
        <v>9.3370999999999995</v>
      </c>
      <c r="E11">
        <v>10.71</v>
      </c>
      <c r="F11">
        <v>7.17</v>
      </c>
      <c r="G11">
        <v>17.93</v>
      </c>
      <c r="H11">
        <v>0.28000000000000003</v>
      </c>
      <c r="I11">
        <v>24</v>
      </c>
      <c r="J11">
        <v>207.57</v>
      </c>
      <c r="K11">
        <v>55.27</v>
      </c>
      <c r="L11">
        <v>3.25</v>
      </c>
      <c r="M11">
        <v>22</v>
      </c>
      <c r="N11">
        <v>44.05</v>
      </c>
      <c r="O11">
        <v>25834.83</v>
      </c>
      <c r="P11">
        <v>101.97</v>
      </c>
      <c r="Q11">
        <v>204.15</v>
      </c>
      <c r="R11">
        <v>36.78</v>
      </c>
      <c r="S11">
        <v>17.37</v>
      </c>
      <c r="T11">
        <v>7510.61</v>
      </c>
      <c r="U11">
        <v>0.47</v>
      </c>
      <c r="V11">
        <v>0.71</v>
      </c>
      <c r="W11">
        <v>1.18</v>
      </c>
      <c r="X11">
        <v>0.48</v>
      </c>
      <c r="Y11">
        <v>1</v>
      </c>
      <c r="Z11">
        <v>10</v>
      </c>
    </row>
    <row r="12" spans="1:26" x14ac:dyDescent="0.3">
      <c r="A12">
        <v>10</v>
      </c>
      <c r="B12">
        <v>105</v>
      </c>
      <c r="C12" t="s">
        <v>26</v>
      </c>
      <c r="D12">
        <v>9.4664999999999999</v>
      </c>
      <c r="E12">
        <v>10.56</v>
      </c>
      <c r="F12">
        <v>7.11</v>
      </c>
      <c r="G12">
        <v>19.38</v>
      </c>
      <c r="H12">
        <v>0.3</v>
      </c>
      <c r="I12">
        <v>22</v>
      </c>
      <c r="J12">
        <v>207.97</v>
      </c>
      <c r="K12">
        <v>55.27</v>
      </c>
      <c r="L12">
        <v>3.5</v>
      </c>
      <c r="M12">
        <v>20</v>
      </c>
      <c r="N12">
        <v>44.2</v>
      </c>
      <c r="O12">
        <v>25884.1</v>
      </c>
      <c r="P12">
        <v>100.94</v>
      </c>
      <c r="Q12">
        <v>204.18</v>
      </c>
      <c r="R12">
        <v>34.950000000000003</v>
      </c>
      <c r="S12">
        <v>17.37</v>
      </c>
      <c r="T12">
        <v>6605.61</v>
      </c>
      <c r="U12">
        <v>0.5</v>
      </c>
      <c r="V12">
        <v>0.72</v>
      </c>
      <c r="W12">
        <v>1.17</v>
      </c>
      <c r="X12">
        <v>0.41</v>
      </c>
      <c r="Y12">
        <v>1</v>
      </c>
      <c r="Z12">
        <v>10</v>
      </c>
    </row>
    <row r="13" spans="1:26" x14ac:dyDescent="0.3">
      <c r="A13">
        <v>11</v>
      </c>
      <c r="B13">
        <v>105</v>
      </c>
      <c r="C13" t="s">
        <v>26</v>
      </c>
      <c r="D13">
        <v>9.5233000000000008</v>
      </c>
      <c r="E13">
        <v>10.5</v>
      </c>
      <c r="F13">
        <v>7.08</v>
      </c>
      <c r="G13">
        <v>20.239999999999998</v>
      </c>
      <c r="H13">
        <v>0.32</v>
      </c>
      <c r="I13">
        <v>21</v>
      </c>
      <c r="J13">
        <v>208.37</v>
      </c>
      <c r="K13">
        <v>55.27</v>
      </c>
      <c r="L13">
        <v>3.75</v>
      </c>
      <c r="M13">
        <v>19</v>
      </c>
      <c r="N13">
        <v>44.35</v>
      </c>
      <c r="O13">
        <v>25933.43</v>
      </c>
      <c r="P13">
        <v>100.42</v>
      </c>
      <c r="Q13">
        <v>204.18</v>
      </c>
      <c r="R13">
        <v>33.770000000000003</v>
      </c>
      <c r="S13">
        <v>17.37</v>
      </c>
      <c r="T13">
        <v>6021.79</v>
      </c>
      <c r="U13">
        <v>0.51</v>
      </c>
      <c r="V13">
        <v>0.72</v>
      </c>
      <c r="W13">
        <v>1.18</v>
      </c>
      <c r="X13">
        <v>0.39</v>
      </c>
      <c r="Y13">
        <v>1</v>
      </c>
      <c r="Z13">
        <v>10</v>
      </c>
    </row>
    <row r="14" spans="1:26" x14ac:dyDescent="0.3">
      <c r="A14">
        <v>12</v>
      </c>
      <c r="B14">
        <v>105</v>
      </c>
      <c r="C14" t="s">
        <v>26</v>
      </c>
      <c r="D14">
        <v>9.6222999999999992</v>
      </c>
      <c r="E14">
        <v>10.39</v>
      </c>
      <c r="F14">
        <v>7.06</v>
      </c>
      <c r="G14">
        <v>22.29</v>
      </c>
      <c r="H14">
        <v>0.34</v>
      </c>
      <c r="I14">
        <v>19</v>
      </c>
      <c r="J14">
        <v>208.77</v>
      </c>
      <c r="K14">
        <v>55.27</v>
      </c>
      <c r="L14">
        <v>4</v>
      </c>
      <c r="M14">
        <v>17</v>
      </c>
      <c r="N14">
        <v>44.5</v>
      </c>
      <c r="O14">
        <v>25982.82</v>
      </c>
      <c r="P14">
        <v>99.85</v>
      </c>
      <c r="Q14">
        <v>204.17</v>
      </c>
      <c r="R14">
        <v>33.020000000000003</v>
      </c>
      <c r="S14">
        <v>17.37</v>
      </c>
      <c r="T14">
        <v>5658.59</v>
      </c>
      <c r="U14">
        <v>0.53</v>
      </c>
      <c r="V14">
        <v>0.72</v>
      </c>
      <c r="W14">
        <v>1.17</v>
      </c>
      <c r="X14">
        <v>0.37</v>
      </c>
      <c r="Y14">
        <v>1</v>
      </c>
      <c r="Z14">
        <v>10</v>
      </c>
    </row>
    <row r="15" spans="1:26" x14ac:dyDescent="0.3">
      <c r="A15">
        <v>13</v>
      </c>
      <c r="B15">
        <v>105</v>
      </c>
      <c r="C15" t="s">
        <v>26</v>
      </c>
      <c r="D15">
        <v>9.6912000000000003</v>
      </c>
      <c r="E15">
        <v>10.32</v>
      </c>
      <c r="F15">
        <v>7.02</v>
      </c>
      <c r="G15">
        <v>23.41</v>
      </c>
      <c r="H15">
        <v>0.36</v>
      </c>
      <c r="I15">
        <v>18</v>
      </c>
      <c r="J15">
        <v>209.17</v>
      </c>
      <c r="K15">
        <v>55.27</v>
      </c>
      <c r="L15">
        <v>4.25</v>
      </c>
      <c r="M15">
        <v>16</v>
      </c>
      <c r="N15">
        <v>44.65</v>
      </c>
      <c r="O15">
        <v>26032.25</v>
      </c>
      <c r="P15">
        <v>99.35</v>
      </c>
      <c r="Q15">
        <v>204.16</v>
      </c>
      <c r="R15">
        <v>32.11</v>
      </c>
      <c r="S15">
        <v>17.37</v>
      </c>
      <c r="T15">
        <v>5206.51</v>
      </c>
      <c r="U15">
        <v>0.54</v>
      </c>
      <c r="V15">
        <v>0.73</v>
      </c>
      <c r="W15">
        <v>1.17</v>
      </c>
      <c r="X15">
        <v>0.33</v>
      </c>
      <c r="Y15">
        <v>1</v>
      </c>
      <c r="Z15">
        <v>10</v>
      </c>
    </row>
    <row r="16" spans="1:26" x14ac:dyDescent="0.3">
      <c r="A16">
        <v>14</v>
      </c>
      <c r="B16">
        <v>105</v>
      </c>
      <c r="C16" t="s">
        <v>26</v>
      </c>
      <c r="D16">
        <v>9.7357999999999993</v>
      </c>
      <c r="E16">
        <v>10.27</v>
      </c>
      <c r="F16">
        <v>7.02</v>
      </c>
      <c r="G16">
        <v>24.77</v>
      </c>
      <c r="H16">
        <v>0.38</v>
      </c>
      <c r="I16">
        <v>17</v>
      </c>
      <c r="J16">
        <v>209.58</v>
      </c>
      <c r="K16">
        <v>55.27</v>
      </c>
      <c r="L16">
        <v>4.5</v>
      </c>
      <c r="M16">
        <v>15</v>
      </c>
      <c r="N16">
        <v>44.8</v>
      </c>
      <c r="O16">
        <v>26081.73</v>
      </c>
      <c r="P16">
        <v>99.03</v>
      </c>
      <c r="Q16">
        <v>204.17</v>
      </c>
      <c r="R16">
        <v>31.96</v>
      </c>
      <c r="S16">
        <v>17.37</v>
      </c>
      <c r="T16">
        <v>5136.8500000000004</v>
      </c>
      <c r="U16">
        <v>0.54</v>
      </c>
      <c r="V16">
        <v>0.73</v>
      </c>
      <c r="W16">
        <v>1.1599999999999999</v>
      </c>
      <c r="X16">
        <v>0.33</v>
      </c>
      <c r="Y16">
        <v>1</v>
      </c>
      <c r="Z16">
        <v>10</v>
      </c>
    </row>
    <row r="17" spans="1:26" x14ac:dyDescent="0.3">
      <c r="A17">
        <v>15</v>
      </c>
      <c r="B17">
        <v>105</v>
      </c>
      <c r="C17" t="s">
        <v>26</v>
      </c>
      <c r="D17">
        <v>9.8004999999999995</v>
      </c>
      <c r="E17">
        <v>10.199999999999999</v>
      </c>
      <c r="F17">
        <v>6.99</v>
      </c>
      <c r="G17">
        <v>26.21</v>
      </c>
      <c r="H17">
        <v>0.4</v>
      </c>
      <c r="I17">
        <v>16</v>
      </c>
      <c r="J17">
        <v>209.98</v>
      </c>
      <c r="K17">
        <v>55.27</v>
      </c>
      <c r="L17">
        <v>4.75</v>
      </c>
      <c r="M17">
        <v>14</v>
      </c>
      <c r="N17">
        <v>44.95</v>
      </c>
      <c r="O17">
        <v>26131.27</v>
      </c>
      <c r="P17">
        <v>98.57</v>
      </c>
      <c r="Q17">
        <v>204.16</v>
      </c>
      <c r="R17">
        <v>31.21</v>
      </c>
      <c r="S17">
        <v>17.37</v>
      </c>
      <c r="T17">
        <v>4764.8999999999996</v>
      </c>
      <c r="U17">
        <v>0.56000000000000005</v>
      </c>
      <c r="V17">
        <v>0.73</v>
      </c>
      <c r="W17">
        <v>1.1599999999999999</v>
      </c>
      <c r="X17">
        <v>0.3</v>
      </c>
      <c r="Y17">
        <v>1</v>
      </c>
      <c r="Z17">
        <v>10</v>
      </c>
    </row>
    <row r="18" spans="1:26" x14ac:dyDescent="0.3">
      <c r="A18">
        <v>16</v>
      </c>
      <c r="B18">
        <v>105</v>
      </c>
      <c r="C18" t="s">
        <v>26</v>
      </c>
      <c r="D18">
        <v>9.7794000000000008</v>
      </c>
      <c r="E18">
        <v>10.23</v>
      </c>
      <c r="F18">
        <v>7.01</v>
      </c>
      <c r="G18">
        <v>26.29</v>
      </c>
      <c r="H18">
        <v>0.42</v>
      </c>
      <c r="I18">
        <v>16</v>
      </c>
      <c r="J18">
        <v>210.38</v>
      </c>
      <c r="K18">
        <v>55.27</v>
      </c>
      <c r="L18">
        <v>5</v>
      </c>
      <c r="M18">
        <v>14</v>
      </c>
      <c r="N18">
        <v>45.11</v>
      </c>
      <c r="O18">
        <v>26180.86</v>
      </c>
      <c r="P18">
        <v>98.77</v>
      </c>
      <c r="Q18">
        <v>204.2</v>
      </c>
      <c r="R18">
        <v>31.92</v>
      </c>
      <c r="S18">
        <v>17.37</v>
      </c>
      <c r="T18">
        <v>5119.8900000000003</v>
      </c>
      <c r="U18">
        <v>0.54</v>
      </c>
      <c r="V18">
        <v>0.73</v>
      </c>
      <c r="W18">
        <v>1.1599999999999999</v>
      </c>
      <c r="X18">
        <v>0.32</v>
      </c>
      <c r="Y18">
        <v>1</v>
      </c>
      <c r="Z18">
        <v>10</v>
      </c>
    </row>
    <row r="19" spans="1:26" x14ac:dyDescent="0.3">
      <c r="A19">
        <v>17</v>
      </c>
      <c r="B19">
        <v>105</v>
      </c>
      <c r="C19" t="s">
        <v>26</v>
      </c>
      <c r="D19">
        <v>9.8659999999999997</v>
      </c>
      <c r="E19">
        <v>10.14</v>
      </c>
      <c r="F19">
        <v>6.96</v>
      </c>
      <c r="G19">
        <v>27.85</v>
      </c>
      <c r="H19">
        <v>0.44</v>
      </c>
      <c r="I19">
        <v>15</v>
      </c>
      <c r="J19">
        <v>210.78</v>
      </c>
      <c r="K19">
        <v>55.27</v>
      </c>
      <c r="L19">
        <v>5.25</v>
      </c>
      <c r="M19">
        <v>13</v>
      </c>
      <c r="N19">
        <v>45.26</v>
      </c>
      <c r="O19">
        <v>26230.5</v>
      </c>
      <c r="P19">
        <v>97.91</v>
      </c>
      <c r="Q19">
        <v>204.15</v>
      </c>
      <c r="R19">
        <v>30.26</v>
      </c>
      <c r="S19">
        <v>17.37</v>
      </c>
      <c r="T19">
        <v>4296.13</v>
      </c>
      <c r="U19">
        <v>0.56999999999999995</v>
      </c>
      <c r="V19">
        <v>0.73</v>
      </c>
      <c r="W19">
        <v>1.1599999999999999</v>
      </c>
      <c r="X19">
        <v>0.27</v>
      </c>
      <c r="Y19">
        <v>1</v>
      </c>
      <c r="Z19">
        <v>10</v>
      </c>
    </row>
    <row r="20" spans="1:26" x14ac:dyDescent="0.3">
      <c r="A20">
        <v>18</v>
      </c>
      <c r="B20">
        <v>105</v>
      </c>
      <c r="C20" t="s">
        <v>26</v>
      </c>
      <c r="D20">
        <v>9.9212000000000007</v>
      </c>
      <c r="E20">
        <v>10.08</v>
      </c>
      <c r="F20">
        <v>6.95</v>
      </c>
      <c r="G20">
        <v>29.77</v>
      </c>
      <c r="H20">
        <v>0.46</v>
      </c>
      <c r="I20">
        <v>14</v>
      </c>
      <c r="J20">
        <v>211.18</v>
      </c>
      <c r="K20">
        <v>55.27</v>
      </c>
      <c r="L20">
        <v>5.5</v>
      </c>
      <c r="M20">
        <v>12</v>
      </c>
      <c r="N20">
        <v>45.41</v>
      </c>
      <c r="O20">
        <v>26280.2</v>
      </c>
      <c r="P20">
        <v>97.53</v>
      </c>
      <c r="Q20">
        <v>204.15</v>
      </c>
      <c r="R20">
        <v>29.88</v>
      </c>
      <c r="S20">
        <v>17.37</v>
      </c>
      <c r="T20">
        <v>4113.21</v>
      </c>
      <c r="U20">
        <v>0.57999999999999996</v>
      </c>
      <c r="V20">
        <v>0.74</v>
      </c>
      <c r="W20">
        <v>1.1599999999999999</v>
      </c>
      <c r="X20">
        <v>0.26</v>
      </c>
      <c r="Y20">
        <v>1</v>
      </c>
      <c r="Z20">
        <v>10</v>
      </c>
    </row>
    <row r="21" spans="1:26" x14ac:dyDescent="0.3">
      <c r="A21">
        <v>19</v>
      </c>
      <c r="B21">
        <v>105</v>
      </c>
      <c r="C21" t="s">
        <v>26</v>
      </c>
      <c r="D21">
        <v>9.9123999999999999</v>
      </c>
      <c r="E21">
        <v>10.09</v>
      </c>
      <c r="F21">
        <v>6.96</v>
      </c>
      <c r="G21">
        <v>29.81</v>
      </c>
      <c r="H21">
        <v>0.48</v>
      </c>
      <c r="I21">
        <v>14</v>
      </c>
      <c r="J21">
        <v>211.59</v>
      </c>
      <c r="K21">
        <v>55.27</v>
      </c>
      <c r="L21">
        <v>5.75</v>
      </c>
      <c r="M21">
        <v>12</v>
      </c>
      <c r="N21">
        <v>45.57</v>
      </c>
      <c r="O21">
        <v>26329.94</v>
      </c>
      <c r="P21">
        <v>97.53</v>
      </c>
      <c r="Q21">
        <v>204.18</v>
      </c>
      <c r="R21">
        <v>30.04</v>
      </c>
      <c r="S21">
        <v>17.37</v>
      </c>
      <c r="T21">
        <v>4193.8999999999996</v>
      </c>
      <c r="U21">
        <v>0.57999999999999996</v>
      </c>
      <c r="V21">
        <v>0.73</v>
      </c>
      <c r="W21">
        <v>1.1599999999999999</v>
      </c>
      <c r="X21">
        <v>0.26</v>
      </c>
      <c r="Y21">
        <v>1</v>
      </c>
      <c r="Z21">
        <v>10</v>
      </c>
    </row>
    <row r="22" spans="1:26" x14ac:dyDescent="0.3">
      <c r="A22">
        <v>20</v>
      </c>
      <c r="B22">
        <v>105</v>
      </c>
      <c r="C22" t="s">
        <v>26</v>
      </c>
      <c r="D22">
        <v>9.9762000000000004</v>
      </c>
      <c r="E22">
        <v>10.02</v>
      </c>
      <c r="F22">
        <v>6.93</v>
      </c>
      <c r="G22">
        <v>31.99</v>
      </c>
      <c r="H22">
        <v>0.5</v>
      </c>
      <c r="I22">
        <v>13</v>
      </c>
      <c r="J22">
        <v>211.99</v>
      </c>
      <c r="K22">
        <v>55.27</v>
      </c>
      <c r="L22">
        <v>6</v>
      </c>
      <c r="M22">
        <v>11</v>
      </c>
      <c r="N22">
        <v>45.72</v>
      </c>
      <c r="O22">
        <v>26379.74</v>
      </c>
      <c r="P22">
        <v>97.13</v>
      </c>
      <c r="Q22">
        <v>204.15</v>
      </c>
      <c r="R22">
        <v>29.34</v>
      </c>
      <c r="S22">
        <v>17.37</v>
      </c>
      <c r="T22">
        <v>3846.21</v>
      </c>
      <c r="U22">
        <v>0.59</v>
      </c>
      <c r="V22">
        <v>0.74</v>
      </c>
      <c r="W22">
        <v>1.1599999999999999</v>
      </c>
      <c r="X22">
        <v>0.24</v>
      </c>
      <c r="Y22">
        <v>1</v>
      </c>
      <c r="Z22">
        <v>10</v>
      </c>
    </row>
    <row r="23" spans="1:26" x14ac:dyDescent="0.3">
      <c r="A23">
        <v>21</v>
      </c>
      <c r="B23">
        <v>105</v>
      </c>
      <c r="C23" t="s">
        <v>26</v>
      </c>
      <c r="D23">
        <v>9.9711999999999996</v>
      </c>
      <c r="E23">
        <v>10.029999999999999</v>
      </c>
      <c r="F23">
        <v>6.94</v>
      </c>
      <c r="G23">
        <v>32.020000000000003</v>
      </c>
      <c r="H23">
        <v>0.52</v>
      </c>
      <c r="I23">
        <v>13</v>
      </c>
      <c r="J23">
        <v>212.4</v>
      </c>
      <c r="K23">
        <v>55.27</v>
      </c>
      <c r="L23">
        <v>6.25</v>
      </c>
      <c r="M23">
        <v>11</v>
      </c>
      <c r="N23">
        <v>45.87</v>
      </c>
      <c r="O23">
        <v>26429.59</v>
      </c>
      <c r="P23">
        <v>96.96</v>
      </c>
      <c r="Q23">
        <v>204.16</v>
      </c>
      <c r="R23">
        <v>29.4</v>
      </c>
      <c r="S23">
        <v>17.37</v>
      </c>
      <c r="T23">
        <v>3878.79</v>
      </c>
      <c r="U23">
        <v>0.59</v>
      </c>
      <c r="V23">
        <v>0.74</v>
      </c>
      <c r="W23">
        <v>1.1599999999999999</v>
      </c>
      <c r="X23">
        <v>0.24</v>
      </c>
      <c r="Y23">
        <v>1</v>
      </c>
      <c r="Z23">
        <v>10</v>
      </c>
    </row>
    <row r="24" spans="1:26" x14ac:dyDescent="0.3">
      <c r="A24">
        <v>22</v>
      </c>
      <c r="B24">
        <v>105</v>
      </c>
      <c r="C24" t="s">
        <v>26</v>
      </c>
      <c r="D24">
        <v>10.039</v>
      </c>
      <c r="E24">
        <v>9.9600000000000009</v>
      </c>
      <c r="F24">
        <v>6.91</v>
      </c>
      <c r="G24">
        <v>34.549999999999997</v>
      </c>
      <c r="H24">
        <v>0.54</v>
      </c>
      <c r="I24">
        <v>12</v>
      </c>
      <c r="J24">
        <v>212.8</v>
      </c>
      <c r="K24">
        <v>55.27</v>
      </c>
      <c r="L24">
        <v>6.5</v>
      </c>
      <c r="M24">
        <v>10</v>
      </c>
      <c r="N24">
        <v>46.03</v>
      </c>
      <c r="O24">
        <v>26479.5</v>
      </c>
      <c r="P24">
        <v>96.6</v>
      </c>
      <c r="Q24">
        <v>204.14</v>
      </c>
      <c r="R24">
        <v>28.61</v>
      </c>
      <c r="S24">
        <v>17.37</v>
      </c>
      <c r="T24">
        <v>3486.98</v>
      </c>
      <c r="U24">
        <v>0.61</v>
      </c>
      <c r="V24">
        <v>0.74</v>
      </c>
      <c r="W24">
        <v>1.1599999999999999</v>
      </c>
      <c r="X24">
        <v>0.22</v>
      </c>
      <c r="Y24">
        <v>1</v>
      </c>
      <c r="Z24">
        <v>10</v>
      </c>
    </row>
    <row r="25" spans="1:26" x14ac:dyDescent="0.3">
      <c r="A25">
        <v>23</v>
      </c>
      <c r="B25">
        <v>105</v>
      </c>
      <c r="C25" t="s">
        <v>26</v>
      </c>
      <c r="D25">
        <v>10.0334</v>
      </c>
      <c r="E25">
        <v>9.9700000000000006</v>
      </c>
      <c r="F25">
        <v>6.92</v>
      </c>
      <c r="G25">
        <v>34.58</v>
      </c>
      <c r="H25">
        <v>0.56000000000000005</v>
      </c>
      <c r="I25">
        <v>12</v>
      </c>
      <c r="J25">
        <v>213.21</v>
      </c>
      <c r="K25">
        <v>55.27</v>
      </c>
      <c r="L25">
        <v>6.75</v>
      </c>
      <c r="M25">
        <v>10</v>
      </c>
      <c r="N25">
        <v>46.18</v>
      </c>
      <c r="O25">
        <v>26529.46</v>
      </c>
      <c r="P25">
        <v>96.45</v>
      </c>
      <c r="Q25">
        <v>204.15</v>
      </c>
      <c r="R25">
        <v>28.87</v>
      </c>
      <c r="S25">
        <v>17.37</v>
      </c>
      <c r="T25">
        <v>3618.52</v>
      </c>
      <c r="U25">
        <v>0.6</v>
      </c>
      <c r="V25">
        <v>0.74</v>
      </c>
      <c r="W25">
        <v>1.1499999999999999</v>
      </c>
      <c r="X25">
        <v>0.22</v>
      </c>
      <c r="Y25">
        <v>1</v>
      </c>
      <c r="Z25">
        <v>10</v>
      </c>
    </row>
    <row r="26" spans="1:26" x14ac:dyDescent="0.3">
      <c r="A26">
        <v>24</v>
      </c>
      <c r="B26">
        <v>105</v>
      </c>
      <c r="C26" t="s">
        <v>26</v>
      </c>
      <c r="D26">
        <v>10.099299999999999</v>
      </c>
      <c r="E26">
        <v>9.9</v>
      </c>
      <c r="F26">
        <v>6.89</v>
      </c>
      <c r="G26">
        <v>37.590000000000003</v>
      </c>
      <c r="H26">
        <v>0.57999999999999996</v>
      </c>
      <c r="I26">
        <v>11</v>
      </c>
      <c r="J26">
        <v>213.61</v>
      </c>
      <c r="K26">
        <v>55.27</v>
      </c>
      <c r="L26">
        <v>7</v>
      </c>
      <c r="M26">
        <v>9</v>
      </c>
      <c r="N26">
        <v>46.34</v>
      </c>
      <c r="O26">
        <v>26579.47</v>
      </c>
      <c r="P26">
        <v>95.86</v>
      </c>
      <c r="Q26">
        <v>204.14</v>
      </c>
      <c r="R26">
        <v>27.85</v>
      </c>
      <c r="S26">
        <v>17.37</v>
      </c>
      <c r="T26">
        <v>3113.61</v>
      </c>
      <c r="U26">
        <v>0.62</v>
      </c>
      <c r="V26">
        <v>0.74</v>
      </c>
      <c r="W26">
        <v>1.1599999999999999</v>
      </c>
      <c r="X26">
        <v>0.2</v>
      </c>
      <c r="Y26">
        <v>1</v>
      </c>
      <c r="Z26">
        <v>10</v>
      </c>
    </row>
    <row r="27" spans="1:26" x14ac:dyDescent="0.3">
      <c r="A27">
        <v>25</v>
      </c>
      <c r="B27">
        <v>105</v>
      </c>
      <c r="C27" t="s">
        <v>26</v>
      </c>
      <c r="D27">
        <v>10.101599999999999</v>
      </c>
      <c r="E27">
        <v>9.9</v>
      </c>
      <c r="F27">
        <v>6.89</v>
      </c>
      <c r="G27">
        <v>37.57</v>
      </c>
      <c r="H27">
        <v>0.6</v>
      </c>
      <c r="I27">
        <v>11</v>
      </c>
      <c r="J27">
        <v>214.02</v>
      </c>
      <c r="K27">
        <v>55.27</v>
      </c>
      <c r="L27">
        <v>7.25</v>
      </c>
      <c r="M27">
        <v>9</v>
      </c>
      <c r="N27">
        <v>46.49</v>
      </c>
      <c r="O27">
        <v>26629.54</v>
      </c>
      <c r="P27">
        <v>95.83</v>
      </c>
      <c r="Q27">
        <v>204.15</v>
      </c>
      <c r="R27">
        <v>27.95</v>
      </c>
      <c r="S27">
        <v>17.37</v>
      </c>
      <c r="T27">
        <v>3163.33</v>
      </c>
      <c r="U27">
        <v>0.62</v>
      </c>
      <c r="V27">
        <v>0.74</v>
      </c>
      <c r="W27">
        <v>1.1499999999999999</v>
      </c>
      <c r="X27">
        <v>0.2</v>
      </c>
      <c r="Y27">
        <v>1</v>
      </c>
      <c r="Z27">
        <v>10</v>
      </c>
    </row>
    <row r="28" spans="1:26" x14ac:dyDescent="0.3">
      <c r="A28">
        <v>26</v>
      </c>
      <c r="B28">
        <v>105</v>
      </c>
      <c r="C28" t="s">
        <v>26</v>
      </c>
      <c r="D28">
        <v>10.1038</v>
      </c>
      <c r="E28">
        <v>9.9</v>
      </c>
      <c r="F28">
        <v>6.89</v>
      </c>
      <c r="G28">
        <v>37.56</v>
      </c>
      <c r="H28">
        <v>0.62</v>
      </c>
      <c r="I28">
        <v>11</v>
      </c>
      <c r="J28">
        <v>214.42</v>
      </c>
      <c r="K28">
        <v>55.27</v>
      </c>
      <c r="L28">
        <v>7.5</v>
      </c>
      <c r="M28">
        <v>9</v>
      </c>
      <c r="N28">
        <v>46.65</v>
      </c>
      <c r="O28">
        <v>26679.66</v>
      </c>
      <c r="P28">
        <v>95.49</v>
      </c>
      <c r="Q28">
        <v>204.14</v>
      </c>
      <c r="R28">
        <v>27.92</v>
      </c>
      <c r="S28">
        <v>17.37</v>
      </c>
      <c r="T28">
        <v>3146.87</v>
      </c>
      <c r="U28">
        <v>0.62</v>
      </c>
      <c r="V28">
        <v>0.74</v>
      </c>
      <c r="W28">
        <v>1.1499999999999999</v>
      </c>
      <c r="X28">
        <v>0.2</v>
      </c>
      <c r="Y28">
        <v>1</v>
      </c>
      <c r="Z28">
        <v>10</v>
      </c>
    </row>
    <row r="29" spans="1:26" x14ac:dyDescent="0.3">
      <c r="A29">
        <v>27</v>
      </c>
      <c r="B29">
        <v>105</v>
      </c>
      <c r="C29" t="s">
        <v>26</v>
      </c>
      <c r="D29">
        <v>10.165800000000001</v>
      </c>
      <c r="E29">
        <v>9.84</v>
      </c>
      <c r="F29">
        <v>6.87</v>
      </c>
      <c r="G29">
        <v>41.2</v>
      </c>
      <c r="H29">
        <v>0.64</v>
      </c>
      <c r="I29">
        <v>10</v>
      </c>
      <c r="J29">
        <v>214.83</v>
      </c>
      <c r="K29">
        <v>55.27</v>
      </c>
      <c r="L29">
        <v>7.75</v>
      </c>
      <c r="M29">
        <v>8</v>
      </c>
      <c r="N29">
        <v>46.81</v>
      </c>
      <c r="O29">
        <v>26729.83</v>
      </c>
      <c r="P29">
        <v>94.99</v>
      </c>
      <c r="Q29">
        <v>204.14</v>
      </c>
      <c r="R29">
        <v>27.28</v>
      </c>
      <c r="S29">
        <v>17.37</v>
      </c>
      <c r="T29">
        <v>2833.17</v>
      </c>
      <c r="U29">
        <v>0.64</v>
      </c>
      <c r="V29">
        <v>0.74</v>
      </c>
      <c r="W29">
        <v>1.1499999999999999</v>
      </c>
      <c r="X29">
        <v>0.18</v>
      </c>
      <c r="Y29">
        <v>1</v>
      </c>
      <c r="Z29">
        <v>10</v>
      </c>
    </row>
    <row r="30" spans="1:26" x14ac:dyDescent="0.3">
      <c r="A30">
        <v>28</v>
      </c>
      <c r="B30">
        <v>105</v>
      </c>
      <c r="C30" t="s">
        <v>26</v>
      </c>
      <c r="D30">
        <v>10.1629</v>
      </c>
      <c r="E30">
        <v>9.84</v>
      </c>
      <c r="F30">
        <v>6.87</v>
      </c>
      <c r="G30">
        <v>41.22</v>
      </c>
      <c r="H30">
        <v>0.66</v>
      </c>
      <c r="I30">
        <v>10</v>
      </c>
      <c r="J30">
        <v>215.24</v>
      </c>
      <c r="K30">
        <v>55.27</v>
      </c>
      <c r="L30">
        <v>8</v>
      </c>
      <c r="M30">
        <v>8</v>
      </c>
      <c r="N30">
        <v>46.97</v>
      </c>
      <c r="O30">
        <v>26780.06</v>
      </c>
      <c r="P30">
        <v>95.04</v>
      </c>
      <c r="Q30">
        <v>204.15</v>
      </c>
      <c r="R30">
        <v>27.29</v>
      </c>
      <c r="S30">
        <v>17.37</v>
      </c>
      <c r="T30">
        <v>2836.93</v>
      </c>
      <c r="U30">
        <v>0.64</v>
      </c>
      <c r="V30">
        <v>0.74</v>
      </c>
      <c r="W30">
        <v>1.1499999999999999</v>
      </c>
      <c r="X30">
        <v>0.18</v>
      </c>
      <c r="Y30">
        <v>1</v>
      </c>
      <c r="Z30">
        <v>10</v>
      </c>
    </row>
    <row r="31" spans="1:26" x14ac:dyDescent="0.3">
      <c r="A31">
        <v>29</v>
      </c>
      <c r="B31">
        <v>105</v>
      </c>
      <c r="C31" t="s">
        <v>26</v>
      </c>
      <c r="D31">
        <v>10.1732</v>
      </c>
      <c r="E31">
        <v>9.83</v>
      </c>
      <c r="F31">
        <v>6.86</v>
      </c>
      <c r="G31">
        <v>41.16</v>
      </c>
      <c r="H31">
        <v>0.68</v>
      </c>
      <c r="I31">
        <v>10</v>
      </c>
      <c r="J31">
        <v>215.65</v>
      </c>
      <c r="K31">
        <v>55.27</v>
      </c>
      <c r="L31">
        <v>8.25</v>
      </c>
      <c r="M31">
        <v>8</v>
      </c>
      <c r="N31">
        <v>47.12</v>
      </c>
      <c r="O31">
        <v>26830.34</v>
      </c>
      <c r="P31">
        <v>94.89</v>
      </c>
      <c r="Q31">
        <v>204.14</v>
      </c>
      <c r="R31">
        <v>27.04</v>
      </c>
      <c r="S31">
        <v>17.37</v>
      </c>
      <c r="T31">
        <v>2711.08</v>
      </c>
      <c r="U31">
        <v>0.64</v>
      </c>
      <c r="V31">
        <v>0.74</v>
      </c>
      <c r="W31">
        <v>1.1499999999999999</v>
      </c>
      <c r="X31">
        <v>0.17</v>
      </c>
      <c r="Y31">
        <v>1</v>
      </c>
      <c r="Z31">
        <v>10</v>
      </c>
    </row>
    <row r="32" spans="1:26" x14ac:dyDescent="0.3">
      <c r="A32">
        <v>30</v>
      </c>
      <c r="B32">
        <v>105</v>
      </c>
      <c r="C32" t="s">
        <v>26</v>
      </c>
      <c r="D32">
        <v>10.2287</v>
      </c>
      <c r="E32">
        <v>9.7799999999999994</v>
      </c>
      <c r="F32">
        <v>6.85</v>
      </c>
      <c r="G32">
        <v>45.64</v>
      </c>
      <c r="H32">
        <v>0.7</v>
      </c>
      <c r="I32">
        <v>9</v>
      </c>
      <c r="J32">
        <v>216.05</v>
      </c>
      <c r="K32">
        <v>55.27</v>
      </c>
      <c r="L32">
        <v>8.5</v>
      </c>
      <c r="M32">
        <v>7</v>
      </c>
      <c r="N32">
        <v>47.28</v>
      </c>
      <c r="O32">
        <v>26880.68</v>
      </c>
      <c r="P32">
        <v>94.27</v>
      </c>
      <c r="Q32">
        <v>204.14</v>
      </c>
      <c r="R32">
        <v>26.69</v>
      </c>
      <c r="S32">
        <v>17.37</v>
      </c>
      <c r="T32">
        <v>2540.7399999999998</v>
      </c>
      <c r="U32">
        <v>0.65</v>
      </c>
      <c r="V32">
        <v>0.75</v>
      </c>
      <c r="W32">
        <v>1.1499999999999999</v>
      </c>
      <c r="X32">
        <v>0.16</v>
      </c>
      <c r="Y32">
        <v>1</v>
      </c>
      <c r="Z32">
        <v>10</v>
      </c>
    </row>
    <row r="33" spans="1:26" x14ac:dyDescent="0.3">
      <c r="A33">
        <v>31</v>
      </c>
      <c r="B33">
        <v>105</v>
      </c>
      <c r="C33" t="s">
        <v>26</v>
      </c>
      <c r="D33">
        <v>10.213100000000001</v>
      </c>
      <c r="E33">
        <v>9.7899999999999991</v>
      </c>
      <c r="F33">
        <v>6.86</v>
      </c>
      <c r="G33">
        <v>45.74</v>
      </c>
      <c r="H33">
        <v>0.72</v>
      </c>
      <c r="I33">
        <v>9</v>
      </c>
      <c r="J33">
        <v>216.46</v>
      </c>
      <c r="K33">
        <v>55.27</v>
      </c>
      <c r="L33">
        <v>8.75</v>
      </c>
      <c r="M33">
        <v>7</v>
      </c>
      <c r="N33">
        <v>47.44</v>
      </c>
      <c r="O33">
        <v>26931.07</v>
      </c>
      <c r="P33">
        <v>94.82</v>
      </c>
      <c r="Q33">
        <v>204.14</v>
      </c>
      <c r="R33">
        <v>27.17</v>
      </c>
      <c r="S33">
        <v>17.37</v>
      </c>
      <c r="T33">
        <v>2781.84</v>
      </c>
      <c r="U33">
        <v>0.64</v>
      </c>
      <c r="V33">
        <v>0.74</v>
      </c>
      <c r="W33">
        <v>1.1499999999999999</v>
      </c>
      <c r="X33">
        <v>0.17</v>
      </c>
      <c r="Y33">
        <v>1</v>
      </c>
      <c r="Z33">
        <v>10</v>
      </c>
    </row>
    <row r="34" spans="1:26" x14ac:dyDescent="0.3">
      <c r="A34">
        <v>32</v>
      </c>
      <c r="B34">
        <v>105</v>
      </c>
      <c r="C34" t="s">
        <v>26</v>
      </c>
      <c r="D34">
        <v>10.2189</v>
      </c>
      <c r="E34">
        <v>9.7899999999999991</v>
      </c>
      <c r="F34">
        <v>6.86</v>
      </c>
      <c r="G34">
        <v>45.71</v>
      </c>
      <c r="H34">
        <v>0.74</v>
      </c>
      <c r="I34">
        <v>9</v>
      </c>
      <c r="J34">
        <v>216.87</v>
      </c>
      <c r="K34">
        <v>55.27</v>
      </c>
      <c r="L34">
        <v>9</v>
      </c>
      <c r="M34">
        <v>7</v>
      </c>
      <c r="N34">
        <v>47.6</v>
      </c>
      <c r="O34">
        <v>26981.51</v>
      </c>
      <c r="P34">
        <v>94.66</v>
      </c>
      <c r="Q34">
        <v>204.16</v>
      </c>
      <c r="R34">
        <v>26.99</v>
      </c>
      <c r="S34">
        <v>17.37</v>
      </c>
      <c r="T34">
        <v>2690.72</v>
      </c>
      <c r="U34">
        <v>0.64</v>
      </c>
      <c r="V34">
        <v>0.74</v>
      </c>
      <c r="W34">
        <v>1.1499999999999999</v>
      </c>
      <c r="X34">
        <v>0.16</v>
      </c>
      <c r="Y34">
        <v>1</v>
      </c>
      <c r="Z34">
        <v>10</v>
      </c>
    </row>
    <row r="35" spans="1:26" x14ac:dyDescent="0.3">
      <c r="A35">
        <v>33</v>
      </c>
      <c r="B35">
        <v>105</v>
      </c>
      <c r="C35" t="s">
        <v>26</v>
      </c>
      <c r="D35">
        <v>10.2136</v>
      </c>
      <c r="E35">
        <v>9.7899999999999991</v>
      </c>
      <c r="F35">
        <v>6.86</v>
      </c>
      <c r="G35">
        <v>45.74</v>
      </c>
      <c r="H35">
        <v>0.76</v>
      </c>
      <c r="I35">
        <v>9</v>
      </c>
      <c r="J35">
        <v>217.28</v>
      </c>
      <c r="K35">
        <v>55.27</v>
      </c>
      <c r="L35">
        <v>9.25</v>
      </c>
      <c r="M35">
        <v>7</v>
      </c>
      <c r="N35">
        <v>47.76</v>
      </c>
      <c r="O35">
        <v>27032.02</v>
      </c>
      <c r="P35">
        <v>94.39</v>
      </c>
      <c r="Q35">
        <v>204.15</v>
      </c>
      <c r="R35">
        <v>27.13</v>
      </c>
      <c r="S35">
        <v>17.37</v>
      </c>
      <c r="T35">
        <v>2764.61</v>
      </c>
      <c r="U35">
        <v>0.64</v>
      </c>
      <c r="V35">
        <v>0.74</v>
      </c>
      <c r="W35">
        <v>1.1499999999999999</v>
      </c>
      <c r="X35">
        <v>0.17</v>
      </c>
      <c r="Y35">
        <v>1</v>
      </c>
      <c r="Z35">
        <v>10</v>
      </c>
    </row>
    <row r="36" spans="1:26" x14ac:dyDescent="0.3">
      <c r="A36">
        <v>34</v>
      </c>
      <c r="B36">
        <v>105</v>
      </c>
      <c r="C36" t="s">
        <v>26</v>
      </c>
      <c r="D36">
        <v>10.2209</v>
      </c>
      <c r="E36">
        <v>9.7799999999999994</v>
      </c>
      <c r="F36">
        <v>6.85</v>
      </c>
      <c r="G36">
        <v>45.69</v>
      </c>
      <c r="H36">
        <v>0.78</v>
      </c>
      <c r="I36">
        <v>9</v>
      </c>
      <c r="J36">
        <v>217.69</v>
      </c>
      <c r="K36">
        <v>55.27</v>
      </c>
      <c r="L36">
        <v>9.5</v>
      </c>
      <c r="M36">
        <v>7</v>
      </c>
      <c r="N36">
        <v>47.92</v>
      </c>
      <c r="O36">
        <v>27082.57</v>
      </c>
      <c r="P36">
        <v>94.06</v>
      </c>
      <c r="Q36">
        <v>204.2</v>
      </c>
      <c r="R36">
        <v>26.87</v>
      </c>
      <c r="S36">
        <v>17.37</v>
      </c>
      <c r="T36">
        <v>2634.67</v>
      </c>
      <c r="U36">
        <v>0.65</v>
      </c>
      <c r="V36">
        <v>0.75</v>
      </c>
      <c r="W36">
        <v>1.1499999999999999</v>
      </c>
      <c r="X36">
        <v>0.16</v>
      </c>
      <c r="Y36">
        <v>1</v>
      </c>
      <c r="Z36">
        <v>10</v>
      </c>
    </row>
    <row r="37" spans="1:26" x14ac:dyDescent="0.3">
      <c r="A37">
        <v>35</v>
      </c>
      <c r="B37">
        <v>105</v>
      </c>
      <c r="C37" t="s">
        <v>26</v>
      </c>
      <c r="D37">
        <v>10.2963</v>
      </c>
      <c r="E37">
        <v>9.7100000000000009</v>
      </c>
      <c r="F37">
        <v>6.82</v>
      </c>
      <c r="G37">
        <v>51.17</v>
      </c>
      <c r="H37">
        <v>0.79</v>
      </c>
      <c r="I37">
        <v>8</v>
      </c>
      <c r="J37">
        <v>218.1</v>
      </c>
      <c r="K37">
        <v>55.27</v>
      </c>
      <c r="L37">
        <v>9.75</v>
      </c>
      <c r="M37">
        <v>6</v>
      </c>
      <c r="N37">
        <v>48.08</v>
      </c>
      <c r="O37">
        <v>27133.18</v>
      </c>
      <c r="P37">
        <v>93.49</v>
      </c>
      <c r="Q37">
        <v>204.14</v>
      </c>
      <c r="R37">
        <v>25.93</v>
      </c>
      <c r="S37">
        <v>17.37</v>
      </c>
      <c r="T37">
        <v>2167.92</v>
      </c>
      <c r="U37">
        <v>0.67</v>
      </c>
      <c r="V37">
        <v>0.75</v>
      </c>
      <c r="W37">
        <v>1.1499999999999999</v>
      </c>
      <c r="X37">
        <v>0.13</v>
      </c>
      <c r="Y37">
        <v>1</v>
      </c>
      <c r="Z37">
        <v>10</v>
      </c>
    </row>
    <row r="38" spans="1:26" x14ac:dyDescent="0.3">
      <c r="A38">
        <v>36</v>
      </c>
      <c r="B38">
        <v>105</v>
      </c>
      <c r="C38" t="s">
        <v>26</v>
      </c>
      <c r="D38">
        <v>10.299799999999999</v>
      </c>
      <c r="E38">
        <v>9.7100000000000009</v>
      </c>
      <c r="F38">
        <v>6.82</v>
      </c>
      <c r="G38">
        <v>51.15</v>
      </c>
      <c r="H38">
        <v>0.81</v>
      </c>
      <c r="I38">
        <v>8</v>
      </c>
      <c r="J38">
        <v>218.51</v>
      </c>
      <c r="K38">
        <v>55.27</v>
      </c>
      <c r="L38">
        <v>10</v>
      </c>
      <c r="M38">
        <v>6</v>
      </c>
      <c r="N38">
        <v>48.24</v>
      </c>
      <c r="O38">
        <v>27183.85</v>
      </c>
      <c r="P38">
        <v>93.24</v>
      </c>
      <c r="Q38">
        <v>204.14</v>
      </c>
      <c r="R38">
        <v>25.87</v>
      </c>
      <c r="S38">
        <v>17.37</v>
      </c>
      <c r="T38">
        <v>2136.41</v>
      </c>
      <c r="U38">
        <v>0.67</v>
      </c>
      <c r="V38">
        <v>0.75</v>
      </c>
      <c r="W38">
        <v>1.1499999999999999</v>
      </c>
      <c r="X38">
        <v>0.13</v>
      </c>
      <c r="Y38">
        <v>1</v>
      </c>
      <c r="Z38">
        <v>10</v>
      </c>
    </row>
    <row r="39" spans="1:26" x14ac:dyDescent="0.3">
      <c r="A39">
        <v>37</v>
      </c>
      <c r="B39">
        <v>105</v>
      </c>
      <c r="C39" t="s">
        <v>26</v>
      </c>
      <c r="D39">
        <v>10.288399999999999</v>
      </c>
      <c r="E39">
        <v>9.7200000000000006</v>
      </c>
      <c r="F39">
        <v>6.83</v>
      </c>
      <c r="G39">
        <v>51.23</v>
      </c>
      <c r="H39">
        <v>0.83</v>
      </c>
      <c r="I39">
        <v>8</v>
      </c>
      <c r="J39">
        <v>218.92</v>
      </c>
      <c r="K39">
        <v>55.27</v>
      </c>
      <c r="L39">
        <v>10.25</v>
      </c>
      <c r="M39">
        <v>6</v>
      </c>
      <c r="N39">
        <v>48.4</v>
      </c>
      <c r="O39">
        <v>27234.57</v>
      </c>
      <c r="P39">
        <v>93.16</v>
      </c>
      <c r="Q39">
        <v>204.15</v>
      </c>
      <c r="R39">
        <v>26.27</v>
      </c>
      <c r="S39">
        <v>17.37</v>
      </c>
      <c r="T39">
        <v>2335.9499999999998</v>
      </c>
      <c r="U39">
        <v>0.66</v>
      </c>
      <c r="V39">
        <v>0.75</v>
      </c>
      <c r="W39">
        <v>1.1499999999999999</v>
      </c>
      <c r="X39">
        <v>0.14000000000000001</v>
      </c>
      <c r="Y39">
        <v>1</v>
      </c>
      <c r="Z39">
        <v>10</v>
      </c>
    </row>
    <row r="40" spans="1:26" x14ac:dyDescent="0.3">
      <c r="A40">
        <v>38</v>
      </c>
      <c r="B40">
        <v>105</v>
      </c>
      <c r="C40" t="s">
        <v>26</v>
      </c>
      <c r="D40">
        <v>10.2913</v>
      </c>
      <c r="E40">
        <v>9.7200000000000006</v>
      </c>
      <c r="F40">
        <v>6.83</v>
      </c>
      <c r="G40">
        <v>51.21</v>
      </c>
      <c r="H40">
        <v>0.85</v>
      </c>
      <c r="I40">
        <v>8</v>
      </c>
      <c r="J40">
        <v>219.33</v>
      </c>
      <c r="K40">
        <v>55.27</v>
      </c>
      <c r="L40">
        <v>10.5</v>
      </c>
      <c r="M40">
        <v>6</v>
      </c>
      <c r="N40">
        <v>48.56</v>
      </c>
      <c r="O40">
        <v>27285.35</v>
      </c>
      <c r="P40">
        <v>93.09</v>
      </c>
      <c r="Q40">
        <v>204.14</v>
      </c>
      <c r="R40">
        <v>26.12</v>
      </c>
      <c r="S40">
        <v>17.37</v>
      </c>
      <c r="T40">
        <v>2260.65</v>
      </c>
      <c r="U40">
        <v>0.67</v>
      </c>
      <c r="V40">
        <v>0.75</v>
      </c>
      <c r="W40">
        <v>1.1499999999999999</v>
      </c>
      <c r="X40">
        <v>0.14000000000000001</v>
      </c>
      <c r="Y40">
        <v>1</v>
      </c>
      <c r="Z40">
        <v>10</v>
      </c>
    </row>
    <row r="41" spans="1:26" x14ac:dyDescent="0.3">
      <c r="A41">
        <v>39</v>
      </c>
      <c r="B41">
        <v>105</v>
      </c>
      <c r="C41" t="s">
        <v>26</v>
      </c>
      <c r="D41">
        <v>10.290699999999999</v>
      </c>
      <c r="E41">
        <v>9.7200000000000006</v>
      </c>
      <c r="F41">
        <v>6.83</v>
      </c>
      <c r="G41">
        <v>51.21</v>
      </c>
      <c r="H41">
        <v>0.87</v>
      </c>
      <c r="I41">
        <v>8</v>
      </c>
      <c r="J41">
        <v>219.75</v>
      </c>
      <c r="K41">
        <v>55.27</v>
      </c>
      <c r="L41">
        <v>10.75</v>
      </c>
      <c r="M41">
        <v>6</v>
      </c>
      <c r="N41">
        <v>48.72</v>
      </c>
      <c r="O41">
        <v>27336.19</v>
      </c>
      <c r="P41">
        <v>92.88</v>
      </c>
      <c r="Q41">
        <v>204.14</v>
      </c>
      <c r="R41">
        <v>26.09</v>
      </c>
      <c r="S41">
        <v>17.37</v>
      </c>
      <c r="T41">
        <v>2248.84</v>
      </c>
      <c r="U41">
        <v>0.67</v>
      </c>
      <c r="V41">
        <v>0.75</v>
      </c>
      <c r="W41">
        <v>1.1499999999999999</v>
      </c>
      <c r="X41">
        <v>0.14000000000000001</v>
      </c>
      <c r="Y41">
        <v>1</v>
      </c>
      <c r="Z41">
        <v>10</v>
      </c>
    </row>
    <row r="42" spans="1:26" x14ac:dyDescent="0.3">
      <c r="A42">
        <v>40</v>
      </c>
      <c r="B42">
        <v>105</v>
      </c>
      <c r="C42" t="s">
        <v>26</v>
      </c>
      <c r="D42">
        <v>10.363</v>
      </c>
      <c r="E42">
        <v>9.65</v>
      </c>
      <c r="F42">
        <v>6.8</v>
      </c>
      <c r="G42">
        <v>58.3</v>
      </c>
      <c r="H42">
        <v>0.89</v>
      </c>
      <c r="I42">
        <v>7</v>
      </c>
      <c r="J42">
        <v>220.16</v>
      </c>
      <c r="K42">
        <v>55.27</v>
      </c>
      <c r="L42">
        <v>11</v>
      </c>
      <c r="M42">
        <v>5</v>
      </c>
      <c r="N42">
        <v>48.89</v>
      </c>
      <c r="O42">
        <v>27387.08</v>
      </c>
      <c r="P42">
        <v>92.12</v>
      </c>
      <c r="Q42">
        <v>204.16</v>
      </c>
      <c r="R42">
        <v>25.26</v>
      </c>
      <c r="S42">
        <v>17.37</v>
      </c>
      <c r="T42">
        <v>1836.44</v>
      </c>
      <c r="U42">
        <v>0.69</v>
      </c>
      <c r="V42">
        <v>0.75</v>
      </c>
      <c r="W42">
        <v>1.1499999999999999</v>
      </c>
      <c r="X42">
        <v>0.11</v>
      </c>
      <c r="Y42">
        <v>1</v>
      </c>
      <c r="Z42">
        <v>10</v>
      </c>
    </row>
    <row r="43" spans="1:26" x14ac:dyDescent="0.3">
      <c r="A43">
        <v>41</v>
      </c>
      <c r="B43">
        <v>105</v>
      </c>
      <c r="C43" t="s">
        <v>26</v>
      </c>
      <c r="D43">
        <v>10.365399999999999</v>
      </c>
      <c r="E43">
        <v>9.65</v>
      </c>
      <c r="F43">
        <v>6.8</v>
      </c>
      <c r="G43">
        <v>58.28</v>
      </c>
      <c r="H43">
        <v>0.91</v>
      </c>
      <c r="I43">
        <v>7</v>
      </c>
      <c r="J43">
        <v>220.57</v>
      </c>
      <c r="K43">
        <v>55.27</v>
      </c>
      <c r="L43">
        <v>11.25</v>
      </c>
      <c r="M43">
        <v>5</v>
      </c>
      <c r="N43">
        <v>49.05</v>
      </c>
      <c r="O43">
        <v>27438.03</v>
      </c>
      <c r="P43">
        <v>92.31</v>
      </c>
      <c r="Q43">
        <v>204.15</v>
      </c>
      <c r="R43">
        <v>25.26</v>
      </c>
      <c r="S43">
        <v>17.37</v>
      </c>
      <c r="T43">
        <v>1836.68</v>
      </c>
      <c r="U43">
        <v>0.69</v>
      </c>
      <c r="V43">
        <v>0.75</v>
      </c>
      <c r="W43">
        <v>1.1399999999999999</v>
      </c>
      <c r="X43">
        <v>0.11</v>
      </c>
      <c r="Y43">
        <v>1</v>
      </c>
      <c r="Z43">
        <v>10</v>
      </c>
    </row>
    <row r="44" spans="1:26" x14ac:dyDescent="0.3">
      <c r="A44">
        <v>42</v>
      </c>
      <c r="B44">
        <v>105</v>
      </c>
      <c r="C44" t="s">
        <v>26</v>
      </c>
      <c r="D44">
        <v>10.3588</v>
      </c>
      <c r="E44">
        <v>9.65</v>
      </c>
      <c r="F44">
        <v>6.8</v>
      </c>
      <c r="G44">
        <v>58.33</v>
      </c>
      <c r="H44">
        <v>0.92</v>
      </c>
      <c r="I44">
        <v>7</v>
      </c>
      <c r="J44">
        <v>220.99</v>
      </c>
      <c r="K44">
        <v>55.27</v>
      </c>
      <c r="L44">
        <v>11.5</v>
      </c>
      <c r="M44">
        <v>5</v>
      </c>
      <c r="N44">
        <v>49.21</v>
      </c>
      <c r="O44">
        <v>27489.03</v>
      </c>
      <c r="P44">
        <v>92.59</v>
      </c>
      <c r="Q44">
        <v>204.17</v>
      </c>
      <c r="R44">
        <v>25.33</v>
      </c>
      <c r="S44">
        <v>17.37</v>
      </c>
      <c r="T44">
        <v>1873.1</v>
      </c>
      <c r="U44">
        <v>0.69</v>
      </c>
      <c r="V44">
        <v>0.75</v>
      </c>
      <c r="W44">
        <v>1.1499999999999999</v>
      </c>
      <c r="X44">
        <v>0.11</v>
      </c>
      <c r="Y44">
        <v>1</v>
      </c>
      <c r="Z44">
        <v>10</v>
      </c>
    </row>
    <row r="45" spans="1:26" x14ac:dyDescent="0.3">
      <c r="A45">
        <v>43</v>
      </c>
      <c r="B45">
        <v>105</v>
      </c>
      <c r="C45" t="s">
        <v>26</v>
      </c>
      <c r="D45">
        <v>10.351699999999999</v>
      </c>
      <c r="E45">
        <v>9.66</v>
      </c>
      <c r="F45">
        <v>6.81</v>
      </c>
      <c r="G45">
        <v>58.39</v>
      </c>
      <c r="H45">
        <v>0.94</v>
      </c>
      <c r="I45">
        <v>7</v>
      </c>
      <c r="J45">
        <v>221.4</v>
      </c>
      <c r="K45">
        <v>55.27</v>
      </c>
      <c r="L45">
        <v>11.75</v>
      </c>
      <c r="M45">
        <v>5</v>
      </c>
      <c r="N45">
        <v>49.38</v>
      </c>
      <c r="O45">
        <v>27540.09</v>
      </c>
      <c r="P45">
        <v>92.52</v>
      </c>
      <c r="Q45">
        <v>204.14</v>
      </c>
      <c r="R45">
        <v>25.63</v>
      </c>
      <c r="S45">
        <v>17.37</v>
      </c>
      <c r="T45">
        <v>2020.78</v>
      </c>
      <c r="U45">
        <v>0.68</v>
      </c>
      <c r="V45">
        <v>0.75</v>
      </c>
      <c r="W45">
        <v>1.1499999999999999</v>
      </c>
      <c r="X45">
        <v>0.12</v>
      </c>
      <c r="Y45">
        <v>1</v>
      </c>
      <c r="Z45">
        <v>10</v>
      </c>
    </row>
    <row r="46" spans="1:26" x14ac:dyDescent="0.3">
      <c r="A46">
        <v>44</v>
      </c>
      <c r="B46">
        <v>105</v>
      </c>
      <c r="C46" t="s">
        <v>26</v>
      </c>
      <c r="D46">
        <v>10.351699999999999</v>
      </c>
      <c r="E46">
        <v>9.66</v>
      </c>
      <c r="F46">
        <v>6.81</v>
      </c>
      <c r="G46">
        <v>58.39</v>
      </c>
      <c r="H46">
        <v>0.96</v>
      </c>
      <c r="I46">
        <v>7</v>
      </c>
      <c r="J46">
        <v>221.81</v>
      </c>
      <c r="K46">
        <v>55.27</v>
      </c>
      <c r="L46">
        <v>12</v>
      </c>
      <c r="M46">
        <v>5</v>
      </c>
      <c r="N46">
        <v>49.54</v>
      </c>
      <c r="O46">
        <v>27591.21</v>
      </c>
      <c r="P46">
        <v>92.48</v>
      </c>
      <c r="Q46">
        <v>204.14</v>
      </c>
      <c r="R46">
        <v>25.55</v>
      </c>
      <c r="S46">
        <v>17.37</v>
      </c>
      <c r="T46">
        <v>1984.17</v>
      </c>
      <c r="U46">
        <v>0.68</v>
      </c>
      <c r="V46">
        <v>0.75</v>
      </c>
      <c r="W46">
        <v>1.1499999999999999</v>
      </c>
      <c r="X46">
        <v>0.12</v>
      </c>
      <c r="Y46">
        <v>1</v>
      </c>
      <c r="Z46">
        <v>10</v>
      </c>
    </row>
    <row r="47" spans="1:26" x14ac:dyDescent="0.3">
      <c r="A47">
        <v>45</v>
      </c>
      <c r="B47">
        <v>105</v>
      </c>
      <c r="C47" t="s">
        <v>26</v>
      </c>
      <c r="D47">
        <v>10.351699999999999</v>
      </c>
      <c r="E47">
        <v>9.66</v>
      </c>
      <c r="F47">
        <v>6.81</v>
      </c>
      <c r="G47">
        <v>58.39</v>
      </c>
      <c r="H47">
        <v>0.98</v>
      </c>
      <c r="I47">
        <v>7</v>
      </c>
      <c r="J47">
        <v>222.23</v>
      </c>
      <c r="K47">
        <v>55.27</v>
      </c>
      <c r="L47">
        <v>12.25</v>
      </c>
      <c r="M47">
        <v>5</v>
      </c>
      <c r="N47">
        <v>49.71</v>
      </c>
      <c r="O47">
        <v>27642.51</v>
      </c>
      <c r="P47">
        <v>92.21</v>
      </c>
      <c r="Q47">
        <v>204.14</v>
      </c>
      <c r="R47">
        <v>25.66</v>
      </c>
      <c r="S47">
        <v>17.37</v>
      </c>
      <c r="T47">
        <v>2037.23</v>
      </c>
      <c r="U47">
        <v>0.68</v>
      </c>
      <c r="V47">
        <v>0.75</v>
      </c>
      <c r="W47">
        <v>1.1499999999999999</v>
      </c>
      <c r="X47">
        <v>0.12</v>
      </c>
      <c r="Y47">
        <v>1</v>
      </c>
      <c r="Z47">
        <v>10</v>
      </c>
    </row>
    <row r="48" spans="1:26" x14ac:dyDescent="0.3">
      <c r="A48">
        <v>46</v>
      </c>
      <c r="B48">
        <v>105</v>
      </c>
      <c r="C48" t="s">
        <v>26</v>
      </c>
      <c r="D48">
        <v>10.3451</v>
      </c>
      <c r="E48">
        <v>9.67</v>
      </c>
      <c r="F48">
        <v>6.82</v>
      </c>
      <c r="G48">
        <v>58.44</v>
      </c>
      <c r="H48">
        <v>1</v>
      </c>
      <c r="I48">
        <v>7</v>
      </c>
      <c r="J48">
        <v>222.65</v>
      </c>
      <c r="K48">
        <v>55.27</v>
      </c>
      <c r="L48">
        <v>12.5</v>
      </c>
      <c r="M48">
        <v>5</v>
      </c>
      <c r="N48">
        <v>49.87</v>
      </c>
      <c r="O48">
        <v>27693.75</v>
      </c>
      <c r="P48">
        <v>92.01</v>
      </c>
      <c r="Q48">
        <v>204.15</v>
      </c>
      <c r="R48">
        <v>25.81</v>
      </c>
      <c r="S48">
        <v>17.37</v>
      </c>
      <c r="T48">
        <v>2110.02</v>
      </c>
      <c r="U48">
        <v>0.67</v>
      </c>
      <c r="V48">
        <v>0.75</v>
      </c>
      <c r="W48">
        <v>1.1499999999999999</v>
      </c>
      <c r="X48">
        <v>0.13</v>
      </c>
      <c r="Y48">
        <v>1</v>
      </c>
      <c r="Z48">
        <v>10</v>
      </c>
    </row>
    <row r="49" spans="1:26" x14ac:dyDescent="0.3">
      <c r="A49">
        <v>47</v>
      </c>
      <c r="B49">
        <v>105</v>
      </c>
      <c r="C49" t="s">
        <v>26</v>
      </c>
      <c r="D49">
        <v>10.3514</v>
      </c>
      <c r="E49">
        <v>9.66</v>
      </c>
      <c r="F49">
        <v>6.81</v>
      </c>
      <c r="G49">
        <v>58.39</v>
      </c>
      <c r="H49">
        <v>1.02</v>
      </c>
      <c r="I49">
        <v>7</v>
      </c>
      <c r="J49">
        <v>223.06</v>
      </c>
      <c r="K49">
        <v>55.27</v>
      </c>
      <c r="L49">
        <v>12.75</v>
      </c>
      <c r="M49">
        <v>5</v>
      </c>
      <c r="N49">
        <v>50.04</v>
      </c>
      <c r="O49">
        <v>27745.040000000001</v>
      </c>
      <c r="P49">
        <v>91.68</v>
      </c>
      <c r="Q49">
        <v>204.14</v>
      </c>
      <c r="R49">
        <v>25.66</v>
      </c>
      <c r="S49">
        <v>17.37</v>
      </c>
      <c r="T49">
        <v>2036.58</v>
      </c>
      <c r="U49">
        <v>0.68</v>
      </c>
      <c r="V49">
        <v>0.75</v>
      </c>
      <c r="W49">
        <v>1.1499999999999999</v>
      </c>
      <c r="X49">
        <v>0.12</v>
      </c>
      <c r="Y49">
        <v>1</v>
      </c>
      <c r="Z49">
        <v>10</v>
      </c>
    </row>
    <row r="50" spans="1:26" x14ac:dyDescent="0.3">
      <c r="A50">
        <v>48</v>
      </c>
      <c r="B50">
        <v>105</v>
      </c>
      <c r="C50" t="s">
        <v>26</v>
      </c>
      <c r="D50">
        <v>10.355499999999999</v>
      </c>
      <c r="E50">
        <v>9.66</v>
      </c>
      <c r="F50">
        <v>6.81</v>
      </c>
      <c r="G50">
        <v>58.35</v>
      </c>
      <c r="H50">
        <v>1.03</v>
      </c>
      <c r="I50">
        <v>7</v>
      </c>
      <c r="J50">
        <v>223.48</v>
      </c>
      <c r="K50">
        <v>55.27</v>
      </c>
      <c r="L50">
        <v>13</v>
      </c>
      <c r="M50">
        <v>5</v>
      </c>
      <c r="N50">
        <v>50.21</v>
      </c>
      <c r="O50">
        <v>27796.39</v>
      </c>
      <c r="P50">
        <v>91.3</v>
      </c>
      <c r="Q50">
        <v>204.15</v>
      </c>
      <c r="R50">
        <v>25.39</v>
      </c>
      <c r="S50">
        <v>17.37</v>
      </c>
      <c r="T50">
        <v>1902.09</v>
      </c>
      <c r="U50">
        <v>0.68</v>
      </c>
      <c r="V50">
        <v>0.75</v>
      </c>
      <c r="W50">
        <v>1.1499999999999999</v>
      </c>
      <c r="X50">
        <v>0.12</v>
      </c>
      <c r="Y50">
        <v>1</v>
      </c>
      <c r="Z50">
        <v>10</v>
      </c>
    </row>
    <row r="51" spans="1:26" x14ac:dyDescent="0.3">
      <c r="A51">
        <v>49</v>
      </c>
      <c r="B51">
        <v>105</v>
      </c>
      <c r="C51" t="s">
        <v>26</v>
      </c>
      <c r="D51">
        <v>10.4251</v>
      </c>
      <c r="E51">
        <v>9.59</v>
      </c>
      <c r="F51">
        <v>6.78</v>
      </c>
      <c r="G51">
        <v>67.84</v>
      </c>
      <c r="H51">
        <v>1.05</v>
      </c>
      <c r="I51">
        <v>6</v>
      </c>
      <c r="J51">
        <v>223.89</v>
      </c>
      <c r="K51">
        <v>55.27</v>
      </c>
      <c r="L51">
        <v>13.25</v>
      </c>
      <c r="M51">
        <v>4</v>
      </c>
      <c r="N51">
        <v>50.37</v>
      </c>
      <c r="O51">
        <v>27847.8</v>
      </c>
      <c r="P51">
        <v>90.94</v>
      </c>
      <c r="Q51">
        <v>204.14</v>
      </c>
      <c r="R51">
        <v>24.64</v>
      </c>
      <c r="S51">
        <v>17.37</v>
      </c>
      <c r="T51">
        <v>1534.06</v>
      </c>
      <c r="U51">
        <v>0.71</v>
      </c>
      <c r="V51">
        <v>0.75</v>
      </c>
      <c r="W51">
        <v>1.1499999999999999</v>
      </c>
      <c r="X51">
        <v>0.09</v>
      </c>
      <c r="Y51">
        <v>1</v>
      </c>
      <c r="Z51">
        <v>10</v>
      </c>
    </row>
    <row r="52" spans="1:26" x14ac:dyDescent="0.3">
      <c r="A52">
        <v>50</v>
      </c>
      <c r="B52">
        <v>105</v>
      </c>
      <c r="C52" t="s">
        <v>26</v>
      </c>
      <c r="D52">
        <v>10.418799999999999</v>
      </c>
      <c r="E52">
        <v>9.6</v>
      </c>
      <c r="F52">
        <v>6.79</v>
      </c>
      <c r="G52">
        <v>67.900000000000006</v>
      </c>
      <c r="H52">
        <v>1.07</v>
      </c>
      <c r="I52">
        <v>6</v>
      </c>
      <c r="J52">
        <v>224.31</v>
      </c>
      <c r="K52">
        <v>55.27</v>
      </c>
      <c r="L52">
        <v>13.5</v>
      </c>
      <c r="M52">
        <v>4</v>
      </c>
      <c r="N52">
        <v>50.54</v>
      </c>
      <c r="O52">
        <v>27899.27</v>
      </c>
      <c r="P52">
        <v>90.97</v>
      </c>
      <c r="Q52">
        <v>204.14</v>
      </c>
      <c r="R52">
        <v>24.85</v>
      </c>
      <c r="S52">
        <v>17.37</v>
      </c>
      <c r="T52">
        <v>1637.7</v>
      </c>
      <c r="U52">
        <v>0.7</v>
      </c>
      <c r="V52">
        <v>0.75</v>
      </c>
      <c r="W52">
        <v>1.1499999999999999</v>
      </c>
      <c r="X52">
        <v>0.1</v>
      </c>
      <c r="Y52">
        <v>1</v>
      </c>
      <c r="Z52">
        <v>10</v>
      </c>
    </row>
    <row r="53" spans="1:26" x14ac:dyDescent="0.3">
      <c r="A53">
        <v>51</v>
      </c>
      <c r="B53">
        <v>105</v>
      </c>
      <c r="C53" t="s">
        <v>26</v>
      </c>
      <c r="D53">
        <v>10.421200000000001</v>
      </c>
      <c r="E53">
        <v>9.6</v>
      </c>
      <c r="F53">
        <v>6.79</v>
      </c>
      <c r="G53">
        <v>67.88</v>
      </c>
      <c r="H53">
        <v>1.0900000000000001</v>
      </c>
      <c r="I53">
        <v>6</v>
      </c>
      <c r="J53">
        <v>224.73</v>
      </c>
      <c r="K53">
        <v>55.27</v>
      </c>
      <c r="L53">
        <v>13.75</v>
      </c>
      <c r="M53">
        <v>4</v>
      </c>
      <c r="N53">
        <v>50.71</v>
      </c>
      <c r="O53">
        <v>27950.799999999999</v>
      </c>
      <c r="P53">
        <v>91.08</v>
      </c>
      <c r="Q53">
        <v>204.14</v>
      </c>
      <c r="R53">
        <v>24.87</v>
      </c>
      <c r="S53">
        <v>17.37</v>
      </c>
      <c r="T53">
        <v>1647.08</v>
      </c>
      <c r="U53">
        <v>0.7</v>
      </c>
      <c r="V53">
        <v>0.75</v>
      </c>
      <c r="W53">
        <v>1.1499999999999999</v>
      </c>
      <c r="X53">
        <v>0.1</v>
      </c>
      <c r="Y53">
        <v>1</v>
      </c>
      <c r="Z53">
        <v>10</v>
      </c>
    </row>
    <row r="54" spans="1:26" x14ac:dyDescent="0.3">
      <c r="A54">
        <v>52</v>
      </c>
      <c r="B54">
        <v>105</v>
      </c>
      <c r="C54" t="s">
        <v>26</v>
      </c>
      <c r="D54">
        <v>10.420299999999999</v>
      </c>
      <c r="E54">
        <v>9.6</v>
      </c>
      <c r="F54">
        <v>6.79</v>
      </c>
      <c r="G54">
        <v>67.89</v>
      </c>
      <c r="H54">
        <v>1.1100000000000001</v>
      </c>
      <c r="I54">
        <v>6</v>
      </c>
      <c r="J54">
        <v>225.15</v>
      </c>
      <c r="K54">
        <v>55.27</v>
      </c>
      <c r="L54">
        <v>14</v>
      </c>
      <c r="M54">
        <v>4</v>
      </c>
      <c r="N54">
        <v>50.88</v>
      </c>
      <c r="O54">
        <v>28002.38</v>
      </c>
      <c r="P54">
        <v>91.07</v>
      </c>
      <c r="Q54">
        <v>204.14</v>
      </c>
      <c r="R54">
        <v>24.98</v>
      </c>
      <c r="S54">
        <v>17.37</v>
      </c>
      <c r="T54">
        <v>1702.03</v>
      </c>
      <c r="U54">
        <v>0.7</v>
      </c>
      <c r="V54">
        <v>0.75</v>
      </c>
      <c r="W54">
        <v>1.1399999999999999</v>
      </c>
      <c r="X54">
        <v>0.1</v>
      </c>
      <c r="Y54">
        <v>1</v>
      </c>
      <c r="Z54">
        <v>10</v>
      </c>
    </row>
    <row r="55" spans="1:26" x14ac:dyDescent="0.3">
      <c r="A55">
        <v>53</v>
      </c>
      <c r="B55">
        <v>105</v>
      </c>
      <c r="C55" t="s">
        <v>26</v>
      </c>
      <c r="D55">
        <v>10.429600000000001</v>
      </c>
      <c r="E55">
        <v>9.59</v>
      </c>
      <c r="F55">
        <v>6.78</v>
      </c>
      <c r="G55">
        <v>67.8</v>
      </c>
      <c r="H55">
        <v>1.1200000000000001</v>
      </c>
      <c r="I55">
        <v>6</v>
      </c>
      <c r="J55">
        <v>225.57</v>
      </c>
      <c r="K55">
        <v>55.27</v>
      </c>
      <c r="L55">
        <v>14.25</v>
      </c>
      <c r="M55">
        <v>4</v>
      </c>
      <c r="N55">
        <v>51.04</v>
      </c>
      <c r="O55">
        <v>28054.03</v>
      </c>
      <c r="P55">
        <v>90.85</v>
      </c>
      <c r="Q55">
        <v>204.14</v>
      </c>
      <c r="R55">
        <v>24.61</v>
      </c>
      <c r="S55">
        <v>17.37</v>
      </c>
      <c r="T55">
        <v>1518.49</v>
      </c>
      <c r="U55">
        <v>0.71</v>
      </c>
      <c r="V55">
        <v>0.75</v>
      </c>
      <c r="W55">
        <v>1.1399999999999999</v>
      </c>
      <c r="X55">
        <v>0.09</v>
      </c>
      <c r="Y55">
        <v>1</v>
      </c>
      <c r="Z55">
        <v>10</v>
      </c>
    </row>
    <row r="56" spans="1:26" x14ac:dyDescent="0.3">
      <c r="A56">
        <v>54</v>
      </c>
      <c r="B56">
        <v>105</v>
      </c>
      <c r="C56" t="s">
        <v>26</v>
      </c>
      <c r="D56">
        <v>10.424799999999999</v>
      </c>
      <c r="E56">
        <v>9.59</v>
      </c>
      <c r="F56">
        <v>6.78</v>
      </c>
      <c r="G56">
        <v>67.84</v>
      </c>
      <c r="H56">
        <v>1.1399999999999999</v>
      </c>
      <c r="I56">
        <v>6</v>
      </c>
      <c r="J56">
        <v>225.99</v>
      </c>
      <c r="K56">
        <v>55.27</v>
      </c>
      <c r="L56">
        <v>14.5</v>
      </c>
      <c r="M56">
        <v>4</v>
      </c>
      <c r="N56">
        <v>51.21</v>
      </c>
      <c r="O56">
        <v>28105.73</v>
      </c>
      <c r="P56">
        <v>90.6</v>
      </c>
      <c r="Q56">
        <v>204.14</v>
      </c>
      <c r="R56">
        <v>24.75</v>
      </c>
      <c r="S56">
        <v>17.37</v>
      </c>
      <c r="T56">
        <v>1584.99</v>
      </c>
      <c r="U56">
        <v>0.7</v>
      </c>
      <c r="V56">
        <v>0.75</v>
      </c>
      <c r="W56">
        <v>1.1499999999999999</v>
      </c>
      <c r="X56">
        <v>0.09</v>
      </c>
      <c r="Y56">
        <v>1</v>
      </c>
      <c r="Z56">
        <v>10</v>
      </c>
    </row>
    <row r="57" spans="1:26" x14ac:dyDescent="0.3">
      <c r="A57">
        <v>55</v>
      </c>
      <c r="B57">
        <v>105</v>
      </c>
      <c r="C57" t="s">
        <v>26</v>
      </c>
      <c r="D57">
        <v>10.415800000000001</v>
      </c>
      <c r="E57">
        <v>9.6</v>
      </c>
      <c r="F57">
        <v>6.79</v>
      </c>
      <c r="G57">
        <v>67.930000000000007</v>
      </c>
      <c r="H57">
        <v>1.1599999999999999</v>
      </c>
      <c r="I57">
        <v>6</v>
      </c>
      <c r="J57">
        <v>226.41</v>
      </c>
      <c r="K57">
        <v>55.27</v>
      </c>
      <c r="L57">
        <v>14.75</v>
      </c>
      <c r="M57">
        <v>4</v>
      </c>
      <c r="N57">
        <v>51.38</v>
      </c>
      <c r="O57">
        <v>28157.49</v>
      </c>
      <c r="P57">
        <v>90.62</v>
      </c>
      <c r="Q57">
        <v>204.16</v>
      </c>
      <c r="R57">
        <v>24.98</v>
      </c>
      <c r="S57">
        <v>17.37</v>
      </c>
      <c r="T57">
        <v>1700.51</v>
      </c>
      <c r="U57">
        <v>0.7</v>
      </c>
      <c r="V57">
        <v>0.75</v>
      </c>
      <c r="W57">
        <v>1.1499999999999999</v>
      </c>
      <c r="X57">
        <v>0.1</v>
      </c>
      <c r="Y57">
        <v>1</v>
      </c>
      <c r="Z57">
        <v>10</v>
      </c>
    </row>
    <row r="58" spans="1:26" x14ac:dyDescent="0.3">
      <c r="A58">
        <v>56</v>
      </c>
      <c r="B58">
        <v>105</v>
      </c>
      <c r="C58" t="s">
        <v>26</v>
      </c>
      <c r="D58">
        <v>10.4176</v>
      </c>
      <c r="E58">
        <v>9.6</v>
      </c>
      <c r="F58">
        <v>6.79</v>
      </c>
      <c r="G58">
        <v>67.91</v>
      </c>
      <c r="H58">
        <v>1.18</v>
      </c>
      <c r="I58">
        <v>6</v>
      </c>
      <c r="J58">
        <v>226.83</v>
      </c>
      <c r="K58">
        <v>55.27</v>
      </c>
      <c r="L58">
        <v>15</v>
      </c>
      <c r="M58">
        <v>4</v>
      </c>
      <c r="N58">
        <v>51.55</v>
      </c>
      <c r="O58">
        <v>28209.31</v>
      </c>
      <c r="P58">
        <v>90.32</v>
      </c>
      <c r="Q58">
        <v>204.14</v>
      </c>
      <c r="R58">
        <v>24.95</v>
      </c>
      <c r="S58">
        <v>17.37</v>
      </c>
      <c r="T58">
        <v>1685.18</v>
      </c>
      <c r="U58">
        <v>0.7</v>
      </c>
      <c r="V58">
        <v>0.75</v>
      </c>
      <c r="W58">
        <v>1.1499999999999999</v>
      </c>
      <c r="X58">
        <v>0.1</v>
      </c>
      <c r="Y58">
        <v>1</v>
      </c>
      <c r="Z58">
        <v>10</v>
      </c>
    </row>
    <row r="59" spans="1:26" x14ac:dyDescent="0.3">
      <c r="A59">
        <v>57</v>
      </c>
      <c r="B59">
        <v>105</v>
      </c>
      <c r="C59" t="s">
        <v>26</v>
      </c>
      <c r="D59">
        <v>10.418799999999999</v>
      </c>
      <c r="E59">
        <v>9.6</v>
      </c>
      <c r="F59">
        <v>6.79</v>
      </c>
      <c r="G59">
        <v>67.900000000000006</v>
      </c>
      <c r="H59">
        <v>1.19</v>
      </c>
      <c r="I59">
        <v>6</v>
      </c>
      <c r="J59">
        <v>227.25</v>
      </c>
      <c r="K59">
        <v>55.27</v>
      </c>
      <c r="L59">
        <v>15.25</v>
      </c>
      <c r="M59">
        <v>4</v>
      </c>
      <c r="N59">
        <v>51.72</v>
      </c>
      <c r="O59">
        <v>28261.200000000001</v>
      </c>
      <c r="P59">
        <v>90.06</v>
      </c>
      <c r="Q59">
        <v>204.14</v>
      </c>
      <c r="R59">
        <v>24.91</v>
      </c>
      <c r="S59">
        <v>17.37</v>
      </c>
      <c r="T59">
        <v>1666.21</v>
      </c>
      <c r="U59">
        <v>0.7</v>
      </c>
      <c r="V59">
        <v>0.75</v>
      </c>
      <c r="W59">
        <v>1.1499999999999999</v>
      </c>
      <c r="X59">
        <v>0.1</v>
      </c>
      <c r="Y59">
        <v>1</v>
      </c>
      <c r="Z59">
        <v>10</v>
      </c>
    </row>
    <row r="60" spans="1:26" x14ac:dyDescent="0.3">
      <c r="A60">
        <v>58</v>
      </c>
      <c r="B60">
        <v>105</v>
      </c>
      <c r="C60" t="s">
        <v>26</v>
      </c>
      <c r="D60">
        <v>10.4251</v>
      </c>
      <c r="E60">
        <v>9.59</v>
      </c>
      <c r="F60">
        <v>6.78</v>
      </c>
      <c r="G60">
        <v>67.84</v>
      </c>
      <c r="H60">
        <v>1.21</v>
      </c>
      <c r="I60">
        <v>6</v>
      </c>
      <c r="J60">
        <v>227.67</v>
      </c>
      <c r="K60">
        <v>55.27</v>
      </c>
      <c r="L60">
        <v>15.5</v>
      </c>
      <c r="M60">
        <v>4</v>
      </c>
      <c r="N60">
        <v>51.9</v>
      </c>
      <c r="O60">
        <v>28313.14</v>
      </c>
      <c r="P60">
        <v>89.95</v>
      </c>
      <c r="Q60">
        <v>204.14</v>
      </c>
      <c r="R60">
        <v>24.77</v>
      </c>
      <c r="S60">
        <v>17.37</v>
      </c>
      <c r="T60">
        <v>1595.88</v>
      </c>
      <c r="U60">
        <v>0.7</v>
      </c>
      <c r="V60">
        <v>0.75</v>
      </c>
      <c r="W60">
        <v>1.1399999999999999</v>
      </c>
      <c r="X60">
        <v>0.09</v>
      </c>
      <c r="Y60">
        <v>1</v>
      </c>
      <c r="Z60">
        <v>10</v>
      </c>
    </row>
    <row r="61" spans="1:26" x14ac:dyDescent="0.3">
      <c r="A61">
        <v>59</v>
      </c>
      <c r="B61">
        <v>105</v>
      </c>
      <c r="C61" t="s">
        <v>26</v>
      </c>
      <c r="D61">
        <v>10.414899999999999</v>
      </c>
      <c r="E61">
        <v>9.6</v>
      </c>
      <c r="F61">
        <v>6.79</v>
      </c>
      <c r="G61">
        <v>67.94</v>
      </c>
      <c r="H61">
        <v>1.23</v>
      </c>
      <c r="I61">
        <v>6</v>
      </c>
      <c r="J61">
        <v>228.09</v>
      </c>
      <c r="K61">
        <v>55.27</v>
      </c>
      <c r="L61">
        <v>15.75</v>
      </c>
      <c r="M61">
        <v>4</v>
      </c>
      <c r="N61">
        <v>52.07</v>
      </c>
      <c r="O61">
        <v>28365.14</v>
      </c>
      <c r="P61">
        <v>89.62</v>
      </c>
      <c r="Q61">
        <v>204.14</v>
      </c>
      <c r="R61">
        <v>25.09</v>
      </c>
      <c r="S61">
        <v>17.37</v>
      </c>
      <c r="T61">
        <v>1755.84</v>
      </c>
      <c r="U61">
        <v>0.69</v>
      </c>
      <c r="V61">
        <v>0.75</v>
      </c>
      <c r="W61">
        <v>1.1399999999999999</v>
      </c>
      <c r="X61">
        <v>0.1</v>
      </c>
      <c r="Y61">
        <v>1</v>
      </c>
      <c r="Z61">
        <v>10</v>
      </c>
    </row>
    <row r="62" spans="1:26" x14ac:dyDescent="0.3">
      <c r="A62">
        <v>60</v>
      </c>
      <c r="B62">
        <v>105</v>
      </c>
      <c r="C62" t="s">
        <v>26</v>
      </c>
      <c r="D62">
        <v>10.4861</v>
      </c>
      <c r="E62">
        <v>9.5399999999999991</v>
      </c>
      <c r="F62">
        <v>6.77</v>
      </c>
      <c r="G62">
        <v>81.23</v>
      </c>
      <c r="H62">
        <v>1.24</v>
      </c>
      <c r="I62">
        <v>5</v>
      </c>
      <c r="J62">
        <v>228.51</v>
      </c>
      <c r="K62">
        <v>55.27</v>
      </c>
      <c r="L62">
        <v>16</v>
      </c>
      <c r="M62">
        <v>3</v>
      </c>
      <c r="N62">
        <v>52.24</v>
      </c>
      <c r="O62">
        <v>28417.200000000001</v>
      </c>
      <c r="P62">
        <v>88.86</v>
      </c>
      <c r="Q62">
        <v>204.14</v>
      </c>
      <c r="R62">
        <v>24.28</v>
      </c>
      <c r="S62">
        <v>17.37</v>
      </c>
      <c r="T62">
        <v>1357.16</v>
      </c>
      <c r="U62">
        <v>0.72</v>
      </c>
      <c r="V62">
        <v>0.75</v>
      </c>
      <c r="W62">
        <v>1.1399999999999999</v>
      </c>
      <c r="X62">
        <v>0.08</v>
      </c>
      <c r="Y62">
        <v>1</v>
      </c>
      <c r="Z62">
        <v>10</v>
      </c>
    </row>
    <row r="63" spans="1:26" x14ac:dyDescent="0.3">
      <c r="A63">
        <v>61</v>
      </c>
      <c r="B63">
        <v>105</v>
      </c>
      <c r="C63" t="s">
        <v>26</v>
      </c>
      <c r="D63">
        <v>10.480700000000001</v>
      </c>
      <c r="E63">
        <v>9.5399999999999991</v>
      </c>
      <c r="F63">
        <v>6.77</v>
      </c>
      <c r="G63">
        <v>81.290000000000006</v>
      </c>
      <c r="H63">
        <v>1.26</v>
      </c>
      <c r="I63">
        <v>5</v>
      </c>
      <c r="J63">
        <v>228.93</v>
      </c>
      <c r="K63">
        <v>55.27</v>
      </c>
      <c r="L63">
        <v>16.25</v>
      </c>
      <c r="M63">
        <v>3</v>
      </c>
      <c r="N63">
        <v>52.41</v>
      </c>
      <c r="O63">
        <v>28469.32</v>
      </c>
      <c r="P63">
        <v>89.24</v>
      </c>
      <c r="Q63">
        <v>204.14</v>
      </c>
      <c r="R63">
        <v>24.42</v>
      </c>
      <c r="S63">
        <v>17.37</v>
      </c>
      <c r="T63">
        <v>1427.55</v>
      </c>
      <c r="U63">
        <v>0.71</v>
      </c>
      <c r="V63">
        <v>0.75</v>
      </c>
      <c r="W63">
        <v>1.1399999999999999</v>
      </c>
      <c r="X63">
        <v>0.08</v>
      </c>
      <c r="Y63">
        <v>1</v>
      </c>
      <c r="Z63">
        <v>10</v>
      </c>
    </row>
    <row r="64" spans="1:26" x14ac:dyDescent="0.3">
      <c r="A64">
        <v>62</v>
      </c>
      <c r="B64">
        <v>105</v>
      </c>
      <c r="C64" t="s">
        <v>26</v>
      </c>
      <c r="D64">
        <v>10.4816</v>
      </c>
      <c r="E64">
        <v>9.5399999999999991</v>
      </c>
      <c r="F64">
        <v>6.77</v>
      </c>
      <c r="G64">
        <v>81.28</v>
      </c>
      <c r="H64">
        <v>1.28</v>
      </c>
      <c r="I64">
        <v>5</v>
      </c>
      <c r="J64">
        <v>229.36</v>
      </c>
      <c r="K64">
        <v>55.27</v>
      </c>
      <c r="L64">
        <v>16.5</v>
      </c>
      <c r="M64">
        <v>3</v>
      </c>
      <c r="N64">
        <v>52.58</v>
      </c>
      <c r="O64">
        <v>28521.51</v>
      </c>
      <c r="P64">
        <v>89.38</v>
      </c>
      <c r="Q64">
        <v>204.14</v>
      </c>
      <c r="R64">
        <v>24.47</v>
      </c>
      <c r="S64">
        <v>17.37</v>
      </c>
      <c r="T64">
        <v>1452.82</v>
      </c>
      <c r="U64">
        <v>0.71</v>
      </c>
      <c r="V64">
        <v>0.75</v>
      </c>
      <c r="W64">
        <v>1.1399999999999999</v>
      </c>
      <c r="X64">
        <v>0.08</v>
      </c>
      <c r="Y64">
        <v>1</v>
      </c>
      <c r="Z64">
        <v>10</v>
      </c>
    </row>
    <row r="65" spans="1:26" x14ac:dyDescent="0.3">
      <c r="A65">
        <v>63</v>
      </c>
      <c r="B65">
        <v>105</v>
      </c>
      <c r="C65" t="s">
        <v>26</v>
      </c>
      <c r="D65">
        <v>10.484299999999999</v>
      </c>
      <c r="E65">
        <v>9.5399999999999991</v>
      </c>
      <c r="F65">
        <v>6.77</v>
      </c>
      <c r="G65">
        <v>81.25</v>
      </c>
      <c r="H65">
        <v>1.3</v>
      </c>
      <c r="I65">
        <v>5</v>
      </c>
      <c r="J65">
        <v>229.78</v>
      </c>
      <c r="K65">
        <v>55.27</v>
      </c>
      <c r="L65">
        <v>16.75</v>
      </c>
      <c r="M65">
        <v>3</v>
      </c>
      <c r="N65">
        <v>52.76</v>
      </c>
      <c r="O65">
        <v>28573.75</v>
      </c>
      <c r="P65">
        <v>89.48</v>
      </c>
      <c r="Q65">
        <v>204.14</v>
      </c>
      <c r="R65">
        <v>24.36</v>
      </c>
      <c r="S65">
        <v>17.37</v>
      </c>
      <c r="T65">
        <v>1396.86</v>
      </c>
      <c r="U65">
        <v>0.71</v>
      </c>
      <c r="V65">
        <v>0.75</v>
      </c>
      <c r="W65">
        <v>1.1399999999999999</v>
      </c>
      <c r="X65">
        <v>0.08</v>
      </c>
      <c r="Y65">
        <v>1</v>
      </c>
      <c r="Z65">
        <v>10</v>
      </c>
    </row>
    <row r="66" spans="1:26" x14ac:dyDescent="0.3">
      <c r="A66">
        <v>64</v>
      </c>
      <c r="B66">
        <v>105</v>
      </c>
      <c r="C66" t="s">
        <v>26</v>
      </c>
      <c r="D66">
        <v>10.481299999999999</v>
      </c>
      <c r="E66">
        <v>9.5399999999999991</v>
      </c>
      <c r="F66">
        <v>6.77</v>
      </c>
      <c r="G66">
        <v>81.28</v>
      </c>
      <c r="H66">
        <v>1.31</v>
      </c>
      <c r="I66">
        <v>5</v>
      </c>
      <c r="J66">
        <v>230.2</v>
      </c>
      <c r="K66">
        <v>55.27</v>
      </c>
      <c r="L66">
        <v>17</v>
      </c>
      <c r="M66">
        <v>3</v>
      </c>
      <c r="N66">
        <v>52.93</v>
      </c>
      <c r="O66">
        <v>28626.06</v>
      </c>
      <c r="P66">
        <v>89.48</v>
      </c>
      <c r="Q66">
        <v>204.14</v>
      </c>
      <c r="R66">
        <v>24.48</v>
      </c>
      <c r="S66">
        <v>17.37</v>
      </c>
      <c r="T66">
        <v>1459.11</v>
      </c>
      <c r="U66">
        <v>0.71</v>
      </c>
      <c r="V66">
        <v>0.75</v>
      </c>
      <c r="W66">
        <v>1.1399999999999999</v>
      </c>
      <c r="X66">
        <v>0.08</v>
      </c>
      <c r="Y66">
        <v>1</v>
      </c>
      <c r="Z66">
        <v>10</v>
      </c>
    </row>
    <row r="67" spans="1:26" x14ac:dyDescent="0.3">
      <c r="A67">
        <v>65</v>
      </c>
      <c r="B67">
        <v>105</v>
      </c>
      <c r="C67" t="s">
        <v>26</v>
      </c>
      <c r="D67">
        <v>10.4825</v>
      </c>
      <c r="E67">
        <v>9.5399999999999991</v>
      </c>
      <c r="F67">
        <v>6.77</v>
      </c>
      <c r="G67">
        <v>81.27</v>
      </c>
      <c r="H67">
        <v>1.33</v>
      </c>
      <c r="I67">
        <v>5</v>
      </c>
      <c r="J67">
        <v>230.63</v>
      </c>
      <c r="K67">
        <v>55.27</v>
      </c>
      <c r="L67">
        <v>17.25</v>
      </c>
      <c r="M67">
        <v>3</v>
      </c>
      <c r="N67">
        <v>53.11</v>
      </c>
      <c r="O67">
        <v>28678.42</v>
      </c>
      <c r="P67">
        <v>89.32</v>
      </c>
      <c r="Q67">
        <v>204.14</v>
      </c>
      <c r="R67">
        <v>24.39</v>
      </c>
      <c r="S67">
        <v>17.37</v>
      </c>
      <c r="T67">
        <v>1411.78</v>
      </c>
      <c r="U67">
        <v>0.71</v>
      </c>
      <c r="V67">
        <v>0.75</v>
      </c>
      <c r="W67">
        <v>1.1399999999999999</v>
      </c>
      <c r="X67">
        <v>0.08</v>
      </c>
      <c r="Y67">
        <v>1</v>
      </c>
      <c r="Z67">
        <v>10</v>
      </c>
    </row>
    <row r="68" spans="1:26" x14ac:dyDescent="0.3">
      <c r="A68">
        <v>66</v>
      </c>
      <c r="B68">
        <v>105</v>
      </c>
      <c r="C68" t="s">
        <v>26</v>
      </c>
      <c r="D68">
        <v>10.477</v>
      </c>
      <c r="E68">
        <v>9.5399999999999991</v>
      </c>
      <c r="F68">
        <v>6.78</v>
      </c>
      <c r="G68">
        <v>81.33</v>
      </c>
      <c r="H68">
        <v>1.35</v>
      </c>
      <c r="I68">
        <v>5</v>
      </c>
      <c r="J68">
        <v>231.05</v>
      </c>
      <c r="K68">
        <v>55.27</v>
      </c>
      <c r="L68">
        <v>17.5</v>
      </c>
      <c r="M68">
        <v>3</v>
      </c>
      <c r="N68">
        <v>53.28</v>
      </c>
      <c r="O68">
        <v>28730.85</v>
      </c>
      <c r="P68">
        <v>89.25</v>
      </c>
      <c r="Q68">
        <v>204.14</v>
      </c>
      <c r="R68">
        <v>24.52</v>
      </c>
      <c r="S68">
        <v>17.37</v>
      </c>
      <c r="T68">
        <v>1479.35</v>
      </c>
      <c r="U68">
        <v>0.71</v>
      </c>
      <c r="V68">
        <v>0.75</v>
      </c>
      <c r="W68">
        <v>1.1399999999999999</v>
      </c>
      <c r="X68">
        <v>0.09</v>
      </c>
      <c r="Y68">
        <v>1</v>
      </c>
      <c r="Z68">
        <v>10</v>
      </c>
    </row>
    <row r="69" spans="1:26" x14ac:dyDescent="0.3">
      <c r="A69">
        <v>67</v>
      </c>
      <c r="B69">
        <v>105</v>
      </c>
      <c r="C69" t="s">
        <v>26</v>
      </c>
      <c r="D69">
        <v>10.4779</v>
      </c>
      <c r="E69">
        <v>9.5399999999999991</v>
      </c>
      <c r="F69">
        <v>6.78</v>
      </c>
      <c r="G69">
        <v>81.319999999999993</v>
      </c>
      <c r="H69">
        <v>1.36</v>
      </c>
      <c r="I69">
        <v>5</v>
      </c>
      <c r="J69">
        <v>231.48</v>
      </c>
      <c r="K69">
        <v>55.27</v>
      </c>
      <c r="L69">
        <v>17.75</v>
      </c>
      <c r="M69">
        <v>3</v>
      </c>
      <c r="N69">
        <v>53.46</v>
      </c>
      <c r="O69">
        <v>28783.34</v>
      </c>
      <c r="P69">
        <v>89.2</v>
      </c>
      <c r="Q69">
        <v>204.14</v>
      </c>
      <c r="R69">
        <v>24.5</v>
      </c>
      <c r="S69">
        <v>17.37</v>
      </c>
      <c r="T69">
        <v>1468.35</v>
      </c>
      <c r="U69">
        <v>0.71</v>
      </c>
      <c r="V69">
        <v>0.75</v>
      </c>
      <c r="W69">
        <v>1.1499999999999999</v>
      </c>
      <c r="X69">
        <v>0.09</v>
      </c>
      <c r="Y69">
        <v>1</v>
      </c>
      <c r="Z69">
        <v>10</v>
      </c>
    </row>
    <row r="70" spans="1:26" x14ac:dyDescent="0.3">
      <c r="A70">
        <v>68</v>
      </c>
      <c r="B70">
        <v>105</v>
      </c>
      <c r="C70" t="s">
        <v>26</v>
      </c>
      <c r="D70">
        <v>10.480700000000001</v>
      </c>
      <c r="E70">
        <v>9.5399999999999991</v>
      </c>
      <c r="F70">
        <v>6.77</v>
      </c>
      <c r="G70">
        <v>81.290000000000006</v>
      </c>
      <c r="H70">
        <v>1.38</v>
      </c>
      <c r="I70">
        <v>5</v>
      </c>
      <c r="J70">
        <v>231.91</v>
      </c>
      <c r="K70">
        <v>55.27</v>
      </c>
      <c r="L70">
        <v>18</v>
      </c>
      <c r="M70">
        <v>3</v>
      </c>
      <c r="N70">
        <v>53.63</v>
      </c>
      <c r="O70">
        <v>28835.89</v>
      </c>
      <c r="P70">
        <v>88.93</v>
      </c>
      <c r="Q70">
        <v>204.14</v>
      </c>
      <c r="R70">
        <v>24.45</v>
      </c>
      <c r="S70">
        <v>17.37</v>
      </c>
      <c r="T70">
        <v>1443.46</v>
      </c>
      <c r="U70">
        <v>0.71</v>
      </c>
      <c r="V70">
        <v>0.75</v>
      </c>
      <c r="W70">
        <v>1.1399999999999999</v>
      </c>
      <c r="X70">
        <v>0.08</v>
      </c>
      <c r="Y70">
        <v>1</v>
      </c>
      <c r="Z70">
        <v>10</v>
      </c>
    </row>
    <row r="71" spans="1:26" x14ac:dyDescent="0.3">
      <c r="A71">
        <v>69</v>
      </c>
      <c r="B71">
        <v>105</v>
      </c>
      <c r="C71" t="s">
        <v>26</v>
      </c>
      <c r="D71">
        <v>10.486800000000001</v>
      </c>
      <c r="E71">
        <v>9.5399999999999991</v>
      </c>
      <c r="F71">
        <v>6.77</v>
      </c>
      <c r="G71">
        <v>81.22</v>
      </c>
      <c r="H71">
        <v>1.4</v>
      </c>
      <c r="I71">
        <v>5</v>
      </c>
      <c r="J71">
        <v>232.33</v>
      </c>
      <c r="K71">
        <v>55.27</v>
      </c>
      <c r="L71">
        <v>18.25</v>
      </c>
      <c r="M71">
        <v>3</v>
      </c>
      <c r="N71">
        <v>53.81</v>
      </c>
      <c r="O71">
        <v>28888.51</v>
      </c>
      <c r="P71">
        <v>88.63</v>
      </c>
      <c r="Q71">
        <v>204.14</v>
      </c>
      <c r="R71">
        <v>24.23</v>
      </c>
      <c r="S71">
        <v>17.37</v>
      </c>
      <c r="T71">
        <v>1334.8</v>
      </c>
      <c r="U71">
        <v>0.72</v>
      </c>
      <c r="V71">
        <v>0.75</v>
      </c>
      <c r="W71">
        <v>1.1399999999999999</v>
      </c>
      <c r="X71">
        <v>0.08</v>
      </c>
      <c r="Y71">
        <v>1</v>
      </c>
      <c r="Z71">
        <v>10</v>
      </c>
    </row>
    <row r="72" spans="1:26" x14ac:dyDescent="0.3">
      <c r="A72">
        <v>70</v>
      </c>
      <c r="B72">
        <v>105</v>
      </c>
      <c r="C72" t="s">
        <v>26</v>
      </c>
      <c r="D72">
        <v>10.492000000000001</v>
      </c>
      <c r="E72">
        <v>9.5299999999999994</v>
      </c>
      <c r="F72">
        <v>6.76</v>
      </c>
      <c r="G72">
        <v>81.16</v>
      </c>
      <c r="H72">
        <v>1.41</v>
      </c>
      <c r="I72">
        <v>5</v>
      </c>
      <c r="J72">
        <v>232.76</v>
      </c>
      <c r="K72">
        <v>55.27</v>
      </c>
      <c r="L72">
        <v>18.5</v>
      </c>
      <c r="M72">
        <v>3</v>
      </c>
      <c r="N72">
        <v>53.99</v>
      </c>
      <c r="O72">
        <v>28941.18</v>
      </c>
      <c r="P72">
        <v>88.23</v>
      </c>
      <c r="Q72">
        <v>204.14</v>
      </c>
      <c r="R72">
        <v>24.09</v>
      </c>
      <c r="S72">
        <v>17.37</v>
      </c>
      <c r="T72">
        <v>1260.74</v>
      </c>
      <c r="U72">
        <v>0.72</v>
      </c>
      <c r="V72">
        <v>0.76</v>
      </c>
      <c r="W72">
        <v>1.1399999999999999</v>
      </c>
      <c r="X72">
        <v>7.0000000000000007E-2</v>
      </c>
      <c r="Y72">
        <v>1</v>
      </c>
      <c r="Z72">
        <v>10</v>
      </c>
    </row>
    <row r="73" spans="1:26" x14ac:dyDescent="0.3">
      <c r="A73">
        <v>71</v>
      </c>
      <c r="B73">
        <v>105</v>
      </c>
      <c r="C73" t="s">
        <v>26</v>
      </c>
      <c r="D73">
        <v>10.4923</v>
      </c>
      <c r="E73">
        <v>9.5299999999999994</v>
      </c>
      <c r="F73">
        <v>6.76</v>
      </c>
      <c r="G73">
        <v>81.16</v>
      </c>
      <c r="H73">
        <v>1.43</v>
      </c>
      <c r="I73">
        <v>5</v>
      </c>
      <c r="J73">
        <v>233.19</v>
      </c>
      <c r="K73">
        <v>55.27</v>
      </c>
      <c r="L73">
        <v>18.75</v>
      </c>
      <c r="M73">
        <v>3</v>
      </c>
      <c r="N73">
        <v>54.17</v>
      </c>
      <c r="O73">
        <v>28993.919999999998</v>
      </c>
      <c r="P73">
        <v>87.87</v>
      </c>
      <c r="Q73">
        <v>204.14</v>
      </c>
      <c r="R73">
        <v>24.06</v>
      </c>
      <c r="S73">
        <v>17.37</v>
      </c>
      <c r="T73">
        <v>1246.17</v>
      </c>
      <c r="U73">
        <v>0.72</v>
      </c>
      <c r="V73">
        <v>0.76</v>
      </c>
      <c r="W73">
        <v>1.1399999999999999</v>
      </c>
      <c r="X73">
        <v>7.0000000000000007E-2</v>
      </c>
      <c r="Y73">
        <v>1</v>
      </c>
      <c r="Z73">
        <v>10</v>
      </c>
    </row>
    <row r="74" spans="1:26" x14ac:dyDescent="0.3">
      <c r="A74">
        <v>72</v>
      </c>
      <c r="B74">
        <v>105</v>
      </c>
      <c r="C74" t="s">
        <v>26</v>
      </c>
      <c r="D74">
        <v>10.485799999999999</v>
      </c>
      <c r="E74">
        <v>9.5399999999999991</v>
      </c>
      <c r="F74">
        <v>6.77</v>
      </c>
      <c r="G74">
        <v>81.23</v>
      </c>
      <c r="H74">
        <v>1.45</v>
      </c>
      <c r="I74">
        <v>5</v>
      </c>
      <c r="J74">
        <v>233.62</v>
      </c>
      <c r="K74">
        <v>55.27</v>
      </c>
      <c r="L74">
        <v>19</v>
      </c>
      <c r="M74">
        <v>3</v>
      </c>
      <c r="N74">
        <v>54.34</v>
      </c>
      <c r="O74">
        <v>29046.73</v>
      </c>
      <c r="P74">
        <v>87.46</v>
      </c>
      <c r="Q74">
        <v>204.14</v>
      </c>
      <c r="R74">
        <v>24.18</v>
      </c>
      <c r="S74">
        <v>17.37</v>
      </c>
      <c r="T74">
        <v>1309.4000000000001</v>
      </c>
      <c r="U74">
        <v>0.72</v>
      </c>
      <c r="V74">
        <v>0.75</v>
      </c>
      <c r="W74">
        <v>1.1499999999999999</v>
      </c>
      <c r="X74">
        <v>0.08</v>
      </c>
      <c r="Y74">
        <v>1</v>
      </c>
      <c r="Z74">
        <v>10</v>
      </c>
    </row>
    <row r="75" spans="1:26" x14ac:dyDescent="0.3">
      <c r="A75">
        <v>73</v>
      </c>
      <c r="B75">
        <v>105</v>
      </c>
      <c r="C75" t="s">
        <v>26</v>
      </c>
      <c r="D75">
        <v>10.4892</v>
      </c>
      <c r="E75">
        <v>9.5299999999999994</v>
      </c>
      <c r="F75">
        <v>6.77</v>
      </c>
      <c r="G75">
        <v>81.19</v>
      </c>
      <c r="H75">
        <v>1.46</v>
      </c>
      <c r="I75">
        <v>5</v>
      </c>
      <c r="J75">
        <v>234.04</v>
      </c>
      <c r="K75">
        <v>55.27</v>
      </c>
      <c r="L75">
        <v>19.25</v>
      </c>
      <c r="M75">
        <v>3</v>
      </c>
      <c r="N75">
        <v>54.52</v>
      </c>
      <c r="O75">
        <v>29099.59</v>
      </c>
      <c r="P75">
        <v>87.07</v>
      </c>
      <c r="Q75">
        <v>204.14</v>
      </c>
      <c r="R75">
        <v>24.17</v>
      </c>
      <c r="S75">
        <v>17.37</v>
      </c>
      <c r="T75">
        <v>1300.54</v>
      </c>
      <c r="U75">
        <v>0.72</v>
      </c>
      <c r="V75">
        <v>0.75</v>
      </c>
      <c r="W75">
        <v>1.1399999999999999</v>
      </c>
      <c r="X75">
        <v>7.0000000000000007E-2</v>
      </c>
      <c r="Y75">
        <v>1</v>
      </c>
      <c r="Z75">
        <v>10</v>
      </c>
    </row>
    <row r="76" spans="1:26" x14ac:dyDescent="0.3">
      <c r="A76">
        <v>74</v>
      </c>
      <c r="B76">
        <v>105</v>
      </c>
      <c r="C76" t="s">
        <v>26</v>
      </c>
      <c r="D76">
        <v>10.4871</v>
      </c>
      <c r="E76">
        <v>9.5399999999999991</v>
      </c>
      <c r="F76">
        <v>6.77</v>
      </c>
      <c r="G76">
        <v>81.22</v>
      </c>
      <c r="H76">
        <v>1.48</v>
      </c>
      <c r="I76">
        <v>5</v>
      </c>
      <c r="J76">
        <v>234.47</v>
      </c>
      <c r="K76">
        <v>55.27</v>
      </c>
      <c r="L76">
        <v>19.5</v>
      </c>
      <c r="M76">
        <v>3</v>
      </c>
      <c r="N76">
        <v>54.7</v>
      </c>
      <c r="O76">
        <v>29152.52</v>
      </c>
      <c r="P76">
        <v>87.03</v>
      </c>
      <c r="Q76">
        <v>204.14</v>
      </c>
      <c r="R76">
        <v>24.21</v>
      </c>
      <c r="S76">
        <v>17.37</v>
      </c>
      <c r="T76">
        <v>1324.46</v>
      </c>
      <c r="U76">
        <v>0.72</v>
      </c>
      <c r="V76">
        <v>0.75</v>
      </c>
      <c r="W76">
        <v>1.1499999999999999</v>
      </c>
      <c r="X76">
        <v>0.08</v>
      </c>
      <c r="Y76">
        <v>1</v>
      </c>
      <c r="Z76">
        <v>10</v>
      </c>
    </row>
    <row r="77" spans="1:26" x14ac:dyDescent="0.3">
      <c r="A77">
        <v>75</v>
      </c>
      <c r="B77">
        <v>105</v>
      </c>
      <c r="C77" t="s">
        <v>26</v>
      </c>
      <c r="D77">
        <v>10.4849</v>
      </c>
      <c r="E77">
        <v>9.5399999999999991</v>
      </c>
      <c r="F77">
        <v>6.77</v>
      </c>
      <c r="G77">
        <v>81.239999999999995</v>
      </c>
      <c r="H77">
        <v>1.49</v>
      </c>
      <c r="I77">
        <v>5</v>
      </c>
      <c r="J77">
        <v>234.9</v>
      </c>
      <c r="K77">
        <v>55.27</v>
      </c>
      <c r="L77">
        <v>19.75</v>
      </c>
      <c r="M77">
        <v>3</v>
      </c>
      <c r="N77">
        <v>54.88</v>
      </c>
      <c r="O77">
        <v>29205.51</v>
      </c>
      <c r="P77">
        <v>86.83</v>
      </c>
      <c r="Q77">
        <v>204.14</v>
      </c>
      <c r="R77">
        <v>24.32</v>
      </c>
      <c r="S77">
        <v>17.37</v>
      </c>
      <c r="T77">
        <v>1377.24</v>
      </c>
      <c r="U77">
        <v>0.71</v>
      </c>
      <c r="V77">
        <v>0.75</v>
      </c>
      <c r="W77">
        <v>1.1399999999999999</v>
      </c>
      <c r="X77">
        <v>0.08</v>
      </c>
      <c r="Y77">
        <v>1</v>
      </c>
      <c r="Z77">
        <v>10</v>
      </c>
    </row>
    <row r="78" spans="1:26" x14ac:dyDescent="0.3">
      <c r="A78">
        <v>76</v>
      </c>
      <c r="B78">
        <v>105</v>
      </c>
      <c r="C78" t="s">
        <v>26</v>
      </c>
      <c r="D78">
        <v>10.482799999999999</v>
      </c>
      <c r="E78">
        <v>9.5399999999999991</v>
      </c>
      <c r="F78">
        <v>6.77</v>
      </c>
      <c r="G78">
        <v>81.260000000000005</v>
      </c>
      <c r="H78">
        <v>1.51</v>
      </c>
      <c r="I78">
        <v>5</v>
      </c>
      <c r="J78">
        <v>235.33</v>
      </c>
      <c r="K78">
        <v>55.27</v>
      </c>
      <c r="L78">
        <v>20</v>
      </c>
      <c r="M78">
        <v>3</v>
      </c>
      <c r="N78">
        <v>55.06</v>
      </c>
      <c r="O78">
        <v>29258.57</v>
      </c>
      <c r="P78">
        <v>86.6</v>
      </c>
      <c r="Q78">
        <v>204.14</v>
      </c>
      <c r="R78">
        <v>24.31</v>
      </c>
      <c r="S78">
        <v>17.37</v>
      </c>
      <c r="T78">
        <v>1371.16</v>
      </c>
      <c r="U78">
        <v>0.71</v>
      </c>
      <c r="V78">
        <v>0.75</v>
      </c>
      <c r="W78">
        <v>1.1499999999999999</v>
      </c>
      <c r="X78">
        <v>0.08</v>
      </c>
      <c r="Y78">
        <v>1</v>
      </c>
      <c r="Z78">
        <v>10</v>
      </c>
    </row>
    <row r="79" spans="1:26" x14ac:dyDescent="0.3">
      <c r="A79">
        <v>77</v>
      </c>
      <c r="B79">
        <v>105</v>
      </c>
      <c r="C79" t="s">
        <v>26</v>
      </c>
      <c r="D79">
        <v>10.487399999999999</v>
      </c>
      <c r="E79">
        <v>9.5399999999999991</v>
      </c>
      <c r="F79">
        <v>6.77</v>
      </c>
      <c r="G79">
        <v>81.209999999999994</v>
      </c>
      <c r="H79">
        <v>1.53</v>
      </c>
      <c r="I79">
        <v>5</v>
      </c>
      <c r="J79">
        <v>235.76</v>
      </c>
      <c r="K79">
        <v>55.27</v>
      </c>
      <c r="L79">
        <v>20.25</v>
      </c>
      <c r="M79">
        <v>3</v>
      </c>
      <c r="N79">
        <v>55.24</v>
      </c>
      <c r="O79">
        <v>29311.69</v>
      </c>
      <c r="P79">
        <v>86.12</v>
      </c>
      <c r="Q79">
        <v>204.19</v>
      </c>
      <c r="R79">
        <v>24.21</v>
      </c>
      <c r="S79">
        <v>17.37</v>
      </c>
      <c r="T79">
        <v>1321.55</v>
      </c>
      <c r="U79">
        <v>0.72</v>
      </c>
      <c r="V79">
        <v>0.75</v>
      </c>
      <c r="W79">
        <v>1.1399999999999999</v>
      </c>
      <c r="X79">
        <v>0.08</v>
      </c>
      <c r="Y79">
        <v>1</v>
      </c>
      <c r="Z79">
        <v>10</v>
      </c>
    </row>
    <row r="80" spans="1:26" x14ac:dyDescent="0.3">
      <c r="A80">
        <v>78</v>
      </c>
      <c r="B80">
        <v>105</v>
      </c>
      <c r="C80" t="s">
        <v>26</v>
      </c>
      <c r="D80">
        <v>10.558999999999999</v>
      </c>
      <c r="E80">
        <v>9.4700000000000006</v>
      </c>
      <c r="F80">
        <v>6.74</v>
      </c>
      <c r="G80">
        <v>101.15</v>
      </c>
      <c r="H80">
        <v>1.54</v>
      </c>
      <c r="I80">
        <v>4</v>
      </c>
      <c r="J80">
        <v>236.2</v>
      </c>
      <c r="K80">
        <v>55.27</v>
      </c>
      <c r="L80">
        <v>20.5</v>
      </c>
      <c r="M80">
        <v>2</v>
      </c>
      <c r="N80">
        <v>55.42</v>
      </c>
      <c r="O80">
        <v>29364.87</v>
      </c>
      <c r="P80">
        <v>85.42</v>
      </c>
      <c r="Q80">
        <v>204.14</v>
      </c>
      <c r="R80">
        <v>23.44</v>
      </c>
      <c r="S80">
        <v>17.37</v>
      </c>
      <c r="T80">
        <v>943.06</v>
      </c>
      <c r="U80">
        <v>0.74</v>
      </c>
      <c r="V80">
        <v>0.76</v>
      </c>
      <c r="W80">
        <v>1.1399999999999999</v>
      </c>
      <c r="X80">
        <v>0.05</v>
      </c>
      <c r="Y80">
        <v>1</v>
      </c>
      <c r="Z80">
        <v>10</v>
      </c>
    </row>
    <row r="81" spans="1:26" x14ac:dyDescent="0.3">
      <c r="A81">
        <v>79</v>
      </c>
      <c r="B81">
        <v>105</v>
      </c>
      <c r="C81" t="s">
        <v>26</v>
      </c>
      <c r="D81">
        <v>10.559699999999999</v>
      </c>
      <c r="E81">
        <v>9.4700000000000006</v>
      </c>
      <c r="F81">
        <v>6.74</v>
      </c>
      <c r="G81">
        <v>101.15</v>
      </c>
      <c r="H81">
        <v>1.56</v>
      </c>
      <c r="I81">
        <v>4</v>
      </c>
      <c r="J81">
        <v>236.63</v>
      </c>
      <c r="K81">
        <v>55.27</v>
      </c>
      <c r="L81">
        <v>20.75</v>
      </c>
      <c r="M81">
        <v>2</v>
      </c>
      <c r="N81">
        <v>55.6</v>
      </c>
      <c r="O81">
        <v>29418.12</v>
      </c>
      <c r="P81">
        <v>85.51</v>
      </c>
      <c r="Q81">
        <v>204.14</v>
      </c>
      <c r="R81">
        <v>23.44</v>
      </c>
      <c r="S81">
        <v>17.37</v>
      </c>
      <c r="T81">
        <v>944.14</v>
      </c>
      <c r="U81">
        <v>0.74</v>
      </c>
      <c r="V81">
        <v>0.76</v>
      </c>
      <c r="W81">
        <v>1.1399999999999999</v>
      </c>
      <c r="X81">
        <v>0.05</v>
      </c>
      <c r="Y81">
        <v>1</v>
      </c>
      <c r="Z81">
        <v>10</v>
      </c>
    </row>
    <row r="82" spans="1:26" x14ac:dyDescent="0.3">
      <c r="A82">
        <v>80</v>
      </c>
      <c r="B82">
        <v>105</v>
      </c>
      <c r="C82" t="s">
        <v>26</v>
      </c>
      <c r="D82">
        <v>10.552199999999999</v>
      </c>
      <c r="E82">
        <v>9.48</v>
      </c>
      <c r="F82">
        <v>6.75</v>
      </c>
      <c r="G82">
        <v>101.25</v>
      </c>
      <c r="H82">
        <v>1.58</v>
      </c>
      <c r="I82">
        <v>4</v>
      </c>
      <c r="J82">
        <v>237.06</v>
      </c>
      <c r="K82">
        <v>55.27</v>
      </c>
      <c r="L82">
        <v>21</v>
      </c>
      <c r="M82">
        <v>2</v>
      </c>
      <c r="N82">
        <v>55.79</v>
      </c>
      <c r="O82">
        <v>29471.439999999999</v>
      </c>
      <c r="P82">
        <v>85.73</v>
      </c>
      <c r="Q82">
        <v>204.14</v>
      </c>
      <c r="R82">
        <v>23.65</v>
      </c>
      <c r="S82">
        <v>17.37</v>
      </c>
      <c r="T82">
        <v>1047.04</v>
      </c>
      <c r="U82">
        <v>0.73</v>
      </c>
      <c r="V82">
        <v>0.76</v>
      </c>
      <c r="W82">
        <v>1.1399999999999999</v>
      </c>
      <c r="X82">
        <v>0.06</v>
      </c>
      <c r="Y82">
        <v>1</v>
      </c>
      <c r="Z82">
        <v>10</v>
      </c>
    </row>
    <row r="83" spans="1:26" x14ac:dyDescent="0.3">
      <c r="A83">
        <v>81</v>
      </c>
      <c r="B83">
        <v>105</v>
      </c>
      <c r="C83" t="s">
        <v>26</v>
      </c>
      <c r="D83">
        <v>10.5535</v>
      </c>
      <c r="E83">
        <v>9.48</v>
      </c>
      <c r="F83">
        <v>6.75</v>
      </c>
      <c r="G83">
        <v>101.23</v>
      </c>
      <c r="H83">
        <v>1.59</v>
      </c>
      <c r="I83">
        <v>4</v>
      </c>
      <c r="J83">
        <v>237.49</v>
      </c>
      <c r="K83">
        <v>55.27</v>
      </c>
      <c r="L83">
        <v>21.25</v>
      </c>
      <c r="M83">
        <v>2</v>
      </c>
      <c r="N83">
        <v>55.97</v>
      </c>
      <c r="O83">
        <v>29524.81</v>
      </c>
      <c r="P83">
        <v>85.83</v>
      </c>
      <c r="Q83">
        <v>204.14</v>
      </c>
      <c r="R83">
        <v>23.64</v>
      </c>
      <c r="S83">
        <v>17.37</v>
      </c>
      <c r="T83">
        <v>1044.81</v>
      </c>
      <c r="U83">
        <v>0.73</v>
      </c>
      <c r="V83">
        <v>0.76</v>
      </c>
      <c r="W83">
        <v>1.1399999999999999</v>
      </c>
      <c r="X83">
        <v>0.06</v>
      </c>
      <c r="Y83">
        <v>1</v>
      </c>
      <c r="Z83">
        <v>10</v>
      </c>
    </row>
    <row r="84" spans="1:26" x14ac:dyDescent="0.3">
      <c r="A84">
        <v>82</v>
      </c>
      <c r="B84">
        <v>105</v>
      </c>
      <c r="C84" t="s">
        <v>26</v>
      </c>
      <c r="D84">
        <v>10.553800000000001</v>
      </c>
      <c r="E84">
        <v>9.48</v>
      </c>
      <c r="F84">
        <v>6.75</v>
      </c>
      <c r="G84">
        <v>101.22</v>
      </c>
      <c r="H84">
        <v>1.61</v>
      </c>
      <c r="I84">
        <v>4</v>
      </c>
      <c r="J84">
        <v>237.93</v>
      </c>
      <c r="K84">
        <v>55.27</v>
      </c>
      <c r="L84">
        <v>21.5</v>
      </c>
      <c r="M84">
        <v>2</v>
      </c>
      <c r="N84">
        <v>56.15</v>
      </c>
      <c r="O84">
        <v>29578.26</v>
      </c>
      <c r="P84">
        <v>85.84</v>
      </c>
      <c r="Q84">
        <v>204.14</v>
      </c>
      <c r="R84">
        <v>23.7</v>
      </c>
      <c r="S84">
        <v>17.37</v>
      </c>
      <c r="T84">
        <v>1070.99</v>
      </c>
      <c r="U84">
        <v>0.73</v>
      </c>
      <c r="V84">
        <v>0.76</v>
      </c>
      <c r="W84">
        <v>1.1399999999999999</v>
      </c>
      <c r="X84">
        <v>0.06</v>
      </c>
      <c r="Y84">
        <v>1</v>
      </c>
      <c r="Z84">
        <v>10</v>
      </c>
    </row>
    <row r="85" spans="1:26" x14ac:dyDescent="0.3">
      <c r="A85">
        <v>83</v>
      </c>
      <c r="B85">
        <v>105</v>
      </c>
      <c r="C85" t="s">
        <v>26</v>
      </c>
      <c r="D85">
        <v>10.555300000000001</v>
      </c>
      <c r="E85">
        <v>9.4700000000000006</v>
      </c>
      <c r="F85">
        <v>6.75</v>
      </c>
      <c r="G85">
        <v>101.2</v>
      </c>
      <c r="H85">
        <v>1.62</v>
      </c>
      <c r="I85">
        <v>4</v>
      </c>
      <c r="J85">
        <v>238.36</v>
      </c>
      <c r="K85">
        <v>55.27</v>
      </c>
      <c r="L85">
        <v>21.75</v>
      </c>
      <c r="M85">
        <v>2</v>
      </c>
      <c r="N85">
        <v>56.34</v>
      </c>
      <c r="O85">
        <v>29631.77</v>
      </c>
      <c r="P85">
        <v>86.04</v>
      </c>
      <c r="Q85">
        <v>204.14</v>
      </c>
      <c r="R85">
        <v>23.61</v>
      </c>
      <c r="S85">
        <v>17.37</v>
      </c>
      <c r="T85">
        <v>1026.8900000000001</v>
      </c>
      <c r="U85">
        <v>0.74</v>
      </c>
      <c r="V85">
        <v>0.76</v>
      </c>
      <c r="W85">
        <v>1.1399999999999999</v>
      </c>
      <c r="X85">
        <v>0.06</v>
      </c>
      <c r="Y85">
        <v>1</v>
      </c>
      <c r="Z85">
        <v>10</v>
      </c>
    </row>
    <row r="86" spans="1:26" x14ac:dyDescent="0.3">
      <c r="A86">
        <v>84</v>
      </c>
      <c r="B86">
        <v>105</v>
      </c>
      <c r="C86" t="s">
        <v>26</v>
      </c>
      <c r="D86">
        <v>10.558400000000001</v>
      </c>
      <c r="E86">
        <v>9.4700000000000006</v>
      </c>
      <c r="F86">
        <v>6.74</v>
      </c>
      <c r="G86">
        <v>101.16</v>
      </c>
      <c r="H86">
        <v>1.64</v>
      </c>
      <c r="I86">
        <v>4</v>
      </c>
      <c r="J86">
        <v>238.79</v>
      </c>
      <c r="K86">
        <v>55.27</v>
      </c>
      <c r="L86">
        <v>22</v>
      </c>
      <c r="M86">
        <v>2</v>
      </c>
      <c r="N86">
        <v>56.52</v>
      </c>
      <c r="O86">
        <v>29685.34</v>
      </c>
      <c r="P86">
        <v>85.98</v>
      </c>
      <c r="Q86">
        <v>204.22</v>
      </c>
      <c r="R86">
        <v>23.49</v>
      </c>
      <c r="S86">
        <v>17.37</v>
      </c>
      <c r="T86">
        <v>967.67</v>
      </c>
      <c r="U86">
        <v>0.74</v>
      </c>
      <c r="V86">
        <v>0.76</v>
      </c>
      <c r="W86">
        <v>1.1399999999999999</v>
      </c>
      <c r="X86">
        <v>0.05</v>
      </c>
      <c r="Y86">
        <v>1</v>
      </c>
      <c r="Z86">
        <v>10</v>
      </c>
    </row>
    <row r="87" spans="1:26" x14ac:dyDescent="0.3">
      <c r="A87">
        <v>85</v>
      </c>
      <c r="B87">
        <v>105</v>
      </c>
      <c r="C87" t="s">
        <v>26</v>
      </c>
      <c r="D87">
        <v>10.5587</v>
      </c>
      <c r="E87">
        <v>9.4700000000000006</v>
      </c>
      <c r="F87">
        <v>6.74</v>
      </c>
      <c r="G87">
        <v>101.16</v>
      </c>
      <c r="H87">
        <v>1.65</v>
      </c>
      <c r="I87">
        <v>4</v>
      </c>
      <c r="J87">
        <v>239.23</v>
      </c>
      <c r="K87">
        <v>55.27</v>
      </c>
      <c r="L87">
        <v>22.25</v>
      </c>
      <c r="M87">
        <v>2</v>
      </c>
      <c r="N87">
        <v>56.71</v>
      </c>
      <c r="O87">
        <v>29738.98</v>
      </c>
      <c r="P87">
        <v>86.04</v>
      </c>
      <c r="Q87">
        <v>204.14</v>
      </c>
      <c r="R87">
        <v>23.46</v>
      </c>
      <c r="S87">
        <v>17.37</v>
      </c>
      <c r="T87">
        <v>950.3</v>
      </c>
      <c r="U87">
        <v>0.74</v>
      </c>
      <c r="V87">
        <v>0.76</v>
      </c>
      <c r="W87">
        <v>1.1399999999999999</v>
      </c>
      <c r="X87">
        <v>0.05</v>
      </c>
      <c r="Y87">
        <v>1</v>
      </c>
      <c r="Z87">
        <v>10</v>
      </c>
    </row>
    <row r="88" spans="1:26" x14ac:dyDescent="0.3">
      <c r="A88">
        <v>86</v>
      </c>
      <c r="B88">
        <v>105</v>
      </c>
      <c r="C88" t="s">
        <v>26</v>
      </c>
      <c r="D88">
        <v>10.556900000000001</v>
      </c>
      <c r="E88">
        <v>9.4700000000000006</v>
      </c>
      <c r="F88">
        <v>6.75</v>
      </c>
      <c r="G88">
        <v>101.18</v>
      </c>
      <c r="H88">
        <v>1.67</v>
      </c>
      <c r="I88">
        <v>4</v>
      </c>
      <c r="J88">
        <v>239.66</v>
      </c>
      <c r="K88">
        <v>55.27</v>
      </c>
      <c r="L88">
        <v>22.5</v>
      </c>
      <c r="M88">
        <v>2</v>
      </c>
      <c r="N88">
        <v>56.89</v>
      </c>
      <c r="O88">
        <v>29792.69</v>
      </c>
      <c r="P88">
        <v>86.06</v>
      </c>
      <c r="Q88">
        <v>204.14</v>
      </c>
      <c r="R88">
        <v>23.54</v>
      </c>
      <c r="S88">
        <v>17.37</v>
      </c>
      <c r="T88">
        <v>992.43</v>
      </c>
      <c r="U88">
        <v>0.74</v>
      </c>
      <c r="V88">
        <v>0.76</v>
      </c>
      <c r="W88">
        <v>1.1399999999999999</v>
      </c>
      <c r="X88">
        <v>0.05</v>
      </c>
      <c r="Y88">
        <v>1</v>
      </c>
      <c r="Z88">
        <v>10</v>
      </c>
    </row>
    <row r="89" spans="1:26" x14ac:dyDescent="0.3">
      <c r="A89">
        <v>87</v>
      </c>
      <c r="B89">
        <v>105</v>
      </c>
      <c r="C89" t="s">
        <v>26</v>
      </c>
      <c r="D89">
        <v>10.5482</v>
      </c>
      <c r="E89">
        <v>9.48</v>
      </c>
      <c r="F89">
        <v>6.75</v>
      </c>
      <c r="G89">
        <v>101.3</v>
      </c>
      <c r="H89">
        <v>1.69</v>
      </c>
      <c r="I89">
        <v>4</v>
      </c>
      <c r="J89">
        <v>240.1</v>
      </c>
      <c r="K89">
        <v>55.27</v>
      </c>
      <c r="L89">
        <v>22.75</v>
      </c>
      <c r="M89">
        <v>2</v>
      </c>
      <c r="N89">
        <v>57.08</v>
      </c>
      <c r="O89">
        <v>29846.46</v>
      </c>
      <c r="P89">
        <v>86.06</v>
      </c>
      <c r="Q89">
        <v>204.14</v>
      </c>
      <c r="R89">
        <v>23.74</v>
      </c>
      <c r="S89">
        <v>17.37</v>
      </c>
      <c r="T89">
        <v>1094.8</v>
      </c>
      <c r="U89">
        <v>0.73</v>
      </c>
      <c r="V89">
        <v>0.76</v>
      </c>
      <c r="W89">
        <v>1.1399999999999999</v>
      </c>
      <c r="X89">
        <v>0.06</v>
      </c>
      <c r="Y89">
        <v>1</v>
      </c>
      <c r="Z89">
        <v>10</v>
      </c>
    </row>
    <row r="90" spans="1:26" x14ac:dyDescent="0.3">
      <c r="A90">
        <v>88</v>
      </c>
      <c r="B90">
        <v>105</v>
      </c>
      <c r="C90" t="s">
        <v>26</v>
      </c>
      <c r="D90">
        <v>10.5501</v>
      </c>
      <c r="E90">
        <v>9.48</v>
      </c>
      <c r="F90">
        <v>6.75</v>
      </c>
      <c r="G90">
        <v>101.28</v>
      </c>
      <c r="H90">
        <v>1.7</v>
      </c>
      <c r="I90">
        <v>4</v>
      </c>
      <c r="J90">
        <v>240.54</v>
      </c>
      <c r="K90">
        <v>55.27</v>
      </c>
      <c r="L90">
        <v>23</v>
      </c>
      <c r="M90">
        <v>2</v>
      </c>
      <c r="N90">
        <v>57.26</v>
      </c>
      <c r="O90">
        <v>29900.43</v>
      </c>
      <c r="P90">
        <v>85.95</v>
      </c>
      <c r="Q90">
        <v>204.14</v>
      </c>
      <c r="R90">
        <v>23.72</v>
      </c>
      <c r="S90">
        <v>17.37</v>
      </c>
      <c r="T90">
        <v>1083.21</v>
      </c>
      <c r="U90">
        <v>0.73</v>
      </c>
      <c r="V90">
        <v>0.76</v>
      </c>
      <c r="W90">
        <v>1.1399999999999999</v>
      </c>
      <c r="X90">
        <v>0.06</v>
      </c>
      <c r="Y90">
        <v>1</v>
      </c>
      <c r="Z90">
        <v>10</v>
      </c>
    </row>
    <row r="91" spans="1:26" x14ac:dyDescent="0.3">
      <c r="A91">
        <v>89</v>
      </c>
      <c r="B91">
        <v>105</v>
      </c>
      <c r="C91" t="s">
        <v>26</v>
      </c>
      <c r="D91">
        <v>10.5532</v>
      </c>
      <c r="E91">
        <v>9.48</v>
      </c>
      <c r="F91">
        <v>6.75</v>
      </c>
      <c r="G91">
        <v>101.23</v>
      </c>
      <c r="H91">
        <v>1.72</v>
      </c>
      <c r="I91">
        <v>4</v>
      </c>
      <c r="J91">
        <v>240.97</v>
      </c>
      <c r="K91">
        <v>55.27</v>
      </c>
      <c r="L91">
        <v>23.25</v>
      </c>
      <c r="M91">
        <v>2</v>
      </c>
      <c r="N91">
        <v>57.45</v>
      </c>
      <c r="O91">
        <v>29954.34</v>
      </c>
      <c r="P91">
        <v>85.86</v>
      </c>
      <c r="Q91">
        <v>204.14</v>
      </c>
      <c r="R91">
        <v>23.66</v>
      </c>
      <c r="S91">
        <v>17.37</v>
      </c>
      <c r="T91">
        <v>1051.8499999999999</v>
      </c>
      <c r="U91">
        <v>0.73</v>
      </c>
      <c r="V91">
        <v>0.76</v>
      </c>
      <c r="W91">
        <v>1.1399999999999999</v>
      </c>
      <c r="X91">
        <v>0.06</v>
      </c>
      <c r="Y91">
        <v>1</v>
      </c>
      <c r="Z91">
        <v>10</v>
      </c>
    </row>
    <row r="92" spans="1:26" x14ac:dyDescent="0.3">
      <c r="A92">
        <v>90</v>
      </c>
      <c r="B92">
        <v>105</v>
      </c>
      <c r="C92" t="s">
        <v>26</v>
      </c>
      <c r="D92">
        <v>10.5556</v>
      </c>
      <c r="E92">
        <v>9.4700000000000006</v>
      </c>
      <c r="F92">
        <v>6.75</v>
      </c>
      <c r="G92">
        <v>101.2</v>
      </c>
      <c r="H92">
        <v>1.73</v>
      </c>
      <c r="I92">
        <v>4</v>
      </c>
      <c r="J92">
        <v>241.41</v>
      </c>
      <c r="K92">
        <v>55.27</v>
      </c>
      <c r="L92">
        <v>23.5</v>
      </c>
      <c r="M92">
        <v>2</v>
      </c>
      <c r="N92">
        <v>57.64</v>
      </c>
      <c r="O92">
        <v>30008.32</v>
      </c>
      <c r="P92">
        <v>85.71</v>
      </c>
      <c r="Q92">
        <v>204.17</v>
      </c>
      <c r="R92">
        <v>23.55</v>
      </c>
      <c r="S92">
        <v>17.37</v>
      </c>
      <c r="T92">
        <v>999.05</v>
      </c>
      <c r="U92">
        <v>0.74</v>
      </c>
      <c r="V92">
        <v>0.76</v>
      </c>
      <c r="W92">
        <v>1.1399999999999999</v>
      </c>
      <c r="X92">
        <v>0.06</v>
      </c>
      <c r="Y92">
        <v>1</v>
      </c>
      <c r="Z92">
        <v>10</v>
      </c>
    </row>
    <row r="93" spans="1:26" x14ac:dyDescent="0.3">
      <c r="A93">
        <v>91</v>
      </c>
      <c r="B93">
        <v>105</v>
      </c>
      <c r="C93" t="s">
        <v>26</v>
      </c>
      <c r="D93">
        <v>10.554399999999999</v>
      </c>
      <c r="E93">
        <v>9.4700000000000006</v>
      </c>
      <c r="F93">
        <v>6.75</v>
      </c>
      <c r="G93">
        <v>101.22</v>
      </c>
      <c r="H93">
        <v>1.75</v>
      </c>
      <c r="I93">
        <v>4</v>
      </c>
      <c r="J93">
        <v>241.85</v>
      </c>
      <c r="K93">
        <v>55.27</v>
      </c>
      <c r="L93">
        <v>23.75</v>
      </c>
      <c r="M93">
        <v>2</v>
      </c>
      <c r="N93">
        <v>57.83</v>
      </c>
      <c r="O93">
        <v>30062.36</v>
      </c>
      <c r="P93">
        <v>85.61</v>
      </c>
      <c r="Q93">
        <v>204.14</v>
      </c>
      <c r="R93">
        <v>23.61</v>
      </c>
      <c r="S93">
        <v>17.37</v>
      </c>
      <c r="T93">
        <v>1029.04</v>
      </c>
      <c r="U93">
        <v>0.74</v>
      </c>
      <c r="V93">
        <v>0.76</v>
      </c>
      <c r="W93">
        <v>1.1399999999999999</v>
      </c>
      <c r="X93">
        <v>0.06</v>
      </c>
      <c r="Y93">
        <v>1</v>
      </c>
      <c r="Z93">
        <v>10</v>
      </c>
    </row>
    <row r="94" spans="1:26" x14ac:dyDescent="0.3">
      <c r="A94">
        <v>92</v>
      </c>
      <c r="B94">
        <v>105</v>
      </c>
      <c r="C94" t="s">
        <v>26</v>
      </c>
      <c r="D94">
        <v>10.5625</v>
      </c>
      <c r="E94">
        <v>9.4700000000000006</v>
      </c>
      <c r="F94">
        <v>6.74</v>
      </c>
      <c r="G94">
        <v>101.11</v>
      </c>
      <c r="H94">
        <v>1.76</v>
      </c>
      <c r="I94">
        <v>4</v>
      </c>
      <c r="J94">
        <v>242.29</v>
      </c>
      <c r="K94">
        <v>55.27</v>
      </c>
      <c r="L94">
        <v>24</v>
      </c>
      <c r="M94">
        <v>2</v>
      </c>
      <c r="N94">
        <v>58.02</v>
      </c>
      <c r="O94">
        <v>30116.47</v>
      </c>
      <c r="P94">
        <v>85.31</v>
      </c>
      <c r="Q94">
        <v>204.14</v>
      </c>
      <c r="R94">
        <v>23.35</v>
      </c>
      <c r="S94">
        <v>17.37</v>
      </c>
      <c r="T94">
        <v>899.31</v>
      </c>
      <c r="U94">
        <v>0.74</v>
      </c>
      <c r="V94">
        <v>0.76</v>
      </c>
      <c r="W94">
        <v>1.1399999999999999</v>
      </c>
      <c r="X94">
        <v>0.05</v>
      </c>
      <c r="Y94">
        <v>1</v>
      </c>
      <c r="Z94">
        <v>10</v>
      </c>
    </row>
    <row r="95" spans="1:26" x14ac:dyDescent="0.3">
      <c r="A95">
        <v>93</v>
      </c>
      <c r="B95">
        <v>105</v>
      </c>
      <c r="C95" t="s">
        <v>26</v>
      </c>
      <c r="D95">
        <v>10.5603</v>
      </c>
      <c r="E95">
        <v>9.4700000000000006</v>
      </c>
      <c r="F95">
        <v>6.74</v>
      </c>
      <c r="G95">
        <v>101.14</v>
      </c>
      <c r="H95">
        <v>1.78</v>
      </c>
      <c r="I95">
        <v>4</v>
      </c>
      <c r="J95">
        <v>242.73</v>
      </c>
      <c r="K95">
        <v>55.27</v>
      </c>
      <c r="L95">
        <v>24.25</v>
      </c>
      <c r="M95">
        <v>2</v>
      </c>
      <c r="N95">
        <v>58.21</v>
      </c>
      <c r="O95">
        <v>30170.65</v>
      </c>
      <c r="P95">
        <v>85.07</v>
      </c>
      <c r="Q95">
        <v>204.14</v>
      </c>
      <c r="R95">
        <v>23.44</v>
      </c>
      <c r="S95">
        <v>17.37</v>
      </c>
      <c r="T95">
        <v>940.37</v>
      </c>
      <c r="U95">
        <v>0.74</v>
      </c>
      <c r="V95">
        <v>0.76</v>
      </c>
      <c r="W95">
        <v>1.1399999999999999</v>
      </c>
      <c r="X95">
        <v>0.05</v>
      </c>
      <c r="Y95">
        <v>1</v>
      </c>
      <c r="Z95">
        <v>10</v>
      </c>
    </row>
    <row r="96" spans="1:26" x14ac:dyDescent="0.3">
      <c r="A96">
        <v>94</v>
      </c>
      <c r="B96">
        <v>105</v>
      </c>
      <c r="C96" t="s">
        <v>26</v>
      </c>
      <c r="D96">
        <v>10.5618</v>
      </c>
      <c r="E96">
        <v>9.4700000000000006</v>
      </c>
      <c r="F96">
        <v>6.74</v>
      </c>
      <c r="G96">
        <v>101.12</v>
      </c>
      <c r="H96">
        <v>1.79</v>
      </c>
      <c r="I96">
        <v>4</v>
      </c>
      <c r="J96">
        <v>243.17</v>
      </c>
      <c r="K96">
        <v>55.27</v>
      </c>
      <c r="L96">
        <v>24.5</v>
      </c>
      <c r="M96">
        <v>2</v>
      </c>
      <c r="N96">
        <v>58.4</v>
      </c>
      <c r="O96">
        <v>30224.9</v>
      </c>
      <c r="P96">
        <v>84.81</v>
      </c>
      <c r="Q96">
        <v>204.14</v>
      </c>
      <c r="R96">
        <v>23.42</v>
      </c>
      <c r="S96">
        <v>17.37</v>
      </c>
      <c r="T96">
        <v>934.24</v>
      </c>
      <c r="U96">
        <v>0.74</v>
      </c>
      <c r="V96">
        <v>0.76</v>
      </c>
      <c r="W96">
        <v>1.1399999999999999</v>
      </c>
      <c r="X96">
        <v>0.05</v>
      </c>
      <c r="Y96">
        <v>1</v>
      </c>
      <c r="Z96">
        <v>10</v>
      </c>
    </row>
    <row r="97" spans="1:26" x14ac:dyDescent="0.3">
      <c r="A97">
        <v>95</v>
      </c>
      <c r="B97">
        <v>105</v>
      </c>
      <c r="C97" t="s">
        <v>26</v>
      </c>
      <c r="D97">
        <v>10.5587</v>
      </c>
      <c r="E97">
        <v>9.4700000000000006</v>
      </c>
      <c r="F97">
        <v>6.74</v>
      </c>
      <c r="G97">
        <v>101.16</v>
      </c>
      <c r="H97">
        <v>1.81</v>
      </c>
      <c r="I97">
        <v>4</v>
      </c>
      <c r="J97">
        <v>243.61</v>
      </c>
      <c r="K97">
        <v>55.27</v>
      </c>
      <c r="L97">
        <v>24.75</v>
      </c>
      <c r="M97">
        <v>2</v>
      </c>
      <c r="N97">
        <v>58.59</v>
      </c>
      <c r="O97">
        <v>30279.22</v>
      </c>
      <c r="P97">
        <v>84.64</v>
      </c>
      <c r="Q97">
        <v>204.14</v>
      </c>
      <c r="R97">
        <v>23.41</v>
      </c>
      <c r="S97">
        <v>17.37</v>
      </c>
      <c r="T97">
        <v>926.87</v>
      </c>
      <c r="U97">
        <v>0.74</v>
      </c>
      <c r="V97">
        <v>0.76</v>
      </c>
      <c r="W97">
        <v>1.1399999999999999</v>
      </c>
      <c r="X97">
        <v>0.05</v>
      </c>
      <c r="Y97">
        <v>1</v>
      </c>
      <c r="Z97">
        <v>10</v>
      </c>
    </row>
    <row r="98" spans="1:26" x14ac:dyDescent="0.3">
      <c r="A98">
        <v>96</v>
      </c>
      <c r="B98">
        <v>105</v>
      </c>
      <c r="C98" t="s">
        <v>26</v>
      </c>
      <c r="D98">
        <v>10.561500000000001</v>
      </c>
      <c r="E98">
        <v>9.4700000000000006</v>
      </c>
      <c r="F98">
        <v>6.74</v>
      </c>
      <c r="G98">
        <v>101.12</v>
      </c>
      <c r="H98">
        <v>1.82</v>
      </c>
      <c r="I98">
        <v>4</v>
      </c>
      <c r="J98">
        <v>244.05</v>
      </c>
      <c r="K98">
        <v>55.27</v>
      </c>
      <c r="L98">
        <v>25</v>
      </c>
      <c r="M98">
        <v>2</v>
      </c>
      <c r="N98">
        <v>58.78</v>
      </c>
      <c r="O98">
        <v>30333.61</v>
      </c>
      <c r="P98">
        <v>84.2</v>
      </c>
      <c r="Q98">
        <v>204.15</v>
      </c>
      <c r="R98">
        <v>23.43</v>
      </c>
      <c r="S98">
        <v>17.37</v>
      </c>
      <c r="T98">
        <v>936.11</v>
      </c>
      <c r="U98">
        <v>0.74</v>
      </c>
      <c r="V98">
        <v>0.76</v>
      </c>
      <c r="W98">
        <v>1.1399999999999999</v>
      </c>
      <c r="X98">
        <v>0.05</v>
      </c>
      <c r="Y98">
        <v>1</v>
      </c>
      <c r="Z98">
        <v>10</v>
      </c>
    </row>
    <row r="99" spans="1:26" x14ac:dyDescent="0.3">
      <c r="A99">
        <v>97</v>
      </c>
      <c r="B99">
        <v>105</v>
      </c>
      <c r="C99" t="s">
        <v>26</v>
      </c>
      <c r="D99">
        <v>10.5687</v>
      </c>
      <c r="E99">
        <v>9.4600000000000009</v>
      </c>
      <c r="F99">
        <v>6.74</v>
      </c>
      <c r="G99">
        <v>101.03</v>
      </c>
      <c r="H99">
        <v>1.84</v>
      </c>
      <c r="I99">
        <v>4</v>
      </c>
      <c r="J99">
        <v>244.49</v>
      </c>
      <c r="K99">
        <v>55.27</v>
      </c>
      <c r="L99">
        <v>25.25</v>
      </c>
      <c r="M99">
        <v>2</v>
      </c>
      <c r="N99">
        <v>58.97</v>
      </c>
      <c r="O99">
        <v>30388.06</v>
      </c>
      <c r="P99">
        <v>83.9</v>
      </c>
      <c r="Q99">
        <v>204.14</v>
      </c>
      <c r="R99">
        <v>23.17</v>
      </c>
      <c r="S99">
        <v>17.37</v>
      </c>
      <c r="T99">
        <v>809.36</v>
      </c>
      <c r="U99">
        <v>0.75</v>
      </c>
      <c r="V99">
        <v>0.76</v>
      </c>
      <c r="W99">
        <v>1.1399999999999999</v>
      </c>
      <c r="X99">
        <v>0.04</v>
      </c>
      <c r="Y99">
        <v>1</v>
      </c>
      <c r="Z99">
        <v>10</v>
      </c>
    </row>
    <row r="100" spans="1:26" x14ac:dyDescent="0.3">
      <c r="A100">
        <v>98</v>
      </c>
      <c r="B100">
        <v>105</v>
      </c>
      <c r="C100" t="s">
        <v>26</v>
      </c>
      <c r="D100">
        <v>10.5708</v>
      </c>
      <c r="E100">
        <v>9.4600000000000009</v>
      </c>
      <c r="F100">
        <v>6.73</v>
      </c>
      <c r="G100">
        <v>101</v>
      </c>
      <c r="H100">
        <v>1.85</v>
      </c>
      <c r="I100">
        <v>4</v>
      </c>
      <c r="J100">
        <v>244.93</v>
      </c>
      <c r="K100">
        <v>55.27</v>
      </c>
      <c r="L100">
        <v>25.5</v>
      </c>
      <c r="M100">
        <v>2</v>
      </c>
      <c r="N100">
        <v>59.16</v>
      </c>
      <c r="O100">
        <v>30442.58</v>
      </c>
      <c r="P100">
        <v>83.64</v>
      </c>
      <c r="Q100">
        <v>204.14</v>
      </c>
      <c r="R100">
        <v>23.11</v>
      </c>
      <c r="S100">
        <v>17.37</v>
      </c>
      <c r="T100">
        <v>776.8</v>
      </c>
      <c r="U100">
        <v>0.75</v>
      </c>
      <c r="V100">
        <v>0.76</v>
      </c>
      <c r="W100">
        <v>1.1399999999999999</v>
      </c>
      <c r="X100">
        <v>0.04</v>
      </c>
      <c r="Y100">
        <v>1</v>
      </c>
      <c r="Z100">
        <v>10</v>
      </c>
    </row>
    <row r="101" spans="1:26" x14ac:dyDescent="0.3">
      <c r="A101">
        <v>99</v>
      </c>
      <c r="B101">
        <v>105</v>
      </c>
      <c r="C101" t="s">
        <v>26</v>
      </c>
      <c r="D101">
        <v>10.569000000000001</v>
      </c>
      <c r="E101">
        <v>9.4600000000000009</v>
      </c>
      <c r="F101">
        <v>6.73</v>
      </c>
      <c r="G101">
        <v>101.02</v>
      </c>
      <c r="H101">
        <v>1.87</v>
      </c>
      <c r="I101">
        <v>4</v>
      </c>
      <c r="J101">
        <v>245.38</v>
      </c>
      <c r="K101">
        <v>55.27</v>
      </c>
      <c r="L101">
        <v>25.75</v>
      </c>
      <c r="M101">
        <v>2</v>
      </c>
      <c r="N101">
        <v>59.35</v>
      </c>
      <c r="O101">
        <v>30497.18</v>
      </c>
      <c r="P101">
        <v>83.18</v>
      </c>
      <c r="Q101">
        <v>204.14</v>
      </c>
      <c r="R101">
        <v>23.11</v>
      </c>
      <c r="S101">
        <v>17.37</v>
      </c>
      <c r="T101">
        <v>775.1</v>
      </c>
      <c r="U101">
        <v>0.75</v>
      </c>
      <c r="V101">
        <v>0.76</v>
      </c>
      <c r="W101">
        <v>1.1399999999999999</v>
      </c>
      <c r="X101">
        <v>0.04</v>
      </c>
      <c r="Y101">
        <v>1</v>
      </c>
      <c r="Z101">
        <v>10</v>
      </c>
    </row>
    <row r="102" spans="1:26" x14ac:dyDescent="0.3">
      <c r="A102">
        <v>100</v>
      </c>
      <c r="B102">
        <v>105</v>
      </c>
      <c r="C102" t="s">
        <v>26</v>
      </c>
      <c r="D102">
        <v>10.5646</v>
      </c>
      <c r="E102">
        <v>9.4700000000000006</v>
      </c>
      <c r="F102">
        <v>6.74</v>
      </c>
      <c r="G102">
        <v>101.08</v>
      </c>
      <c r="H102">
        <v>1.88</v>
      </c>
      <c r="I102">
        <v>4</v>
      </c>
      <c r="J102">
        <v>245.82</v>
      </c>
      <c r="K102">
        <v>55.27</v>
      </c>
      <c r="L102">
        <v>26</v>
      </c>
      <c r="M102">
        <v>2</v>
      </c>
      <c r="N102">
        <v>59.55</v>
      </c>
      <c r="O102">
        <v>30551.84</v>
      </c>
      <c r="P102">
        <v>83.05</v>
      </c>
      <c r="Q102">
        <v>204.14</v>
      </c>
      <c r="R102">
        <v>23.26</v>
      </c>
      <c r="S102">
        <v>17.37</v>
      </c>
      <c r="T102">
        <v>854.2</v>
      </c>
      <c r="U102">
        <v>0.75</v>
      </c>
      <c r="V102">
        <v>0.76</v>
      </c>
      <c r="W102">
        <v>1.1399999999999999</v>
      </c>
      <c r="X102">
        <v>0.05</v>
      </c>
      <c r="Y102">
        <v>1</v>
      </c>
      <c r="Z102">
        <v>10</v>
      </c>
    </row>
    <row r="103" spans="1:26" x14ac:dyDescent="0.3">
      <c r="A103">
        <v>101</v>
      </c>
      <c r="B103">
        <v>105</v>
      </c>
      <c r="C103" t="s">
        <v>26</v>
      </c>
      <c r="D103">
        <v>10.567399999999999</v>
      </c>
      <c r="E103">
        <v>9.4600000000000009</v>
      </c>
      <c r="F103">
        <v>6.74</v>
      </c>
      <c r="G103">
        <v>101.04</v>
      </c>
      <c r="H103">
        <v>1.9</v>
      </c>
      <c r="I103">
        <v>4</v>
      </c>
      <c r="J103">
        <v>246.26</v>
      </c>
      <c r="K103">
        <v>55.27</v>
      </c>
      <c r="L103">
        <v>26.25</v>
      </c>
      <c r="M103">
        <v>2</v>
      </c>
      <c r="N103">
        <v>59.74</v>
      </c>
      <c r="O103">
        <v>30606.57</v>
      </c>
      <c r="P103">
        <v>82.76</v>
      </c>
      <c r="Q103">
        <v>204.14</v>
      </c>
      <c r="R103">
        <v>23.23</v>
      </c>
      <c r="S103">
        <v>17.37</v>
      </c>
      <c r="T103">
        <v>837.35</v>
      </c>
      <c r="U103">
        <v>0.75</v>
      </c>
      <c r="V103">
        <v>0.76</v>
      </c>
      <c r="W103">
        <v>1.1399999999999999</v>
      </c>
      <c r="X103">
        <v>0.04</v>
      </c>
      <c r="Y103">
        <v>1</v>
      </c>
      <c r="Z103">
        <v>10</v>
      </c>
    </row>
    <row r="104" spans="1:26" x14ac:dyDescent="0.3">
      <c r="A104">
        <v>102</v>
      </c>
      <c r="B104">
        <v>105</v>
      </c>
      <c r="C104" t="s">
        <v>26</v>
      </c>
      <c r="D104">
        <v>10.5609</v>
      </c>
      <c r="E104">
        <v>9.4700000000000006</v>
      </c>
      <c r="F104">
        <v>6.74</v>
      </c>
      <c r="G104">
        <v>101.13</v>
      </c>
      <c r="H104">
        <v>1.91</v>
      </c>
      <c r="I104">
        <v>4</v>
      </c>
      <c r="J104">
        <v>246.71</v>
      </c>
      <c r="K104">
        <v>55.27</v>
      </c>
      <c r="L104">
        <v>26.5</v>
      </c>
      <c r="M104">
        <v>2</v>
      </c>
      <c r="N104">
        <v>59.93</v>
      </c>
      <c r="O104">
        <v>30661.38</v>
      </c>
      <c r="P104">
        <v>82.44</v>
      </c>
      <c r="Q104">
        <v>204.14</v>
      </c>
      <c r="R104">
        <v>23.41</v>
      </c>
      <c r="S104">
        <v>17.37</v>
      </c>
      <c r="T104">
        <v>929.54</v>
      </c>
      <c r="U104">
        <v>0.74</v>
      </c>
      <c r="V104">
        <v>0.76</v>
      </c>
      <c r="W104">
        <v>1.1399999999999999</v>
      </c>
      <c r="X104">
        <v>0.05</v>
      </c>
      <c r="Y104">
        <v>1</v>
      </c>
      <c r="Z104">
        <v>10</v>
      </c>
    </row>
    <row r="105" spans="1:26" x14ac:dyDescent="0.3">
      <c r="A105">
        <v>103</v>
      </c>
      <c r="B105">
        <v>105</v>
      </c>
      <c r="C105" t="s">
        <v>26</v>
      </c>
      <c r="D105">
        <v>10.5625</v>
      </c>
      <c r="E105">
        <v>9.4700000000000006</v>
      </c>
      <c r="F105">
        <v>6.74</v>
      </c>
      <c r="G105">
        <v>101.11</v>
      </c>
      <c r="H105">
        <v>1.93</v>
      </c>
      <c r="I105">
        <v>4</v>
      </c>
      <c r="J105">
        <v>247.15</v>
      </c>
      <c r="K105">
        <v>55.27</v>
      </c>
      <c r="L105">
        <v>26.75</v>
      </c>
      <c r="M105">
        <v>2</v>
      </c>
      <c r="N105">
        <v>60.13</v>
      </c>
      <c r="O105">
        <v>30716.25</v>
      </c>
      <c r="P105">
        <v>81.99</v>
      </c>
      <c r="Q105">
        <v>204.15</v>
      </c>
      <c r="R105">
        <v>23.38</v>
      </c>
      <c r="S105">
        <v>17.37</v>
      </c>
      <c r="T105">
        <v>913.67</v>
      </c>
      <c r="U105">
        <v>0.74</v>
      </c>
      <c r="V105">
        <v>0.76</v>
      </c>
      <c r="W105">
        <v>1.1399999999999999</v>
      </c>
      <c r="X105">
        <v>0.05</v>
      </c>
      <c r="Y105">
        <v>1</v>
      </c>
      <c r="Z105">
        <v>10</v>
      </c>
    </row>
    <row r="106" spans="1:26" x14ac:dyDescent="0.3">
      <c r="A106">
        <v>104</v>
      </c>
      <c r="B106">
        <v>105</v>
      </c>
      <c r="C106" t="s">
        <v>26</v>
      </c>
      <c r="D106">
        <v>10.5649</v>
      </c>
      <c r="E106">
        <v>9.4700000000000006</v>
      </c>
      <c r="F106">
        <v>6.74</v>
      </c>
      <c r="G106">
        <v>101.08</v>
      </c>
      <c r="H106">
        <v>1.94</v>
      </c>
      <c r="I106">
        <v>4</v>
      </c>
      <c r="J106">
        <v>247.6</v>
      </c>
      <c r="K106">
        <v>55.27</v>
      </c>
      <c r="L106">
        <v>27</v>
      </c>
      <c r="M106">
        <v>2</v>
      </c>
      <c r="N106">
        <v>60.33</v>
      </c>
      <c r="O106">
        <v>30771.200000000001</v>
      </c>
      <c r="P106">
        <v>81.680000000000007</v>
      </c>
      <c r="Q106">
        <v>204.14</v>
      </c>
      <c r="R106">
        <v>23.23</v>
      </c>
      <c r="S106">
        <v>17.37</v>
      </c>
      <c r="T106">
        <v>838.74</v>
      </c>
      <c r="U106">
        <v>0.75</v>
      </c>
      <c r="V106">
        <v>0.76</v>
      </c>
      <c r="W106">
        <v>1.1399999999999999</v>
      </c>
      <c r="X106">
        <v>0.05</v>
      </c>
      <c r="Y106">
        <v>1</v>
      </c>
      <c r="Z106">
        <v>10</v>
      </c>
    </row>
    <row r="107" spans="1:26" x14ac:dyDescent="0.3">
      <c r="A107">
        <v>105</v>
      </c>
      <c r="B107">
        <v>105</v>
      </c>
      <c r="C107" t="s">
        <v>26</v>
      </c>
      <c r="D107">
        <v>10.563700000000001</v>
      </c>
      <c r="E107">
        <v>9.4700000000000006</v>
      </c>
      <c r="F107">
        <v>6.74</v>
      </c>
      <c r="G107">
        <v>101.09</v>
      </c>
      <c r="H107">
        <v>1.95</v>
      </c>
      <c r="I107">
        <v>4</v>
      </c>
      <c r="J107">
        <v>248.04</v>
      </c>
      <c r="K107">
        <v>55.27</v>
      </c>
      <c r="L107">
        <v>27.25</v>
      </c>
      <c r="M107">
        <v>2</v>
      </c>
      <c r="N107">
        <v>60.52</v>
      </c>
      <c r="O107">
        <v>30826.21</v>
      </c>
      <c r="P107">
        <v>81.47</v>
      </c>
      <c r="Q107">
        <v>204.14</v>
      </c>
      <c r="R107">
        <v>23.32</v>
      </c>
      <c r="S107">
        <v>17.37</v>
      </c>
      <c r="T107">
        <v>883.11</v>
      </c>
      <c r="U107">
        <v>0.74</v>
      </c>
      <c r="V107">
        <v>0.76</v>
      </c>
      <c r="W107">
        <v>1.1399999999999999</v>
      </c>
      <c r="X107">
        <v>0.05</v>
      </c>
      <c r="Y107">
        <v>1</v>
      </c>
      <c r="Z107">
        <v>10</v>
      </c>
    </row>
    <row r="108" spans="1:26" x14ac:dyDescent="0.3">
      <c r="A108">
        <v>106</v>
      </c>
      <c r="B108">
        <v>105</v>
      </c>
      <c r="C108" t="s">
        <v>26</v>
      </c>
      <c r="D108">
        <v>10.5671</v>
      </c>
      <c r="E108">
        <v>9.4600000000000009</v>
      </c>
      <c r="F108">
        <v>6.74</v>
      </c>
      <c r="G108">
        <v>101.05</v>
      </c>
      <c r="H108">
        <v>1.97</v>
      </c>
      <c r="I108">
        <v>4</v>
      </c>
      <c r="J108">
        <v>248.49</v>
      </c>
      <c r="K108">
        <v>55.27</v>
      </c>
      <c r="L108">
        <v>27.5</v>
      </c>
      <c r="M108">
        <v>2</v>
      </c>
      <c r="N108">
        <v>60.72</v>
      </c>
      <c r="O108">
        <v>30881.3</v>
      </c>
      <c r="P108">
        <v>81.14</v>
      </c>
      <c r="Q108">
        <v>204.14</v>
      </c>
      <c r="R108">
        <v>23.23</v>
      </c>
      <c r="S108">
        <v>17.37</v>
      </c>
      <c r="T108">
        <v>839.59</v>
      </c>
      <c r="U108">
        <v>0.75</v>
      </c>
      <c r="V108">
        <v>0.76</v>
      </c>
      <c r="W108">
        <v>1.1399999999999999</v>
      </c>
      <c r="X108">
        <v>0.05</v>
      </c>
      <c r="Y108">
        <v>1</v>
      </c>
      <c r="Z108">
        <v>10</v>
      </c>
    </row>
    <row r="109" spans="1:26" x14ac:dyDescent="0.3">
      <c r="A109">
        <v>107</v>
      </c>
      <c r="B109">
        <v>105</v>
      </c>
      <c r="C109" t="s">
        <v>26</v>
      </c>
      <c r="D109">
        <v>10.560600000000001</v>
      </c>
      <c r="E109">
        <v>9.4700000000000006</v>
      </c>
      <c r="F109">
        <v>6.74</v>
      </c>
      <c r="G109">
        <v>101.13</v>
      </c>
      <c r="H109">
        <v>1.98</v>
      </c>
      <c r="I109">
        <v>4</v>
      </c>
      <c r="J109">
        <v>248.94</v>
      </c>
      <c r="K109">
        <v>55.27</v>
      </c>
      <c r="L109">
        <v>27.75</v>
      </c>
      <c r="M109">
        <v>2</v>
      </c>
      <c r="N109">
        <v>60.92</v>
      </c>
      <c r="O109">
        <v>30936.46</v>
      </c>
      <c r="P109">
        <v>80.709999999999994</v>
      </c>
      <c r="Q109">
        <v>204.14</v>
      </c>
      <c r="R109">
        <v>23.43</v>
      </c>
      <c r="S109">
        <v>17.37</v>
      </c>
      <c r="T109">
        <v>935.63</v>
      </c>
      <c r="U109">
        <v>0.74</v>
      </c>
      <c r="V109">
        <v>0.76</v>
      </c>
      <c r="W109">
        <v>1.1399999999999999</v>
      </c>
      <c r="X109">
        <v>0.05</v>
      </c>
      <c r="Y109">
        <v>1</v>
      </c>
      <c r="Z109">
        <v>10</v>
      </c>
    </row>
    <row r="110" spans="1:26" x14ac:dyDescent="0.3">
      <c r="A110">
        <v>108</v>
      </c>
      <c r="B110">
        <v>105</v>
      </c>
      <c r="C110" t="s">
        <v>26</v>
      </c>
      <c r="D110">
        <v>10.556900000000001</v>
      </c>
      <c r="E110">
        <v>9.4700000000000006</v>
      </c>
      <c r="F110">
        <v>6.75</v>
      </c>
      <c r="G110">
        <v>101.18</v>
      </c>
      <c r="H110">
        <v>2</v>
      </c>
      <c r="I110">
        <v>4</v>
      </c>
      <c r="J110">
        <v>249.39</v>
      </c>
      <c r="K110">
        <v>55.27</v>
      </c>
      <c r="L110">
        <v>28</v>
      </c>
      <c r="M110">
        <v>1</v>
      </c>
      <c r="N110">
        <v>61.11</v>
      </c>
      <c r="O110">
        <v>30991.69</v>
      </c>
      <c r="P110">
        <v>80.33</v>
      </c>
      <c r="Q110">
        <v>204.14</v>
      </c>
      <c r="R110">
        <v>23.44</v>
      </c>
      <c r="S110">
        <v>17.37</v>
      </c>
      <c r="T110">
        <v>942.09</v>
      </c>
      <c r="U110">
        <v>0.74</v>
      </c>
      <c r="V110">
        <v>0.76</v>
      </c>
      <c r="W110">
        <v>1.1399999999999999</v>
      </c>
      <c r="X110">
        <v>0.05</v>
      </c>
      <c r="Y110">
        <v>1</v>
      </c>
      <c r="Z110">
        <v>10</v>
      </c>
    </row>
    <row r="111" spans="1:26" x14ac:dyDescent="0.3">
      <c r="A111">
        <v>109</v>
      </c>
      <c r="B111">
        <v>105</v>
      </c>
      <c r="C111" t="s">
        <v>26</v>
      </c>
      <c r="D111">
        <v>10.5618</v>
      </c>
      <c r="E111">
        <v>9.4700000000000006</v>
      </c>
      <c r="F111">
        <v>6.74</v>
      </c>
      <c r="G111">
        <v>101.12</v>
      </c>
      <c r="H111">
        <v>2.0099999999999998</v>
      </c>
      <c r="I111">
        <v>4</v>
      </c>
      <c r="J111">
        <v>249.83</v>
      </c>
      <c r="K111">
        <v>55.27</v>
      </c>
      <c r="L111">
        <v>28.25</v>
      </c>
      <c r="M111">
        <v>1</v>
      </c>
      <c r="N111">
        <v>61.31</v>
      </c>
      <c r="O111">
        <v>31047</v>
      </c>
      <c r="P111">
        <v>80.099999999999994</v>
      </c>
      <c r="Q111">
        <v>204.14</v>
      </c>
      <c r="R111">
        <v>23.37</v>
      </c>
      <c r="S111">
        <v>17.37</v>
      </c>
      <c r="T111">
        <v>907.94</v>
      </c>
      <c r="U111">
        <v>0.74</v>
      </c>
      <c r="V111">
        <v>0.76</v>
      </c>
      <c r="W111">
        <v>1.1399999999999999</v>
      </c>
      <c r="X111">
        <v>0.05</v>
      </c>
      <c r="Y111">
        <v>1</v>
      </c>
      <c r="Z111">
        <v>10</v>
      </c>
    </row>
    <row r="112" spans="1:26" x14ac:dyDescent="0.3">
      <c r="A112">
        <v>110</v>
      </c>
      <c r="B112">
        <v>105</v>
      </c>
      <c r="C112" t="s">
        <v>26</v>
      </c>
      <c r="D112">
        <v>10.560600000000001</v>
      </c>
      <c r="E112">
        <v>9.4700000000000006</v>
      </c>
      <c r="F112">
        <v>6.74</v>
      </c>
      <c r="G112">
        <v>101.13</v>
      </c>
      <c r="H112">
        <v>2.0299999999999998</v>
      </c>
      <c r="I112">
        <v>4</v>
      </c>
      <c r="J112">
        <v>250.28</v>
      </c>
      <c r="K112">
        <v>55.27</v>
      </c>
      <c r="L112">
        <v>28.5</v>
      </c>
      <c r="M112">
        <v>1</v>
      </c>
      <c r="N112">
        <v>61.51</v>
      </c>
      <c r="O112">
        <v>31102.37</v>
      </c>
      <c r="P112">
        <v>79.95</v>
      </c>
      <c r="Q112">
        <v>204.14</v>
      </c>
      <c r="R112">
        <v>23.39</v>
      </c>
      <c r="S112">
        <v>17.37</v>
      </c>
      <c r="T112">
        <v>916</v>
      </c>
      <c r="U112">
        <v>0.74</v>
      </c>
      <c r="V112">
        <v>0.76</v>
      </c>
      <c r="W112">
        <v>1.1399999999999999</v>
      </c>
      <c r="X112">
        <v>0.05</v>
      </c>
      <c r="Y112">
        <v>1</v>
      </c>
      <c r="Z112">
        <v>10</v>
      </c>
    </row>
    <row r="113" spans="1:26" x14ac:dyDescent="0.3">
      <c r="A113">
        <v>111</v>
      </c>
      <c r="B113">
        <v>105</v>
      </c>
      <c r="C113" t="s">
        <v>26</v>
      </c>
      <c r="D113">
        <v>10.629799999999999</v>
      </c>
      <c r="E113">
        <v>9.41</v>
      </c>
      <c r="F113">
        <v>6.72</v>
      </c>
      <c r="G113">
        <v>134.41999999999999</v>
      </c>
      <c r="H113">
        <v>2.04</v>
      </c>
      <c r="I113">
        <v>3</v>
      </c>
      <c r="J113">
        <v>250.73</v>
      </c>
      <c r="K113">
        <v>55.27</v>
      </c>
      <c r="L113">
        <v>28.75</v>
      </c>
      <c r="M113">
        <v>0</v>
      </c>
      <c r="N113">
        <v>61.71</v>
      </c>
      <c r="O113">
        <v>31157.82</v>
      </c>
      <c r="P113">
        <v>79.44</v>
      </c>
      <c r="Q113">
        <v>204.14</v>
      </c>
      <c r="R113">
        <v>22.73</v>
      </c>
      <c r="S113">
        <v>17.37</v>
      </c>
      <c r="T113">
        <v>590.48</v>
      </c>
      <c r="U113">
        <v>0.76</v>
      </c>
      <c r="V113">
        <v>0.76</v>
      </c>
      <c r="W113">
        <v>1.1399999999999999</v>
      </c>
      <c r="X113">
        <v>0.03</v>
      </c>
      <c r="Y113">
        <v>1</v>
      </c>
      <c r="Z113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Planilha14"/>
  <dimension ref="A1:Z47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60</v>
      </c>
      <c r="C2" t="s">
        <v>26</v>
      </c>
      <c r="D2">
        <v>8.6504999999999992</v>
      </c>
      <c r="E2">
        <v>11.56</v>
      </c>
      <c r="F2">
        <v>7.89</v>
      </c>
      <c r="G2">
        <v>7.89</v>
      </c>
      <c r="H2">
        <v>0.14000000000000001</v>
      </c>
      <c r="I2">
        <v>60</v>
      </c>
      <c r="J2">
        <v>124.63</v>
      </c>
      <c r="K2">
        <v>45</v>
      </c>
      <c r="L2">
        <v>1</v>
      </c>
      <c r="M2">
        <v>58</v>
      </c>
      <c r="N2">
        <v>18.64</v>
      </c>
      <c r="O2">
        <v>15605.44</v>
      </c>
      <c r="P2">
        <v>82.22</v>
      </c>
      <c r="Q2">
        <v>204.18</v>
      </c>
      <c r="R2">
        <v>59.63</v>
      </c>
      <c r="S2">
        <v>17.37</v>
      </c>
      <c r="T2">
        <v>18757.29</v>
      </c>
      <c r="U2">
        <v>0.28999999999999998</v>
      </c>
      <c r="V2">
        <v>0.65</v>
      </c>
      <c r="W2">
        <v>1.23</v>
      </c>
      <c r="X2">
        <v>1.2</v>
      </c>
      <c r="Y2">
        <v>1</v>
      </c>
      <c r="Z2">
        <v>10</v>
      </c>
    </row>
    <row r="3" spans="1:26" x14ac:dyDescent="0.3">
      <c r="A3">
        <v>1</v>
      </c>
      <c r="B3">
        <v>60</v>
      </c>
      <c r="C3" t="s">
        <v>26</v>
      </c>
      <c r="D3">
        <v>9.1059000000000001</v>
      </c>
      <c r="E3">
        <v>10.98</v>
      </c>
      <c r="F3">
        <v>7.65</v>
      </c>
      <c r="G3">
        <v>9.76</v>
      </c>
      <c r="H3">
        <v>0.18</v>
      </c>
      <c r="I3">
        <v>47</v>
      </c>
      <c r="J3">
        <v>124.96</v>
      </c>
      <c r="K3">
        <v>45</v>
      </c>
      <c r="L3">
        <v>1.25</v>
      </c>
      <c r="M3">
        <v>45</v>
      </c>
      <c r="N3">
        <v>18.71</v>
      </c>
      <c r="O3">
        <v>15645.96</v>
      </c>
      <c r="P3">
        <v>79.400000000000006</v>
      </c>
      <c r="Q3">
        <v>204.25</v>
      </c>
      <c r="R3">
        <v>51.61</v>
      </c>
      <c r="S3">
        <v>17.37</v>
      </c>
      <c r="T3">
        <v>14812.1</v>
      </c>
      <c r="U3">
        <v>0.34</v>
      </c>
      <c r="V3">
        <v>0.67</v>
      </c>
      <c r="W3">
        <v>1.22</v>
      </c>
      <c r="X3">
        <v>0.96</v>
      </c>
      <c r="Y3">
        <v>1</v>
      </c>
      <c r="Z3">
        <v>10</v>
      </c>
    </row>
    <row r="4" spans="1:26" x14ac:dyDescent="0.3">
      <c r="A4">
        <v>2</v>
      </c>
      <c r="B4">
        <v>60</v>
      </c>
      <c r="C4" t="s">
        <v>26</v>
      </c>
      <c r="D4">
        <v>9.4832000000000001</v>
      </c>
      <c r="E4">
        <v>10.54</v>
      </c>
      <c r="F4">
        <v>7.44</v>
      </c>
      <c r="G4">
        <v>11.75</v>
      </c>
      <c r="H4">
        <v>0.21</v>
      </c>
      <c r="I4">
        <v>38</v>
      </c>
      <c r="J4">
        <v>125.29</v>
      </c>
      <c r="K4">
        <v>45</v>
      </c>
      <c r="L4">
        <v>1.5</v>
      </c>
      <c r="M4">
        <v>36</v>
      </c>
      <c r="N4">
        <v>18.79</v>
      </c>
      <c r="O4">
        <v>15686.51</v>
      </c>
      <c r="P4">
        <v>76.97</v>
      </c>
      <c r="Q4">
        <v>204.17</v>
      </c>
      <c r="R4">
        <v>45.24</v>
      </c>
      <c r="S4">
        <v>17.37</v>
      </c>
      <c r="T4">
        <v>11674.63</v>
      </c>
      <c r="U4">
        <v>0.38</v>
      </c>
      <c r="V4">
        <v>0.69</v>
      </c>
      <c r="W4">
        <v>1.2</v>
      </c>
      <c r="X4">
        <v>0.75</v>
      </c>
      <c r="Y4">
        <v>1</v>
      </c>
      <c r="Z4">
        <v>10</v>
      </c>
    </row>
    <row r="5" spans="1:26" x14ac:dyDescent="0.3">
      <c r="A5">
        <v>3</v>
      </c>
      <c r="B5">
        <v>60</v>
      </c>
      <c r="C5" t="s">
        <v>26</v>
      </c>
      <c r="D5">
        <v>9.7470999999999997</v>
      </c>
      <c r="E5">
        <v>10.26</v>
      </c>
      <c r="F5">
        <v>7.31</v>
      </c>
      <c r="G5">
        <v>13.71</v>
      </c>
      <c r="H5">
        <v>0.25</v>
      </c>
      <c r="I5">
        <v>32</v>
      </c>
      <c r="J5">
        <v>125.62</v>
      </c>
      <c r="K5">
        <v>45</v>
      </c>
      <c r="L5">
        <v>1.75</v>
      </c>
      <c r="M5">
        <v>30</v>
      </c>
      <c r="N5">
        <v>18.87</v>
      </c>
      <c r="O5">
        <v>15727.09</v>
      </c>
      <c r="P5">
        <v>75.27</v>
      </c>
      <c r="Q5">
        <v>204.16</v>
      </c>
      <c r="R5">
        <v>40.909999999999997</v>
      </c>
      <c r="S5">
        <v>17.37</v>
      </c>
      <c r="T5">
        <v>9537.6200000000008</v>
      </c>
      <c r="U5">
        <v>0.42</v>
      </c>
      <c r="V5">
        <v>0.7</v>
      </c>
      <c r="W5">
        <v>1.19</v>
      </c>
      <c r="X5">
        <v>0.62</v>
      </c>
      <c r="Y5">
        <v>1</v>
      </c>
      <c r="Z5">
        <v>10</v>
      </c>
    </row>
    <row r="6" spans="1:26" x14ac:dyDescent="0.3">
      <c r="A6">
        <v>4</v>
      </c>
      <c r="B6">
        <v>60</v>
      </c>
      <c r="C6" t="s">
        <v>26</v>
      </c>
      <c r="D6">
        <v>9.9176000000000002</v>
      </c>
      <c r="E6">
        <v>10.08</v>
      </c>
      <c r="F6">
        <v>7.24</v>
      </c>
      <c r="G6">
        <v>15.5</v>
      </c>
      <c r="H6">
        <v>0.28000000000000003</v>
      </c>
      <c r="I6">
        <v>28</v>
      </c>
      <c r="J6">
        <v>125.95</v>
      </c>
      <c r="K6">
        <v>45</v>
      </c>
      <c r="L6">
        <v>2</v>
      </c>
      <c r="M6">
        <v>26</v>
      </c>
      <c r="N6">
        <v>18.95</v>
      </c>
      <c r="O6">
        <v>15767.7</v>
      </c>
      <c r="P6">
        <v>74.239999999999995</v>
      </c>
      <c r="Q6">
        <v>204.17</v>
      </c>
      <c r="R6">
        <v>38.729999999999997</v>
      </c>
      <c r="S6">
        <v>17.37</v>
      </c>
      <c r="T6">
        <v>8467.59</v>
      </c>
      <c r="U6">
        <v>0.45</v>
      </c>
      <c r="V6">
        <v>0.71</v>
      </c>
      <c r="W6">
        <v>1.18</v>
      </c>
      <c r="X6">
        <v>0.54</v>
      </c>
      <c r="Y6">
        <v>1</v>
      </c>
      <c r="Z6">
        <v>10</v>
      </c>
    </row>
    <row r="7" spans="1:26" x14ac:dyDescent="0.3">
      <c r="A7">
        <v>5</v>
      </c>
      <c r="B7">
        <v>60</v>
      </c>
      <c r="C7" t="s">
        <v>26</v>
      </c>
      <c r="D7">
        <v>10.064</v>
      </c>
      <c r="E7">
        <v>9.94</v>
      </c>
      <c r="F7">
        <v>7.17</v>
      </c>
      <c r="G7">
        <v>17.2</v>
      </c>
      <c r="H7">
        <v>0.31</v>
      </c>
      <c r="I7">
        <v>25</v>
      </c>
      <c r="J7">
        <v>126.28</v>
      </c>
      <c r="K7">
        <v>45</v>
      </c>
      <c r="L7">
        <v>2.25</v>
      </c>
      <c r="M7">
        <v>23</v>
      </c>
      <c r="N7">
        <v>19.03</v>
      </c>
      <c r="O7">
        <v>15808.34</v>
      </c>
      <c r="P7">
        <v>73.27</v>
      </c>
      <c r="Q7">
        <v>204.21</v>
      </c>
      <c r="R7">
        <v>36.61</v>
      </c>
      <c r="S7">
        <v>17.37</v>
      </c>
      <c r="T7">
        <v>7420.21</v>
      </c>
      <c r="U7">
        <v>0.47</v>
      </c>
      <c r="V7">
        <v>0.71</v>
      </c>
      <c r="W7">
        <v>1.17</v>
      </c>
      <c r="X7">
        <v>0.47</v>
      </c>
      <c r="Y7">
        <v>1</v>
      </c>
      <c r="Z7">
        <v>10</v>
      </c>
    </row>
    <row r="8" spans="1:26" x14ac:dyDescent="0.3">
      <c r="A8">
        <v>6</v>
      </c>
      <c r="B8">
        <v>60</v>
      </c>
      <c r="C8" t="s">
        <v>26</v>
      </c>
      <c r="D8">
        <v>10.194000000000001</v>
      </c>
      <c r="E8">
        <v>9.81</v>
      </c>
      <c r="F8">
        <v>7.12</v>
      </c>
      <c r="G8">
        <v>19.41</v>
      </c>
      <c r="H8">
        <v>0.35</v>
      </c>
      <c r="I8">
        <v>22</v>
      </c>
      <c r="J8">
        <v>126.61</v>
      </c>
      <c r="K8">
        <v>45</v>
      </c>
      <c r="L8">
        <v>2.5</v>
      </c>
      <c r="M8">
        <v>20</v>
      </c>
      <c r="N8">
        <v>19.11</v>
      </c>
      <c r="O8">
        <v>15849</v>
      </c>
      <c r="P8">
        <v>72.44</v>
      </c>
      <c r="Q8">
        <v>204.15</v>
      </c>
      <c r="R8">
        <v>35.1</v>
      </c>
      <c r="S8">
        <v>17.37</v>
      </c>
      <c r="T8">
        <v>6681.45</v>
      </c>
      <c r="U8">
        <v>0.5</v>
      </c>
      <c r="V8">
        <v>0.72</v>
      </c>
      <c r="W8">
        <v>1.17</v>
      </c>
      <c r="X8">
        <v>0.42</v>
      </c>
      <c r="Y8">
        <v>1</v>
      </c>
      <c r="Z8">
        <v>10</v>
      </c>
    </row>
    <row r="9" spans="1:26" x14ac:dyDescent="0.3">
      <c r="A9">
        <v>7</v>
      </c>
      <c r="B9">
        <v>60</v>
      </c>
      <c r="C9" t="s">
        <v>26</v>
      </c>
      <c r="D9">
        <v>10.2925</v>
      </c>
      <c r="E9">
        <v>9.7200000000000006</v>
      </c>
      <c r="F9">
        <v>7.07</v>
      </c>
      <c r="G9">
        <v>21.22</v>
      </c>
      <c r="H9">
        <v>0.38</v>
      </c>
      <c r="I9">
        <v>20</v>
      </c>
      <c r="J9">
        <v>126.94</v>
      </c>
      <c r="K9">
        <v>45</v>
      </c>
      <c r="L9">
        <v>2.75</v>
      </c>
      <c r="M9">
        <v>18</v>
      </c>
      <c r="N9">
        <v>19.190000000000001</v>
      </c>
      <c r="O9">
        <v>15889.69</v>
      </c>
      <c r="P9">
        <v>71.77</v>
      </c>
      <c r="Q9">
        <v>204.15</v>
      </c>
      <c r="R9">
        <v>33.78</v>
      </c>
      <c r="S9">
        <v>17.37</v>
      </c>
      <c r="T9">
        <v>6031.96</v>
      </c>
      <c r="U9">
        <v>0.51</v>
      </c>
      <c r="V9">
        <v>0.72</v>
      </c>
      <c r="W9">
        <v>1.17</v>
      </c>
      <c r="X9">
        <v>0.38</v>
      </c>
      <c r="Y9">
        <v>1</v>
      </c>
      <c r="Z9">
        <v>10</v>
      </c>
    </row>
    <row r="10" spans="1:26" x14ac:dyDescent="0.3">
      <c r="A10">
        <v>8</v>
      </c>
      <c r="B10">
        <v>60</v>
      </c>
      <c r="C10" t="s">
        <v>26</v>
      </c>
      <c r="D10">
        <v>10.400700000000001</v>
      </c>
      <c r="E10">
        <v>9.61</v>
      </c>
      <c r="F10">
        <v>7.02</v>
      </c>
      <c r="G10">
        <v>23.41</v>
      </c>
      <c r="H10">
        <v>0.42</v>
      </c>
      <c r="I10">
        <v>18</v>
      </c>
      <c r="J10">
        <v>127.27</v>
      </c>
      <c r="K10">
        <v>45</v>
      </c>
      <c r="L10">
        <v>3</v>
      </c>
      <c r="M10">
        <v>16</v>
      </c>
      <c r="N10">
        <v>19.27</v>
      </c>
      <c r="O10">
        <v>15930.42</v>
      </c>
      <c r="P10">
        <v>70.88</v>
      </c>
      <c r="Q10">
        <v>204.15</v>
      </c>
      <c r="R10">
        <v>32.299999999999997</v>
      </c>
      <c r="S10">
        <v>17.37</v>
      </c>
      <c r="T10">
        <v>5303.74</v>
      </c>
      <c r="U10">
        <v>0.54</v>
      </c>
      <c r="V10">
        <v>0.73</v>
      </c>
      <c r="W10">
        <v>1.1599999999999999</v>
      </c>
      <c r="X10">
        <v>0.33</v>
      </c>
      <c r="Y10">
        <v>1</v>
      </c>
      <c r="Z10">
        <v>10</v>
      </c>
    </row>
    <row r="11" spans="1:26" x14ac:dyDescent="0.3">
      <c r="A11">
        <v>9</v>
      </c>
      <c r="B11">
        <v>60</v>
      </c>
      <c r="C11" t="s">
        <v>26</v>
      </c>
      <c r="D11">
        <v>10.425700000000001</v>
      </c>
      <c r="E11">
        <v>9.59</v>
      </c>
      <c r="F11">
        <v>7.03</v>
      </c>
      <c r="G11">
        <v>24.79</v>
      </c>
      <c r="H11">
        <v>0.45</v>
      </c>
      <c r="I11">
        <v>17</v>
      </c>
      <c r="J11">
        <v>127.6</v>
      </c>
      <c r="K11">
        <v>45</v>
      </c>
      <c r="L11">
        <v>3.25</v>
      </c>
      <c r="M11">
        <v>15</v>
      </c>
      <c r="N11">
        <v>19.350000000000001</v>
      </c>
      <c r="O11">
        <v>15971.17</v>
      </c>
      <c r="P11">
        <v>70.680000000000007</v>
      </c>
      <c r="Q11">
        <v>204.15</v>
      </c>
      <c r="R11">
        <v>32.369999999999997</v>
      </c>
      <c r="S11">
        <v>17.37</v>
      </c>
      <c r="T11">
        <v>5343.26</v>
      </c>
      <c r="U11">
        <v>0.54</v>
      </c>
      <c r="V11">
        <v>0.73</v>
      </c>
      <c r="W11">
        <v>1.1599999999999999</v>
      </c>
      <c r="X11">
        <v>0.33</v>
      </c>
      <c r="Y11">
        <v>1</v>
      </c>
      <c r="Z11">
        <v>10</v>
      </c>
    </row>
    <row r="12" spans="1:26" x14ac:dyDescent="0.3">
      <c r="A12">
        <v>10</v>
      </c>
      <c r="B12">
        <v>60</v>
      </c>
      <c r="C12" t="s">
        <v>26</v>
      </c>
      <c r="D12">
        <v>10.4682</v>
      </c>
      <c r="E12">
        <v>9.5500000000000007</v>
      </c>
      <c r="F12">
        <v>7.01</v>
      </c>
      <c r="G12">
        <v>26.29</v>
      </c>
      <c r="H12">
        <v>0.48</v>
      </c>
      <c r="I12">
        <v>16</v>
      </c>
      <c r="J12">
        <v>127.93</v>
      </c>
      <c r="K12">
        <v>45</v>
      </c>
      <c r="L12">
        <v>3.5</v>
      </c>
      <c r="M12">
        <v>14</v>
      </c>
      <c r="N12">
        <v>19.43</v>
      </c>
      <c r="O12">
        <v>16011.95</v>
      </c>
      <c r="P12">
        <v>70.27</v>
      </c>
      <c r="Q12">
        <v>204.21</v>
      </c>
      <c r="R12">
        <v>31.77</v>
      </c>
      <c r="S12">
        <v>17.37</v>
      </c>
      <c r="T12">
        <v>5049.74</v>
      </c>
      <c r="U12">
        <v>0.55000000000000004</v>
      </c>
      <c r="V12">
        <v>0.73</v>
      </c>
      <c r="W12">
        <v>1.17</v>
      </c>
      <c r="X12">
        <v>0.32</v>
      </c>
      <c r="Y12">
        <v>1</v>
      </c>
      <c r="Z12">
        <v>10</v>
      </c>
    </row>
    <row r="13" spans="1:26" x14ac:dyDescent="0.3">
      <c r="A13">
        <v>11</v>
      </c>
      <c r="B13">
        <v>60</v>
      </c>
      <c r="C13" t="s">
        <v>26</v>
      </c>
      <c r="D13">
        <v>10.544499999999999</v>
      </c>
      <c r="E13">
        <v>9.48</v>
      </c>
      <c r="F13">
        <v>6.97</v>
      </c>
      <c r="G13">
        <v>27.87</v>
      </c>
      <c r="H13">
        <v>0.52</v>
      </c>
      <c r="I13">
        <v>15</v>
      </c>
      <c r="J13">
        <v>128.26</v>
      </c>
      <c r="K13">
        <v>45</v>
      </c>
      <c r="L13">
        <v>3.75</v>
      </c>
      <c r="M13">
        <v>13</v>
      </c>
      <c r="N13">
        <v>19.510000000000002</v>
      </c>
      <c r="O13">
        <v>16052.76</v>
      </c>
      <c r="P13">
        <v>69.47</v>
      </c>
      <c r="Q13">
        <v>204.18</v>
      </c>
      <c r="R13">
        <v>30.45</v>
      </c>
      <c r="S13">
        <v>17.37</v>
      </c>
      <c r="T13">
        <v>4394.12</v>
      </c>
      <c r="U13">
        <v>0.56999999999999995</v>
      </c>
      <c r="V13">
        <v>0.73</v>
      </c>
      <c r="W13">
        <v>1.1599999999999999</v>
      </c>
      <c r="X13">
        <v>0.28000000000000003</v>
      </c>
      <c r="Y13">
        <v>1</v>
      </c>
      <c r="Z13">
        <v>10</v>
      </c>
    </row>
    <row r="14" spans="1:26" x14ac:dyDescent="0.3">
      <c r="A14">
        <v>12</v>
      </c>
      <c r="B14">
        <v>60</v>
      </c>
      <c r="C14" t="s">
        <v>26</v>
      </c>
      <c r="D14">
        <v>10.596299999999999</v>
      </c>
      <c r="E14">
        <v>9.44</v>
      </c>
      <c r="F14">
        <v>6.95</v>
      </c>
      <c r="G14">
        <v>29.77</v>
      </c>
      <c r="H14">
        <v>0.55000000000000004</v>
      </c>
      <c r="I14">
        <v>14</v>
      </c>
      <c r="J14">
        <v>128.59</v>
      </c>
      <c r="K14">
        <v>45</v>
      </c>
      <c r="L14">
        <v>4</v>
      </c>
      <c r="M14">
        <v>12</v>
      </c>
      <c r="N14">
        <v>19.59</v>
      </c>
      <c r="O14">
        <v>16093.6</v>
      </c>
      <c r="P14">
        <v>69.069999999999993</v>
      </c>
      <c r="Q14">
        <v>204.15</v>
      </c>
      <c r="R14">
        <v>29.74</v>
      </c>
      <c r="S14">
        <v>17.37</v>
      </c>
      <c r="T14">
        <v>4042.99</v>
      </c>
      <c r="U14">
        <v>0.57999999999999996</v>
      </c>
      <c r="V14">
        <v>0.74</v>
      </c>
      <c r="W14">
        <v>1.1599999999999999</v>
      </c>
      <c r="X14">
        <v>0.26</v>
      </c>
      <c r="Y14">
        <v>1</v>
      </c>
      <c r="Z14">
        <v>10</v>
      </c>
    </row>
    <row r="15" spans="1:26" x14ac:dyDescent="0.3">
      <c r="A15">
        <v>13</v>
      </c>
      <c r="B15">
        <v>60</v>
      </c>
      <c r="C15" t="s">
        <v>26</v>
      </c>
      <c r="D15">
        <v>10.649900000000001</v>
      </c>
      <c r="E15">
        <v>9.39</v>
      </c>
      <c r="F15">
        <v>6.93</v>
      </c>
      <c r="G15">
        <v>31.96</v>
      </c>
      <c r="H15">
        <v>0.57999999999999996</v>
      </c>
      <c r="I15">
        <v>13</v>
      </c>
      <c r="J15">
        <v>128.91999999999999</v>
      </c>
      <c r="K15">
        <v>45</v>
      </c>
      <c r="L15">
        <v>4.25</v>
      </c>
      <c r="M15">
        <v>11</v>
      </c>
      <c r="N15">
        <v>19.68</v>
      </c>
      <c r="O15">
        <v>16134.46</v>
      </c>
      <c r="P15">
        <v>68.59</v>
      </c>
      <c r="Q15">
        <v>204.15</v>
      </c>
      <c r="R15">
        <v>29.09</v>
      </c>
      <c r="S15">
        <v>17.37</v>
      </c>
      <c r="T15">
        <v>3721.48</v>
      </c>
      <c r="U15">
        <v>0.6</v>
      </c>
      <c r="V15">
        <v>0.74</v>
      </c>
      <c r="W15">
        <v>1.1599999999999999</v>
      </c>
      <c r="X15">
        <v>0.23</v>
      </c>
      <c r="Y15">
        <v>1</v>
      </c>
      <c r="Z15">
        <v>10</v>
      </c>
    </row>
    <row r="16" spans="1:26" x14ac:dyDescent="0.3">
      <c r="A16">
        <v>14</v>
      </c>
      <c r="B16">
        <v>60</v>
      </c>
      <c r="C16" t="s">
        <v>26</v>
      </c>
      <c r="D16">
        <v>10.691700000000001</v>
      </c>
      <c r="E16">
        <v>9.35</v>
      </c>
      <c r="F16">
        <v>6.91</v>
      </c>
      <c r="G16">
        <v>34.57</v>
      </c>
      <c r="H16">
        <v>0.62</v>
      </c>
      <c r="I16">
        <v>12</v>
      </c>
      <c r="J16">
        <v>129.25</v>
      </c>
      <c r="K16">
        <v>45</v>
      </c>
      <c r="L16">
        <v>4.5</v>
      </c>
      <c r="M16">
        <v>10</v>
      </c>
      <c r="N16">
        <v>19.760000000000002</v>
      </c>
      <c r="O16">
        <v>16175.36</v>
      </c>
      <c r="P16">
        <v>68.150000000000006</v>
      </c>
      <c r="Q16">
        <v>204.14</v>
      </c>
      <c r="R16">
        <v>28.93</v>
      </c>
      <c r="S16">
        <v>17.37</v>
      </c>
      <c r="T16">
        <v>3644.93</v>
      </c>
      <c r="U16">
        <v>0.6</v>
      </c>
      <c r="V16">
        <v>0.74</v>
      </c>
      <c r="W16">
        <v>1.1499999999999999</v>
      </c>
      <c r="X16">
        <v>0.22</v>
      </c>
      <c r="Y16">
        <v>1</v>
      </c>
      <c r="Z16">
        <v>10</v>
      </c>
    </row>
    <row r="17" spans="1:26" x14ac:dyDescent="0.3">
      <c r="A17">
        <v>15</v>
      </c>
      <c r="B17">
        <v>60</v>
      </c>
      <c r="C17" t="s">
        <v>26</v>
      </c>
      <c r="D17">
        <v>10.697100000000001</v>
      </c>
      <c r="E17">
        <v>9.35</v>
      </c>
      <c r="F17">
        <v>6.91</v>
      </c>
      <c r="G17">
        <v>34.549999999999997</v>
      </c>
      <c r="H17">
        <v>0.65</v>
      </c>
      <c r="I17">
        <v>12</v>
      </c>
      <c r="J17">
        <v>129.59</v>
      </c>
      <c r="K17">
        <v>45</v>
      </c>
      <c r="L17">
        <v>4.75</v>
      </c>
      <c r="M17">
        <v>10</v>
      </c>
      <c r="N17">
        <v>19.84</v>
      </c>
      <c r="O17">
        <v>16216.29</v>
      </c>
      <c r="P17">
        <v>67.709999999999994</v>
      </c>
      <c r="Q17">
        <v>204.15</v>
      </c>
      <c r="R17">
        <v>28.75</v>
      </c>
      <c r="S17">
        <v>17.37</v>
      </c>
      <c r="T17">
        <v>3556.3</v>
      </c>
      <c r="U17">
        <v>0.6</v>
      </c>
      <c r="V17">
        <v>0.74</v>
      </c>
      <c r="W17">
        <v>1.1499999999999999</v>
      </c>
      <c r="X17">
        <v>0.22</v>
      </c>
      <c r="Y17">
        <v>1</v>
      </c>
      <c r="Z17">
        <v>10</v>
      </c>
    </row>
    <row r="18" spans="1:26" x14ac:dyDescent="0.3">
      <c r="A18">
        <v>16</v>
      </c>
      <c r="B18">
        <v>60</v>
      </c>
      <c r="C18" t="s">
        <v>26</v>
      </c>
      <c r="D18">
        <v>10.759399999999999</v>
      </c>
      <c r="E18">
        <v>9.2899999999999991</v>
      </c>
      <c r="F18">
        <v>6.88</v>
      </c>
      <c r="G18">
        <v>37.53</v>
      </c>
      <c r="H18">
        <v>0.68</v>
      </c>
      <c r="I18">
        <v>11</v>
      </c>
      <c r="J18">
        <v>129.91999999999999</v>
      </c>
      <c r="K18">
        <v>45</v>
      </c>
      <c r="L18">
        <v>5</v>
      </c>
      <c r="M18">
        <v>9</v>
      </c>
      <c r="N18">
        <v>19.920000000000002</v>
      </c>
      <c r="O18">
        <v>16257.24</v>
      </c>
      <c r="P18">
        <v>67.22</v>
      </c>
      <c r="Q18">
        <v>204.18</v>
      </c>
      <c r="R18">
        <v>27.67</v>
      </c>
      <c r="S18">
        <v>17.37</v>
      </c>
      <c r="T18">
        <v>3020.76</v>
      </c>
      <c r="U18">
        <v>0.63</v>
      </c>
      <c r="V18">
        <v>0.74</v>
      </c>
      <c r="W18">
        <v>1.1499999999999999</v>
      </c>
      <c r="X18">
        <v>0.19</v>
      </c>
      <c r="Y18">
        <v>1</v>
      </c>
      <c r="Z18">
        <v>10</v>
      </c>
    </row>
    <row r="19" spans="1:26" x14ac:dyDescent="0.3">
      <c r="A19">
        <v>17</v>
      </c>
      <c r="B19">
        <v>60</v>
      </c>
      <c r="C19" t="s">
        <v>26</v>
      </c>
      <c r="D19">
        <v>10.7469</v>
      </c>
      <c r="E19">
        <v>9.3000000000000007</v>
      </c>
      <c r="F19">
        <v>6.89</v>
      </c>
      <c r="G19">
        <v>37.590000000000003</v>
      </c>
      <c r="H19">
        <v>0.71</v>
      </c>
      <c r="I19">
        <v>11</v>
      </c>
      <c r="J19">
        <v>130.25</v>
      </c>
      <c r="K19">
        <v>45</v>
      </c>
      <c r="L19">
        <v>5.25</v>
      </c>
      <c r="M19">
        <v>9</v>
      </c>
      <c r="N19">
        <v>20</v>
      </c>
      <c r="O19">
        <v>16298.23</v>
      </c>
      <c r="P19">
        <v>66.8</v>
      </c>
      <c r="Q19">
        <v>204.16</v>
      </c>
      <c r="R19">
        <v>27.95</v>
      </c>
      <c r="S19">
        <v>17.37</v>
      </c>
      <c r="T19">
        <v>3164.58</v>
      </c>
      <c r="U19">
        <v>0.62</v>
      </c>
      <c r="V19">
        <v>0.74</v>
      </c>
      <c r="W19">
        <v>1.1599999999999999</v>
      </c>
      <c r="X19">
        <v>0.2</v>
      </c>
      <c r="Y19">
        <v>1</v>
      </c>
      <c r="Z19">
        <v>10</v>
      </c>
    </row>
    <row r="20" spans="1:26" x14ac:dyDescent="0.3">
      <c r="A20">
        <v>18</v>
      </c>
      <c r="B20">
        <v>60</v>
      </c>
      <c r="C20" t="s">
        <v>26</v>
      </c>
      <c r="D20">
        <v>10.808199999999999</v>
      </c>
      <c r="E20">
        <v>9.25</v>
      </c>
      <c r="F20">
        <v>6.86</v>
      </c>
      <c r="G20">
        <v>41.19</v>
      </c>
      <c r="H20">
        <v>0.74</v>
      </c>
      <c r="I20">
        <v>10</v>
      </c>
      <c r="J20">
        <v>130.58000000000001</v>
      </c>
      <c r="K20">
        <v>45</v>
      </c>
      <c r="L20">
        <v>5.5</v>
      </c>
      <c r="M20">
        <v>8</v>
      </c>
      <c r="N20">
        <v>20.09</v>
      </c>
      <c r="O20">
        <v>16339.24</v>
      </c>
      <c r="P20">
        <v>66.209999999999994</v>
      </c>
      <c r="Q20">
        <v>204.14</v>
      </c>
      <c r="R20">
        <v>27.34</v>
      </c>
      <c r="S20">
        <v>17.37</v>
      </c>
      <c r="T20">
        <v>2863.26</v>
      </c>
      <c r="U20">
        <v>0.64</v>
      </c>
      <c r="V20">
        <v>0.74</v>
      </c>
      <c r="W20">
        <v>1.1499999999999999</v>
      </c>
      <c r="X20">
        <v>0.17</v>
      </c>
      <c r="Y20">
        <v>1</v>
      </c>
      <c r="Z20">
        <v>10</v>
      </c>
    </row>
    <row r="21" spans="1:26" x14ac:dyDescent="0.3">
      <c r="A21">
        <v>19</v>
      </c>
      <c r="B21">
        <v>60</v>
      </c>
      <c r="C21" t="s">
        <v>26</v>
      </c>
      <c r="D21">
        <v>10.8066</v>
      </c>
      <c r="E21">
        <v>9.25</v>
      </c>
      <c r="F21">
        <v>6.87</v>
      </c>
      <c r="G21">
        <v>41.2</v>
      </c>
      <c r="H21">
        <v>0.78</v>
      </c>
      <c r="I21">
        <v>10</v>
      </c>
      <c r="J21">
        <v>130.91999999999999</v>
      </c>
      <c r="K21">
        <v>45</v>
      </c>
      <c r="L21">
        <v>5.75</v>
      </c>
      <c r="M21">
        <v>8</v>
      </c>
      <c r="N21">
        <v>20.170000000000002</v>
      </c>
      <c r="O21">
        <v>16380.29</v>
      </c>
      <c r="P21">
        <v>66.19</v>
      </c>
      <c r="Q21">
        <v>204.14</v>
      </c>
      <c r="R21">
        <v>27.23</v>
      </c>
      <c r="S21">
        <v>17.37</v>
      </c>
      <c r="T21">
        <v>2807.36</v>
      </c>
      <c r="U21">
        <v>0.64</v>
      </c>
      <c r="V21">
        <v>0.74</v>
      </c>
      <c r="W21">
        <v>1.1499999999999999</v>
      </c>
      <c r="X21">
        <v>0.17</v>
      </c>
      <c r="Y21">
        <v>1</v>
      </c>
      <c r="Z21">
        <v>10</v>
      </c>
    </row>
    <row r="22" spans="1:26" x14ac:dyDescent="0.3">
      <c r="A22">
        <v>20</v>
      </c>
      <c r="B22">
        <v>60</v>
      </c>
      <c r="C22" t="s">
        <v>26</v>
      </c>
      <c r="D22">
        <v>10.847300000000001</v>
      </c>
      <c r="E22">
        <v>9.2200000000000006</v>
      </c>
      <c r="F22">
        <v>6.86</v>
      </c>
      <c r="G22">
        <v>45.71</v>
      </c>
      <c r="H22">
        <v>0.81</v>
      </c>
      <c r="I22">
        <v>9</v>
      </c>
      <c r="J22">
        <v>131.25</v>
      </c>
      <c r="K22">
        <v>45</v>
      </c>
      <c r="L22">
        <v>6</v>
      </c>
      <c r="M22">
        <v>7</v>
      </c>
      <c r="N22">
        <v>20.25</v>
      </c>
      <c r="O22">
        <v>16421.36</v>
      </c>
      <c r="P22">
        <v>65.790000000000006</v>
      </c>
      <c r="Q22">
        <v>204.14</v>
      </c>
      <c r="R22">
        <v>27.04</v>
      </c>
      <c r="S22">
        <v>17.37</v>
      </c>
      <c r="T22">
        <v>2715.95</v>
      </c>
      <c r="U22">
        <v>0.64</v>
      </c>
      <c r="V22">
        <v>0.74</v>
      </c>
      <c r="W22">
        <v>1.1499999999999999</v>
      </c>
      <c r="X22">
        <v>0.17</v>
      </c>
      <c r="Y22">
        <v>1</v>
      </c>
      <c r="Z22">
        <v>10</v>
      </c>
    </row>
    <row r="23" spans="1:26" x14ac:dyDescent="0.3">
      <c r="A23">
        <v>21</v>
      </c>
      <c r="B23">
        <v>60</v>
      </c>
      <c r="C23" t="s">
        <v>26</v>
      </c>
      <c r="D23">
        <v>10.846</v>
      </c>
      <c r="E23">
        <v>9.2200000000000006</v>
      </c>
      <c r="F23">
        <v>6.86</v>
      </c>
      <c r="G23">
        <v>45.72</v>
      </c>
      <c r="H23">
        <v>0.84</v>
      </c>
      <c r="I23">
        <v>9</v>
      </c>
      <c r="J23">
        <v>131.58000000000001</v>
      </c>
      <c r="K23">
        <v>45</v>
      </c>
      <c r="L23">
        <v>6.25</v>
      </c>
      <c r="M23">
        <v>7</v>
      </c>
      <c r="N23">
        <v>20.34</v>
      </c>
      <c r="O23">
        <v>16462.46</v>
      </c>
      <c r="P23">
        <v>65.72</v>
      </c>
      <c r="Q23">
        <v>204.14</v>
      </c>
      <c r="R23">
        <v>27.03</v>
      </c>
      <c r="S23">
        <v>17.37</v>
      </c>
      <c r="T23">
        <v>2711.05</v>
      </c>
      <c r="U23">
        <v>0.64</v>
      </c>
      <c r="V23">
        <v>0.74</v>
      </c>
      <c r="W23">
        <v>1.1499999999999999</v>
      </c>
      <c r="X23">
        <v>0.17</v>
      </c>
      <c r="Y23">
        <v>1</v>
      </c>
      <c r="Z23">
        <v>10</v>
      </c>
    </row>
    <row r="24" spans="1:26" x14ac:dyDescent="0.3">
      <c r="A24">
        <v>22</v>
      </c>
      <c r="B24">
        <v>60</v>
      </c>
      <c r="C24" t="s">
        <v>26</v>
      </c>
      <c r="D24">
        <v>10.848599999999999</v>
      </c>
      <c r="E24">
        <v>9.2200000000000006</v>
      </c>
      <c r="F24">
        <v>6.86</v>
      </c>
      <c r="G24">
        <v>45.7</v>
      </c>
      <c r="H24">
        <v>0.87</v>
      </c>
      <c r="I24">
        <v>9</v>
      </c>
      <c r="J24">
        <v>131.91999999999999</v>
      </c>
      <c r="K24">
        <v>45</v>
      </c>
      <c r="L24">
        <v>6.5</v>
      </c>
      <c r="M24">
        <v>7</v>
      </c>
      <c r="N24">
        <v>20.420000000000002</v>
      </c>
      <c r="O24">
        <v>16503.599999999999</v>
      </c>
      <c r="P24">
        <v>65.13</v>
      </c>
      <c r="Q24">
        <v>204.14</v>
      </c>
      <c r="R24">
        <v>27.03</v>
      </c>
      <c r="S24">
        <v>17.37</v>
      </c>
      <c r="T24">
        <v>2714.62</v>
      </c>
      <c r="U24">
        <v>0.64</v>
      </c>
      <c r="V24">
        <v>0.74</v>
      </c>
      <c r="W24">
        <v>1.1499999999999999</v>
      </c>
      <c r="X24">
        <v>0.16</v>
      </c>
      <c r="Y24">
        <v>1</v>
      </c>
      <c r="Z24">
        <v>10</v>
      </c>
    </row>
    <row r="25" spans="1:26" x14ac:dyDescent="0.3">
      <c r="A25">
        <v>23</v>
      </c>
      <c r="B25">
        <v>60</v>
      </c>
      <c r="C25" t="s">
        <v>26</v>
      </c>
      <c r="D25">
        <v>10.9237</v>
      </c>
      <c r="E25">
        <v>9.15</v>
      </c>
      <c r="F25">
        <v>6.82</v>
      </c>
      <c r="G25">
        <v>51.13</v>
      </c>
      <c r="H25">
        <v>0.9</v>
      </c>
      <c r="I25">
        <v>8</v>
      </c>
      <c r="J25">
        <v>132.25</v>
      </c>
      <c r="K25">
        <v>45</v>
      </c>
      <c r="L25">
        <v>6.75</v>
      </c>
      <c r="M25">
        <v>6</v>
      </c>
      <c r="N25">
        <v>20.5</v>
      </c>
      <c r="O25">
        <v>16544.759999999998</v>
      </c>
      <c r="P25">
        <v>64.47</v>
      </c>
      <c r="Q25">
        <v>204.14</v>
      </c>
      <c r="R25">
        <v>25.77</v>
      </c>
      <c r="S25">
        <v>17.37</v>
      </c>
      <c r="T25">
        <v>2089.4499999999998</v>
      </c>
      <c r="U25">
        <v>0.67</v>
      </c>
      <c r="V25">
        <v>0.75</v>
      </c>
      <c r="W25">
        <v>1.1499999999999999</v>
      </c>
      <c r="X25">
        <v>0.13</v>
      </c>
      <c r="Y25">
        <v>1</v>
      </c>
      <c r="Z25">
        <v>10</v>
      </c>
    </row>
    <row r="26" spans="1:26" x14ac:dyDescent="0.3">
      <c r="A26">
        <v>24</v>
      </c>
      <c r="B26">
        <v>60</v>
      </c>
      <c r="C26" t="s">
        <v>26</v>
      </c>
      <c r="D26">
        <v>10.9018</v>
      </c>
      <c r="E26">
        <v>9.17</v>
      </c>
      <c r="F26">
        <v>6.84</v>
      </c>
      <c r="G26">
        <v>51.27</v>
      </c>
      <c r="H26">
        <v>0.93</v>
      </c>
      <c r="I26">
        <v>8</v>
      </c>
      <c r="J26">
        <v>132.58000000000001</v>
      </c>
      <c r="K26">
        <v>45</v>
      </c>
      <c r="L26">
        <v>7</v>
      </c>
      <c r="M26">
        <v>6</v>
      </c>
      <c r="N26">
        <v>20.59</v>
      </c>
      <c r="O26">
        <v>16585.95</v>
      </c>
      <c r="P26">
        <v>64.02</v>
      </c>
      <c r="Q26">
        <v>204.14</v>
      </c>
      <c r="R26">
        <v>26.28</v>
      </c>
      <c r="S26">
        <v>17.37</v>
      </c>
      <c r="T26">
        <v>2342.35</v>
      </c>
      <c r="U26">
        <v>0.66</v>
      </c>
      <c r="V26">
        <v>0.75</v>
      </c>
      <c r="W26">
        <v>1.1499999999999999</v>
      </c>
      <c r="X26">
        <v>0.14000000000000001</v>
      </c>
      <c r="Y26">
        <v>1</v>
      </c>
      <c r="Z26">
        <v>10</v>
      </c>
    </row>
    <row r="27" spans="1:26" x14ac:dyDescent="0.3">
      <c r="A27">
        <v>25</v>
      </c>
      <c r="B27">
        <v>60</v>
      </c>
      <c r="C27" t="s">
        <v>26</v>
      </c>
      <c r="D27">
        <v>10.9137</v>
      </c>
      <c r="E27">
        <v>9.16</v>
      </c>
      <c r="F27">
        <v>6.83</v>
      </c>
      <c r="G27">
        <v>51.2</v>
      </c>
      <c r="H27">
        <v>0.96</v>
      </c>
      <c r="I27">
        <v>8</v>
      </c>
      <c r="J27">
        <v>132.91999999999999</v>
      </c>
      <c r="K27">
        <v>45</v>
      </c>
      <c r="L27">
        <v>7.25</v>
      </c>
      <c r="M27">
        <v>6</v>
      </c>
      <c r="N27">
        <v>20.67</v>
      </c>
      <c r="O27">
        <v>16627.169999999998</v>
      </c>
      <c r="P27">
        <v>63.88</v>
      </c>
      <c r="Q27">
        <v>204.15</v>
      </c>
      <c r="R27">
        <v>26.07</v>
      </c>
      <c r="S27">
        <v>17.37</v>
      </c>
      <c r="T27">
        <v>2235.21</v>
      </c>
      <c r="U27">
        <v>0.67</v>
      </c>
      <c r="V27">
        <v>0.75</v>
      </c>
      <c r="W27">
        <v>1.1499999999999999</v>
      </c>
      <c r="X27">
        <v>0.13</v>
      </c>
      <c r="Y27">
        <v>1</v>
      </c>
      <c r="Z27">
        <v>10</v>
      </c>
    </row>
    <row r="28" spans="1:26" x14ac:dyDescent="0.3">
      <c r="A28">
        <v>26</v>
      </c>
      <c r="B28">
        <v>60</v>
      </c>
      <c r="C28" t="s">
        <v>26</v>
      </c>
      <c r="D28">
        <v>10.976900000000001</v>
      </c>
      <c r="E28">
        <v>9.11</v>
      </c>
      <c r="F28">
        <v>6.8</v>
      </c>
      <c r="G28">
        <v>58.28</v>
      </c>
      <c r="H28">
        <v>0.99</v>
      </c>
      <c r="I28">
        <v>7</v>
      </c>
      <c r="J28">
        <v>133.25</v>
      </c>
      <c r="K28">
        <v>45</v>
      </c>
      <c r="L28">
        <v>7.5</v>
      </c>
      <c r="M28">
        <v>5</v>
      </c>
      <c r="N28">
        <v>20.76</v>
      </c>
      <c r="O28">
        <v>16668.43</v>
      </c>
      <c r="P28">
        <v>62.85</v>
      </c>
      <c r="Q28">
        <v>204.14</v>
      </c>
      <c r="R28">
        <v>25.25</v>
      </c>
      <c r="S28">
        <v>17.37</v>
      </c>
      <c r="T28">
        <v>1833.89</v>
      </c>
      <c r="U28">
        <v>0.69</v>
      </c>
      <c r="V28">
        <v>0.75</v>
      </c>
      <c r="W28">
        <v>1.1399999999999999</v>
      </c>
      <c r="X28">
        <v>0.11</v>
      </c>
      <c r="Y28">
        <v>1</v>
      </c>
      <c r="Z28">
        <v>10</v>
      </c>
    </row>
    <row r="29" spans="1:26" x14ac:dyDescent="0.3">
      <c r="A29">
        <v>27</v>
      </c>
      <c r="B29">
        <v>60</v>
      </c>
      <c r="C29" t="s">
        <v>26</v>
      </c>
      <c r="D29">
        <v>10.9673</v>
      </c>
      <c r="E29">
        <v>9.1199999999999992</v>
      </c>
      <c r="F29">
        <v>6.81</v>
      </c>
      <c r="G29">
        <v>58.35</v>
      </c>
      <c r="H29">
        <v>1.03</v>
      </c>
      <c r="I29">
        <v>7</v>
      </c>
      <c r="J29">
        <v>133.59</v>
      </c>
      <c r="K29">
        <v>45</v>
      </c>
      <c r="L29">
        <v>7.75</v>
      </c>
      <c r="M29">
        <v>5</v>
      </c>
      <c r="N29">
        <v>20.84</v>
      </c>
      <c r="O29">
        <v>16709.71</v>
      </c>
      <c r="P29">
        <v>63.08</v>
      </c>
      <c r="Q29">
        <v>204.14</v>
      </c>
      <c r="R29">
        <v>25.53</v>
      </c>
      <c r="S29">
        <v>17.37</v>
      </c>
      <c r="T29">
        <v>1974.28</v>
      </c>
      <c r="U29">
        <v>0.68</v>
      </c>
      <c r="V29">
        <v>0.75</v>
      </c>
      <c r="W29">
        <v>1.1399999999999999</v>
      </c>
      <c r="X29">
        <v>0.12</v>
      </c>
      <c r="Y29">
        <v>1</v>
      </c>
      <c r="Z29">
        <v>10</v>
      </c>
    </row>
    <row r="30" spans="1:26" x14ac:dyDescent="0.3">
      <c r="A30">
        <v>28</v>
      </c>
      <c r="B30">
        <v>60</v>
      </c>
      <c r="C30" t="s">
        <v>26</v>
      </c>
      <c r="D30">
        <v>10.958600000000001</v>
      </c>
      <c r="E30">
        <v>9.1300000000000008</v>
      </c>
      <c r="F30">
        <v>6.81</v>
      </c>
      <c r="G30">
        <v>58.41</v>
      </c>
      <c r="H30">
        <v>1.06</v>
      </c>
      <c r="I30">
        <v>7</v>
      </c>
      <c r="J30">
        <v>133.91999999999999</v>
      </c>
      <c r="K30">
        <v>45</v>
      </c>
      <c r="L30">
        <v>8</v>
      </c>
      <c r="M30">
        <v>5</v>
      </c>
      <c r="N30">
        <v>20.93</v>
      </c>
      <c r="O30">
        <v>16751.02</v>
      </c>
      <c r="P30">
        <v>63.16</v>
      </c>
      <c r="Q30">
        <v>204.16</v>
      </c>
      <c r="R30">
        <v>25.7</v>
      </c>
      <c r="S30">
        <v>17.37</v>
      </c>
      <c r="T30">
        <v>2055.44</v>
      </c>
      <c r="U30">
        <v>0.68</v>
      </c>
      <c r="V30">
        <v>0.75</v>
      </c>
      <c r="W30">
        <v>1.1499999999999999</v>
      </c>
      <c r="X30">
        <v>0.12</v>
      </c>
      <c r="Y30">
        <v>1</v>
      </c>
      <c r="Z30">
        <v>10</v>
      </c>
    </row>
    <row r="31" spans="1:26" x14ac:dyDescent="0.3">
      <c r="A31">
        <v>29</v>
      </c>
      <c r="B31">
        <v>60</v>
      </c>
      <c r="C31" t="s">
        <v>26</v>
      </c>
      <c r="D31">
        <v>10.9589</v>
      </c>
      <c r="E31">
        <v>9.1199999999999992</v>
      </c>
      <c r="F31">
        <v>6.81</v>
      </c>
      <c r="G31">
        <v>58.4</v>
      </c>
      <c r="H31">
        <v>1.0900000000000001</v>
      </c>
      <c r="I31">
        <v>7</v>
      </c>
      <c r="J31">
        <v>134.26</v>
      </c>
      <c r="K31">
        <v>45</v>
      </c>
      <c r="L31">
        <v>8.25</v>
      </c>
      <c r="M31">
        <v>5</v>
      </c>
      <c r="N31">
        <v>21.01</v>
      </c>
      <c r="O31">
        <v>16792.37</v>
      </c>
      <c r="P31">
        <v>62.74</v>
      </c>
      <c r="Q31">
        <v>204.15</v>
      </c>
      <c r="R31">
        <v>25.66</v>
      </c>
      <c r="S31">
        <v>17.37</v>
      </c>
      <c r="T31">
        <v>2037.41</v>
      </c>
      <c r="U31">
        <v>0.68</v>
      </c>
      <c r="V31">
        <v>0.75</v>
      </c>
      <c r="W31">
        <v>1.1499999999999999</v>
      </c>
      <c r="X31">
        <v>0.12</v>
      </c>
      <c r="Y31">
        <v>1</v>
      </c>
      <c r="Z31">
        <v>10</v>
      </c>
    </row>
    <row r="32" spans="1:26" x14ac:dyDescent="0.3">
      <c r="A32">
        <v>30</v>
      </c>
      <c r="B32">
        <v>60</v>
      </c>
      <c r="C32" t="s">
        <v>26</v>
      </c>
      <c r="D32">
        <v>10.9526</v>
      </c>
      <c r="E32">
        <v>9.1300000000000008</v>
      </c>
      <c r="F32">
        <v>6.82</v>
      </c>
      <c r="G32">
        <v>58.45</v>
      </c>
      <c r="H32">
        <v>1.1200000000000001</v>
      </c>
      <c r="I32">
        <v>7</v>
      </c>
      <c r="J32">
        <v>134.59</v>
      </c>
      <c r="K32">
        <v>45</v>
      </c>
      <c r="L32">
        <v>8.5</v>
      </c>
      <c r="M32">
        <v>5</v>
      </c>
      <c r="N32">
        <v>21.1</v>
      </c>
      <c r="O32">
        <v>16833.86</v>
      </c>
      <c r="P32">
        <v>62.21</v>
      </c>
      <c r="Q32">
        <v>204.15</v>
      </c>
      <c r="R32">
        <v>25.8</v>
      </c>
      <c r="S32">
        <v>17.37</v>
      </c>
      <c r="T32">
        <v>2108.64</v>
      </c>
      <c r="U32">
        <v>0.67</v>
      </c>
      <c r="V32">
        <v>0.75</v>
      </c>
      <c r="W32">
        <v>1.1499999999999999</v>
      </c>
      <c r="X32">
        <v>0.13</v>
      </c>
      <c r="Y32">
        <v>1</v>
      </c>
      <c r="Z32">
        <v>10</v>
      </c>
    </row>
    <row r="33" spans="1:26" x14ac:dyDescent="0.3">
      <c r="A33">
        <v>31</v>
      </c>
      <c r="B33">
        <v>60</v>
      </c>
      <c r="C33" t="s">
        <v>26</v>
      </c>
      <c r="D33">
        <v>10.968299999999999</v>
      </c>
      <c r="E33">
        <v>9.1199999999999992</v>
      </c>
      <c r="F33">
        <v>6.81</v>
      </c>
      <c r="G33">
        <v>58.34</v>
      </c>
      <c r="H33">
        <v>1.1499999999999999</v>
      </c>
      <c r="I33">
        <v>7</v>
      </c>
      <c r="J33">
        <v>134.93</v>
      </c>
      <c r="K33">
        <v>45</v>
      </c>
      <c r="L33">
        <v>8.75</v>
      </c>
      <c r="M33">
        <v>5</v>
      </c>
      <c r="N33">
        <v>21.18</v>
      </c>
      <c r="O33">
        <v>16875.27</v>
      </c>
      <c r="P33">
        <v>61.51</v>
      </c>
      <c r="Q33">
        <v>204.14</v>
      </c>
      <c r="R33">
        <v>25.41</v>
      </c>
      <c r="S33">
        <v>17.37</v>
      </c>
      <c r="T33">
        <v>1911.17</v>
      </c>
      <c r="U33">
        <v>0.68</v>
      </c>
      <c r="V33">
        <v>0.75</v>
      </c>
      <c r="W33">
        <v>1.1499999999999999</v>
      </c>
      <c r="X33">
        <v>0.12</v>
      </c>
      <c r="Y33">
        <v>1</v>
      </c>
      <c r="Z33">
        <v>10</v>
      </c>
    </row>
    <row r="34" spans="1:26" x14ac:dyDescent="0.3">
      <c r="A34">
        <v>32</v>
      </c>
      <c r="B34">
        <v>60</v>
      </c>
      <c r="C34" t="s">
        <v>26</v>
      </c>
      <c r="D34">
        <v>11.018599999999999</v>
      </c>
      <c r="E34">
        <v>9.08</v>
      </c>
      <c r="F34">
        <v>6.79</v>
      </c>
      <c r="G34">
        <v>67.900000000000006</v>
      </c>
      <c r="H34">
        <v>1.18</v>
      </c>
      <c r="I34">
        <v>6</v>
      </c>
      <c r="J34">
        <v>135.27000000000001</v>
      </c>
      <c r="K34">
        <v>45</v>
      </c>
      <c r="L34">
        <v>9</v>
      </c>
      <c r="M34">
        <v>4</v>
      </c>
      <c r="N34">
        <v>21.27</v>
      </c>
      <c r="O34">
        <v>16916.71</v>
      </c>
      <c r="P34">
        <v>61.18</v>
      </c>
      <c r="Q34">
        <v>204.14</v>
      </c>
      <c r="R34">
        <v>24.86</v>
      </c>
      <c r="S34">
        <v>17.37</v>
      </c>
      <c r="T34">
        <v>1640.29</v>
      </c>
      <c r="U34">
        <v>0.7</v>
      </c>
      <c r="V34">
        <v>0.75</v>
      </c>
      <c r="W34">
        <v>1.1499999999999999</v>
      </c>
      <c r="X34">
        <v>0.1</v>
      </c>
      <c r="Y34">
        <v>1</v>
      </c>
      <c r="Z34">
        <v>10</v>
      </c>
    </row>
    <row r="35" spans="1:26" x14ac:dyDescent="0.3">
      <c r="A35">
        <v>33</v>
      </c>
      <c r="B35">
        <v>60</v>
      </c>
      <c r="C35" t="s">
        <v>26</v>
      </c>
      <c r="D35">
        <v>11.017300000000001</v>
      </c>
      <c r="E35">
        <v>9.08</v>
      </c>
      <c r="F35">
        <v>6.79</v>
      </c>
      <c r="G35">
        <v>67.91</v>
      </c>
      <c r="H35">
        <v>1.21</v>
      </c>
      <c r="I35">
        <v>6</v>
      </c>
      <c r="J35">
        <v>135.6</v>
      </c>
      <c r="K35">
        <v>45</v>
      </c>
      <c r="L35">
        <v>9.25</v>
      </c>
      <c r="M35">
        <v>4</v>
      </c>
      <c r="N35">
        <v>21.35</v>
      </c>
      <c r="O35">
        <v>16958.169999999998</v>
      </c>
      <c r="P35">
        <v>61.18</v>
      </c>
      <c r="Q35">
        <v>204.14</v>
      </c>
      <c r="R35">
        <v>24.95</v>
      </c>
      <c r="S35">
        <v>17.37</v>
      </c>
      <c r="T35">
        <v>1689.73</v>
      </c>
      <c r="U35">
        <v>0.7</v>
      </c>
      <c r="V35">
        <v>0.75</v>
      </c>
      <c r="W35">
        <v>1.1499999999999999</v>
      </c>
      <c r="X35">
        <v>0.1</v>
      </c>
      <c r="Y35">
        <v>1</v>
      </c>
      <c r="Z35">
        <v>10</v>
      </c>
    </row>
    <row r="36" spans="1:26" x14ac:dyDescent="0.3">
      <c r="A36">
        <v>34</v>
      </c>
      <c r="B36">
        <v>60</v>
      </c>
      <c r="C36" t="s">
        <v>26</v>
      </c>
      <c r="D36">
        <v>11.030099999999999</v>
      </c>
      <c r="E36">
        <v>9.07</v>
      </c>
      <c r="F36">
        <v>6.78</v>
      </c>
      <c r="G36">
        <v>67.81</v>
      </c>
      <c r="H36">
        <v>1.24</v>
      </c>
      <c r="I36">
        <v>6</v>
      </c>
      <c r="J36">
        <v>135.94</v>
      </c>
      <c r="K36">
        <v>45</v>
      </c>
      <c r="L36">
        <v>9.5</v>
      </c>
      <c r="M36">
        <v>4</v>
      </c>
      <c r="N36">
        <v>21.44</v>
      </c>
      <c r="O36">
        <v>16999.669999999998</v>
      </c>
      <c r="P36">
        <v>60.74</v>
      </c>
      <c r="Q36">
        <v>204.16</v>
      </c>
      <c r="R36">
        <v>24.59</v>
      </c>
      <c r="S36">
        <v>17.37</v>
      </c>
      <c r="T36">
        <v>1506.78</v>
      </c>
      <c r="U36">
        <v>0.71</v>
      </c>
      <c r="V36">
        <v>0.75</v>
      </c>
      <c r="W36">
        <v>1.1399999999999999</v>
      </c>
      <c r="X36">
        <v>0.09</v>
      </c>
      <c r="Y36">
        <v>1</v>
      </c>
      <c r="Z36">
        <v>10</v>
      </c>
    </row>
    <row r="37" spans="1:26" x14ac:dyDescent="0.3">
      <c r="A37">
        <v>35</v>
      </c>
      <c r="B37">
        <v>60</v>
      </c>
      <c r="C37" t="s">
        <v>26</v>
      </c>
      <c r="D37">
        <v>11.019600000000001</v>
      </c>
      <c r="E37">
        <v>9.07</v>
      </c>
      <c r="F37">
        <v>6.79</v>
      </c>
      <c r="G37">
        <v>67.89</v>
      </c>
      <c r="H37">
        <v>1.26</v>
      </c>
      <c r="I37">
        <v>6</v>
      </c>
      <c r="J37">
        <v>136.27000000000001</v>
      </c>
      <c r="K37">
        <v>45</v>
      </c>
      <c r="L37">
        <v>9.75</v>
      </c>
      <c r="M37">
        <v>4</v>
      </c>
      <c r="N37">
        <v>21.53</v>
      </c>
      <c r="O37">
        <v>17041.2</v>
      </c>
      <c r="P37">
        <v>60.41</v>
      </c>
      <c r="Q37">
        <v>204.14</v>
      </c>
      <c r="R37">
        <v>24.93</v>
      </c>
      <c r="S37">
        <v>17.37</v>
      </c>
      <c r="T37">
        <v>1676.2</v>
      </c>
      <c r="U37">
        <v>0.7</v>
      </c>
      <c r="V37">
        <v>0.75</v>
      </c>
      <c r="W37">
        <v>1.1499999999999999</v>
      </c>
      <c r="X37">
        <v>0.1</v>
      </c>
      <c r="Y37">
        <v>1</v>
      </c>
      <c r="Z37">
        <v>10</v>
      </c>
    </row>
    <row r="38" spans="1:26" x14ac:dyDescent="0.3">
      <c r="A38">
        <v>36</v>
      </c>
      <c r="B38">
        <v>60</v>
      </c>
      <c r="C38" t="s">
        <v>26</v>
      </c>
      <c r="D38">
        <v>11.0213</v>
      </c>
      <c r="E38">
        <v>9.07</v>
      </c>
      <c r="F38">
        <v>6.79</v>
      </c>
      <c r="G38">
        <v>67.88</v>
      </c>
      <c r="H38">
        <v>1.29</v>
      </c>
      <c r="I38">
        <v>6</v>
      </c>
      <c r="J38">
        <v>136.61000000000001</v>
      </c>
      <c r="K38">
        <v>45</v>
      </c>
      <c r="L38">
        <v>10</v>
      </c>
      <c r="M38">
        <v>4</v>
      </c>
      <c r="N38">
        <v>21.61</v>
      </c>
      <c r="O38">
        <v>17082.759999999998</v>
      </c>
      <c r="P38">
        <v>59.77</v>
      </c>
      <c r="Q38">
        <v>204.16</v>
      </c>
      <c r="R38">
        <v>24.87</v>
      </c>
      <c r="S38">
        <v>17.37</v>
      </c>
      <c r="T38">
        <v>1646.2</v>
      </c>
      <c r="U38">
        <v>0.7</v>
      </c>
      <c r="V38">
        <v>0.75</v>
      </c>
      <c r="W38">
        <v>1.1499999999999999</v>
      </c>
      <c r="X38">
        <v>0.1</v>
      </c>
      <c r="Y38">
        <v>1</v>
      </c>
      <c r="Z38">
        <v>10</v>
      </c>
    </row>
    <row r="39" spans="1:26" x14ac:dyDescent="0.3">
      <c r="A39">
        <v>37</v>
      </c>
      <c r="B39">
        <v>60</v>
      </c>
      <c r="C39" t="s">
        <v>26</v>
      </c>
      <c r="D39">
        <v>11.0206</v>
      </c>
      <c r="E39">
        <v>9.07</v>
      </c>
      <c r="F39">
        <v>6.79</v>
      </c>
      <c r="G39">
        <v>67.88</v>
      </c>
      <c r="H39">
        <v>1.32</v>
      </c>
      <c r="I39">
        <v>6</v>
      </c>
      <c r="J39">
        <v>136.94999999999999</v>
      </c>
      <c r="K39">
        <v>45</v>
      </c>
      <c r="L39">
        <v>10.25</v>
      </c>
      <c r="M39">
        <v>4</v>
      </c>
      <c r="N39">
        <v>21.7</v>
      </c>
      <c r="O39">
        <v>17124.349999999999</v>
      </c>
      <c r="P39">
        <v>59.61</v>
      </c>
      <c r="Q39">
        <v>204.14</v>
      </c>
      <c r="R39">
        <v>24.87</v>
      </c>
      <c r="S39">
        <v>17.37</v>
      </c>
      <c r="T39">
        <v>1647.78</v>
      </c>
      <c r="U39">
        <v>0.7</v>
      </c>
      <c r="V39">
        <v>0.75</v>
      </c>
      <c r="W39">
        <v>1.1499999999999999</v>
      </c>
      <c r="X39">
        <v>0.1</v>
      </c>
      <c r="Y39">
        <v>1</v>
      </c>
      <c r="Z39">
        <v>10</v>
      </c>
    </row>
    <row r="40" spans="1:26" x14ac:dyDescent="0.3">
      <c r="A40">
        <v>38</v>
      </c>
      <c r="B40">
        <v>60</v>
      </c>
      <c r="C40" t="s">
        <v>26</v>
      </c>
      <c r="D40">
        <v>11.0718</v>
      </c>
      <c r="E40">
        <v>9.0299999999999994</v>
      </c>
      <c r="F40">
        <v>6.77</v>
      </c>
      <c r="G40">
        <v>81.260000000000005</v>
      </c>
      <c r="H40">
        <v>1.35</v>
      </c>
      <c r="I40">
        <v>5</v>
      </c>
      <c r="J40">
        <v>137.29</v>
      </c>
      <c r="K40">
        <v>45</v>
      </c>
      <c r="L40">
        <v>10.5</v>
      </c>
      <c r="M40">
        <v>3</v>
      </c>
      <c r="N40">
        <v>21.79</v>
      </c>
      <c r="O40">
        <v>17165.97</v>
      </c>
      <c r="P40">
        <v>58.41</v>
      </c>
      <c r="Q40">
        <v>204.14</v>
      </c>
      <c r="R40">
        <v>24.36</v>
      </c>
      <c r="S40">
        <v>17.37</v>
      </c>
      <c r="T40">
        <v>1399.52</v>
      </c>
      <c r="U40">
        <v>0.71</v>
      </c>
      <c r="V40">
        <v>0.75</v>
      </c>
      <c r="W40">
        <v>1.1399999999999999</v>
      </c>
      <c r="X40">
        <v>0.08</v>
      </c>
      <c r="Y40">
        <v>1</v>
      </c>
      <c r="Z40">
        <v>10</v>
      </c>
    </row>
    <row r="41" spans="1:26" x14ac:dyDescent="0.3">
      <c r="A41">
        <v>39</v>
      </c>
      <c r="B41">
        <v>60</v>
      </c>
      <c r="C41" t="s">
        <v>26</v>
      </c>
      <c r="D41">
        <v>11.067</v>
      </c>
      <c r="E41">
        <v>9.0399999999999991</v>
      </c>
      <c r="F41">
        <v>6.78</v>
      </c>
      <c r="G41">
        <v>81.31</v>
      </c>
      <c r="H41">
        <v>1.38</v>
      </c>
      <c r="I41">
        <v>5</v>
      </c>
      <c r="J41">
        <v>137.62</v>
      </c>
      <c r="K41">
        <v>45</v>
      </c>
      <c r="L41">
        <v>10.75</v>
      </c>
      <c r="M41">
        <v>3</v>
      </c>
      <c r="N41">
        <v>21.88</v>
      </c>
      <c r="O41">
        <v>17207.62</v>
      </c>
      <c r="P41">
        <v>58.87</v>
      </c>
      <c r="Q41">
        <v>204.14</v>
      </c>
      <c r="R41">
        <v>24.48</v>
      </c>
      <c r="S41">
        <v>17.37</v>
      </c>
      <c r="T41">
        <v>1457.51</v>
      </c>
      <c r="U41">
        <v>0.71</v>
      </c>
      <c r="V41">
        <v>0.75</v>
      </c>
      <c r="W41">
        <v>1.1499999999999999</v>
      </c>
      <c r="X41">
        <v>0.08</v>
      </c>
      <c r="Y41">
        <v>1</v>
      </c>
      <c r="Z41">
        <v>10</v>
      </c>
    </row>
    <row r="42" spans="1:26" x14ac:dyDescent="0.3">
      <c r="A42">
        <v>40</v>
      </c>
      <c r="B42">
        <v>60</v>
      </c>
      <c r="C42" t="s">
        <v>26</v>
      </c>
      <c r="D42">
        <v>11.0739</v>
      </c>
      <c r="E42">
        <v>9.0299999999999994</v>
      </c>
      <c r="F42">
        <v>6.77</v>
      </c>
      <c r="G42">
        <v>81.239999999999995</v>
      </c>
      <c r="H42">
        <v>1.41</v>
      </c>
      <c r="I42">
        <v>5</v>
      </c>
      <c r="J42">
        <v>137.96</v>
      </c>
      <c r="K42">
        <v>45</v>
      </c>
      <c r="L42">
        <v>11</v>
      </c>
      <c r="M42">
        <v>2</v>
      </c>
      <c r="N42">
        <v>21.96</v>
      </c>
      <c r="O42">
        <v>17249.3</v>
      </c>
      <c r="P42">
        <v>58.94</v>
      </c>
      <c r="Q42">
        <v>204.14</v>
      </c>
      <c r="R42">
        <v>24.33</v>
      </c>
      <c r="S42">
        <v>17.37</v>
      </c>
      <c r="T42">
        <v>1381.51</v>
      </c>
      <c r="U42">
        <v>0.71</v>
      </c>
      <c r="V42">
        <v>0.75</v>
      </c>
      <c r="W42">
        <v>1.1399999999999999</v>
      </c>
      <c r="X42">
        <v>0.08</v>
      </c>
      <c r="Y42">
        <v>1</v>
      </c>
      <c r="Z42">
        <v>10</v>
      </c>
    </row>
    <row r="43" spans="1:26" x14ac:dyDescent="0.3">
      <c r="A43">
        <v>41</v>
      </c>
      <c r="B43">
        <v>60</v>
      </c>
      <c r="C43" t="s">
        <v>26</v>
      </c>
      <c r="D43">
        <v>11.0739</v>
      </c>
      <c r="E43">
        <v>9.0299999999999994</v>
      </c>
      <c r="F43">
        <v>6.77</v>
      </c>
      <c r="G43">
        <v>81.239999999999995</v>
      </c>
      <c r="H43">
        <v>1.44</v>
      </c>
      <c r="I43">
        <v>5</v>
      </c>
      <c r="J43">
        <v>138.30000000000001</v>
      </c>
      <c r="K43">
        <v>45</v>
      </c>
      <c r="L43">
        <v>11.25</v>
      </c>
      <c r="M43">
        <v>2</v>
      </c>
      <c r="N43">
        <v>22.05</v>
      </c>
      <c r="O43">
        <v>17291.02</v>
      </c>
      <c r="P43">
        <v>58.82</v>
      </c>
      <c r="Q43">
        <v>204.14</v>
      </c>
      <c r="R43">
        <v>24.31</v>
      </c>
      <c r="S43">
        <v>17.37</v>
      </c>
      <c r="T43">
        <v>1370.76</v>
      </c>
      <c r="U43">
        <v>0.71</v>
      </c>
      <c r="V43">
        <v>0.75</v>
      </c>
      <c r="W43">
        <v>1.1399999999999999</v>
      </c>
      <c r="X43">
        <v>0.08</v>
      </c>
      <c r="Y43">
        <v>1</v>
      </c>
      <c r="Z43">
        <v>10</v>
      </c>
    </row>
    <row r="44" spans="1:26" x14ac:dyDescent="0.3">
      <c r="A44">
        <v>42</v>
      </c>
      <c r="B44">
        <v>60</v>
      </c>
      <c r="C44" t="s">
        <v>26</v>
      </c>
      <c r="D44">
        <v>11.0687</v>
      </c>
      <c r="E44">
        <v>9.0299999999999994</v>
      </c>
      <c r="F44">
        <v>6.77</v>
      </c>
      <c r="G44">
        <v>81.290000000000006</v>
      </c>
      <c r="H44">
        <v>1.47</v>
      </c>
      <c r="I44">
        <v>5</v>
      </c>
      <c r="J44">
        <v>138.63999999999999</v>
      </c>
      <c r="K44">
        <v>45</v>
      </c>
      <c r="L44">
        <v>11.5</v>
      </c>
      <c r="M44">
        <v>2</v>
      </c>
      <c r="N44">
        <v>22.14</v>
      </c>
      <c r="O44">
        <v>17332.759999999998</v>
      </c>
      <c r="P44">
        <v>58.68</v>
      </c>
      <c r="Q44">
        <v>204.14</v>
      </c>
      <c r="R44">
        <v>24.43</v>
      </c>
      <c r="S44">
        <v>17.37</v>
      </c>
      <c r="T44">
        <v>1433.7</v>
      </c>
      <c r="U44">
        <v>0.71</v>
      </c>
      <c r="V44">
        <v>0.75</v>
      </c>
      <c r="W44">
        <v>1.1399999999999999</v>
      </c>
      <c r="X44">
        <v>0.08</v>
      </c>
      <c r="Y44">
        <v>1</v>
      </c>
      <c r="Z44">
        <v>10</v>
      </c>
    </row>
    <row r="45" spans="1:26" x14ac:dyDescent="0.3">
      <c r="A45">
        <v>43</v>
      </c>
      <c r="B45">
        <v>60</v>
      </c>
      <c r="C45" t="s">
        <v>26</v>
      </c>
      <c r="D45">
        <v>11.067</v>
      </c>
      <c r="E45">
        <v>9.0399999999999991</v>
      </c>
      <c r="F45">
        <v>6.78</v>
      </c>
      <c r="G45">
        <v>81.31</v>
      </c>
      <c r="H45">
        <v>1.5</v>
      </c>
      <c r="I45">
        <v>5</v>
      </c>
      <c r="J45">
        <v>138.97999999999999</v>
      </c>
      <c r="K45">
        <v>45</v>
      </c>
      <c r="L45">
        <v>11.75</v>
      </c>
      <c r="M45">
        <v>2</v>
      </c>
      <c r="N45">
        <v>22.23</v>
      </c>
      <c r="O45">
        <v>17374.54</v>
      </c>
      <c r="P45">
        <v>58.62</v>
      </c>
      <c r="Q45">
        <v>204.14</v>
      </c>
      <c r="R45">
        <v>24.43</v>
      </c>
      <c r="S45">
        <v>17.37</v>
      </c>
      <c r="T45">
        <v>1433.05</v>
      </c>
      <c r="U45">
        <v>0.71</v>
      </c>
      <c r="V45">
        <v>0.75</v>
      </c>
      <c r="W45">
        <v>1.1499999999999999</v>
      </c>
      <c r="X45">
        <v>0.08</v>
      </c>
      <c r="Y45">
        <v>1</v>
      </c>
      <c r="Z45">
        <v>10</v>
      </c>
    </row>
    <row r="46" spans="1:26" x14ac:dyDescent="0.3">
      <c r="A46">
        <v>44</v>
      </c>
      <c r="B46">
        <v>60</v>
      </c>
      <c r="C46" t="s">
        <v>26</v>
      </c>
      <c r="D46">
        <v>11.0722</v>
      </c>
      <c r="E46">
        <v>9.0299999999999994</v>
      </c>
      <c r="F46">
        <v>6.77</v>
      </c>
      <c r="G46">
        <v>81.260000000000005</v>
      </c>
      <c r="H46">
        <v>1.52</v>
      </c>
      <c r="I46">
        <v>5</v>
      </c>
      <c r="J46">
        <v>139.32</v>
      </c>
      <c r="K46">
        <v>45</v>
      </c>
      <c r="L46">
        <v>12</v>
      </c>
      <c r="M46">
        <v>1</v>
      </c>
      <c r="N46">
        <v>22.32</v>
      </c>
      <c r="O46">
        <v>17416.34</v>
      </c>
      <c r="P46">
        <v>58.46</v>
      </c>
      <c r="Q46">
        <v>204.14</v>
      </c>
      <c r="R46">
        <v>24.33</v>
      </c>
      <c r="S46">
        <v>17.37</v>
      </c>
      <c r="T46">
        <v>1383.16</v>
      </c>
      <c r="U46">
        <v>0.71</v>
      </c>
      <c r="V46">
        <v>0.75</v>
      </c>
      <c r="W46">
        <v>1.1399999999999999</v>
      </c>
      <c r="X46">
        <v>0.08</v>
      </c>
      <c r="Y46">
        <v>1</v>
      </c>
      <c r="Z46">
        <v>10</v>
      </c>
    </row>
    <row r="47" spans="1:26" x14ac:dyDescent="0.3">
      <c r="A47">
        <v>45</v>
      </c>
      <c r="B47">
        <v>60</v>
      </c>
      <c r="C47" t="s">
        <v>26</v>
      </c>
      <c r="D47">
        <v>11.065</v>
      </c>
      <c r="E47">
        <v>9.0399999999999991</v>
      </c>
      <c r="F47">
        <v>6.78</v>
      </c>
      <c r="G47">
        <v>81.33</v>
      </c>
      <c r="H47">
        <v>1.55</v>
      </c>
      <c r="I47">
        <v>5</v>
      </c>
      <c r="J47">
        <v>139.66</v>
      </c>
      <c r="K47">
        <v>45</v>
      </c>
      <c r="L47">
        <v>12.25</v>
      </c>
      <c r="M47">
        <v>0</v>
      </c>
      <c r="N47">
        <v>22.41</v>
      </c>
      <c r="O47">
        <v>17458.18</v>
      </c>
      <c r="P47">
        <v>58.6</v>
      </c>
      <c r="Q47">
        <v>204.14</v>
      </c>
      <c r="R47">
        <v>24.44</v>
      </c>
      <c r="S47">
        <v>17.37</v>
      </c>
      <c r="T47">
        <v>1436.52</v>
      </c>
      <c r="U47">
        <v>0.71</v>
      </c>
      <c r="V47">
        <v>0.75</v>
      </c>
      <c r="W47">
        <v>1.1499999999999999</v>
      </c>
      <c r="X47">
        <v>0.09</v>
      </c>
      <c r="Y47">
        <v>1</v>
      </c>
      <c r="Z47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Planilha15"/>
  <dimension ref="A1:Z158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135</v>
      </c>
      <c r="C2" t="s">
        <v>26</v>
      </c>
      <c r="D2">
        <v>5.7598000000000003</v>
      </c>
      <c r="E2">
        <v>17.36</v>
      </c>
      <c r="F2">
        <v>8.9499999999999993</v>
      </c>
      <c r="G2">
        <v>4.88</v>
      </c>
      <c r="H2">
        <v>7.0000000000000007E-2</v>
      </c>
      <c r="I2">
        <v>110</v>
      </c>
      <c r="J2">
        <v>263.32</v>
      </c>
      <c r="K2">
        <v>59.89</v>
      </c>
      <c r="L2">
        <v>1</v>
      </c>
      <c r="M2">
        <v>108</v>
      </c>
      <c r="N2">
        <v>67.430000000000007</v>
      </c>
      <c r="O2">
        <v>32710.1</v>
      </c>
      <c r="P2">
        <v>151.43</v>
      </c>
      <c r="Q2">
        <v>204.2</v>
      </c>
      <c r="R2">
        <v>92.12</v>
      </c>
      <c r="S2">
        <v>17.37</v>
      </c>
      <c r="T2">
        <v>34754.61</v>
      </c>
      <c r="U2">
        <v>0.19</v>
      </c>
      <c r="V2">
        <v>0.56999999999999995</v>
      </c>
      <c r="W2">
        <v>1.32</v>
      </c>
      <c r="X2">
        <v>2.25</v>
      </c>
      <c r="Y2">
        <v>1</v>
      </c>
      <c r="Z2">
        <v>10</v>
      </c>
    </row>
    <row r="3" spans="1:26" x14ac:dyDescent="0.3">
      <c r="A3">
        <v>1</v>
      </c>
      <c r="B3">
        <v>135</v>
      </c>
      <c r="C3" t="s">
        <v>26</v>
      </c>
      <c r="D3">
        <v>6.5172999999999996</v>
      </c>
      <c r="E3">
        <v>15.34</v>
      </c>
      <c r="F3">
        <v>8.35</v>
      </c>
      <c r="G3">
        <v>6.11</v>
      </c>
      <c r="H3">
        <v>0.08</v>
      </c>
      <c r="I3">
        <v>82</v>
      </c>
      <c r="J3">
        <v>263.79000000000002</v>
      </c>
      <c r="K3">
        <v>59.89</v>
      </c>
      <c r="L3">
        <v>1.25</v>
      </c>
      <c r="M3">
        <v>80</v>
      </c>
      <c r="N3">
        <v>67.650000000000006</v>
      </c>
      <c r="O3">
        <v>32767.75</v>
      </c>
      <c r="P3">
        <v>141.13999999999999</v>
      </c>
      <c r="Q3">
        <v>204.25</v>
      </c>
      <c r="R3">
        <v>73.540000000000006</v>
      </c>
      <c r="S3">
        <v>17.37</v>
      </c>
      <c r="T3">
        <v>25602.28</v>
      </c>
      <c r="U3">
        <v>0.24</v>
      </c>
      <c r="V3">
        <v>0.61</v>
      </c>
      <c r="W3">
        <v>1.26</v>
      </c>
      <c r="X3">
        <v>1.65</v>
      </c>
      <c r="Y3">
        <v>1</v>
      </c>
      <c r="Z3">
        <v>10</v>
      </c>
    </row>
    <row r="4" spans="1:26" x14ac:dyDescent="0.3">
      <c r="A4">
        <v>2</v>
      </c>
      <c r="B4">
        <v>135</v>
      </c>
      <c r="C4" t="s">
        <v>26</v>
      </c>
      <c r="D4">
        <v>7.0392000000000001</v>
      </c>
      <c r="E4">
        <v>14.21</v>
      </c>
      <c r="F4">
        <v>8.02</v>
      </c>
      <c r="G4">
        <v>7.29</v>
      </c>
      <c r="H4">
        <v>0.1</v>
      </c>
      <c r="I4">
        <v>66</v>
      </c>
      <c r="J4">
        <v>264.25</v>
      </c>
      <c r="K4">
        <v>59.89</v>
      </c>
      <c r="L4">
        <v>1.5</v>
      </c>
      <c r="M4">
        <v>64</v>
      </c>
      <c r="N4">
        <v>67.87</v>
      </c>
      <c r="O4">
        <v>32825.49</v>
      </c>
      <c r="P4">
        <v>135.49</v>
      </c>
      <c r="Q4">
        <v>204.19</v>
      </c>
      <c r="R4">
        <v>63.1</v>
      </c>
      <c r="S4">
        <v>17.37</v>
      </c>
      <c r="T4">
        <v>20461.259999999998</v>
      </c>
      <c r="U4">
        <v>0.28000000000000003</v>
      </c>
      <c r="V4">
        <v>0.64</v>
      </c>
      <c r="W4">
        <v>1.24</v>
      </c>
      <c r="X4">
        <v>1.32</v>
      </c>
      <c r="Y4">
        <v>1</v>
      </c>
      <c r="Z4">
        <v>10</v>
      </c>
    </row>
    <row r="5" spans="1:26" x14ac:dyDescent="0.3">
      <c r="A5">
        <v>3</v>
      </c>
      <c r="B5">
        <v>135</v>
      </c>
      <c r="C5" t="s">
        <v>26</v>
      </c>
      <c r="D5">
        <v>7.4513999999999996</v>
      </c>
      <c r="E5">
        <v>13.42</v>
      </c>
      <c r="F5">
        <v>7.79</v>
      </c>
      <c r="G5">
        <v>8.49</v>
      </c>
      <c r="H5">
        <v>0.12</v>
      </c>
      <c r="I5">
        <v>55</v>
      </c>
      <c r="J5">
        <v>264.72000000000003</v>
      </c>
      <c r="K5">
        <v>59.89</v>
      </c>
      <c r="L5">
        <v>1.75</v>
      </c>
      <c r="M5">
        <v>53</v>
      </c>
      <c r="N5">
        <v>68.09</v>
      </c>
      <c r="O5">
        <v>32883.31</v>
      </c>
      <c r="P5">
        <v>131.55000000000001</v>
      </c>
      <c r="Q5">
        <v>204.2</v>
      </c>
      <c r="R5">
        <v>55.8</v>
      </c>
      <c r="S5">
        <v>17.37</v>
      </c>
      <c r="T5">
        <v>16866.91</v>
      </c>
      <c r="U5">
        <v>0.31</v>
      </c>
      <c r="V5">
        <v>0.66</v>
      </c>
      <c r="W5">
        <v>1.23</v>
      </c>
      <c r="X5">
        <v>1.0900000000000001</v>
      </c>
      <c r="Y5">
        <v>1</v>
      </c>
      <c r="Z5">
        <v>10</v>
      </c>
    </row>
    <row r="6" spans="1:26" x14ac:dyDescent="0.3">
      <c r="A6">
        <v>4</v>
      </c>
      <c r="B6">
        <v>135</v>
      </c>
      <c r="C6" t="s">
        <v>26</v>
      </c>
      <c r="D6">
        <v>7.7346000000000004</v>
      </c>
      <c r="E6">
        <v>12.93</v>
      </c>
      <c r="F6">
        <v>7.65</v>
      </c>
      <c r="G6">
        <v>9.56</v>
      </c>
      <c r="H6">
        <v>0.13</v>
      </c>
      <c r="I6">
        <v>48</v>
      </c>
      <c r="J6">
        <v>265.19</v>
      </c>
      <c r="K6">
        <v>59.89</v>
      </c>
      <c r="L6">
        <v>2</v>
      </c>
      <c r="M6">
        <v>46</v>
      </c>
      <c r="N6">
        <v>68.31</v>
      </c>
      <c r="O6">
        <v>32941.21</v>
      </c>
      <c r="P6">
        <v>129.11000000000001</v>
      </c>
      <c r="Q6">
        <v>204.17</v>
      </c>
      <c r="R6">
        <v>51.42</v>
      </c>
      <c r="S6">
        <v>17.37</v>
      </c>
      <c r="T6">
        <v>14711.84</v>
      </c>
      <c r="U6">
        <v>0.34</v>
      </c>
      <c r="V6">
        <v>0.67</v>
      </c>
      <c r="W6">
        <v>1.22</v>
      </c>
      <c r="X6">
        <v>0.96</v>
      </c>
      <c r="Y6">
        <v>1</v>
      </c>
      <c r="Z6">
        <v>10</v>
      </c>
    </row>
    <row r="7" spans="1:26" x14ac:dyDescent="0.3">
      <c r="A7">
        <v>5</v>
      </c>
      <c r="B7">
        <v>135</v>
      </c>
      <c r="C7" t="s">
        <v>26</v>
      </c>
      <c r="D7">
        <v>8.0015999999999998</v>
      </c>
      <c r="E7">
        <v>12.5</v>
      </c>
      <c r="F7">
        <v>7.52</v>
      </c>
      <c r="G7">
        <v>10.74</v>
      </c>
      <c r="H7">
        <v>0.15</v>
      </c>
      <c r="I7">
        <v>42</v>
      </c>
      <c r="J7">
        <v>265.66000000000003</v>
      </c>
      <c r="K7">
        <v>59.89</v>
      </c>
      <c r="L7">
        <v>2.25</v>
      </c>
      <c r="M7">
        <v>40</v>
      </c>
      <c r="N7">
        <v>68.53</v>
      </c>
      <c r="O7">
        <v>32999.19</v>
      </c>
      <c r="P7">
        <v>126.86</v>
      </c>
      <c r="Q7">
        <v>204.24</v>
      </c>
      <c r="R7">
        <v>47.72</v>
      </c>
      <c r="S7">
        <v>17.37</v>
      </c>
      <c r="T7">
        <v>12894.69</v>
      </c>
      <c r="U7">
        <v>0.36</v>
      </c>
      <c r="V7">
        <v>0.68</v>
      </c>
      <c r="W7">
        <v>1.2</v>
      </c>
      <c r="X7">
        <v>0.83</v>
      </c>
      <c r="Y7">
        <v>1</v>
      </c>
      <c r="Z7">
        <v>10</v>
      </c>
    </row>
    <row r="8" spans="1:26" x14ac:dyDescent="0.3">
      <c r="A8">
        <v>6</v>
      </c>
      <c r="B8">
        <v>135</v>
      </c>
      <c r="C8" t="s">
        <v>26</v>
      </c>
      <c r="D8">
        <v>8.2251999999999992</v>
      </c>
      <c r="E8">
        <v>12.16</v>
      </c>
      <c r="F8">
        <v>7.43</v>
      </c>
      <c r="G8">
        <v>12.06</v>
      </c>
      <c r="H8">
        <v>0.17</v>
      </c>
      <c r="I8">
        <v>37</v>
      </c>
      <c r="J8">
        <v>266.13</v>
      </c>
      <c r="K8">
        <v>59.89</v>
      </c>
      <c r="L8">
        <v>2.5</v>
      </c>
      <c r="M8">
        <v>35</v>
      </c>
      <c r="N8">
        <v>68.75</v>
      </c>
      <c r="O8">
        <v>33057.26</v>
      </c>
      <c r="P8">
        <v>125.32</v>
      </c>
      <c r="Q8">
        <v>204.2</v>
      </c>
      <c r="R8">
        <v>44.52</v>
      </c>
      <c r="S8">
        <v>17.37</v>
      </c>
      <c r="T8">
        <v>11319.1</v>
      </c>
      <c r="U8">
        <v>0.39</v>
      </c>
      <c r="V8">
        <v>0.69</v>
      </c>
      <c r="W8">
        <v>1.21</v>
      </c>
      <c r="X8">
        <v>0.74</v>
      </c>
      <c r="Y8">
        <v>1</v>
      </c>
      <c r="Z8">
        <v>10</v>
      </c>
    </row>
    <row r="9" spans="1:26" x14ac:dyDescent="0.3">
      <c r="A9">
        <v>7</v>
      </c>
      <c r="B9">
        <v>135</v>
      </c>
      <c r="C9" t="s">
        <v>26</v>
      </c>
      <c r="D9">
        <v>8.3816000000000006</v>
      </c>
      <c r="E9">
        <v>11.93</v>
      </c>
      <c r="F9">
        <v>7.36</v>
      </c>
      <c r="G9">
        <v>12.99</v>
      </c>
      <c r="H9">
        <v>0.18</v>
      </c>
      <c r="I9">
        <v>34</v>
      </c>
      <c r="J9">
        <v>266.60000000000002</v>
      </c>
      <c r="K9">
        <v>59.89</v>
      </c>
      <c r="L9">
        <v>2.75</v>
      </c>
      <c r="M9">
        <v>32</v>
      </c>
      <c r="N9">
        <v>68.97</v>
      </c>
      <c r="O9">
        <v>33115.410000000003</v>
      </c>
      <c r="P9">
        <v>123.94</v>
      </c>
      <c r="Q9">
        <v>204.22</v>
      </c>
      <c r="R9">
        <v>42.45</v>
      </c>
      <c r="S9">
        <v>17.37</v>
      </c>
      <c r="T9">
        <v>10294.85</v>
      </c>
      <c r="U9">
        <v>0.41</v>
      </c>
      <c r="V9">
        <v>0.69</v>
      </c>
      <c r="W9">
        <v>1.19</v>
      </c>
      <c r="X9">
        <v>0.67</v>
      </c>
      <c r="Y9">
        <v>1</v>
      </c>
      <c r="Z9">
        <v>10</v>
      </c>
    </row>
    <row r="10" spans="1:26" x14ac:dyDescent="0.3">
      <c r="A10">
        <v>8</v>
      </c>
      <c r="B10">
        <v>135</v>
      </c>
      <c r="C10" t="s">
        <v>26</v>
      </c>
      <c r="D10">
        <v>8.5357000000000003</v>
      </c>
      <c r="E10">
        <v>11.72</v>
      </c>
      <c r="F10">
        <v>7.3</v>
      </c>
      <c r="G10">
        <v>14.12</v>
      </c>
      <c r="H10">
        <v>0.2</v>
      </c>
      <c r="I10">
        <v>31</v>
      </c>
      <c r="J10">
        <v>267.08</v>
      </c>
      <c r="K10">
        <v>59.89</v>
      </c>
      <c r="L10">
        <v>3</v>
      </c>
      <c r="M10">
        <v>29</v>
      </c>
      <c r="N10">
        <v>69.19</v>
      </c>
      <c r="O10">
        <v>33173.65</v>
      </c>
      <c r="P10">
        <v>122.82</v>
      </c>
      <c r="Q10">
        <v>204.24</v>
      </c>
      <c r="R10">
        <v>40.42</v>
      </c>
      <c r="S10">
        <v>17.37</v>
      </c>
      <c r="T10">
        <v>9297.6</v>
      </c>
      <c r="U10">
        <v>0.43</v>
      </c>
      <c r="V10">
        <v>0.7</v>
      </c>
      <c r="W10">
        <v>1.19</v>
      </c>
      <c r="X10">
        <v>0.6</v>
      </c>
      <c r="Y10">
        <v>1</v>
      </c>
      <c r="Z10">
        <v>10</v>
      </c>
    </row>
    <row r="11" spans="1:26" x14ac:dyDescent="0.3">
      <c r="A11">
        <v>9</v>
      </c>
      <c r="B11">
        <v>135</v>
      </c>
      <c r="C11" t="s">
        <v>26</v>
      </c>
      <c r="D11">
        <v>8.6965000000000003</v>
      </c>
      <c r="E11">
        <v>11.5</v>
      </c>
      <c r="F11">
        <v>7.23</v>
      </c>
      <c r="G11">
        <v>15.49</v>
      </c>
      <c r="H11">
        <v>0.22</v>
      </c>
      <c r="I11">
        <v>28</v>
      </c>
      <c r="J11">
        <v>267.55</v>
      </c>
      <c r="K11">
        <v>59.89</v>
      </c>
      <c r="L11">
        <v>3.25</v>
      </c>
      <c r="M11">
        <v>26</v>
      </c>
      <c r="N11">
        <v>69.41</v>
      </c>
      <c r="O11">
        <v>33231.97</v>
      </c>
      <c r="P11">
        <v>121.6</v>
      </c>
      <c r="Q11">
        <v>204.17</v>
      </c>
      <c r="R11">
        <v>38.69</v>
      </c>
      <c r="S11">
        <v>17.37</v>
      </c>
      <c r="T11">
        <v>8447.93</v>
      </c>
      <c r="U11">
        <v>0.45</v>
      </c>
      <c r="V11">
        <v>0.71</v>
      </c>
      <c r="W11">
        <v>1.18</v>
      </c>
      <c r="X11">
        <v>0.54</v>
      </c>
      <c r="Y11">
        <v>1</v>
      </c>
      <c r="Z11">
        <v>10</v>
      </c>
    </row>
    <row r="12" spans="1:26" x14ac:dyDescent="0.3">
      <c r="A12">
        <v>10</v>
      </c>
      <c r="B12">
        <v>135</v>
      </c>
      <c r="C12" t="s">
        <v>26</v>
      </c>
      <c r="D12">
        <v>8.7911999999999999</v>
      </c>
      <c r="E12">
        <v>11.38</v>
      </c>
      <c r="F12">
        <v>7.21</v>
      </c>
      <c r="G12">
        <v>16.63</v>
      </c>
      <c r="H12">
        <v>0.23</v>
      </c>
      <c r="I12">
        <v>26</v>
      </c>
      <c r="J12">
        <v>268.02</v>
      </c>
      <c r="K12">
        <v>59.89</v>
      </c>
      <c r="L12">
        <v>3.5</v>
      </c>
      <c r="M12">
        <v>24</v>
      </c>
      <c r="N12">
        <v>69.64</v>
      </c>
      <c r="O12">
        <v>33290.379999999997</v>
      </c>
      <c r="P12">
        <v>121.2</v>
      </c>
      <c r="Q12">
        <v>204.19</v>
      </c>
      <c r="R12">
        <v>37.6</v>
      </c>
      <c r="S12">
        <v>17.37</v>
      </c>
      <c r="T12">
        <v>7914.4</v>
      </c>
      <c r="U12">
        <v>0.46</v>
      </c>
      <c r="V12">
        <v>0.71</v>
      </c>
      <c r="W12">
        <v>1.19</v>
      </c>
      <c r="X12">
        <v>0.52</v>
      </c>
      <c r="Y12">
        <v>1</v>
      </c>
      <c r="Z12">
        <v>10</v>
      </c>
    </row>
    <row r="13" spans="1:26" x14ac:dyDescent="0.3">
      <c r="A13">
        <v>11</v>
      </c>
      <c r="B13">
        <v>135</v>
      </c>
      <c r="C13" t="s">
        <v>26</v>
      </c>
      <c r="D13">
        <v>8.9177</v>
      </c>
      <c r="E13">
        <v>11.21</v>
      </c>
      <c r="F13">
        <v>7.15</v>
      </c>
      <c r="G13">
        <v>17.87</v>
      </c>
      <c r="H13">
        <v>0.25</v>
      </c>
      <c r="I13">
        <v>24</v>
      </c>
      <c r="J13">
        <v>268.5</v>
      </c>
      <c r="K13">
        <v>59.89</v>
      </c>
      <c r="L13">
        <v>3.75</v>
      </c>
      <c r="M13">
        <v>22</v>
      </c>
      <c r="N13">
        <v>69.86</v>
      </c>
      <c r="O13">
        <v>33348.870000000003</v>
      </c>
      <c r="P13">
        <v>120.06</v>
      </c>
      <c r="Q13">
        <v>204.15</v>
      </c>
      <c r="R13">
        <v>35.869999999999997</v>
      </c>
      <c r="S13">
        <v>17.37</v>
      </c>
      <c r="T13">
        <v>7055.46</v>
      </c>
      <c r="U13">
        <v>0.48</v>
      </c>
      <c r="V13">
        <v>0.71</v>
      </c>
      <c r="W13">
        <v>1.18</v>
      </c>
      <c r="X13">
        <v>0.46</v>
      </c>
      <c r="Y13">
        <v>1</v>
      </c>
      <c r="Z13">
        <v>10</v>
      </c>
    </row>
    <row r="14" spans="1:26" x14ac:dyDescent="0.3">
      <c r="A14">
        <v>12</v>
      </c>
      <c r="B14">
        <v>135</v>
      </c>
      <c r="C14" t="s">
        <v>26</v>
      </c>
      <c r="D14">
        <v>8.9641000000000002</v>
      </c>
      <c r="E14">
        <v>11.16</v>
      </c>
      <c r="F14">
        <v>7.14</v>
      </c>
      <c r="G14">
        <v>18.63</v>
      </c>
      <c r="H14">
        <v>0.26</v>
      </c>
      <c r="I14">
        <v>23</v>
      </c>
      <c r="J14">
        <v>268.97000000000003</v>
      </c>
      <c r="K14">
        <v>59.89</v>
      </c>
      <c r="L14">
        <v>4</v>
      </c>
      <c r="M14">
        <v>21</v>
      </c>
      <c r="N14">
        <v>70.09</v>
      </c>
      <c r="O14">
        <v>33407.449999999997</v>
      </c>
      <c r="P14">
        <v>119.94</v>
      </c>
      <c r="Q14">
        <v>204.17</v>
      </c>
      <c r="R14">
        <v>35.659999999999997</v>
      </c>
      <c r="S14">
        <v>17.37</v>
      </c>
      <c r="T14">
        <v>6959.49</v>
      </c>
      <c r="U14">
        <v>0.49</v>
      </c>
      <c r="V14">
        <v>0.72</v>
      </c>
      <c r="W14">
        <v>1.18</v>
      </c>
      <c r="X14">
        <v>0.45</v>
      </c>
      <c r="Y14">
        <v>1</v>
      </c>
      <c r="Z14">
        <v>10</v>
      </c>
    </row>
    <row r="15" spans="1:26" x14ac:dyDescent="0.3">
      <c r="A15">
        <v>13</v>
      </c>
      <c r="B15">
        <v>135</v>
      </c>
      <c r="C15" t="s">
        <v>26</v>
      </c>
      <c r="D15">
        <v>9.0892999999999997</v>
      </c>
      <c r="E15">
        <v>11</v>
      </c>
      <c r="F15">
        <v>7.09</v>
      </c>
      <c r="G15">
        <v>20.25</v>
      </c>
      <c r="H15">
        <v>0.28000000000000003</v>
      </c>
      <c r="I15">
        <v>21</v>
      </c>
      <c r="J15">
        <v>269.45</v>
      </c>
      <c r="K15">
        <v>59.89</v>
      </c>
      <c r="L15">
        <v>4.25</v>
      </c>
      <c r="M15">
        <v>19</v>
      </c>
      <c r="N15">
        <v>70.31</v>
      </c>
      <c r="O15">
        <v>33466.11</v>
      </c>
      <c r="P15">
        <v>118.85</v>
      </c>
      <c r="Q15">
        <v>204.19</v>
      </c>
      <c r="R15">
        <v>34.11</v>
      </c>
      <c r="S15">
        <v>17.37</v>
      </c>
      <c r="T15">
        <v>6190.39</v>
      </c>
      <c r="U15">
        <v>0.51</v>
      </c>
      <c r="V15">
        <v>0.72</v>
      </c>
      <c r="W15">
        <v>1.17</v>
      </c>
      <c r="X15">
        <v>0.4</v>
      </c>
      <c r="Y15">
        <v>1</v>
      </c>
      <c r="Z15">
        <v>10</v>
      </c>
    </row>
    <row r="16" spans="1:26" x14ac:dyDescent="0.3">
      <c r="A16">
        <v>14</v>
      </c>
      <c r="B16">
        <v>135</v>
      </c>
      <c r="C16" t="s">
        <v>26</v>
      </c>
      <c r="D16">
        <v>9.1440000000000001</v>
      </c>
      <c r="E16">
        <v>10.94</v>
      </c>
      <c r="F16">
        <v>7.07</v>
      </c>
      <c r="G16">
        <v>21.22</v>
      </c>
      <c r="H16">
        <v>0.3</v>
      </c>
      <c r="I16">
        <v>20</v>
      </c>
      <c r="J16">
        <v>269.92</v>
      </c>
      <c r="K16">
        <v>59.89</v>
      </c>
      <c r="L16">
        <v>4.5</v>
      </c>
      <c r="M16">
        <v>18</v>
      </c>
      <c r="N16">
        <v>70.540000000000006</v>
      </c>
      <c r="O16">
        <v>33524.86</v>
      </c>
      <c r="P16">
        <v>118.61</v>
      </c>
      <c r="Q16">
        <v>204.14</v>
      </c>
      <c r="R16">
        <v>33.549999999999997</v>
      </c>
      <c r="S16">
        <v>17.37</v>
      </c>
      <c r="T16">
        <v>5915.16</v>
      </c>
      <c r="U16">
        <v>0.52</v>
      </c>
      <c r="V16">
        <v>0.72</v>
      </c>
      <c r="W16">
        <v>1.17</v>
      </c>
      <c r="X16">
        <v>0.38</v>
      </c>
      <c r="Y16">
        <v>1</v>
      </c>
      <c r="Z16">
        <v>10</v>
      </c>
    </row>
    <row r="17" spans="1:26" x14ac:dyDescent="0.3">
      <c r="A17">
        <v>15</v>
      </c>
      <c r="B17">
        <v>135</v>
      </c>
      <c r="C17" t="s">
        <v>26</v>
      </c>
      <c r="D17">
        <v>9.2052999999999994</v>
      </c>
      <c r="E17">
        <v>10.86</v>
      </c>
      <c r="F17">
        <v>7.05</v>
      </c>
      <c r="G17">
        <v>22.26</v>
      </c>
      <c r="H17">
        <v>0.31</v>
      </c>
      <c r="I17">
        <v>19</v>
      </c>
      <c r="J17">
        <v>270.39999999999998</v>
      </c>
      <c r="K17">
        <v>59.89</v>
      </c>
      <c r="L17">
        <v>4.75</v>
      </c>
      <c r="M17">
        <v>17</v>
      </c>
      <c r="N17">
        <v>70.760000000000005</v>
      </c>
      <c r="O17">
        <v>33583.699999999997</v>
      </c>
      <c r="P17">
        <v>118.09</v>
      </c>
      <c r="Q17">
        <v>204.14</v>
      </c>
      <c r="R17">
        <v>32.9</v>
      </c>
      <c r="S17">
        <v>17.37</v>
      </c>
      <c r="T17">
        <v>5597.2</v>
      </c>
      <c r="U17">
        <v>0.53</v>
      </c>
      <c r="V17">
        <v>0.72</v>
      </c>
      <c r="W17">
        <v>1.17</v>
      </c>
      <c r="X17">
        <v>0.36</v>
      </c>
      <c r="Y17">
        <v>1</v>
      </c>
      <c r="Z17">
        <v>10</v>
      </c>
    </row>
    <row r="18" spans="1:26" x14ac:dyDescent="0.3">
      <c r="A18">
        <v>16</v>
      </c>
      <c r="B18">
        <v>135</v>
      </c>
      <c r="C18" t="s">
        <v>26</v>
      </c>
      <c r="D18">
        <v>9.2654999999999994</v>
      </c>
      <c r="E18">
        <v>10.79</v>
      </c>
      <c r="F18">
        <v>7.03</v>
      </c>
      <c r="G18">
        <v>23.43</v>
      </c>
      <c r="H18">
        <v>0.33</v>
      </c>
      <c r="I18">
        <v>18</v>
      </c>
      <c r="J18">
        <v>270.88</v>
      </c>
      <c r="K18">
        <v>59.89</v>
      </c>
      <c r="L18">
        <v>5</v>
      </c>
      <c r="M18">
        <v>16</v>
      </c>
      <c r="N18">
        <v>70.989999999999995</v>
      </c>
      <c r="O18">
        <v>33642.620000000003</v>
      </c>
      <c r="P18">
        <v>117.68</v>
      </c>
      <c r="Q18">
        <v>204.14</v>
      </c>
      <c r="R18">
        <v>32.49</v>
      </c>
      <c r="S18">
        <v>17.37</v>
      </c>
      <c r="T18">
        <v>5396.19</v>
      </c>
      <c r="U18">
        <v>0.53</v>
      </c>
      <c r="V18">
        <v>0.73</v>
      </c>
      <c r="W18">
        <v>1.1599999999999999</v>
      </c>
      <c r="X18">
        <v>0.34</v>
      </c>
      <c r="Y18">
        <v>1</v>
      </c>
      <c r="Z18">
        <v>10</v>
      </c>
    </row>
    <row r="19" spans="1:26" x14ac:dyDescent="0.3">
      <c r="A19">
        <v>17</v>
      </c>
      <c r="B19">
        <v>135</v>
      </c>
      <c r="C19" t="s">
        <v>26</v>
      </c>
      <c r="D19">
        <v>9.3330000000000002</v>
      </c>
      <c r="E19">
        <v>10.71</v>
      </c>
      <c r="F19">
        <v>7</v>
      </c>
      <c r="G19">
        <v>24.71</v>
      </c>
      <c r="H19">
        <v>0.34</v>
      </c>
      <c r="I19">
        <v>17</v>
      </c>
      <c r="J19">
        <v>271.36</v>
      </c>
      <c r="K19">
        <v>59.89</v>
      </c>
      <c r="L19">
        <v>5.25</v>
      </c>
      <c r="M19">
        <v>15</v>
      </c>
      <c r="N19">
        <v>71.22</v>
      </c>
      <c r="O19">
        <v>33701.64</v>
      </c>
      <c r="P19">
        <v>116.98</v>
      </c>
      <c r="Q19">
        <v>204.14</v>
      </c>
      <c r="R19">
        <v>31.45</v>
      </c>
      <c r="S19">
        <v>17.37</v>
      </c>
      <c r="T19">
        <v>4882.18</v>
      </c>
      <c r="U19">
        <v>0.55000000000000004</v>
      </c>
      <c r="V19">
        <v>0.73</v>
      </c>
      <c r="W19">
        <v>1.1599999999999999</v>
      </c>
      <c r="X19">
        <v>0.31</v>
      </c>
      <c r="Y19">
        <v>1</v>
      </c>
      <c r="Z19">
        <v>10</v>
      </c>
    </row>
    <row r="20" spans="1:26" x14ac:dyDescent="0.3">
      <c r="A20">
        <v>18</v>
      </c>
      <c r="B20">
        <v>135</v>
      </c>
      <c r="C20" t="s">
        <v>26</v>
      </c>
      <c r="D20">
        <v>9.3217999999999996</v>
      </c>
      <c r="E20">
        <v>10.73</v>
      </c>
      <c r="F20">
        <v>7.01</v>
      </c>
      <c r="G20">
        <v>24.76</v>
      </c>
      <c r="H20">
        <v>0.36</v>
      </c>
      <c r="I20">
        <v>17</v>
      </c>
      <c r="J20">
        <v>271.83999999999997</v>
      </c>
      <c r="K20">
        <v>59.89</v>
      </c>
      <c r="L20">
        <v>5.5</v>
      </c>
      <c r="M20">
        <v>15</v>
      </c>
      <c r="N20">
        <v>71.45</v>
      </c>
      <c r="O20">
        <v>33760.74</v>
      </c>
      <c r="P20">
        <v>117.4</v>
      </c>
      <c r="Q20">
        <v>204.18</v>
      </c>
      <c r="R20">
        <v>31.74</v>
      </c>
      <c r="S20">
        <v>17.37</v>
      </c>
      <c r="T20">
        <v>5027.09</v>
      </c>
      <c r="U20">
        <v>0.55000000000000004</v>
      </c>
      <c r="V20">
        <v>0.73</v>
      </c>
      <c r="W20">
        <v>1.17</v>
      </c>
      <c r="X20">
        <v>0.32</v>
      </c>
      <c r="Y20">
        <v>1</v>
      </c>
      <c r="Z20">
        <v>10</v>
      </c>
    </row>
    <row r="21" spans="1:26" x14ac:dyDescent="0.3">
      <c r="A21">
        <v>19</v>
      </c>
      <c r="B21">
        <v>135</v>
      </c>
      <c r="C21" t="s">
        <v>26</v>
      </c>
      <c r="D21">
        <v>9.3805999999999994</v>
      </c>
      <c r="E21">
        <v>10.66</v>
      </c>
      <c r="F21">
        <v>7</v>
      </c>
      <c r="G21">
        <v>26.24</v>
      </c>
      <c r="H21">
        <v>0.38</v>
      </c>
      <c r="I21">
        <v>16</v>
      </c>
      <c r="J21">
        <v>272.32</v>
      </c>
      <c r="K21">
        <v>59.89</v>
      </c>
      <c r="L21">
        <v>5.75</v>
      </c>
      <c r="M21">
        <v>14</v>
      </c>
      <c r="N21">
        <v>71.680000000000007</v>
      </c>
      <c r="O21">
        <v>33820.050000000003</v>
      </c>
      <c r="P21">
        <v>116.95</v>
      </c>
      <c r="Q21">
        <v>204.14</v>
      </c>
      <c r="R21">
        <v>31.4</v>
      </c>
      <c r="S21">
        <v>17.37</v>
      </c>
      <c r="T21">
        <v>4861.76</v>
      </c>
      <c r="U21">
        <v>0.55000000000000004</v>
      </c>
      <c r="V21">
        <v>0.73</v>
      </c>
      <c r="W21">
        <v>1.1599999999999999</v>
      </c>
      <c r="X21">
        <v>0.31</v>
      </c>
      <c r="Y21">
        <v>1</v>
      </c>
      <c r="Z21">
        <v>10</v>
      </c>
    </row>
    <row r="22" spans="1:26" x14ac:dyDescent="0.3">
      <c r="A22">
        <v>20</v>
      </c>
      <c r="B22">
        <v>135</v>
      </c>
      <c r="C22" t="s">
        <v>26</v>
      </c>
      <c r="D22">
        <v>9.4376999999999995</v>
      </c>
      <c r="E22">
        <v>10.6</v>
      </c>
      <c r="F22">
        <v>6.98</v>
      </c>
      <c r="G22">
        <v>27.94</v>
      </c>
      <c r="H22">
        <v>0.39</v>
      </c>
      <c r="I22">
        <v>15</v>
      </c>
      <c r="J22">
        <v>272.8</v>
      </c>
      <c r="K22">
        <v>59.89</v>
      </c>
      <c r="L22">
        <v>6</v>
      </c>
      <c r="M22">
        <v>13</v>
      </c>
      <c r="N22">
        <v>71.91</v>
      </c>
      <c r="O22">
        <v>33879.33</v>
      </c>
      <c r="P22">
        <v>116.63</v>
      </c>
      <c r="Q22">
        <v>204.22</v>
      </c>
      <c r="R22">
        <v>31.18</v>
      </c>
      <c r="S22">
        <v>17.37</v>
      </c>
      <c r="T22">
        <v>4756.2</v>
      </c>
      <c r="U22">
        <v>0.56000000000000005</v>
      </c>
      <c r="V22">
        <v>0.73</v>
      </c>
      <c r="W22">
        <v>1.1599999999999999</v>
      </c>
      <c r="X22">
        <v>0.28999999999999998</v>
      </c>
      <c r="Y22">
        <v>1</v>
      </c>
      <c r="Z22">
        <v>10</v>
      </c>
    </row>
    <row r="23" spans="1:26" x14ac:dyDescent="0.3">
      <c r="A23">
        <v>21</v>
      </c>
      <c r="B23">
        <v>135</v>
      </c>
      <c r="C23" t="s">
        <v>26</v>
      </c>
      <c r="D23">
        <v>9.4552999999999994</v>
      </c>
      <c r="E23">
        <v>10.58</v>
      </c>
      <c r="F23">
        <v>6.96</v>
      </c>
      <c r="G23">
        <v>27.86</v>
      </c>
      <c r="H23">
        <v>0.41</v>
      </c>
      <c r="I23">
        <v>15</v>
      </c>
      <c r="J23">
        <v>273.27999999999997</v>
      </c>
      <c r="K23">
        <v>59.89</v>
      </c>
      <c r="L23">
        <v>6.25</v>
      </c>
      <c r="M23">
        <v>13</v>
      </c>
      <c r="N23">
        <v>72.14</v>
      </c>
      <c r="O23">
        <v>33938.699999999997</v>
      </c>
      <c r="P23">
        <v>116.25</v>
      </c>
      <c r="Q23">
        <v>204.14</v>
      </c>
      <c r="R23">
        <v>30.36</v>
      </c>
      <c r="S23">
        <v>17.37</v>
      </c>
      <c r="T23">
        <v>4347.91</v>
      </c>
      <c r="U23">
        <v>0.56999999999999995</v>
      </c>
      <c r="V23">
        <v>0.73</v>
      </c>
      <c r="W23">
        <v>1.1599999999999999</v>
      </c>
      <c r="X23">
        <v>0.27</v>
      </c>
      <c r="Y23">
        <v>1</v>
      </c>
      <c r="Z23">
        <v>10</v>
      </c>
    </row>
    <row r="24" spans="1:26" x14ac:dyDescent="0.3">
      <c r="A24">
        <v>22</v>
      </c>
      <c r="B24">
        <v>135</v>
      </c>
      <c r="C24" t="s">
        <v>26</v>
      </c>
      <c r="D24">
        <v>9.5112000000000005</v>
      </c>
      <c r="E24">
        <v>10.51</v>
      </c>
      <c r="F24">
        <v>6.95</v>
      </c>
      <c r="G24">
        <v>29.8</v>
      </c>
      <c r="H24">
        <v>0.42</v>
      </c>
      <c r="I24">
        <v>14</v>
      </c>
      <c r="J24">
        <v>273.76</v>
      </c>
      <c r="K24">
        <v>59.89</v>
      </c>
      <c r="L24">
        <v>6.5</v>
      </c>
      <c r="M24">
        <v>12</v>
      </c>
      <c r="N24">
        <v>72.37</v>
      </c>
      <c r="O24">
        <v>33998.160000000003</v>
      </c>
      <c r="P24">
        <v>115.98</v>
      </c>
      <c r="Q24">
        <v>204.14</v>
      </c>
      <c r="R24">
        <v>29.91</v>
      </c>
      <c r="S24">
        <v>17.37</v>
      </c>
      <c r="T24">
        <v>4129.53</v>
      </c>
      <c r="U24">
        <v>0.57999999999999996</v>
      </c>
      <c r="V24">
        <v>0.73</v>
      </c>
      <c r="W24">
        <v>1.1599999999999999</v>
      </c>
      <c r="X24">
        <v>0.26</v>
      </c>
      <c r="Y24">
        <v>1</v>
      </c>
      <c r="Z24">
        <v>10</v>
      </c>
    </row>
    <row r="25" spans="1:26" x14ac:dyDescent="0.3">
      <c r="A25">
        <v>23</v>
      </c>
      <c r="B25">
        <v>135</v>
      </c>
      <c r="C25" t="s">
        <v>26</v>
      </c>
      <c r="D25">
        <v>9.5094999999999992</v>
      </c>
      <c r="E25">
        <v>10.52</v>
      </c>
      <c r="F25">
        <v>6.96</v>
      </c>
      <c r="G25">
        <v>29.81</v>
      </c>
      <c r="H25">
        <v>0.44</v>
      </c>
      <c r="I25">
        <v>14</v>
      </c>
      <c r="J25">
        <v>274.24</v>
      </c>
      <c r="K25">
        <v>59.89</v>
      </c>
      <c r="L25">
        <v>6.75</v>
      </c>
      <c r="M25">
        <v>12</v>
      </c>
      <c r="N25">
        <v>72.61</v>
      </c>
      <c r="O25">
        <v>34057.71</v>
      </c>
      <c r="P25">
        <v>116</v>
      </c>
      <c r="Q25">
        <v>204.15</v>
      </c>
      <c r="R25">
        <v>29.88</v>
      </c>
      <c r="S25">
        <v>17.37</v>
      </c>
      <c r="T25">
        <v>4114.8</v>
      </c>
      <c r="U25">
        <v>0.57999999999999996</v>
      </c>
      <c r="V25">
        <v>0.73</v>
      </c>
      <c r="W25">
        <v>1.1599999999999999</v>
      </c>
      <c r="X25">
        <v>0.26</v>
      </c>
      <c r="Y25">
        <v>1</v>
      </c>
      <c r="Z25">
        <v>10</v>
      </c>
    </row>
    <row r="26" spans="1:26" x14ac:dyDescent="0.3">
      <c r="A26">
        <v>24</v>
      </c>
      <c r="B26">
        <v>135</v>
      </c>
      <c r="C26" t="s">
        <v>26</v>
      </c>
      <c r="D26">
        <v>9.5764999999999993</v>
      </c>
      <c r="E26">
        <v>10.44</v>
      </c>
      <c r="F26">
        <v>6.93</v>
      </c>
      <c r="G26">
        <v>31.99</v>
      </c>
      <c r="H26">
        <v>0.45</v>
      </c>
      <c r="I26">
        <v>13</v>
      </c>
      <c r="J26">
        <v>274.73</v>
      </c>
      <c r="K26">
        <v>59.89</v>
      </c>
      <c r="L26">
        <v>7</v>
      </c>
      <c r="M26">
        <v>11</v>
      </c>
      <c r="N26">
        <v>72.84</v>
      </c>
      <c r="O26">
        <v>34117.35</v>
      </c>
      <c r="P26">
        <v>115.51</v>
      </c>
      <c r="Q26">
        <v>204.14</v>
      </c>
      <c r="R26">
        <v>29.32</v>
      </c>
      <c r="S26">
        <v>17.37</v>
      </c>
      <c r="T26">
        <v>3836.91</v>
      </c>
      <c r="U26">
        <v>0.59</v>
      </c>
      <c r="V26">
        <v>0.74</v>
      </c>
      <c r="W26">
        <v>1.1599999999999999</v>
      </c>
      <c r="X26">
        <v>0.24</v>
      </c>
      <c r="Y26">
        <v>1</v>
      </c>
      <c r="Z26">
        <v>10</v>
      </c>
    </row>
    <row r="27" spans="1:26" x14ac:dyDescent="0.3">
      <c r="A27">
        <v>25</v>
      </c>
      <c r="B27">
        <v>135</v>
      </c>
      <c r="C27" t="s">
        <v>26</v>
      </c>
      <c r="D27">
        <v>9.5783000000000005</v>
      </c>
      <c r="E27">
        <v>10.44</v>
      </c>
      <c r="F27">
        <v>6.93</v>
      </c>
      <c r="G27">
        <v>31.98</v>
      </c>
      <c r="H27">
        <v>0.47</v>
      </c>
      <c r="I27">
        <v>13</v>
      </c>
      <c r="J27">
        <v>275.20999999999998</v>
      </c>
      <c r="K27">
        <v>59.89</v>
      </c>
      <c r="L27">
        <v>7.25</v>
      </c>
      <c r="M27">
        <v>11</v>
      </c>
      <c r="N27">
        <v>73.08</v>
      </c>
      <c r="O27">
        <v>34177.089999999997</v>
      </c>
      <c r="P27">
        <v>115.47</v>
      </c>
      <c r="Q27">
        <v>204.2</v>
      </c>
      <c r="R27">
        <v>29.05</v>
      </c>
      <c r="S27">
        <v>17.37</v>
      </c>
      <c r="T27">
        <v>3699.92</v>
      </c>
      <c r="U27">
        <v>0.6</v>
      </c>
      <c r="V27">
        <v>0.74</v>
      </c>
      <c r="W27">
        <v>1.1599999999999999</v>
      </c>
      <c r="X27">
        <v>0.24</v>
      </c>
      <c r="Y27">
        <v>1</v>
      </c>
      <c r="Z27">
        <v>10</v>
      </c>
    </row>
    <row r="28" spans="1:26" x14ac:dyDescent="0.3">
      <c r="A28">
        <v>26</v>
      </c>
      <c r="B28">
        <v>135</v>
      </c>
      <c r="C28" t="s">
        <v>26</v>
      </c>
      <c r="D28">
        <v>9.6465999999999994</v>
      </c>
      <c r="E28">
        <v>10.37</v>
      </c>
      <c r="F28">
        <v>6.91</v>
      </c>
      <c r="G28">
        <v>34.53</v>
      </c>
      <c r="H28">
        <v>0.48</v>
      </c>
      <c r="I28">
        <v>12</v>
      </c>
      <c r="J28">
        <v>275.7</v>
      </c>
      <c r="K28">
        <v>59.89</v>
      </c>
      <c r="L28">
        <v>7.5</v>
      </c>
      <c r="M28">
        <v>10</v>
      </c>
      <c r="N28">
        <v>73.31</v>
      </c>
      <c r="O28">
        <v>34236.910000000003</v>
      </c>
      <c r="P28">
        <v>114.92</v>
      </c>
      <c r="Q28">
        <v>204.15</v>
      </c>
      <c r="R28">
        <v>28.66</v>
      </c>
      <c r="S28">
        <v>17.37</v>
      </c>
      <c r="T28">
        <v>3513.77</v>
      </c>
      <c r="U28">
        <v>0.61</v>
      </c>
      <c r="V28">
        <v>0.74</v>
      </c>
      <c r="W28">
        <v>1.1499999999999999</v>
      </c>
      <c r="X28">
        <v>0.22</v>
      </c>
      <c r="Y28">
        <v>1</v>
      </c>
      <c r="Z28">
        <v>10</v>
      </c>
    </row>
    <row r="29" spans="1:26" x14ac:dyDescent="0.3">
      <c r="A29">
        <v>27</v>
      </c>
      <c r="B29">
        <v>135</v>
      </c>
      <c r="C29" t="s">
        <v>26</v>
      </c>
      <c r="D29">
        <v>9.6448</v>
      </c>
      <c r="E29">
        <v>10.37</v>
      </c>
      <c r="F29">
        <v>6.91</v>
      </c>
      <c r="G29">
        <v>34.54</v>
      </c>
      <c r="H29">
        <v>0.5</v>
      </c>
      <c r="I29">
        <v>12</v>
      </c>
      <c r="J29">
        <v>276.18</v>
      </c>
      <c r="K29">
        <v>59.89</v>
      </c>
      <c r="L29">
        <v>7.75</v>
      </c>
      <c r="M29">
        <v>10</v>
      </c>
      <c r="N29">
        <v>73.55</v>
      </c>
      <c r="O29">
        <v>34296.82</v>
      </c>
      <c r="P29">
        <v>114.99</v>
      </c>
      <c r="Q29">
        <v>204.16</v>
      </c>
      <c r="R29">
        <v>28.64</v>
      </c>
      <c r="S29">
        <v>17.37</v>
      </c>
      <c r="T29">
        <v>3501.63</v>
      </c>
      <c r="U29">
        <v>0.61</v>
      </c>
      <c r="V29">
        <v>0.74</v>
      </c>
      <c r="W29">
        <v>1.1499999999999999</v>
      </c>
      <c r="X29">
        <v>0.22</v>
      </c>
      <c r="Y29">
        <v>1</v>
      </c>
      <c r="Z29">
        <v>10</v>
      </c>
    </row>
    <row r="30" spans="1:26" x14ac:dyDescent="0.3">
      <c r="A30">
        <v>28</v>
      </c>
      <c r="B30">
        <v>135</v>
      </c>
      <c r="C30" t="s">
        <v>26</v>
      </c>
      <c r="D30">
        <v>9.6448</v>
      </c>
      <c r="E30">
        <v>10.37</v>
      </c>
      <c r="F30">
        <v>6.91</v>
      </c>
      <c r="G30">
        <v>34.54</v>
      </c>
      <c r="H30">
        <v>0.51</v>
      </c>
      <c r="I30">
        <v>12</v>
      </c>
      <c r="J30">
        <v>276.67</v>
      </c>
      <c r="K30">
        <v>59.89</v>
      </c>
      <c r="L30">
        <v>8</v>
      </c>
      <c r="M30">
        <v>10</v>
      </c>
      <c r="N30">
        <v>73.78</v>
      </c>
      <c r="O30">
        <v>34356.83</v>
      </c>
      <c r="P30">
        <v>114.84</v>
      </c>
      <c r="Q30">
        <v>204.14</v>
      </c>
      <c r="R30">
        <v>28.75</v>
      </c>
      <c r="S30">
        <v>17.37</v>
      </c>
      <c r="T30">
        <v>3555.55</v>
      </c>
      <c r="U30">
        <v>0.6</v>
      </c>
      <c r="V30">
        <v>0.74</v>
      </c>
      <c r="W30">
        <v>1.1499999999999999</v>
      </c>
      <c r="X30">
        <v>0.22</v>
      </c>
      <c r="Y30">
        <v>1</v>
      </c>
      <c r="Z30">
        <v>10</v>
      </c>
    </row>
    <row r="31" spans="1:26" x14ac:dyDescent="0.3">
      <c r="A31">
        <v>29</v>
      </c>
      <c r="B31">
        <v>135</v>
      </c>
      <c r="C31" t="s">
        <v>26</v>
      </c>
      <c r="D31">
        <v>9.7200000000000006</v>
      </c>
      <c r="E31">
        <v>10.29</v>
      </c>
      <c r="F31">
        <v>6.88</v>
      </c>
      <c r="G31">
        <v>37.520000000000003</v>
      </c>
      <c r="H31">
        <v>0.53</v>
      </c>
      <c r="I31">
        <v>11</v>
      </c>
      <c r="J31">
        <v>277.16000000000003</v>
      </c>
      <c r="K31">
        <v>59.89</v>
      </c>
      <c r="L31">
        <v>8.25</v>
      </c>
      <c r="M31">
        <v>9</v>
      </c>
      <c r="N31">
        <v>74.02</v>
      </c>
      <c r="O31">
        <v>34416.93</v>
      </c>
      <c r="P31">
        <v>114.11</v>
      </c>
      <c r="Q31">
        <v>204.15</v>
      </c>
      <c r="R31">
        <v>27.62</v>
      </c>
      <c r="S31">
        <v>17.37</v>
      </c>
      <c r="T31">
        <v>2996.68</v>
      </c>
      <c r="U31">
        <v>0.63</v>
      </c>
      <c r="V31">
        <v>0.74</v>
      </c>
      <c r="W31">
        <v>1.1499999999999999</v>
      </c>
      <c r="X31">
        <v>0.19</v>
      </c>
      <c r="Y31">
        <v>1</v>
      </c>
      <c r="Z31">
        <v>10</v>
      </c>
    </row>
    <row r="32" spans="1:26" x14ac:dyDescent="0.3">
      <c r="A32">
        <v>30</v>
      </c>
      <c r="B32">
        <v>135</v>
      </c>
      <c r="C32" t="s">
        <v>26</v>
      </c>
      <c r="D32">
        <v>9.7175999999999991</v>
      </c>
      <c r="E32">
        <v>10.29</v>
      </c>
      <c r="F32">
        <v>6.88</v>
      </c>
      <c r="G32">
        <v>37.53</v>
      </c>
      <c r="H32">
        <v>0.55000000000000004</v>
      </c>
      <c r="I32">
        <v>11</v>
      </c>
      <c r="J32">
        <v>277.64999999999998</v>
      </c>
      <c r="K32">
        <v>59.89</v>
      </c>
      <c r="L32">
        <v>8.5</v>
      </c>
      <c r="M32">
        <v>9</v>
      </c>
      <c r="N32">
        <v>74.260000000000005</v>
      </c>
      <c r="O32">
        <v>34477.129999999997</v>
      </c>
      <c r="P32">
        <v>114.13</v>
      </c>
      <c r="Q32">
        <v>204.14</v>
      </c>
      <c r="R32">
        <v>27.78</v>
      </c>
      <c r="S32">
        <v>17.37</v>
      </c>
      <c r="T32">
        <v>3075.54</v>
      </c>
      <c r="U32">
        <v>0.63</v>
      </c>
      <c r="V32">
        <v>0.74</v>
      </c>
      <c r="W32">
        <v>1.1499999999999999</v>
      </c>
      <c r="X32">
        <v>0.19</v>
      </c>
      <c r="Y32">
        <v>1</v>
      </c>
      <c r="Z32">
        <v>10</v>
      </c>
    </row>
    <row r="33" spans="1:26" x14ac:dyDescent="0.3">
      <c r="A33">
        <v>31</v>
      </c>
      <c r="B33">
        <v>135</v>
      </c>
      <c r="C33" t="s">
        <v>26</v>
      </c>
      <c r="D33">
        <v>9.7077000000000009</v>
      </c>
      <c r="E33">
        <v>10.3</v>
      </c>
      <c r="F33">
        <v>6.89</v>
      </c>
      <c r="G33">
        <v>37.590000000000003</v>
      </c>
      <c r="H33">
        <v>0.56000000000000005</v>
      </c>
      <c r="I33">
        <v>11</v>
      </c>
      <c r="J33">
        <v>278.13</v>
      </c>
      <c r="K33">
        <v>59.89</v>
      </c>
      <c r="L33">
        <v>8.75</v>
      </c>
      <c r="M33">
        <v>9</v>
      </c>
      <c r="N33">
        <v>74.5</v>
      </c>
      <c r="O33">
        <v>34537.410000000003</v>
      </c>
      <c r="P33">
        <v>114.31</v>
      </c>
      <c r="Q33">
        <v>204.14</v>
      </c>
      <c r="R33">
        <v>28.17</v>
      </c>
      <c r="S33">
        <v>17.37</v>
      </c>
      <c r="T33">
        <v>3270.17</v>
      </c>
      <c r="U33">
        <v>0.62</v>
      </c>
      <c r="V33">
        <v>0.74</v>
      </c>
      <c r="W33">
        <v>1.1499999999999999</v>
      </c>
      <c r="X33">
        <v>0.2</v>
      </c>
      <c r="Y33">
        <v>1</v>
      </c>
      <c r="Z33">
        <v>10</v>
      </c>
    </row>
    <row r="34" spans="1:26" x14ac:dyDescent="0.3">
      <c r="A34">
        <v>32</v>
      </c>
      <c r="B34">
        <v>135</v>
      </c>
      <c r="C34" t="s">
        <v>26</v>
      </c>
      <c r="D34">
        <v>9.7105999999999995</v>
      </c>
      <c r="E34">
        <v>10.3</v>
      </c>
      <c r="F34">
        <v>6.89</v>
      </c>
      <c r="G34">
        <v>37.58</v>
      </c>
      <c r="H34">
        <v>0.57999999999999996</v>
      </c>
      <c r="I34">
        <v>11</v>
      </c>
      <c r="J34">
        <v>278.62</v>
      </c>
      <c r="K34">
        <v>59.89</v>
      </c>
      <c r="L34">
        <v>9</v>
      </c>
      <c r="M34">
        <v>9</v>
      </c>
      <c r="N34">
        <v>74.739999999999995</v>
      </c>
      <c r="O34">
        <v>34597.800000000003</v>
      </c>
      <c r="P34">
        <v>114.03</v>
      </c>
      <c r="Q34">
        <v>204.14</v>
      </c>
      <c r="R34">
        <v>27.87</v>
      </c>
      <c r="S34">
        <v>17.37</v>
      </c>
      <c r="T34">
        <v>3120.39</v>
      </c>
      <c r="U34">
        <v>0.62</v>
      </c>
      <c r="V34">
        <v>0.74</v>
      </c>
      <c r="W34">
        <v>1.1599999999999999</v>
      </c>
      <c r="X34">
        <v>0.2</v>
      </c>
      <c r="Y34">
        <v>1</v>
      </c>
      <c r="Z34">
        <v>10</v>
      </c>
    </row>
    <row r="35" spans="1:26" x14ac:dyDescent="0.3">
      <c r="A35">
        <v>33</v>
      </c>
      <c r="B35">
        <v>135</v>
      </c>
      <c r="C35" t="s">
        <v>26</v>
      </c>
      <c r="D35">
        <v>9.7810000000000006</v>
      </c>
      <c r="E35">
        <v>10.220000000000001</v>
      </c>
      <c r="F35">
        <v>6.87</v>
      </c>
      <c r="G35">
        <v>41.19</v>
      </c>
      <c r="H35">
        <v>0.59</v>
      </c>
      <c r="I35">
        <v>10</v>
      </c>
      <c r="J35">
        <v>279.11</v>
      </c>
      <c r="K35">
        <v>59.89</v>
      </c>
      <c r="L35">
        <v>9.25</v>
      </c>
      <c r="M35">
        <v>8</v>
      </c>
      <c r="N35">
        <v>74.98</v>
      </c>
      <c r="O35">
        <v>34658.269999999997</v>
      </c>
      <c r="P35">
        <v>113.55</v>
      </c>
      <c r="Q35">
        <v>204.14</v>
      </c>
      <c r="R35">
        <v>27.22</v>
      </c>
      <c r="S35">
        <v>17.37</v>
      </c>
      <c r="T35">
        <v>2801.45</v>
      </c>
      <c r="U35">
        <v>0.64</v>
      </c>
      <c r="V35">
        <v>0.74</v>
      </c>
      <c r="W35">
        <v>1.1499999999999999</v>
      </c>
      <c r="X35">
        <v>0.17</v>
      </c>
      <c r="Y35">
        <v>1</v>
      </c>
      <c r="Z35">
        <v>10</v>
      </c>
    </row>
    <row r="36" spans="1:26" x14ac:dyDescent="0.3">
      <c r="A36">
        <v>34</v>
      </c>
      <c r="B36">
        <v>135</v>
      </c>
      <c r="C36" t="s">
        <v>26</v>
      </c>
      <c r="D36">
        <v>9.7810000000000006</v>
      </c>
      <c r="E36">
        <v>10.220000000000001</v>
      </c>
      <c r="F36">
        <v>6.87</v>
      </c>
      <c r="G36">
        <v>41.19</v>
      </c>
      <c r="H36">
        <v>0.6</v>
      </c>
      <c r="I36">
        <v>10</v>
      </c>
      <c r="J36">
        <v>279.61</v>
      </c>
      <c r="K36">
        <v>59.89</v>
      </c>
      <c r="L36">
        <v>9.5</v>
      </c>
      <c r="M36">
        <v>8</v>
      </c>
      <c r="N36">
        <v>75.22</v>
      </c>
      <c r="O36">
        <v>34718.839999999997</v>
      </c>
      <c r="P36">
        <v>113.52</v>
      </c>
      <c r="Q36">
        <v>204.15</v>
      </c>
      <c r="R36">
        <v>27.36</v>
      </c>
      <c r="S36">
        <v>17.37</v>
      </c>
      <c r="T36">
        <v>2873.03</v>
      </c>
      <c r="U36">
        <v>0.63</v>
      </c>
      <c r="V36">
        <v>0.74</v>
      </c>
      <c r="W36">
        <v>1.1499999999999999</v>
      </c>
      <c r="X36">
        <v>0.17</v>
      </c>
      <c r="Y36">
        <v>1</v>
      </c>
      <c r="Z36">
        <v>10</v>
      </c>
    </row>
    <row r="37" spans="1:26" x14ac:dyDescent="0.3">
      <c r="A37">
        <v>35</v>
      </c>
      <c r="B37">
        <v>135</v>
      </c>
      <c r="C37" t="s">
        <v>26</v>
      </c>
      <c r="D37">
        <v>9.7842000000000002</v>
      </c>
      <c r="E37">
        <v>10.220000000000001</v>
      </c>
      <c r="F37">
        <v>6.86</v>
      </c>
      <c r="G37">
        <v>41.17</v>
      </c>
      <c r="H37">
        <v>0.62</v>
      </c>
      <c r="I37">
        <v>10</v>
      </c>
      <c r="J37">
        <v>280.10000000000002</v>
      </c>
      <c r="K37">
        <v>59.89</v>
      </c>
      <c r="L37">
        <v>9.75</v>
      </c>
      <c r="M37">
        <v>8</v>
      </c>
      <c r="N37">
        <v>75.459999999999994</v>
      </c>
      <c r="O37">
        <v>34779.51</v>
      </c>
      <c r="P37">
        <v>113.6</v>
      </c>
      <c r="Q37">
        <v>204.14</v>
      </c>
      <c r="R37">
        <v>27.06</v>
      </c>
      <c r="S37">
        <v>17.37</v>
      </c>
      <c r="T37">
        <v>2723.33</v>
      </c>
      <c r="U37">
        <v>0.64</v>
      </c>
      <c r="V37">
        <v>0.74</v>
      </c>
      <c r="W37">
        <v>1.1499999999999999</v>
      </c>
      <c r="X37">
        <v>0.17</v>
      </c>
      <c r="Y37">
        <v>1</v>
      </c>
      <c r="Z37">
        <v>10</v>
      </c>
    </row>
    <row r="38" spans="1:26" x14ac:dyDescent="0.3">
      <c r="A38">
        <v>36</v>
      </c>
      <c r="B38">
        <v>135</v>
      </c>
      <c r="C38" t="s">
        <v>26</v>
      </c>
      <c r="D38">
        <v>9.7720000000000002</v>
      </c>
      <c r="E38">
        <v>10.23</v>
      </c>
      <c r="F38">
        <v>6.87</v>
      </c>
      <c r="G38">
        <v>41.25</v>
      </c>
      <c r="H38">
        <v>0.63</v>
      </c>
      <c r="I38">
        <v>10</v>
      </c>
      <c r="J38">
        <v>280.58999999999997</v>
      </c>
      <c r="K38">
        <v>59.89</v>
      </c>
      <c r="L38">
        <v>10</v>
      </c>
      <c r="M38">
        <v>8</v>
      </c>
      <c r="N38">
        <v>75.7</v>
      </c>
      <c r="O38">
        <v>34840.269999999997</v>
      </c>
      <c r="P38">
        <v>113.59</v>
      </c>
      <c r="Q38">
        <v>204.14</v>
      </c>
      <c r="R38">
        <v>27.52</v>
      </c>
      <c r="S38">
        <v>17.37</v>
      </c>
      <c r="T38">
        <v>2950.19</v>
      </c>
      <c r="U38">
        <v>0.63</v>
      </c>
      <c r="V38">
        <v>0.74</v>
      </c>
      <c r="W38">
        <v>1.1499999999999999</v>
      </c>
      <c r="X38">
        <v>0.18</v>
      </c>
      <c r="Y38">
        <v>1</v>
      </c>
      <c r="Z38">
        <v>10</v>
      </c>
    </row>
    <row r="39" spans="1:26" x14ac:dyDescent="0.3">
      <c r="A39">
        <v>37</v>
      </c>
      <c r="B39">
        <v>135</v>
      </c>
      <c r="C39" t="s">
        <v>26</v>
      </c>
      <c r="D39">
        <v>9.8449000000000009</v>
      </c>
      <c r="E39">
        <v>10.16</v>
      </c>
      <c r="F39">
        <v>6.85</v>
      </c>
      <c r="G39">
        <v>45.66</v>
      </c>
      <c r="H39">
        <v>0.65</v>
      </c>
      <c r="I39">
        <v>9</v>
      </c>
      <c r="J39">
        <v>281.08</v>
      </c>
      <c r="K39">
        <v>59.89</v>
      </c>
      <c r="L39">
        <v>10.25</v>
      </c>
      <c r="M39">
        <v>7</v>
      </c>
      <c r="N39">
        <v>75.95</v>
      </c>
      <c r="O39">
        <v>34901.129999999997</v>
      </c>
      <c r="P39">
        <v>113.1</v>
      </c>
      <c r="Q39">
        <v>204.14</v>
      </c>
      <c r="R39">
        <v>26.75</v>
      </c>
      <c r="S39">
        <v>17.37</v>
      </c>
      <c r="T39">
        <v>2573.96</v>
      </c>
      <c r="U39">
        <v>0.65</v>
      </c>
      <c r="V39">
        <v>0.75</v>
      </c>
      <c r="W39">
        <v>1.1499999999999999</v>
      </c>
      <c r="X39">
        <v>0.16</v>
      </c>
      <c r="Y39">
        <v>1</v>
      </c>
      <c r="Z39">
        <v>10</v>
      </c>
    </row>
    <row r="40" spans="1:26" x14ac:dyDescent="0.3">
      <c r="A40">
        <v>38</v>
      </c>
      <c r="B40">
        <v>135</v>
      </c>
      <c r="C40" t="s">
        <v>26</v>
      </c>
      <c r="D40">
        <v>9.8333999999999993</v>
      </c>
      <c r="E40">
        <v>10.17</v>
      </c>
      <c r="F40">
        <v>6.86</v>
      </c>
      <c r="G40">
        <v>45.74</v>
      </c>
      <c r="H40">
        <v>0.66</v>
      </c>
      <c r="I40">
        <v>9</v>
      </c>
      <c r="J40">
        <v>281.58</v>
      </c>
      <c r="K40">
        <v>59.89</v>
      </c>
      <c r="L40">
        <v>10.5</v>
      </c>
      <c r="M40">
        <v>7</v>
      </c>
      <c r="N40">
        <v>76.19</v>
      </c>
      <c r="O40">
        <v>34962.080000000002</v>
      </c>
      <c r="P40">
        <v>113.52</v>
      </c>
      <c r="Q40">
        <v>204.16</v>
      </c>
      <c r="R40">
        <v>27.19</v>
      </c>
      <c r="S40">
        <v>17.37</v>
      </c>
      <c r="T40">
        <v>2793.27</v>
      </c>
      <c r="U40">
        <v>0.64</v>
      </c>
      <c r="V40">
        <v>0.74</v>
      </c>
      <c r="W40">
        <v>1.1499999999999999</v>
      </c>
      <c r="X40">
        <v>0.17</v>
      </c>
      <c r="Y40">
        <v>1</v>
      </c>
      <c r="Z40">
        <v>10</v>
      </c>
    </row>
    <row r="41" spans="1:26" x14ac:dyDescent="0.3">
      <c r="A41">
        <v>39</v>
      </c>
      <c r="B41">
        <v>135</v>
      </c>
      <c r="C41" t="s">
        <v>26</v>
      </c>
      <c r="D41">
        <v>9.8412000000000006</v>
      </c>
      <c r="E41">
        <v>10.16</v>
      </c>
      <c r="F41">
        <v>6.85</v>
      </c>
      <c r="G41">
        <v>45.69</v>
      </c>
      <c r="H41">
        <v>0.68</v>
      </c>
      <c r="I41">
        <v>9</v>
      </c>
      <c r="J41">
        <v>282.07</v>
      </c>
      <c r="K41">
        <v>59.89</v>
      </c>
      <c r="L41">
        <v>10.75</v>
      </c>
      <c r="M41">
        <v>7</v>
      </c>
      <c r="N41">
        <v>76.44</v>
      </c>
      <c r="O41">
        <v>35023.129999999997</v>
      </c>
      <c r="P41">
        <v>113.38</v>
      </c>
      <c r="Q41">
        <v>204.14</v>
      </c>
      <c r="R41">
        <v>26.94</v>
      </c>
      <c r="S41">
        <v>17.37</v>
      </c>
      <c r="T41">
        <v>2668.61</v>
      </c>
      <c r="U41">
        <v>0.64</v>
      </c>
      <c r="V41">
        <v>0.75</v>
      </c>
      <c r="W41">
        <v>1.1499999999999999</v>
      </c>
      <c r="X41">
        <v>0.16</v>
      </c>
      <c r="Y41">
        <v>1</v>
      </c>
      <c r="Z41">
        <v>10</v>
      </c>
    </row>
    <row r="42" spans="1:26" x14ac:dyDescent="0.3">
      <c r="A42">
        <v>40</v>
      </c>
      <c r="B42">
        <v>135</v>
      </c>
      <c r="C42" t="s">
        <v>26</v>
      </c>
      <c r="D42">
        <v>9.8374000000000006</v>
      </c>
      <c r="E42">
        <v>10.17</v>
      </c>
      <c r="F42">
        <v>6.86</v>
      </c>
      <c r="G42">
        <v>45.71</v>
      </c>
      <c r="H42">
        <v>0.69</v>
      </c>
      <c r="I42">
        <v>9</v>
      </c>
      <c r="J42">
        <v>282.57</v>
      </c>
      <c r="K42">
        <v>59.89</v>
      </c>
      <c r="L42">
        <v>11</v>
      </c>
      <c r="M42">
        <v>7</v>
      </c>
      <c r="N42">
        <v>76.680000000000007</v>
      </c>
      <c r="O42">
        <v>35084.28</v>
      </c>
      <c r="P42">
        <v>113.23</v>
      </c>
      <c r="Q42">
        <v>204.14</v>
      </c>
      <c r="R42">
        <v>27.02</v>
      </c>
      <c r="S42">
        <v>17.37</v>
      </c>
      <c r="T42">
        <v>2707.01</v>
      </c>
      <c r="U42">
        <v>0.64</v>
      </c>
      <c r="V42">
        <v>0.74</v>
      </c>
      <c r="W42">
        <v>1.1499999999999999</v>
      </c>
      <c r="X42">
        <v>0.17</v>
      </c>
      <c r="Y42">
        <v>1</v>
      </c>
      <c r="Z42">
        <v>10</v>
      </c>
    </row>
    <row r="43" spans="1:26" x14ac:dyDescent="0.3">
      <c r="A43">
        <v>41</v>
      </c>
      <c r="B43">
        <v>135</v>
      </c>
      <c r="C43" t="s">
        <v>26</v>
      </c>
      <c r="D43">
        <v>9.8370999999999995</v>
      </c>
      <c r="E43">
        <v>10.17</v>
      </c>
      <c r="F43">
        <v>6.86</v>
      </c>
      <c r="G43">
        <v>45.72</v>
      </c>
      <c r="H43">
        <v>0.71</v>
      </c>
      <c r="I43">
        <v>9</v>
      </c>
      <c r="J43">
        <v>283.06</v>
      </c>
      <c r="K43">
        <v>59.89</v>
      </c>
      <c r="L43">
        <v>11.25</v>
      </c>
      <c r="M43">
        <v>7</v>
      </c>
      <c r="N43">
        <v>76.930000000000007</v>
      </c>
      <c r="O43">
        <v>35145.53</v>
      </c>
      <c r="P43">
        <v>113.13</v>
      </c>
      <c r="Q43">
        <v>204.14</v>
      </c>
      <c r="R43">
        <v>26.99</v>
      </c>
      <c r="S43">
        <v>17.37</v>
      </c>
      <c r="T43">
        <v>2693.45</v>
      </c>
      <c r="U43">
        <v>0.64</v>
      </c>
      <c r="V43">
        <v>0.74</v>
      </c>
      <c r="W43">
        <v>1.1499999999999999</v>
      </c>
      <c r="X43">
        <v>0.17</v>
      </c>
      <c r="Y43">
        <v>1</v>
      </c>
      <c r="Z43">
        <v>10</v>
      </c>
    </row>
    <row r="44" spans="1:26" x14ac:dyDescent="0.3">
      <c r="A44">
        <v>42</v>
      </c>
      <c r="B44">
        <v>135</v>
      </c>
      <c r="C44" t="s">
        <v>26</v>
      </c>
      <c r="D44">
        <v>9.9116</v>
      </c>
      <c r="E44">
        <v>10.09</v>
      </c>
      <c r="F44">
        <v>6.83</v>
      </c>
      <c r="G44">
        <v>51.24</v>
      </c>
      <c r="H44">
        <v>0.72</v>
      </c>
      <c r="I44">
        <v>8</v>
      </c>
      <c r="J44">
        <v>283.56</v>
      </c>
      <c r="K44">
        <v>59.89</v>
      </c>
      <c r="L44">
        <v>11.5</v>
      </c>
      <c r="M44">
        <v>6</v>
      </c>
      <c r="N44">
        <v>77.180000000000007</v>
      </c>
      <c r="O44">
        <v>35206.879999999997</v>
      </c>
      <c r="P44">
        <v>112.4</v>
      </c>
      <c r="Q44">
        <v>204.15</v>
      </c>
      <c r="R44">
        <v>26.29</v>
      </c>
      <c r="S44">
        <v>17.37</v>
      </c>
      <c r="T44">
        <v>2346.58</v>
      </c>
      <c r="U44">
        <v>0.66</v>
      </c>
      <c r="V44">
        <v>0.75</v>
      </c>
      <c r="W44">
        <v>1.1499999999999999</v>
      </c>
      <c r="X44">
        <v>0.14000000000000001</v>
      </c>
      <c r="Y44">
        <v>1</v>
      </c>
      <c r="Z44">
        <v>10</v>
      </c>
    </row>
    <row r="45" spans="1:26" x14ac:dyDescent="0.3">
      <c r="A45">
        <v>43</v>
      </c>
      <c r="B45">
        <v>135</v>
      </c>
      <c r="C45" t="s">
        <v>26</v>
      </c>
      <c r="D45">
        <v>9.9220000000000006</v>
      </c>
      <c r="E45">
        <v>10.08</v>
      </c>
      <c r="F45">
        <v>6.82</v>
      </c>
      <c r="G45">
        <v>51.16</v>
      </c>
      <c r="H45">
        <v>0.74</v>
      </c>
      <c r="I45">
        <v>8</v>
      </c>
      <c r="J45">
        <v>284.06</v>
      </c>
      <c r="K45">
        <v>59.89</v>
      </c>
      <c r="L45">
        <v>11.75</v>
      </c>
      <c r="M45">
        <v>6</v>
      </c>
      <c r="N45">
        <v>77.42</v>
      </c>
      <c r="O45">
        <v>35268.32</v>
      </c>
      <c r="P45">
        <v>112.34</v>
      </c>
      <c r="Q45">
        <v>204.14</v>
      </c>
      <c r="R45">
        <v>25.87</v>
      </c>
      <c r="S45">
        <v>17.37</v>
      </c>
      <c r="T45">
        <v>2138.06</v>
      </c>
      <c r="U45">
        <v>0.67</v>
      </c>
      <c r="V45">
        <v>0.75</v>
      </c>
      <c r="W45">
        <v>1.1499999999999999</v>
      </c>
      <c r="X45">
        <v>0.13</v>
      </c>
      <c r="Y45">
        <v>1</v>
      </c>
      <c r="Z45">
        <v>10</v>
      </c>
    </row>
    <row r="46" spans="1:26" x14ac:dyDescent="0.3">
      <c r="A46">
        <v>44</v>
      </c>
      <c r="B46">
        <v>135</v>
      </c>
      <c r="C46" t="s">
        <v>26</v>
      </c>
      <c r="D46">
        <v>9.9271999999999991</v>
      </c>
      <c r="E46">
        <v>10.07</v>
      </c>
      <c r="F46">
        <v>6.82</v>
      </c>
      <c r="G46">
        <v>51.12</v>
      </c>
      <c r="H46">
        <v>0.75</v>
      </c>
      <c r="I46">
        <v>8</v>
      </c>
      <c r="J46">
        <v>284.56</v>
      </c>
      <c r="K46">
        <v>59.89</v>
      </c>
      <c r="L46">
        <v>12</v>
      </c>
      <c r="M46">
        <v>6</v>
      </c>
      <c r="N46">
        <v>77.67</v>
      </c>
      <c r="O46">
        <v>35329.870000000003</v>
      </c>
      <c r="P46">
        <v>112.05</v>
      </c>
      <c r="Q46">
        <v>204.14</v>
      </c>
      <c r="R46">
        <v>25.84</v>
      </c>
      <c r="S46">
        <v>17.37</v>
      </c>
      <c r="T46">
        <v>2121.88</v>
      </c>
      <c r="U46">
        <v>0.67</v>
      </c>
      <c r="V46">
        <v>0.75</v>
      </c>
      <c r="W46">
        <v>1.1399999999999999</v>
      </c>
      <c r="X46">
        <v>0.12</v>
      </c>
      <c r="Y46">
        <v>1</v>
      </c>
      <c r="Z46">
        <v>10</v>
      </c>
    </row>
    <row r="47" spans="1:26" x14ac:dyDescent="0.3">
      <c r="A47">
        <v>45</v>
      </c>
      <c r="B47">
        <v>135</v>
      </c>
      <c r="C47" t="s">
        <v>26</v>
      </c>
      <c r="D47">
        <v>9.9186999999999994</v>
      </c>
      <c r="E47">
        <v>10.08</v>
      </c>
      <c r="F47">
        <v>6.82</v>
      </c>
      <c r="G47">
        <v>51.18</v>
      </c>
      <c r="H47">
        <v>0.77</v>
      </c>
      <c r="I47">
        <v>8</v>
      </c>
      <c r="J47">
        <v>285.06</v>
      </c>
      <c r="K47">
        <v>59.89</v>
      </c>
      <c r="L47">
        <v>12.25</v>
      </c>
      <c r="M47">
        <v>6</v>
      </c>
      <c r="N47">
        <v>77.92</v>
      </c>
      <c r="O47">
        <v>35391.51</v>
      </c>
      <c r="P47">
        <v>112.19</v>
      </c>
      <c r="Q47">
        <v>204.14</v>
      </c>
      <c r="R47">
        <v>25.99</v>
      </c>
      <c r="S47">
        <v>17.37</v>
      </c>
      <c r="T47">
        <v>2197.56</v>
      </c>
      <c r="U47">
        <v>0.67</v>
      </c>
      <c r="V47">
        <v>0.75</v>
      </c>
      <c r="W47">
        <v>1.1499999999999999</v>
      </c>
      <c r="X47">
        <v>0.13</v>
      </c>
      <c r="Y47">
        <v>1</v>
      </c>
      <c r="Z47">
        <v>10</v>
      </c>
    </row>
    <row r="48" spans="1:26" x14ac:dyDescent="0.3">
      <c r="A48">
        <v>46</v>
      </c>
      <c r="B48">
        <v>135</v>
      </c>
      <c r="C48" t="s">
        <v>26</v>
      </c>
      <c r="D48">
        <v>9.9168000000000003</v>
      </c>
      <c r="E48">
        <v>10.08</v>
      </c>
      <c r="F48">
        <v>6.83</v>
      </c>
      <c r="G48">
        <v>51.2</v>
      </c>
      <c r="H48">
        <v>0.78</v>
      </c>
      <c r="I48">
        <v>8</v>
      </c>
      <c r="J48">
        <v>285.56</v>
      </c>
      <c r="K48">
        <v>59.89</v>
      </c>
      <c r="L48">
        <v>12.5</v>
      </c>
      <c r="M48">
        <v>6</v>
      </c>
      <c r="N48">
        <v>78.17</v>
      </c>
      <c r="O48">
        <v>35453.26</v>
      </c>
      <c r="P48">
        <v>112.03</v>
      </c>
      <c r="Q48">
        <v>204.15</v>
      </c>
      <c r="R48">
        <v>26.16</v>
      </c>
      <c r="S48">
        <v>17.37</v>
      </c>
      <c r="T48">
        <v>2281.91</v>
      </c>
      <c r="U48">
        <v>0.66</v>
      </c>
      <c r="V48">
        <v>0.75</v>
      </c>
      <c r="W48">
        <v>1.1499999999999999</v>
      </c>
      <c r="X48">
        <v>0.14000000000000001</v>
      </c>
      <c r="Y48">
        <v>1</v>
      </c>
      <c r="Z48">
        <v>10</v>
      </c>
    </row>
    <row r="49" spans="1:26" x14ac:dyDescent="0.3">
      <c r="A49">
        <v>47</v>
      </c>
      <c r="B49">
        <v>135</v>
      </c>
      <c r="C49" t="s">
        <v>26</v>
      </c>
      <c r="D49">
        <v>9.9154</v>
      </c>
      <c r="E49">
        <v>10.09</v>
      </c>
      <c r="F49">
        <v>6.83</v>
      </c>
      <c r="G49">
        <v>51.21</v>
      </c>
      <c r="H49">
        <v>0.79</v>
      </c>
      <c r="I49">
        <v>8</v>
      </c>
      <c r="J49">
        <v>286.06</v>
      </c>
      <c r="K49">
        <v>59.89</v>
      </c>
      <c r="L49">
        <v>12.75</v>
      </c>
      <c r="M49">
        <v>6</v>
      </c>
      <c r="N49">
        <v>78.42</v>
      </c>
      <c r="O49">
        <v>35515.1</v>
      </c>
      <c r="P49">
        <v>112.15</v>
      </c>
      <c r="Q49">
        <v>204.19</v>
      </c>
      <c r="R49">
        <v>26.09</v>
      </c>
      <c r="S49">
        <v>17.37</v>
      </c>
      <c r="T49">
        <v>2248.48</v>
      </c>
      <c r="U49">
        <v>0.67</v>
      </c>
      <c r="V49">
        <v>0.75</v>
      </c>
      <c r="W49">
        <v>1.1499999999999999</v>
      </c>
      <c r="X49">
        <v>0.14000000000000001</v>
      </c>
      <c r="Y49">
        <v>1</v>
      </c>
      <c r="Z49">
        <v>10</v>
      </c>
    </row>
    <row r="50" spans="1:26" x14ac:dyDescent="0.3">
      <c r="A50">
        <v>48</v>
      </c>
      <c r="B50">
        <v>135</v>
      </c>
      <c r="C50" t="s">
        <v>26</v>
      </c>
      <c r="D50">
        <v>9.9138000000000002</v>
      </c>
      <c r="E50">
        <v>10.09</v>
      </c>
      <c r="F50">
        <v>6.83</v>
      </c>
      <c r="G50">
        <v>51.22</v>
      </c>
      <c r="H50">
        <v>0.81</v>
      </c>
      <c r="I50">
        <v>8</v>
      </c>
      <c r="J50">
        <v>286.56</v>
      </c>
      <c r="K50">
        <v>59.89</v>
      </c>
      <c r="L50">
        <v>13</v>
      </c>
      <c r="M50">
        <v>6</v>
      </c>
      <c r="N50">
        <v>78.680000000000007</v>
      </c>
      <c r="O50">
        <v>35577.18</v>
      </c>
      <c r="P50">
        <v>111.95</v>
      </c>
      <c r="Q50">
        <v>204.15</v>
      </c>
      <c r="R50">
        <v>26.14</v>
      </c>
      <c r="S50">
        <v>17.37</v>
      </c>
      <c r="T50">
        <v>2274.75</v>
      </c>
      <c r="U50">
        <v>0.66</v>
      </c>
      <c r="V50">
        <v>0.75</v>
      </c>
      <c r="W50">
        <v>1.1499999999999999</v>
      </c>
      <c r="X50">
        <v>0.14000000000000001</v>
      </c>
      <c r="Y50">
        <v>1</v>
      </c>
      <c r="Z50">
        <v>10</v>
      </c>
    </row>
    <row r="51" spans="1:26" x14ac:dyDescent="0.3">
      <c r="A51">
        <v>49</v>
      </c>
      <c r="B51">
        <v>135</v>
      </c>
      <c r="C51" t="s">
        <v>26</v>
      </c>
      <c r="D51">
        <v>9.9164999999999992</v>
      </c>
      <c r="E51">
        <v>10.08</v>
      </c>
      <c r="F51">
        <v>6.83</v>
      </c>
      <c r="G51">
        <v>51.2</v>
      </c>
      <c r="H51">
        <v>0.82</v>
      </c>
      <c r="I51">
        <v>8</v>
      </c>
      <c r="J51">
        <v>287.07</v>
      </c>
      <c r="K51">
        <v>59.89</v>
      </c>
      <c r="L51">
        <v>13.25</v>
      </c>
      <c r="M51">
        <v>6</v>
      </c>
      <c r="N51">
        <v>78.930000000000007</v>
      </c>
      <c r="O51">
        <v>35639.230000000003</v>
      </c>
      <c r="P51">
        <v>111.66</v>
      </c>
      <c r="Q51">
        <v>204.15</v>
      </c>
      <c r="R51">
        <v>26.03</v>
      </c>
      <c r="S51">
        <v>17.37</v>
      </c>
      <c r="T51">
        <v>2218.7600000000002</v>
      </c>
      <c r="U51">
        <v>0.67</v>
      </c>
      <c r="V51">
        <v>0.75</v>
      </c>
      <c r="W51">
        <v>1.1499999999999999</v>
      </c>
      <c r="X51">
        <v>0.13</v>
      </c>
      <c r="Y51">
        <v>1</v>
      </c>
      <c r="Z51">
        <v>10</v>
      </c>
    </row>
    <row r="52" spans="1:26" x14ac:dyDescent="0.3">
      <c r="A52">
        <v>50</v>
      </c>
      <c r="B52">
        <v>135</v>
      </c>
      <c r="C52" t="s">
        <v>26</v>
      </c>
      <c r="D52">
        <v>9.9892000000000003</v>
      </c>
      <c r="E52">
        <v>10.01</v>
      </c>
      <c r="F52">
        <v>6.8</v>
      </c>
      <c r="G52">
        <v>58.32</v>
      </c>
      <c r="H52">
        <v>0.84</v>
      </c>
      <c r="I52">
        <v>7</v>
      </c>
      <c r="J52">
        <v>287.57</v>
      </c>
      <c r="K52">
        <v>59.89</v>
      </c>
      <c r="L52">
        <v>13.5</v>
      </c>
      <c r="M52">
        <v>5</v>
      </c>
      <c r="N52">
        <v>79.180000000000007</v>
      </c>
      <c r="O52">
        <v>35701.379999999997</v>
      </c>
      <c r="P52">
        <v>111.43</v>
      </c>
      <c r="Q52">
        <v>204.16</v>
      </c>
      <c r="R52">
        <v>25.31</v>
      </c>
      <c r="S52">
        <v>17.37</v>
      </c>
      <c r="T52">
        <v>1864.39</v>
      </c>
      <c r="U52">
        <v>0.69</v>
      </c>
      <c r="V52">
        <v>0.75</v>
      </c>
      <c r="W52">
        <v>1.1499999999999999</v>
      </c>
      <c r="X52">
        <v>0.11</v>
      </c>
      <c r="Y52">
        <v>1</v>
      </c>
      <c r="Z52">
        <v>10</v>
      </c>
    </row>
    <row r="53" spans="1:26" x14ac:dyDescent="0.3">
      <c r="A53">
        <v>51</v>
      </c>
      <c r="B53">
        <v>135</v>
      </c>
      <c r="C53" t="s">
        <v>26</v>
      </c>
      <c r="D53">
        <v>9.9810999999999996</v>
      </c>
      <c r="E53">
        <v>10.02</v>
      </c>
      <c r="F53">
        <v>6.81</v>
      </c>
      <c r="G53">
        <v>58.39</v>
      </c>
      <c r="H53">
        <v>0.85</v>
      </c>
      <c r="I53">
        <v>7</v>
      </c>
      <c r="J53">
        <v>288.08</v>
      </c>
      <c r="K53">
        <v>59.89</v>
      </c>
      <c r="L53">
        <v>13.75</v>
      </c>
      <c r="M53">
        <v>5</v>
      </c>
      <c r="N53">
        <v>79.44</v>
      </c>
      <c r="O53">
        <v>35763.64</v>
      </c>
      <c r="P53">
        <v>111.65</v>
      </c>
      <c r="Q53">
        <v>204.15</v>
      </c>
      <c r="R53">
        <v>25.55</v>
      </c>
      <c r="S53">
        <v>17.37</v>
      </c>
      <c r="T53">
        <v>1982.75</v>
      </c>
      <c r="U53">
        <v>0.68</v>
      </c>
      <c r="V53">
        <v>0.75</v>
      </c>
      <c r="W53">
        <v>1.1499999999999999</v>
      </c>
      <c r="X53">
        <v>0.12</v>
      </c>
      <c r="Y53">
        <v>1</v>
      </c>
      <c r="Z53">
        <v>10</v>
      </c>
    </row>
    <row r="54" spans="1:26" x14ac:dyDescent="0.3">
      <c r="A54">
        <v>52</v>
      </c>
      <c r="B54">
        <v>135</v>
      </c>
      <c r="C54" t="s">
        <v>26</v>
      </c>
      <c r="D54">
        <v>9.9920000000000009</v>
      </c>
      <c r="E54">
        <v>10.01</v>
      </c>
      <c r="F54">
        <v>6.8</v>
      </c>
      <c r="G54">
        <v>58.3</v>
      </c>
      <c r="H54">
        <v>0.86</v>
      </c>
      <c r="I54">
        <v>7</v>
      </c>
      <c r="J54">
        <v>288.58</v>
      </c>
      <c r="K54">
        <v>59.89</v>
      </c>
      <c r="L54">
        <v>14</v>
      </c>
      <c r="M54">
        <v>5</v>
      </c>
      <c r="N54">
        <v>79.69</v>
      </c>
      <c r="O54">
        <v>35826</v>
      </c>
      <c r="P54">
        <v>111.67</v>
      </c>
      <c r="Q54">
        <v>204.14</v>
      </c>
      <c r="R54">
        <v>25.28</v>
      </c>
      <c r="S54">
        <v>17.37</v>
      </c>
      <c r="T54">
        <v>1846.38</v>
      </c>
      <c r="U54">
        <v>0.69</v>
      </c>
      <c r="V54">
        <v>0.75</v>
      </c>
      <c r="W54">
        <v>1.1499999999999999</v>
      </c>
      <c r="X54">
        <v>0.11</v>
      </c>
      <c r="Y54">
        <v>1</v>
      </c>
      <c r="Z54">
        <v>10</v>
      </c>
    </row>
    <row r="55" spans="1:26" x14ac:dyDescent="0.3">
      <c r="A55">
        <v>53</v>
      </c>
      <c r="B55">
        <v>135</v>
      </c>
      <c r="C55" t="s">
        <v>26</v>
      </c>
      <c r="D55">
        <v>9.98</v>
      </c>
      <c r="E55">
        <v>10.02</v>
      </c>
      <c r="F55">
        <v>6.81</v>
      </c>
      <c r="G55">
        <v>58.4</v>
      </c>
      <c r="H55">
        <v>0.88</v>
      </c>
      <c r="I55">
        <v>7</v>
      </c>
      <c r="J55">
        <v>289.08999999999997</v>
      </c>
      <c r="K55">
        <v>59.89</v>
      </c>
      <c r="L55">
        <v>14.25</v>
      </c>
      <c r="M55">
        <v>5</v>
      </c>
      <c r="N55">
        <v>79.95</v>
      </c>
      <c r="O55">
        <v>35888.47</v>
      </c>
      <c r="P55">
        <v>111.77</v>
      </c>
      <c r="Q55">
        <v>204.14</v>
      </c>
      <c r="R55">
        <v>25.67</v>
      </c>
      <c r="S55">
        <v>17.37</v>
      </c>
      <c r="T55">
        <v>2042.38</v>
      </c>
      <c r="U55">
        <v>0.68</v>
      </c>
      <c r="V55">
        <v>0.75</v>
      </c>
      <c r="W55">
        <v>1.1499999999999999</v>
      </c>
      <c r="X55">
        <v>0.12</v>
      </c>
      <c r="Y55">
        <v>1</v>
      </c>
      <c r="Z55">
        <v>10</v>
      </c>
    </row>
    <row r="56" spans="1:26" x14ac:dyDescent="0.3">
      <c r="A56">
        <v>54</v>
      </c>
      <c r="B56">
        <v>135</v>
      </c>
      <c r="C56" t="s">
        <v>26</v>
      </c>
      <c r="D56">
        <v>9.9849999999999994</v>
      </c>
      <c r="E56">
        <v>10.02</v>
      </c>
      <c r="F56">
        <v>6.81</v>
      </c>
      <c r="G56">
        <v>58.35</v>
      </c>
      <c r="H56">
        <v>0.89</v>
      </c>
      <c r="I56">
        <v>7</v>
      </c>
      <c r="J56">
        <v>289.60000000000002</v>
      </c>
      <c r="K56">
        <v>59.89</v>
      </c>
      <c r="L56">
        <v>14.5</v>
      </c>
      <c r="M56">
        <v>5</v>
      </c>
      <c r="N56">
        <v>80.209999999999994</v>
      </c>
      <c r="O56">
        <v>35951.040000000001</v>
      </c>
      <c r="P56">
        <v>111.7</v>
      </c>
      <c r="Q56">
        <v>204.14</v>
      </c>
      <c r="R56">
        <v>25.52</v>
      </c>
      <c r="S56">
        <v>17.37</v>
      </c>
      <c r="T56">
        <v>1965.85</v>
      </c>
      <c r="U56">
        <v>0.68</v>
      </c>
      <c r="V56">
        <v>0.75</v>
      </c>
      <c r="W56">
        <v>1.1499999999999999</v>
      </c>
      <c r="X56">
        <v>0.12</v>
      </c>
      <c r="Y56">
        <v>1</v>
      </c>
      <c r="Z56">
        <v>10</v>
      </c>
    </row>
    <row r="57" spans="1:26" x14ac:dyDescent="0.3">
      <c r="A57">
        <v>55</v>
      </c>
      <c r="B57">
        <v>135</v>
      </c>
      <c r="C57" t="s">
        <v>26</v>
      </c>
      <c r="D57">
        <v>9.9809000000000001</v>
      </c>
      <c r="E57">
        <v>10.02</v>
      </c>
      <c r="F57">
        <v>6.81</v>
      </c>
      <c r="G57">
        <v>58.39</v>
      </c>
      <c r="H57">
        <v>0.91</v>
      </c>
      <c r="I57">
        <v>7</v>
      </c>
      <c r="J57">
        <v>290.10000000000002</v>
      </c>
      <c r="K57">
        <v>59.89</v>
      </c>
      <c r="L57">
        <v>14.75</v>
      </c>
      <c r="M57">
        <v>5</v>
      </c>
      <c r="N57">
        <v>80.47</v>
      </c>
      <c r="O57">
        <v>36013.72</v>
      </c>
      <c r="P57">
        <v>111.6</v>
      </c>
      <c r="Q57">
        <v>204.14</v>
      </c>
      <c r="R57">
        <v>25.66</v>
      </c>
      <c r="S57">
        <v>17.37</v>
      </c>
      <c r="T57">
        <v>2039.26</v>
      </c>
      <c r="U57">
        <v>0.68</v>
      </c>
      <c r="V57">
        <v>0.75</v>
      </c>
      <c r="W57">
        <v>1.1499999999999999</v>
      </c>
      <c r="X57">
        <v>0.12</v>
      </c>
      <c r="Y57">
        <v>1</v>
      </c>
      <c r="Z57">
        <v>10</v>
      </c>
    </row>
    <row r="58" spans="1:26" x14ac:dyDescent="0.3">
      <c r="A58">
        <v>56</v>
      </c>
      <c r="B58">
        <v>135</v>
      </c>
      <c r="C58" t="s">
        <v>26</v>
      </c>
      <c r="D58">
        <v>9.9809000000000001</v>
      </c>
      <c r="E58">
        <v>10.02</v>
      </c>
      <c r="F58">
        <v>6.81</v>
      </c>
      <c r="G58">
        <v>58.39</v>
      </c>
      <c r="H58">
        <v>0.92</v>
      </c>
      <c r="I58">
        <v>7</v>
      </c>
      <c r="J58">
        <v>290.61</v>
      </c>
      <c r="K58">
        <v>59.89</v>
      </c>
      <c r="L58">
        <v>15</v>
      </c>
      <c r="M58">
        <v>5</v>
      </c>
      <c r="N58">
        <v>80.73</v>
      </c>
      <c r="O58">
        <v>36076.5</v>
      </c>
      <c r="P58">
        <v>111.46</v>
      </c>
      <c r="Q58">
        <v>204.14</v>
      </c>
      <c r="R58">
        <v>25.62</v>
      </c>
      <c r="S58">
        <v>17.37</v>
      </c>
      <c r="T58">
        <v>2016.57</v>
      </c>
      <c r="U58">
        <v>0.68</v>
      </c>
      <c r="V58">
        <v>0.75</v>
      </c>
      <c r="W58">
        <v>1.1499999999999999</v>
      </c>
      <c r="X58">
        <v>0.12</v>
      </c>
      <c r="Y58">
        <v>1</v>
      </c>
      <c r="Z58">
        <v>10</v>
      </c>
    </row>
    <row r="59" spans="1:26" x14ac:dyDescent="0.3">
      <c r="A59">
        <v>57</v>
      </c>
      <c r="B59">
        <v>135</v>
      </c>
      <c r="C59" t="s">
        <v>26</v>
      </c>
      <c r="D59">
        <v>9.9810999999999996</v>
      </c>
      <c r="E59">
        <v>10.02</v>
      </c>
      <c r="F59">
        <v>6.81</v>
      </c>
      <c r="G59">
        <v>58.39</v>
      </c>
      <c r="H59">
        <v>0.93</v>
      </c>
      <c r="I59">
        <v>7</v>
      </c>
      <c r="J59">
        <v>291.12</v>
      </c>
      <c r="K59">
        <v>59.89</v>
      </c>
      <c r="L59">
        <v>15.25</v>
      </c>
      <c r="M59">
        <v>5</v>
      </c>
      <c r="N59">
        <v>80.989999999999995</v>
      </c>
      <c r="O59">
        <v>36139.39</v>
      </c>
      <c r="P59">
        <v>111.31</v>
      </c>
      <c r="Q59">
        <v>204.14</v>
      </c>
      <c r="R59">
        <v>25.74</v>
      </c>
      <c r="S59">
        <v>17.37</v>
      </c>
      <c r="T59">
        <v>2077.3000000000002</v>
      </c>
      <c r="U59">
        <v>0.67</v>
      </c>
      <c r="V59">
        <v>0.75</v>
      </c>
      <c r="W59">
        <v>1.1399999999999999</v>
      </c>
      <c r="X59">
        <v>0.12</v>
      </c>
      <c r="Y59">
        <v>1</v>
      </c>
      <c r="Z59">
        <v>10</v>
      </c>
    </row>
    <row r="60" spans="1:26" x14ac:dyDescent="0.3">
      <c r="A60">
        <v>58</v>
      </c>
      <c r="B60">
        <v>135</v>
      </c>
      <c r="C60" t="s">
        <v>26</v>
      </c>
      <c r="D60">
        <v>9.9809000000000001</v>
      </c>
      <c r="E60">
        <v>10.02</v>
      </c>
      <c r="F60">
        <v>6.81</v>
      </c>
      <c r="G60">
        <v>58.39</v>
      </c>
      <c r="H60">
        <v>0.95</v>
      </c>
      <c r="I60">
        <v>7</v>
      </c>
      <c r="J60">
        <v>291.63</v>
      </c>
      <c r="K60">
        <v>59.89</v>
      </c>
      <c r="L60">
        <v>15.5</v>
      </c>
      <c r="M60">
        <v>5</v>
      </c>
      <c r="N60">
        <v>81.25</v>
      </c>
      <c r="O60">
        <v>36202.379999999997</v>
      </c>
      <c r="P60">
        <v>111.16</v>
      </c>
      <c r="Q60">
        <v>204.14</v>
      </c>
      <c r="R60">
        <v>25.66</v>
      </c>
      <c r="S60">
        <v>17.37</v>
      </c>
      <c r="T60">
        <v>2038.69</v>
      </c>
      <c r="U60">
        <v>0.68</v>
      </c>
      <c r="V60">
        <v>0.75</v>
      </c>
      <c r="W60">
        <v>1.1499999999999999</v>
      </c>
      <c r="X60">
        <v>0.12</v>
      </c>
      <c r="Y60">
        <v>1</v>
      </c>
      <c r="Z60">
        <v>10</v>
      </c>
    </row>
    <row r="61" spans="1:26" x14ac:dyDescent="0.3">
      <c r="A61">
        <v>59</v>
      </c>
      <c r="B61">
        <v>135</v>
      </c>
      <c r="C61" t="s">
        <v>26</v>
      </c>
      <c r="D61">
        <v>9.9894999999999996</v>
      </c>
      <c r="E61">
        <v>10.01</v>
      </c>
      <c r="F61">
        <v>6.8</v>
      </c>
      <c r="G61">
        <v>58.32</v>
      </c>
      <c r="H61">
        <v>0.96</v>
      </c>
      <c r="I61">
        <v>7</v>
      </c>
      <c r="J61">
        <v>292.14999999999998</v>
      </c>
      <c r="K61">
        <v>59.89</v>
      </c>
      <c r="L61">
        <v>15.75</v>
      </c>
      <c r="M61">
        <v>5</v>
      </c>
      <c r="N61">
        <v>81.510000000000005</v>
      </c>
      <c r="O61">
        <v>36265.480000000003</v>
      </c>
      <c r="P61">
        <v>110.78</v>
      </c>
      <c r="Q61">
        <v>204.14</v>
      </c>
      <c r="R61">
        <v>25.41</v>
      </c>
      <c r="S61">
        <v>17.37</v>
      </c>
      <c r="T61">
        <v>1914.13</v>
      </c>
      <c r="U61">
        <v>0.68</v>
      </c>
      <c r="V61">
        <v>0.75</v>
      </c>
      <c r="W61">
        <v>1.1399999999999999</v>
      </c>
      <c r="X61">
        <v>0.11</v>
      </c>
      <c r="Y61">
        <v>1</v>
      </c>
      <c r="Z61">
        <v>10</v>
      </c>
    </row>
    <row r="62" spans="1:26" x14ac:dyDescent="0.3">
      <c r="A62">
        <v>60</v>
      </c>
      <c r="B62">
        <v>135</v>
      </c>
      <c r="C62" t="s">
        <v>26</v>
      </c>
      <c r="D62">
        <v>10.057600000000001</v>
      </c>
      <c r="E62">
        <v>9.94</v>
      </c>
      <c r="F62">
        <v>6.79</v>
      </c>
      <c r="G62">
        <v>67.86</v>
      </c>
      <c r="H62">
        <v>0.97</v>
      </c>
      <c r="I62">
        <v>6</v>
      </c>
      <c r="J62">
        <v>292.66000000000003</v>
      </c>
      <c r="K62">
        <v>59.89</v>
      </c>
      <c r="L62">
        <v>16</v>
      </c>
      <c r="M62">
        <v>4</v>
      </c>
      <c r="N62">
        <v>81.77</v>
      </c>
      <c r="O62">
        <v>36328.69</v>
      </c>
      <c r="P62">
        <v>110.45</v>
      </c>
      <c r="Q62">
        <v>204.14</v>
      </c>
      <c r="R62">
        <v>24.72</v>
      </c>
      <c r="S62">
        <v>17.37</v>
      </c>
      <c r="T62">
        <v>1570.85</v>
      </c>
      <c r="U62">
        <v>0.7</v>
      </c>
      <c r="V62">
        <v>0.75</v>
      </c>
      <c r="W62">
        <v>1.1499999999999999</v>
      </c>
      <c r="X62">
        <v>0.1</v>
      </c>
      <c r="Y62">
        <v>1</v>
      </c>
      <c r="Z62">
        <v>10</v>
      </c>
    </row>
    <row r="63" spans="1:26" x14ac:dyDescent="0.3">
      <c r="A63">
        <v>61</v>
      </c>
      <c r="B63">
        <v>135</v>
      </c>
      <c r="C63" t="s">
        <v>26</v>
      </c>
      <c r="D63">
        <v>10.0547</v>
      </c>
      <c r="E63">
        <v>9.9499999999999993</v>
      </c>
      <c r="F63">
        <v>6.79</v>
      </c>
      <c r="G63">
        <v>67.89</v>
      </c>
      <c r="H63">
        <v>0.99</v>
      </c>
      <c r="I63">
        <v>6</v>
      </c>
      <c r="J63">
        <v>293.17</v>
      </c>
      <c r="K63">
        <v>59.89</v>
      </c>
      <c r="L63">
        <v>16.25</v>
      </c>
      <c r="M63">
        <v>4</v>
      </c>
      <c r="N63">
        <v>82.03</v>
      </c>
      <c r="O63">
        <v>36392.01</v>
      </c>
      <c r="P63">
        <v>110.58</v>
      </c>
      <c r="Q63">
        <v>204.14</v>
      </c>
      <c r="R63">
        <v>24.82</v>
      </c>
      <c r="S63">
        <v>17.37</v>
      </c>
      <c r="T63">
        <v>1620.42</v>
      </c>
      <c r="U63">
        <v>0.7</v>
      </c>
      <c r="V63">
        <v>0.75</v>
      </c>
      <c r="W63">
        <v>1.1499999999999999</v>
      </c>
      <c r="X63">
        <v>0.1</v>
      </c>
      <c r="Y63">
        <v>1</v>
      </c>
      <c r="Z63">
        <v>10</v>
      </c>
    </row>
    <row r="64" spans="1:26" x14ac:dyDescent="0.3">
      <c r="A64">
        <v>62</v>
      </c>
      <c r="B64">
        <v>135</v>
      </c>
      <c r="C64" t="s">
        <v>26</v>
      </c>
      <c r="D64">
        <v>10.056699999999999</v>
      </c>
      <c r="E64">
        <v>9.94</v>
      </c>
      <c r="F64">
        <v>6.79</v>
      </c>
      <c r="G64">
        <v>67.87</v>
      </c>
      <c r="H64">
        <v>1</v>
      </c>
      <c r="I64">
        <v>6</v>
      </c>
      <c r="J64">
        <v>293.69</v>
      </c>
      <c r="K64">
        <v>59.89</v>
      </c>
      <c r="L64">
        <v>16.5</v>
      </c>
      <c r="M64">
        <v>4</v>
      </c>
      <c r="N64">
        <v>82.3</v>
      </c>
      <c r="O64">
        <v>36455.440000000002</v>
      </c>
      <c r="P64">
        <v>110.57</v>
      </c>
      <c r="Q64">
        <v>204.14</v>
      </c>
      <c r="R64">
        <v>24.84</v>
      </c>
      <c r="S64">
        <v>17.37</v>
      </c>
      <c r="T64">
        <v>1631.74</v>
      </c>
      <c r="U64">
        <v>0.7</v>
      </c>
      <c r="V64">
        <v>0.75</v>
      </c>
      <c r="W64">
        <v>1.1499999999999999</v>
      </c>
      <c r="X64">
        <v>0.1</v>
      </c>
      <c r="Y64">
        <v>1</v>
      </c>
      <c r="Z64">
        <v>10</v>
      </c>
    </row>
    <row r="65" spans="1:26" x14ac:dyDescent="0.3">
      <c r="A65">
        <v>63</v>
      </c>
      <c r="B65">
        <v>135</v>
      </c>
      <c r="C65" t="s">
        <v>26</v>
      </c>
      <c r="D65">
        <v>10.0578</v>
      </c>
      <c r="E65">
        <v>9.94</v>
      </c>
      <c r="F65">
        <v>6.79</v>
      </c>
      <c r="G65">
        <v>67.86</v>
      </c>
      <c r="H65">
        <v>1.01</v>
      </c>
      <c r="I65">
        <v>6</v>
      </c>
      <c r="J65">
        <v>294.2</v>
      </c>
      <c r="K65">
        <v>59.89</v>
      </c>
      <c r="L65">
        <v>16.75</v>
      </c>
      <c r="M65">
        <v>4</v>
      </c>
      <c r="N65">
        <v>82.56</v>
      </c>
      <c r="O65">
        <v>36518.97</v>
      </c>
      <c r="P65">
        <v>110.7</v>
      </c>
      <c r="Q65">
        <v>204.14</v>
      </c>
      <c r="R65">
        <v>24.84</v>
      </c>
      <c r="S65">
        <v>17.37</v>
      </c>
      <c r="T65">
        <v>1631</v>
      </c>
      <c r="U65">
        <v>0.7</v>
      </c>
      <c r="V65">
        <v>0.75</v>
      </c>
      <c r="W65">
        <v>1.1399999999999999</v>
      </c>
      <c r="X65">
        <v>0.1</v>
      </c>
      <c r="Y65">
        <v>1</v>
      </c>
      <c r="Z65">
        <v>10</v>
      </c>
    </row>
    <row r="66" spans="1:26" x14ac:dyDescent="0.3">
      <c r="A66">
        <v>64</v>
      </c>
      <c r="B66">
        <v>135</v>
      </c>
      <c r="C66" t="s">
        <v>26</v>
      </c>
      <c r="D66">
        <v>10.053100000000001</v>
      </c>
      <c r="E66">
        <v>9.9499999999999993</v>
      </c>
      <c r="F66">
        <v>6.79</v>
      </c>
      <c r="G66">
        <v>67.91</v>
      </c>
      <c r="H66">
        <v>1.03</v>
      </c>
      <c r="I66">
        <v>6</v>
      </c>
      <c r="J66">
        <v>294.72000000000003</v>
      </c>
      <c r="K66">
        <v>59.89</v>
      </c>
      <c r="L66">
        <v>17</v>
      </c>
      <c r="M66">
        <v>4</v>
      </c>
      <c r="N66">
        <v>82.83</v>
      </c>
      <c r="O66">
        <v>36582.620000000003</v>
      </c>
      <c r="P66">
        <v>110.82</v>
      </c>
      <c r="Q66">
        <v>204.14</v>
      </c>
      <c r="R66">
        <v>25.04</v>
      </c>
      <c r="S66">
        <v>17.37</v>
      </c>
      <c r="T66">
        <v>1734.41</v>
      </c>
      <c r="U66">
        <v>0.69</v>
      </c>
      <c r="V66">
        <v>0.75</v>
      </c>
      <c r="W66">
        <v>1.1399999999999999</v>
      </c>
      <c r="X66">
        <v>0.1</v>
      </c>
      <c r="Y66">
        <v>1</v>
      </c>
      <c r="Z66">
        <v>10</v>
      </c>
    </row>
    <row r="67" spans="1:26" x14ac:dyDescent="0.3">
      <c r="A67">
        <v>65</v>
      </c>
      <c r="B67">
        <v>135</v>
      </c>
      <c r="C67" t="s">
        <v>26</v>
      </c>
      <c r="D67">
        <v>10.058400000000001</v>
      </c>
      <c r="E67">
        <v>9.94</v>
      </c>
      <c r="F67">
        <v>6.79</v>
      </c>
      <c r="G67">
        <v>67.86</v>
      </c>
      <c r="H67">
        <v>1.04</v>
      </c>
      <c r="I67">
        <v>6</v>
      </c>
      <c r="J67">
        <v>295.23</v>
      </c>
      <c r="K67">
        <v>59.89</v>
      </c>
      <c r="L67">
        <v>17.25</v>
      </c>
      <c r="M67">
        <v>4</v>
      </c>
      <c r="N67">
        <v>83.1</v>
      </c>
      <c r="O67">
        <v>36646.379999999997</v>
      </c>
      <c r="P67">
        <v>110.72</v>
      </c>
      <c r="Q67">
        <v>204.14</v>
      </c>
      <c r="R67">
        <v>24.7</v>
      </c>
      <c r="S67">
        <v>17.37</v>
      </c>
      <c r="T67">
        <v>1561.96</v>
      </c>
      <c r="U67">
        <v>0.7</v>
      </c>
      <c r="V67">
        <v>0.75</v>
      </c>
      <c r="W67">
        <v>1.1499999999999999</v>
      </c>
      <c r="X67">
        <v>0.09</v>
      </c>
      <c r="Y67">
        <v>1</v>
      </c>
      <c r="Z67">
        <v>10</v>
      </c>
    </row>
    <row r="68" spans="1:26" x14ac:dyDescent="0.3">
      <c r="A68">
        <v>66</v>
      </c>
      <c r="B68">
        <v>135</v>
      </c>
      <c r="C68" t="s">
        <v>26</v>
      </c>
      <c r="D68">
        <v>10.0618</v>
      </c>
      <c r="E68">
        <v>9.94</v>
      </c>
      <c r="F68">
        <v>6.78</v>
      </c>
      <c r="G68">
        <v>67.819999999999993</v>
      </c>
      <c r="H68">
        <v>1.05</v>
      </c>
      <c r="I68">
        <v>6</v>
      </c>
      <c r="J68">
        <v>295.75</v>
      </c>
      <c r="K68">
        <v>59.89</v>
      </c>
      <c r="L68">
        <v>17.5</v>
      </c>
      <c r="M68">
        <v>4</v>
      </c>
      <c r="N68">
        <v>83.36</v>
      </c>
      <c r="O68">
        <v>36710.239999999998</v>
      </c>
      <c r="P68">
        <v>110.51</v>
      </c>
      <c r="Q68">
        <v>204.15</v>
      </c>
      <c r="R68">
        <v>24.6</v>
      </c>
      <c r="S68">
        <v>17.37</v>
      </c>
      <c r="T68">
        <v>1510.01</v>
      </c>
      <c r="U68">
        <v>0.71</v>
      </c>
      <c r="V68">
        <v>0.75</v>
      </c>
      <c r="W68">
        <v>1.1499999999999999</v>
      </c>
      <c r="X68">
        <v>0.09</v>
      </c>
      <c r="Y68">
        <v>1</v>
      </c>
      <c r="Z68">
        <v>10</v>
      </c>
    </row>
    <row r="69" spans="1:26" x14ac:dyDescent="0.3">
      <c r="A69">
        <v>67</v>
      </c>
      <c r="B69">
        <v>135</v>
      </c>
      <c r="C69" t="s">
        <v>26</v>
      </c>
      <c r="D69">
        <v>10.057</v>
      </c>
      <c r="E69">
        <v>9.94</v>
      </c>
      <c r="F69">
        <v>6.79</v>
      </c>
      <c r="G69">
        <v>67.87</v>
      </c>
      <c r="H69">
        <v>1.07</v>
      </c>
      <c r="I69">
        <v>6</v>
      </c>
      <c r="J69">
        <v>296.27</v>
      </c>
      <c r="K69">
        <v>59.89</v>
      </c>
      <c r="L69">
        <v>17.75</v>
      </c>
      <c r="M69">
        <v>4</v>
      </c>
      <c r="N69">
        <v>83.63</v>
      </c>
      <c r="O69">
        <v>36774.22</v>
      </c>
      <c r="P69">
        <v>110.48</v>
      </c>
      <c r="Q69">
        <v>204.16</v>
      </c>
      <c r="R69">
        <v>24.8</v>
      </c>
      <c r="S69">
        <v>17.37</v>
      </c>
      <c r="T69">
        <v>1614.72</v>
      </c>
      <c r="U69">
        <v>0.7</v>
      </c>
      <c r="V69">
        <v>0.75</v>
      </c>
      <c r="W69">
        <v>1.1499999999999999</v>
      </c>
      <c r="X69">
        <v>0.1</v>
      </c>
      <c r="Y69">
        <v>1</v>
      </c>
      <c r="Z69">
        <v>10</v>
      </c>
    </row>
    <row r="70" spans="1:26" x14ac:dyDescent="0.3">
      <c r="A70">
        <v>68</v>
      </c>
      <c r="B70">
        <v>135</v>
      </c>
      <c r="C70" t="s">
        <v>26</v>
      </c>
      <c r="D70">
        <v>10.0547</v>
      </c>
      <c r="E70">
        <v>9.9499999999999993</v>
      </c>
      <c r="F70">
        <v>6.79</v>
      </c>
      <c r="G70">
        <v>67.89</v>
      </c>
      <c r="H70">
        <v>1.08</v>
      </c>
      <c r="I70">
        <v>6</v>
      </c>
      <c r="J70">
        <v>296.79000000000002</v>
      </c>
      <c r="K70">
        <v>59.89</v>
      </c>
      <c r="L70">
        <v>18</v>
      </c>
      <c r="M70">
        <v>4</v>
      </c>
      <c r="N70">
        <v>83.9</v>
      </c>
      <c r="O70">
        <v>36838.32</v>
      </c>
      <c r="P70">
        <v>110.4</v>
      </c>
      <c r="Q70">
        <v>204.14</v>
      </c>
      <c r="R70">
        <v>24.92</v>
      </c>
      <c r="S70">
        <v>17.37</v>
      </c>
      <c r="T70">
        <v>1674.77</v>
      </c>
      <c r="U70">
        <v>0.7</v>
      </c>
      <c r="V70">
        <v>0.75</v>
      </c>
      <c r="W70">
        <v>1.1399999999999999</v>
      </c>
      <c r="X70">
        <v>0.1</v>
      </c>
      <c r="Y70">
        <v>1</v>
      </c>
      <c r="Z70">
        <v>10</v>
      </c>
    </row>
    <row r="71" spans="1:26" x14ac:dyDescent="0.3">
      <c r="A71">
        <v>69</v>
      </c>
      <c r="B71">
        <v>135</v>
      </c>
      <c r="C71" t="s">
        <v>26</v>
      </c>
      <c r="D71">
        <v>10.0528</v>
      </c>
      <c r="E71">
        <v>9.9499999999999993</v>
      </c>
      <c r="F71">
        <v>6.79</v>
      </c>
      <c r="G71">
        <v>67.91</v>
      </c>
      <c r="H71">
        <v>1.0900000000000001</v>
      </c>
      <c r="I71">
        <v>6</v>
      </c>
      <c r="J71">
        <v>297.31</v>
      </c>
      <c r="K71">
        <v>59.89</v>
      </c>
      <c r="L71">
        <v>18.25</v>
      </c>
      <c r="M71">
        <v>4</v>
      </c>
      <c r="N71">
        <v>84.17</v>
      </c>
      <c r="O71">
        <v>36902.519999999997</v>
      </c>
      <c r="P71">
        <v>110.34</v>
      </c>
      <c r="Q71">
        <v>204.14</v>
      </c>
      <c r="R71">
        <v>25.02</v>
      </c>
      <c r="S71">
        <v>17.37</v>
      </c>
      <c r="T71">
        <v>1721.32</v>
      </c>
      <c r="U71">
        <v>0.69</v>
      </c>
      <c r="V71">
        <v>0.75</v>
      </c>
      <c r="W71">
        <v>1.1399999999999999</v>
      </c>
      <c r="X71">
        <v>0.1</v>
      </c>
      <c r="Y71">
        <v>1</v>
      </c>
      <c r="Z71">
        <v>10</v>
      </c>
    </row>
    <row r="72" spans="1:26" x14ac:dyDescent="0.3">
      <c r="A72">
        <v>70</v>
      </c>
      <c r="B72">
        <v>135</v>
      </c>
      <c r="C72" t="s">
        <v>26</v>
      </c>
      <c r="D72">
        <v>10.0556</v>
      </c>
      <c r="E72">
        <v>9.94</v>
      </c>
      <c r="F72">
        <v>6.79</v>
      </c>
      <c r="G72">
        <v>67.88</v>
      </c>
      <c r="H72">
        <v>1.1100000000000001</v>
      </c>
      <c r="I72">
        <v>6</v>
      </c>
      <c r="J72">
        <v>297.83</v>
      </c>
      <c r="K72">
        <v>59.89</v>
      </c>
      <c r="L72">
        <v>18.5</v>
      </c>
      <c r="M72">
        <v>4</v>
      </c>
      <c r="N72">
        <v>84.45</v>
      </c>
      <c r="O72">
        <v>36966.839999999997</v>
      </c>
      <c r="P72">
        <v>110.15</v>
      </c>
      <c r="Q72">
        <v>204.14</v>
      </c>
      <c r="R72">
        <v>24.85</v>
      </c>
      <c r="S72">
        <v>17.37</v>
      </c>
      <c r="T72">
        <v>1638.96</v>
      </c>
      <c r="U72">
        <v>0.7</v>
      </c>
      <c r="V72">
        <v>0.75</v>
      </c>
      <c r="W72">
        <v>1.1499999999999999</v>
      </c>
      <c r="X72">
        <v>0.1</v>
      </c>
      <c r="Y72">
        <v>1</v>
      </c>
      <c r="Z72">
        <v>10</v>
      </c>
    </row>
    <row r="73" spans="1:26" x14ac:dyDescent="0.3">
      <c r="A73">
        <v>71</v>
      </c>
      <c r="B73">
        <v>135</v>
      </c>
      <c r="C73" t="s">
        <v>26</v>
      </c>
      <c r="D73">
        <v>10.0573</v>
      </c>
      <c r="E73">
        <v>9.94</v>
      </c>
      <c r="F73">
        <v>6.79</v>
      </c>
      <c r="G73">
        <v>67.87</v>
      </c>
      <c r="H73">
        <v>1.1200000000000001</v>
      </c>
      <c r="I73">
        <v>6</v>
      </c>
      <c r="J73">
        <v>298.35000000000002</v>
      </c>
      <c r="K73">
        <v>59.89</v>
      </c>
      <c r="L73">
        <v>18.75</v>
      </c>
      <c r="M73">
        <v>4</v>
      </c>
      <c r="N73">
        <v>84.72</v>
      </c>
      <c r="O73">
        <v>37031.269999999997</v>
      </c>
      <c r="P73">
        <v>110.01</v>
      </c>
      <c r="Q73">
        <v>204.14</v>
      </c>
      <c r="R73">
        <v>24.86</v>
      </c>
      <c r="S73">
        <v>17.37</v>
      </c>
      <c r="T73">
        <v>1641.75</v>
      </c>
      <c r="U73">
        <v>0.7</v>
      </c>
      <c r="V73">
        <v>0.75</v>
      </c>
      <c r="W73">
        <v>1.1399999999999999</v>
      </c>
      <c r="X73">
        <v>0.1</v>
      </c>
      <c r="Y73">
        <v>1</v>
      </c>
      <c r="Z73">
        <v>10</v>
      </c>
    </row>
    <row r="74" spans="1:26" x14ac:dyDescent="0.3">
      <c r="A74">
        <v>72</v>
      </c>
      <c r="B74">
        <v>135</v>
      </c>
      <c r="C74" t="s">
        <v>26</v>
      </c>
      <c r="D74">
        <v>10.059200000000001</v>
      </c>
      <c r="E74">
        <v>9.94</v>
      </c>
      <c r="F74">
        <v>6.78</v>
      </c>
      <c r="G74">
        <v>67.849999999999994</v>
      </c>
      <c r="H74">
        <v>1.1299999999999999</v>
      </c>
      <c r="I74">
        <v>6</v>
      </c>
      <c r="J74">
        <v>298.88</v>
      </c>
      <c r="K74">
        <v>59.89</v>
      </c>
      <c r="L74">
        <v>19</v>
      </c>
      <c r="M74">
        <v>4</v>
      </c>
      <c r="N74">
        <v>84.99</v>
      </c>
      <c r="O74">
        <v>37095.82</v>
      </c>
      <c r="P74">
        <v>109.99</v>
      </c>
      <c r="Q74">
        <v>204.15</v>
      </c>
      <c r="R74">
        <v>24.75</v>
      </c>
      <c r="S74">
        <v>17.37</v>
      </c>
      <c r="T74">
        <v>1589.56</v>
      </c>
      <c r="U74">
        <v>0.7</v>
      </c>
      <c r="V74">
        <v>0.75</v>
      </c>
      <c r="W74">
        <v>1.1399999999999999</v>
      </c>
      <c r="X74">
        <v>0.09</v>
      </c>
      <c r="Y74">
        <v>1</v>
      </c>
      <c r="Z74">
        <v>10</v>
      </c>
    </row>
    <row r="75" spans="1:26" x14ac:dyDescent="0.3">
      <c r="A75">
        <v>73</v>
      </c>
      <c r="B75">
        <v>135</v>
      </c>
      <c r="C75" t="s">
        <v>26</v>
      </c>
      <c r="D75">
        <v>10.0533</v>
      </c>
      <c r="E75">
        <v>9.9499999999999993</v>
      </c>
      <c r="F75">
        <v>6.79</v>
      </c>
      <c r="G75">
        <v>67.91</v>
      </c>
      <c r="H75">
        <v>1.1499999999999999</v>
      </c>
      <c r="I75">
        <v>6</v>
      </c>
      <c r="J75">
        <v>299.39999999999998</v>
      </c>
      <c r="K75">
        <v>59.89</v>
      </c>
      <c r="L75">
        <v>19.25</v>
      </c>
      <c r="M75">
        <v>4</v>
      </c>
      <c r="N75">
        <v>85.27</v>
      </c>
      <c r="O75">
        <v>37160.49</v>
      </c>
      <c r="P75">
        <v>109.87</v>
      </c>
      <c r="Q75">
        <v>204.14</v>
      </c>
      <c r="R75">
        <v>25.02</v>
      </c>
      <c r="S75">
        <v>17.37</v>
      </c>
      <c r="T75">
        <v>1720.02</v>
      </c>
      <c r="U75">
        <v>0.69</v>
      </c>
      <c r="V75">
        <v>0.75</v>
      </c>
      <c r="W75">
        <v>1.1399999999999999</v>
      </c>
      <c r="X75">
        <v>0.1</v>
      </c>
      <c r="Y75">
        <v>1</v>
      </c>
      <c r="Z75">
        <v>10</v>
      </c>
    </row>
    <row r="76" spans="1:26" x14ac:dyDescent="0.3">
      <c r="A76">
        <v>74</v>
      </c>
      <c r="B76">
        <v>135</v>
      </c>
      <c r="C76" t="s">
        <v>26</v>
      </c>
      <c r="D76">
        <v>10.0505</v>
      </c>
      <c r="E76">
        <v>9.9499999999999993</v>
      </c>
      <c r="F76">
        <v>6.79</v>
      </c>
      <c r="G76">
        <v>67.930000000000007</v>
      </c>
      <c r="H76">
        <v>1.1599999999999999</v>
      </c>
      <c r="I76">
        <v>6</v>
      </c>
      <c r="J76">
        <v>299.93</v>
      </c>
      <c r="K76">
        <v>59.89</v>
      </c>
      <c r="L76">
        <v>19.5</v>
      </c>
      <c r="M76">
        <v>4</v>
      </c>
      <c r="N76">
        <v>85.54</v>
      </c>
      <c r="O76">
        <v>37225.39</v>
      </c>
      <c r="P76">
        <v>109.5</v>
      </c>
      <c r="Q76">
        <v>204.14</v>
      </c>
      <c r="R76">
        <v>24.98</v>
      </c>
      <c r="S76">
        <v>17.37</v>
      </c>
      <c r="T76">
        <v>1700.49</v>
      </c>
      <c r="U76">
        <v>0.7</v>
      </c>
      <c r="V76">
        <v>0.75</v>
      </c>
      <c r="W76">
        <v>1.1499999999999999</v>
      </c>
      <c r="X76">
        <v>0.1</v>
      </c>
      <c r="Y76">
        <v>1</v>
      </c>
      <c r="Z76">
        <v>10</v>
      </c>
    </row>
    <row r="77" spans="1:26" x14ac:dyDescent="0.3">
      <c r="A77">
        <v>75</v>
      </c>
      <c r="B77">
        <v>135</v>
      </c>
      <c r="C77" t="s">
        <v>26</v>
      </c>
      <c r="D77">
        <v>10.124599999999999</v>
      </c>
      <c r="E77">
        <v>9.8800000000000008</v>
      </c>
      <c r="F77">
        <v>6.77</v>
      </c>
      <c r="G77">
        <v>81.25</v>
      </c>
      <c r="H77">
        <v>1.17</v>
      </c>
      <c r="I77">
        <v>5</v>
      </c>
      <c r="J77">
        <v>300.45</v>
      </c>
      <c r="K77">
        <v>59.89</v>
      </c>
      <c r="L77">
        <v>19.75</v>
      </c>
      <c r="M77">
        <v>3</v>
      </c>
      <c r="N77">
        <v>85.82</v>
      </c>
      <c r="O77">
        <v>37290.29</v>
      </c>
      <c r="P77">
        <v>109.19</v>
      </c>
      <c r="Q77">
        <v>204.14</v>
      </c>
      <c r="R77">
        <v>24.37</v>
      </c>
      <c r="S77">
        <v>17.37</v>
      </c>
      <c r="T77">
        <v>1400.08</v>
      </c>
      <c r="U77">
        <v>0.71</v>
      </c>
      <c r="V77">
        <v>0.75</v>
      </c>
      <c r="W77">
        <v>1.1399999999999999</v>
      </c>
      <c r="X77">
        <v>0.08</v>
      </c>
      <c r="Y77">
        <v>1</v>
      </c>
      <c r="Z77">
        <v>10</v>
      </c>
    </row>
    <row r="78" spans="1:26" x14ac:dyDescent="0.3">
      <c r="A78">
        <v>76</v>
      </c>
      <c r="B78">
        <v>135</v>
      </c>
      <c r="C78" t="s">
        <v>26</v>
      </c>
      <c r="D78">
        <v>10.122</v>
      </c>
      <c r="E78">
        <v>9.8800000000000008</v>
      </c>
      <c r="F78">
        <v>6.77</v>
      </c>
      <c r="G78">
        <v>81.28</v>
      </c>
      <c r="H78">
        <v>1.18</v>
      </c>
      <c r="I78">
        <v>5</v>
      </c>
      <c r="J78">
        <v>300.98</v>
      </c>
      <c r="K78">
        <v>59.89</v>
      </c>
      <c r="L78">
        <v>20</v>
      </c>
      <c r="M78">
        <v>3</v>
      </c>
      <c r="N78">
        <v>86.09</v>
      </c>
      <c r="O78">
        <v>37355.31</v>
      </c>
      <c r="P78">
        <v>109.48</v>
      </c>
      <c r="Q78">
        <v>204.14</v>
      </c>
      <c r="R78">
        <v>24.47</v>
      </c>
      <c r="S78">
        <v>17.37</v>
      </c>
      <c r="T78">
        <v>1453.24</v>
      </c>
      <c r="U78">
        <v>0.71</v>
      </c>
      <c r="V78">
        <v>0.75</v>
      </c>
      <c r="W78">
        <v>1.1399999999999999</v>
      </c>
      <c r="X78">
        <v>0.08</v>
      </c>
      <c r="Y78">
        <v>1</v>
      </c>
      <c r="Z78">
        <v>10</v>
      </c>
    </row>
    <row r="79" spans="1:26" x14ac:dyDescent="0.3">
      <c r="A79">
        <v>77</v>
      </c>
      <c r="B79">
        <v>135</v>
      </c>
      <c r="C79" t="s">
        <v>26</v>
      </c>
      <c r="D79">
        <v>10.1198</v>
      </c>
      <c r="E79">
        <v>9.8800000000000008</v>
      </c>
      <c r="F79">
        <v>6.78</v>
      </c>
      <c r="G79">
        <v>81.31</v>
      </c>
      <c r="H79">
        <v>1.2</v>
      </c>
      <c r="I79">
        <v>5</v>
      </c>
      <c r="J79">
        <v>301.51</v>
      </c>
      <c r="K79">
        <v>59.89</v>
      </c>
      <c r="L79">
        <v>20.25</v>
      </c>
      <c r="M79">
        <v>3</v>
      </c>
      <c r="N79">
        <v>86.37</v>
      </c>
      <c r="O79">
        <v>37420.44</v>
      </c>
      <c r="P79">
        <v>109.72</v>
      </c>
      <c r="Q79">
        <v>204.14</v>
      </c>
      <c r="R79">
        <v>24.53</v>
      </c>
      <c r="S79">
        <v>17.37</v>
      </c>
      <c r="T79">
        <v>1483.88</v>
      </c>
      <c r="U79">
        <v>0.71</v>
      </c>
      <c r="V79">
        <v>0.75</v>
      </c>
      <c r="W79">
        <v>1.1399999999999999</v>
      </c>
      <c r="X79">
        <v>0.08</v>
      </c>
      <c r="Y79">
        <v>1</v>
      </c>
      <c r="Z79">
        <v>10</v>
      </c>
    </row>
    <row r="80" spans="1:26" x14ac:dyDescent="0.3">
      <c r="A80">
        <v>78</v>
      </c>
      <c r="B80">
        <v>135</v>
      </c>
      <c r="C80" t="s">
        <v>26</v>
      </c>
      <c r="D80">
        <v>10.125400000000001</v>
      </c>
      <c r="E80">
        <v>9.8800000000000008</v>
      </c>
      <c r="F80">
        <v>6.77</v>
      </c>
      <c r="G80">
        <v>81.239999999999995</v>
      </c>
      <c r="H80">
        <v>1.21</v>
      </c>
      <c r="I80">
        <v>5</v>
      </c>
      <c r="J80">
        <v>302.04000000000002</v>
      </c>
      <c r="K80">
        <v>59.89</v>
      </c>
      <c r="L80">
        <v>20.5</v>
      </c>
      <c r="M80">
        <v>3</v>
      </c>
      <c r="N80">
        <v>86.65</v>
      </c>
      <c r="O80">
        <v>37485.699999999997</v>
      </c>
      <c r="P80">
        <v>109.69</v>
      </c>
      <c r="Q80">
        <v>204.14</v>
      </c>
      <c r="R80">
        <v>24.31</v>
      </c>
      <c r="S80">
        <v>17.37</v>
      </c>
      <c r="T80">
        <v>1372.62</v>
      </c>
      <c r="U80">
        <v>0.71</v>
      </c>
      <c r="V80">
        <v>0.75</v>
      </c>
      <c r="W80">
        <v>1.1399999999999999</v>
      </c>
      <c r="X80">
        <v>0.08</v>
      </c>
      <c r="Y80">
        <v>1</v>
      </c>
      <c r="Z80">
        <v>10</v>
      </c>
    </row>
    <row r="81" spans="1:26" x14ac:dyDescent="0.3">
      <c r="A81">
        <v>79</v>
      </c>
      <c r="B81">
        <v>135</v>
      </c>
      <c r="C81" t="s">
        <v>26</v>
      </c>
      <c r="D81">
        <v>10.121499999999999</v>
      </c>
      <c r="E81">
        <v>9.8800000000000008</v>
      </c>
      <c r="F81">
        <v>6.77</v>
      </c>
      <c r="G81">
        <v>81.290000000000006</v>
      </c>
      <c r="H81">
        <v>1.22</v>
      </c>
      <c r="I81">
        <v>5</v>
      </c>
      <c r="J81">
        <v>302.57</v>
      </c>
      <c r="K81">
        <v>59.89</v>
      </c>
      <c r="L81">
        <v>20.75</v>
      </c>
      <c r="M81">
        <v>3</v>
      </c>
      <c r="N81">
        <v>86.93</v>
      </c>
      <c r="O81">
        <v>37551.07</v>
      </c>
      <c r="P81">
        <v>109.9</v>
      </c>
      <c r="Q81">
        <v>204.14</v>
      </c>
      <c r="R81">
        <v>24.38</v>
      </c>
      <c r="S81">
        <v>17.37</v>
      </c>
      <c r="T81">
        <v>1406.09</v>
      </c>
      <c r="U81">
        <v>0.71</v>
      </c>
      <c r="V81">
        <v>0.75</v>
      </c>
      <c r="W81">
        <v>1.1499999999999999</v>
      </c>
      <c r="X81">
        <v>0.08</v>
      </c>
      <c r="Y81">
        <v>1</v>
      </c>
      <c r="Z81">
        <v>10</v>
      </c>
    </row>
    <row r="82" spans="1:26" x14ac:dyDescent="0.3">
      <c r="A82">
        <v>80</v>
      </c>
      <c r="B82">
        <v>135</v>
      </c>
      <c r="C82" t="s">
        <v>26</v>
      </c>
      <c r="D82">
        <v>10.122299999999999</v>
      </c>
      <c r="E82">
        <v>9.8800000000000008</v>
      </c>
      <c r="F82">
        <v>6.77</v>
      </c>
      <c r="G82">
        <v>81.28</v>
      </c>
      <c r="H82">
        <v>1.23</v>
      </c>
      <c r="I82">
        <v>5</v>
      </c>
      <c r="J82">
        <v>303.10000000000002</v>
      </c>
      <c r="K82">
        <v>59.89</v>
      </c>
      <c r="L82">
        <v>21</v>
      </c>
      <c r="M82">
        <v>3</v>
      </c>
      <c r="N82">
        <v>87.21</v>
      </c>
      <c r="O82">
        <v>37616.559999999998</v>
      </c>
      <c r="P82">
        <v>109.84</v>
      </c>
      <c r="Q82">
        <v>204.14</v>
      </c>
      <c r="R82">
        <v>24.45</v>
      </c>
      <c r="S82">
        <v>17.37</v>
      </c>
      <c r="T82">
        <v>1443.47</v>
      </c>
      <c r="U82">
        <v>0.71</v>
      </c>
      <c r="V82">
        <v>0.75</v>
      </c>
      <c r="W82">
        <v>1.1399999999999999</v>
      </c>
      <c r="X82">
        <v>0.08</v>
      </c>
      <c r="Y82">
        <v>1</v>
      </c>
      <c r="Z82">
        <v>10</v>
      </c>
    </row>
    <row r="83" spans="1:26" x14ac:dyDescent="0.3">
      <c r="A83">
        <v>81</v>
      </c>
      <c r="B83">
        <v>135</v>
      </c>
      <c r="C83" t="s">
        <v>26</v>
      </c>
      <c r="D83">
        <v>10.122299999999999</v>
      </c>
      <c r="E83">
        <v>9.8800000000000008</v>
      </c>
      <c r="F83">
        <v>6.77</v>
      </c>
      <c r="G83">
        <v>81.28</v>
      </c>
      <c r="H83">
        <v>1.25</v>
      </c>
      <c r="I83">
        <v>5</v>
      </c>
      <c r="J83">
        <v>303.63</v>
      </c>
      <c r="K83">
        <v>59.89</v>
      </c>
      <c r="L83">
        <v>21.25</v>
      </c>
      <c r="M83">
        <v>3</v>
      </c>
      <c r="N83">
        <v>87.49</v>
      </c>
      <c r="O83">
        <v>37682.17</v>
      </c>
      <c r="P83">
        <v>109.78</v>
      </c>
      <c r="Q83">
        <v>204.14</v>
      </c>
      <c r="R83">
        <v>24.36</v>
      </c>
      <c r="S83">
        <v>17.37</v>
      </c>
      <c r="T83">
        <v>1397.64</v>
      </c>
      <c r="U83">
        <v>0.71</v>
      </c>
      <c r="V83">
        <v>0.75</v>
      </c>
      <c r="W83">
        <v>1.1499999999999999</v>
      </c>
      <c r="X83">
        <v>0.08</v>
      </c>
      <c r="Y83">
        <v>1</v>
      </c>
      <c r="Z83">
        <v>10</v>
      </c>
    </row>
    <row r="84" spans="1:26" x14ac:dyDescent="0.3">
      <c r="A84">
        <v>82</v>
      </c>
      <c r="B84">
        <v>135</v>
      </c>
      <c r="C84" t="s">
        <v>26</v>
      </c>
      <c r="D84">
        <v>10.119999999999999</v>
      </c>
      <c r="E84">
        <v>9.8800000000000008</v>
      </c>
      <c r="F84">
        <v>6.78</v>
      </c>
      <c r="G84">
        <v>81.31</v>
      </c>
      <c r="H84">
        <v>1.26</v>
      </c>
      <c r="I84">
        <v>5</v>
      </c>
      <c r="J84">
        <v>304.16000000000003</v>
      </c>
      <c r="K84">
        <v>59.89</v>
      </c>
      <c r="L84">
        <v>21.5</v>
      </c>
      <c r="M84">
        <v>3</v>
      </c>
      <c r="N84">
        <v>87.78</v>
      </c>
      <c r="O84">
        <v>37747.910000000003</v>
      </c>
      <c r="P84">
        <v>109.83</v>
      </c>
      <c r="Q84">
        <v>204.15</v>
      </c>
      <c r="R84">
        <v>24.51</v>
      </c>
      <c r="S84">
        <v>17.37</v>
      </c>
      <c r="T84">
        <v>1470.45</v>
      </c>
      <c r="U84">
        <v>0.71</v>
      </c>
      <c r="V84">
        <v>0.75</v>
      </c>
      <c r="W84">
        <v>1.1399999999999999</v>
      </c>
      <c r="X84">
        <v>0.08</v>
      </c>
      <c r="Y84">
        <v>1</v>
      </c>
      <c r="Z84">
        <v>10</v>
      </c>
    </row>
    <row r="85" spans="1:26" x14ac:dyDescent="0.3">
      <c r="A85">
        <v>83</v>
      </c>
      <c r="B85">
        <v>135</v>
      </c>
      <c r="C85" t="s">
        <v>26</v>
      </c>
      <c r="D85">
        <v>10.1198</v>
      </c>
      <c r="E85">
        <v>9.8800000000000008</v>
      </c>
      <c r="F85">
        <v>6.78</v>
      </c>
      <c r="G85">
        <v>81.31</v>
      </c>
      <c r="H85">
        <v>1.27</v>
      </c>
      <c r="I85">
        <v>5</v>
      </c>
      <c r="J85">
        <v>304.7</v>
      </c>
      <c r="K85">
        <v>59.89</v>
      </c>
      <c r="L85">
        <v>21.75</v>
      </c>
      <c r="M85">
        <v>3</v>
      </c>
      <c r="N85">
        <v>88.06</v>
      </c>
      <c r="O85">
        <v>37813.760000000002</v>
      </c>
      <c r="P85">
        <v>109.83</v>
      </c>
      <c r="Q85">
        <v>204.14</v>
      </c>
      <c r="R85">
        <v>24.54</v>
      </c>
      <c r="S85">
        <v>17.37</v>
      </c>
      <c r="T85">
        <v>1485.46</v>
      </c>
      <c r="U85">
        <v>0.71</v>
      </c>
      <c r="V85">
        <v>0.75</v>
      </c>
      <c r="W85">
        <v>1.1399999999999999</v>
      </c>
      <c r="X85">
        <v>0.08</v>
      </c>
      <c r="Y85">
        <v>1</v>
      </c>
      <c r="Z85">
        <v>10</v>
      </c>
    </row>
    <row r="86" spans="1:26" x14ac:dyDescent="0.3">
      <c r="A86">
        <v>84</v>
      </c>
      <c r="B86">
        <v>135</v>
      </c>
      <c r="C86" t="s">
        <v>26</v>
      </c>
      <c r="D86">
        <v>10.122299999999999</v>
      </c>
      <c r="E86">
        <v>9.8800000000000008</v>
      </c>
      <c r="F86">
        <v>6.77</v>
      </c>
      <c r="G86">
        <v>81.28</v>
      </c>
      <c r="H86">
        <v>1.28</v>
      </c>
      <c r="I86">
        <v>5</v>
      </c>
      <c r="J86">
        <v>305.23</v>
      </c>
      <c r="K86">
        <v>59.89</v>
      </c>
      <c r="L86">
        <v>22</v>
      </c>
      <c r="M86">
        <v>3</v>
      </c>
      <c r="N86">
        <v>88.35</v>
      </c>
      <c r="O86">
        <v>37879.74</v>
      </c>
      <c r="P86">
        <v>109.75</v>
      </c>
      <c r="Q86">
        <v>204.14</v>
      </c>
      <c r="R86">
        <v>24.45</v>
      </c>
      <c r="S86">
        <v>17.37</v>
      </c>
      <c r="T86">
        <v>1443.68</v>
      </c>
      <c r="U86">
        <v>0.71</v>
      </c>
      <c r="V86">
        <v>0.75</v>
      </c>
      <c r="W86">
        <v>1.1399999999999999</v>
      </c>
      <c r="X86">
        <v>0.08</v>
      </c>
      <c r="Y86">
        <v>1</v>
      </c>
      <c r="Z86">
        <v>10</v>
      </c>
    </row>
    <row r="87" spans="1:26" x14ac:dyDescent="0.3">
      <c r="A87">
        <v>85</v>
      </c>
      <c r="B87">
        <v>135</v>
      </c>
      <c r="C87" t="s">
        <v>26</v>
      </c>
      <c r="D87">
        <v>10.123699999999999</v>
      </c>
      <c r="E87">
        <v>9.8800000000000008</v>
      </c>
      <c r="F87">
        <v>6.77</v>
      </c>
      <c r="G87">
        <v>81.260000000000005</v>
      </c>
      <c r="H87">
        <v>1.3</v>
      </c>
      <c r="I87">
        <v>5</v>
      </c>
      <c r="J87">
        <v>305.77</v>
      </c>
      <c r="K87">
        <v>59.89</v>
      </c>
      <c r="L87">
        <v>22.25</v>
      </c>
      <c r="M87">
        <v>3</v>
      </c>
      <c r="N87">
        <v>88.63</v>
      </c>
      <c r="O87">
        <v>37945.85</v>
      </c>
      <c r="P87">
        <v>109.58</v>
      </c>
      <c r="Q87">
        <v>204.14</v>
      </c>
      <c r="R87">
        <v>24.46</v>
      </c>
      <c r="S87">
        <v>17.37</v>
      </c>
      <c r="T87">
        <v>1448.82</v>
      </c>
      <c r="U87">
        <v>0.71</v>
      </c>
      <c r="V87">
        <v>0.75</v>
      </c>
      <c r="W87">
        <v>1.1399999999999999</v>
      </c>
      <c r="X87">
        <v>0.08</v>
      </c>
      <c r="Y87">
        <v>1</v>
      </c>
      <c r="Z87">
        <v>10</v>
      </c>
    </row>
    <row r="88" spans="1:26" x14ac:dyDescent="0.3">
      <c r="A88">
        <v>86</v>
      </c>
      <c r="B88">
        <v>135</v>
      </c>
      <c r="C88" t="s">
        <v>26</v>
      </c>
      <c r="D88">
        <v>10.1229</v>
      </c>
      <c r="E88">
        <v>9.8800000000000008</v>
      </c>
      <c r="F88">
        <v>6.77</v>
      </c>
      <c r="G88">
        <v>81.27</v>
      </c>
      <c r="H88">
        <v>1.31</v>
      </c>
      <c r="I88">
        <v>5</v>
      </c>
      <c r="J88">
        <v>306.31</v>
      </c>
      <c r="K88">
        <v>59.89</v>
      </c>
      <c r="L88">
        <v>22.5</v>
      </c>
      <c r="M88">
        <v>3</v>
      </c>
      <c r="N88">
        <v>88.92</v>
      </c>
      <c r="O88">
        <v>38012.07</v>
      </c>
      <c r="P88">
        <v>109.58</v>
      </c>
      <c r="Q88">
        <v>204.14</v>
      </c>
      <c r="R88">
        <v>24.37</v>
      </c>
      <c r="S88">
        <v>17.37</v>
      </c>
      <c r="T88">
        <v>1404.58</v>
      </c>
      <c r="U88">
        <v>0.71</v>
      </c>
      <c r="V88">
        <v>0.75</v>
      </c>
      <c r="W88">
        <v>1.1399999999999999</v>
      </c>
      <c r="X88">
        <v>0.08</v>
      </c>
      <c r="Y88">
        <v>1</v>
      </c>
      <c r="Z88">
        <v>10</v>
      </c>
    </row>
    <row r="89" spans="1:26" x14ac:dyDescent="0.3">
      <c r="A89">
        <v>87</v>
      </c>
      <c r="B89">
        <v>135</v>
      </c>
      <c r="C89" t="s">
        <v>26</v>
      </c>
      <c r="D89">
        <v>10.1303</v>
      </c>
      <c r="E89">
        <v>9.8699999999999992</v>
      </c>
      <c r="F89">
        <v>6.77</v>
      </c>
      <c r="G89">
        <v>81.19</v>
      </c>
      <c r="H89">
        <v>1.32</v>
      </c>
      <c r="I89">
        <v>5</v>
      </c>
      <c r="J89">
        <v>306.83999999999997</v>
      </c>
      <c r="K89">
        <v>59.89</v>
      </c>
      <c r="L89">
        <v>22.75</v>
      </c>
      <c r="M89">
        <v>3</v>
      </c>
      <c r="N89">
        <v>89.21</v>
      </c>
      <c r="O89">
        <v>38078.42</v>
      </c>
      <c r="P89">
        <v>109.29</v>
      </c>
      <c r="Q89">
        <v>204.14</v>
      </c>
      <c r="R89">
        <v>24.14</v>
      </c>
      <c r="S89">
        <v>17.37</v>
      </c>
      <c r="T89">
        <v>1289.42</v>
      </c>
      <c r="U89">
        <v>0.72</v>
      </c>
      <c r="V89">
        <v>0.75</v>
      </c>
      <c r="W89">
        <v>1.1399999999999999</v>
      </c>
      <c r="X89">
        <v>7.0000000000000007E-2</v>
      </c>
      <c r="Y89">
        <v>1</v>
      </c>
      <c r="Z89">
        <v>10</v>
      </c>
    </row>
    <row r="90" spans="1:26" x14ac:dyDescent="0.3">
      <c r="A90">
        <v>88</v>
      </c>
      <c r="B90">
        <v>135</v>
      </c>
      <c r="C90" t="s">
        <v>26</v>
      </c>
      <c r="D90">
        <v>10.1309</v>
      </c>
      <c r="E90">
        <v>9.8699999999999992</v>
      </c>
      <c r="F90">
        <v>6.76</v>
      </c>
      <c r="G90">
        <v>81.180000000000007</v>
      </c>
      <c r="H90">
        <v>1.33</v>
      </c>
      <c r="I90">
        <v>5</v>
      </c>
      <c r="J90">
        <v>307.38</v>
      </c>
      <c r="K90">
        <v>59.89</v>
      </c>
      <c r="L90">
        <v>23</v>
      </c>
      <c r="M90">
        <v>3</v>
      </c>
      <c r="N90">
        <v>89.5</v>
      </c>
      <c r="O90">
        <v>38144.9</v>
      </c>
      <c r="P90">
        <v>109.05</v>
      </c>
      <c r="Q90">
        <v>204.14</v>
      </c>
      <c r="R90">
        <v>24.13</v>
      </c>
      <c r="S90">
        <v>17.37</v>
      </c>
      <c r="T90">
        <v>1281.33</v>
      </c>
      <c r="U90">
        <v>0.72</v>
      </c>
      <c r="V90">
        <v>0.75</v>
      </c>
      <c r="W90">
        <v>1.1399999999999999</v>
      </c>
      <c r="X90">
        <v>7.0000000000000007E-2</v>
      </c>
      <c r="Y90">
        <v>1</v>
      </c>
      <c r="Z90">
        <v>10</v>
      </c>
    </row>
    <row r="91" spans="1:26" x14ac:dyDescent="0.3">
      <c r="A91">
        <v>89</v>
      </c>
      <c r="B91">
        <v>135</v>
      </c>
      <c r="C91" t="s">
        <v>26</v>
      </c>
      <c r="D91">
        <v>10.135999999999999</v>
      </c>
      <c r="E91">
        <v>9.8699999999999992</v>
      </c>
      <c r="F91">
        <v>6.76</v>
      </c>
      <c r="G91">
        <v>81.12</v>
      </c>
      <c r="H91">
        <v>1.35</v>
      </c>
      <c r="I91">
        <v>5</v>
      </c>
      <c r="J91">
        <v>307.92</v>
      </c>
      <c r="K91">
        <v>59.89</v>
      </c>
      <c r="L91">
        <v>23.25</v>
      </c>
      <c r="M91">
        <v>3</v>
      </c>
      <c r="N91">
        <v>89.79</v>
      </c>
      <c r="O91">
        <v>38211.5</v>
      </c>
      <c r="P91">
        <v>108.76</v>
      </c>
      <c r="Q91">
        <v>204.14</v>
      </c>
      <c r="R91">
        <v>24.03</v>
      </c>
      <c r="S91">
        <v>17.37</v>
      </c>
      <c r="T91">
        <v>1231.96</v>
      </c>
      <c r="U91">
        <v>0.72</v>
      </c>
      <c r="V91">
        <v>0.76</v>
      </c>
      <c r="W91">
        <v>1.1399999999999999</v>
      </c>
      <c r="X91">
        <v>7.0000000000000007E-2</v>
      </c>
      <c r="Y91">
        <v>1</v>
      </c>
      <c r="Z91">
        <v>10</v>
      </c>
    </row>
    <row r="92" spans="1:26" x14ac:dyDescent="0.3">
      <c r="A92">
        <v>90</v>
      </c>
      <c r="B92">
        <v>135</v>
      </c>
      <c r="C92" t="s">
        <v>26</v>
      </c>
      <c r="D92">
        <v>10.133699999999999</v>
      </c>
      <c r="E92">
        <v>9.8699999999999992</v>
      </c>
      <c r="F92">
        <v>6.76</v>
      </c>
      <c r="G92">
        <v>81.150000000000006</v>
      </c>
      <c r="H92">
        <v>1.36</v>
      </c>
      <c r="I92">
        <v>5</v>
      </c>
      <c r="J92">
        <v>308.45999999999998</v>
      </c>
      <c r="K92">
        <v>59.89</v>
      </c>
      <c r="L92">
        <v>23.5</v>
      </c>
      <c r="M92">
        <v>3</v>
      </c>
      <c r="N92">
        <v>90.08</v>
      </c>
      <c r="O92">
        <v>38278.230000000003</v>
      </c>
      <c r="P92">
        <v>108.59</v>
      </c>
      <c r="Q92">
        <v>204.14</v>
      </c>
      <c r="R92">
        <v>24.03</v>
      </c>
      <c r="S92">
        <v>17.37</v>
      </c>
      <c r="T92">
        <v>1233.48</v>
      </c>
      <c r="U92">
        <v>0.72</v>
      </c>
      <c r="V92">
        <v>0.76</v>
      </c>
      <c r="W92">
        <v>1.1399999999999999</v>
      </c>
      <c r="X92">
        <v>7.0000000000000007E-2</v>
      </c>
      <c r="Y92">
        <v>1</v>
      </c>
      <c r="Z92">
        <v>10</v>
      </c>
    </row>
    <row r="93" spans="1:26" x14ac:dyDescent="0.3">
      <c r="A93">
        <v>91</v>
      </c>
      <c r="B93">
        <v>135</v>
      </c>
      <c r="C93" t="s">
        <v>26</v>
      </c>
      <c r="D93">
        <v>10.126899999999999</v>
      </c>
      <c r="E93">
        <v>9.8699999999999992</v>
      </c>
      <c r="F93">
        <v>6.77</v>
      </c>
      <c r="G93">
        <v>81.23</v>
      </c>
      <c r="H93">
        <v>1.37</v>
      </c>
      <c r="I93">
        <v>5</v>
      </c>
      <c r="J93">
        <v>309.01</v>
      </c>
      <c r="K93">
        <v>59.89</v>
      </c>
      <c r="L93">
        <v>23.75</v>
      </c>
      <c r="M93">
        <v>3</v>
      </c>
      <c r="N93">
        <v>90.37</v>
      </c>
      <c r="O93">
        <v>38345.089999999997</v>
      </c>
      <c r="P93">
        <v>108.41</v>
      </c>
      <c r="Q93">
        <v>204.16</v>
      </c>
      <c r="R93">
        <v>24.23</v>
      </c>
      <c r="S93">
        <v>17.37</v>
      </c>
      <c r="T93">
        <v>1333.77</v>
      </c>
      <c r="U93">
        <v>0.72</v>
      </c>
      <c r="V93">
        <v>0.75</v>
      </c>
      <c r="W93">
        <v>1.1399999999999999</v>
      </c>
      <c r="X93">
        <v>0.08</v>
      </c>
      <c r="Y93">
        <v>1</v>
      </c>
      <c r="Z93">
        <v>10</v>
      </c>
    </row>
    <row r="94" spans="1:26" x14ac:dyDescent="0.3">
      <c r="A94">
        <v>92</v>
      </c>
      <c r="B94">
        <v>135</v>
      </c>
      <c r="C94" t="s">
        <v>26</v>
      </c>
      <c r="D94">
        <v>10.1311</v>
      </c>
      <c r="E94">
        <v>9.8699999999999992</v>
      </c>
      <c r="F94">
        <v>6.76</v>
      </c>
      <c r="G94">
        <v>81.180000000000007</v>
      </c>
      <c r="H94">
        <v>1.38</v>
      </c>
      <c r="I94">
        <v>5</v>
      </c>
      <c r="J94">
        <v>309.55</v>
      </c>
      <c r="K94">
        <v>59.89</v>
      </c>
      <c r="L94">
        <v>24</v>
      </c>
      <c r="M94">
        <v>3</v>
      </c>
      <c r="N94">
        <v>90.66</v>
      </c>
      <c r="O94">
        <v>38412.07</v>
      </c>
      <c r="P94">
        <v>108.14</v>
      </c>
      <c r="Q94">
        <v>204.14</v>
      </c>
      <c r="R94">
        <v>24.14</v>
      </c>
      <c r="S94">
        <v>17.37</v>
      </c>
      <c r="T94">
        <v>1287.5999999999999</v>
      </c>
      <c r="U94">
        <v>0.72</v>
      </c>
      <c r="V94">
        <v>0.75</v>
      </c>
      <c r="W94">
        <v>1.1399999999999999</v>
      </c>
      <c r="X94">
        <v>7.0000000000000007E-2</v>
      </c>
      <c r="Y94">
        <v>1</v>
      </c>
      <c r="Z94">
        <v>10</v>
      </c>
    </row>
    <row r="95" spans="1:26" x14ac:dyDescent="0.3">
      <c r="A95">
        <v>93</v>
      </c>
      <c r="B95">
        <v>135</v>
      </c>
      <c r="C95" t="s">
        <v>26</v>
      </c>
      <c r="D95">
        <v>10.126899999999999</v>
      </c>
      <c r="E95">
        <v>9.8699999999999992</v>
      </c>
      <c r="F95">
        <v>6.77</v>
      </c>
      <c r="G95">
        <v>81.23</v>
      </c>
      <c r="H95">
        <v>1.39</v>
      </c>
      <c r="I95">
        <v>5</v>
      </c>
      <c r="J95">
        <v>310.08999999999997</v>
      </c>
      <c r="K95">
        <v>59.89</v>
      </c>
      <c r="L95">
        <v>24.25</v>
      </c>
      <c r="M95">
        <v>3</v>
      </c>
      <c r="N95">
        <v>90.96</v>
      </c>
      <c r="O95">
        <v>38479.19</v>
      </c>
      <c r="P95">
        <v>108.17</v>
      </c>
      <c r="Q95">
        <v>204.16</v>
      </c>
      <c r="R95">
        <v>24.28</v>
      </c>
      <c r="S95">
        <v>17.37</v>
      </c>
      <c r="T95">
        <v>1357.19</v>
      </c>
      <c r="U95">
        <v>0.72</v>
      </c>
      <c r="V95">
        <v>0.75</v>
      </c>
      <c r="W95">
        <v>1.1399999999999999</v>
      </c>
      <c r="X95">
        <v>0.08</v>
      </c>
      <c r="Y95">
        <v>1</v>
      </c>
      <c r="Z95">
        <v>10</v>
      </c>
    </row>
    <row r="96" spans="1:26" x14ac:dyDescent="0.3">
      <c r="A96">
        <v>94</v>
      </c>
      <c r="B96">
        <v>135</v>
      </c>
      <c r="C96" t="s">
        <v>26</v>
      </c>
      <c r="D96">
        <v>10.1252</v>
      </c>
      <c r="E96">
        <v>9.8800000000000008</v>
      </c>
      <c r="F96">
        <v>6.77</v>
      </c>
      <c r="G96">
        <v>81.25</v>
      </c>
      <c r="H96">
        <v>1.41</v>
      </c>
      <c r="I96">
        <v>5</v>
      </c>
      <c r="J96">
        <v>310.64</v>
      </c>
      <c r="K96">
        <v>59.89</v>
      </c>
      <c r="L96">
        <v>24.5</v>
      </c>
      <c r="M96">
        <v>3</v>
      </c>
      <c r="N96">
        <v>91.25</v>
      </c>
      <c r="O96">
        <v>38546.43</v>
      </c>
      <c r="P96">
        <v>108.16</v>
      </c>
      <c r="Q96">
        <v>204.14</v>
      </c>
      <c r="R96">
        <v>24.32</v>
      </c>
      <c r="S96">
        <v>17.37</v>
      </c>
      <c r="T96">
        <v>1376.49</v>
      </c>
      <c r="U96">
        <v>0.71</v>
      </c>
      <c r="V96">
        <v>0.75</v>
      </c>
      <c r="W96">
        <v>1.1399999999999999</v>
      </c>
      <c r="X96">
        <v>0.08</v>
      </c>
      <c r="Y96">
        <v>1</v>
      </c>
      <c r="Z96">
        <v>10</v>
      </c>
    </row>
    <row r="97" spans="1:26" x14ac:dyDescent="0.3">
      <c r="A97">
        <v>95</v>
      </c>
      <c r="B97">
        <v>135</v>
      </c>
      <c r="C97" t="s">
        <v>26</v>
      </c>
      <c r="D97">
        <v>10.121499999999999</v>
      </c>
      <c r="E97">
        <v>9.8800000000000008</v>
      </c>
      <c r="F97">
        <v>6.77</v>
      </c>
      <c r="G97">
        <v>81.290000000000006</v>
      </c>
      <c r="H97">
        <v>1.42</v>
      </c>
      <c r="I97">
        <v>5</v>
      </c>
      <c r="J97">
        <v>311.19</v>
      </c>
      <c r="K97">
        <v>59.89</v>
      </c>
      <c r="L97">
        <v>24.75</v>
      </c>
      <c r="M97">
        <v>3</v>
      </c>
      <c r="N97">
        <v>91.55</v>
      </c>
      <c r="O97">
        <v>38613.800000000003</v>
      </c>
      <c r="P97">
        <v>108.1</v>
      </c>
      <c r="Q97">
        <v>204.14</v>
      </c>
      <c r="R97">
        <v>24.42</v>
      </c>
      <c r="S97">
        <v>17.37</v>
      </c>
      <c r="T97">
        <v>1425.02</v>
      </c>
      <c r="U97">
        <v>0.71</v>
      </c>
      <c r="V97">
        <v>0.75</v>
      </c>
      <c r="W97">
        <v>1.1499999999999999</v>
      </c>
      <c r="X97">
        <v>0.08</v>
      </c>
      <c r="Y97">
        <v>1</v>
      </c>
      <c r="Z97">
        <v>10</v>
      </c>
    </row>
    <row r="98" spans="1:26" x14ac:dyDescent="0.3">
      <c r="A98">
        <v>96</v>
      </c>
      <c r="B98">
        <v>135</v>
      </c>
      <c r="C98" t="s">
        <v>26</v>
      </c>
      <c r="D98">
        <v>10.1272</v>
      </c>
      <c r="E98">
        <v>9.8699999999999992</v>
      </c>
      <c r="F98">
        <v>6.77</v>
      </c>
      <c r="G98">
        <v>81.22</v>
      </c>
      <c r="H98">
        <v>1.43</v>
      </c>
      <c r="I98">
        <v>5</v>
      </c>
      <c r="J98">
        <v>311.73</v>
      </c>
      <c r="K98">
        <v>59.89</v>
      </c>
      <c r="L98">
        <v>25</v>
      </c>
      <c r="M98">
        <v>3</v>
      </c>
      <c r="N98">
        <v>91.85</v>
      </c>
      <c r="O98">
        <v>38681.31</v>
      </c>
      <c r="P98">
        <v>107.83</v>
      </c>
      <c r="Q98">
        <v>204.14</v>
      </c>
      <c r="R98">
        <v>24.36</v>
      </c>
      <c r="S98">
        <v>17.37</v>
      </c>
      <c r="T98">
        <v>1395.36</v>
      </c>
      <c r="U98">
        <v>0.71</v>
      </c>
      <c r="V98">
        <v>0.75</v>
      </c>
      <c r="W98">
        <v>1.1399999999999999</v>
      </c>
      <c r="X98">
        <v>0.08</v>
      </c>
      <c r="Y98">
        <v>1</v>
      </c>
      <c r="Z98">
        <v>10</v>
      </c>
    </row>
    <row r="99" spans="1:26" x14ac:dyDescent="0.3">
      <c r="A99">
        <v>97</v>
      </c>
      <c r="B99">
        <v>135</v>
      </c>
      <c r="C99" t="s">
        <v>26</v>
      </c>
      <c r="D99">
        <v>10.129099999999999</v>
      </c>
      <c r="E99">
        <v>9.8699999999999992</v>
      </c>
      <c r="F99">
        <v>6.77</v>
      </c>
      <c r="G99">
        <v>81.2</v>
      </c>
      <c r="H99">
        <v>1.44</v>
      </c>
      <c r="I99">
        <v>5</v>
      </c>
      <c r="J99">
        <v>312.27999999999997</v>
      </c>
      <c r="K99">
        <v>59.89</v>
      </c>
      <c r="L99">
        <v>25.25</v>
      </c>
      <c r="M99">
        <v>3</v>
      </c>
      <c r="N99">
        <v>92.15</v>
      </c>
      <c r="O99">
        <v>38749.07</v>
      </c>
      <c r="P99">
        <v>107.53</v>
      </c>
      <c r="Q99">
        <v>204.14</v>
      </c>
      <c r="R99">
        <v>24.17</v>
      </c>
      <c r="S99">
        <v>17.37</v>
      </c>
      <c r="T99">
        <v>1301.3</v>
      </c>
      <c r="U99">
        <v>0.72</v>
      </c>
      <c r="V99">
        <v>0.75</v>
      </c>
      <c r="W99">
        <v>1.1399999999999999</v>
      </c>
      <c r="X99">
        <v>0.08</v>
      </c>
      <c r="Y99">
        <v>1</v>
      </c>
      <c r="Z99">
        <v>10</v>
      </c>
    </row>
    <row r="100" spans="1:26" x14ac:dyDescent="0.3">
      <c r="A100">
        <v>98</v>
      </c>
      <c r="B100">
        <v>135</v>
      </c>
      <c r="C100" t="s">
        <v>26</v>
      </c>
      <c r="D100">
        <v>10.206099999999999</v>
      </c>
      <c r="E100">
        <v>9.8000000000000007</v>
      </c>
      <c r="F100">
        <v>6.74</v>
      </c>
      <c r="G100">
        <v>101.14</v>
      </c>
      <c r="H100">
        <v>1.45</v>
      </c>
      <c r="I100">
        <v>4</v>
      </c>
      <c r="J100">
        <v>312.83</v>
      </c>
      <c r="K100">
        <v>59.89</v>
      </c>
      <c r="L100">
        <v>25.5</v>
      </c>
      <c r="M100">
        <v>2</v>
      </c>
      <c r="N100">
        <v>92.44</v>
      </c>
      <c r="O100">
        <v>38816.85</v>
      </c>
      <c r="P100">
        <v>106.84</v>
      </c>
      <c r="Q100">
        <v>204.14</v>
      </c>
      <c r="R100">
        <v>23.47</v>
      </c>
      <c r="S100">
        <v>17.37</v>
      </c>
      <c r="T100">
        <v>955.13</v>
      </c>
      <c r="U100">
        <v>0.74</v>
      </c>
      <c r="V100">
        <v>0.76</v>
      </c>
      <c r="W100">
        <v>1.1399999999999999</v>
      </c>
      <c r="X100">
        <v>0.05</v>
      </c>
      <c r="Y100">
        <v>1</v>
      </c>
      <c r="Z100">
        <v>10</v>
      </c>
    </row>
    <row r="101" spans="1:26" x14ac:dyDescent="0.3">
      <c r="A101">
        <v>99</v>
      </c>
      <c r="B101">
        <v>135</v>
      </c>
      <c r="C101" t="s">
        <v>26</v>
      </c>
      <c r="D101">
        <v>10.206099999999999</v>
      </c>
      <c r="E101">
        <v>9.8000000000000007</v>
      </c>
      <c r="F101">
        <v>6.74</v>
      </c>
      <c r="G101">
        <v>101.14</v>
      </c>
      <c r="H101">
        <v>1.46</v>
      </c>
      <c r="I101">
        <v>4</v>
      </c>
      <c r="J101">
        <v>313.38</v>
      </c>
      <c r="K101">
        <v>59.89</v>
      </c>
      <c r="L101">
        <v>25.75</v>
      </c>
      <c r="M101">
        <v>2</v>
      </c>
      <c r="N101">
        <v>92.75</v>
      </c>
      <c r="O101">
        <v>38884.75</v>
      </c>
      <c r="P101">
        <v>106.85</v>
      </c>
      <c r="Q101">
        <v>204.14</v>
      </c>
      <c r="R101">
        <v>23.44</v>
      </c>
      <c r="S101">
        <v>17.37</v>
      </c>
      <c r="T101">
        <v>944.83</v>
      </c>
      <c r="U101">
        <v>0.74</v>
      </c>
      <c r="V101">
        <v>0.76</v>
      </c>
      <c r="W101">
        <v>1.1399999999999999</v>
      </c>
      <c r="X101">
        <v>0.05</v>
      </c>
      <c r="Y101">
        <v>1</v>
      </c>
      <c r="Z101">
        <v>10</v>
      </c>
    </row>
    <row r="102" spans="1:26" x14ac:dyDescent="0.3">
      <c r="A102">
        <v>100</v>
      </c>
      <c r="B102">
        <v>135</v>
      </c>
      <c r="C102" t="s">
        <v>26</v>
      </c>
      <c r="D102">
        <v>10.201499999999999</v>
      </c>
      <c r="E102">
        <v>9.8000000000000007</v>
      </c>
      <c r="F102">
        <v>6.75</v>
      </c>
      <c r="G102">
        <v>101.21</v>
      </c>
      <c r="H102">
        <v>1.48</v>
      </c>
      <c r="I102">
        <v>4</v>
      </c>
      <c r="J102">
        <v>313.93</v>
      </c>
      <c r="K102">
        <v>59.89</v>
      </c>
      <c r="L102">
        <v>26</v>
      </c>
      <c r="M102">
        <v>2</v>
      </c>
      <c r="N102">
        <v>93.05</v>
      </c>
      <c r="O102">
        <v>38952.800000000003</v>
      </c>
      <c r="P102">
        <v>107.09</v>
      </c>
      <c r="Q102">
        <v>204.15</v>
      </c>
      <c r="R102">
        <v>23.48</v>
      </c>
      <c r="S102">
        <v>17.37</v>
      </c>
      <c r="T102">
        <v>964</v>
      </c>
      <c r="U102">
        <v>0.74</v>
      </c>
      <c r="V102">
        <v>0.76</v>
      </c>
      <c r="W102">
        <v>1.1499999999999999</v>
      </c>
      <c r="X102">
        <v>0.06</v>
      </c>
      <c r="Y102">
        <v>1</v>
      </c>
      <c r="Z102">
        <v>10</v>
      </c>
    </row>
    <row r="103" spans="1:26" x14ac:dyDescent="0.3">
      <c r="A103">
        <v>101</v>
      </c>
      <c r="B103">
        <v>135</v>
      </c>
      <c r="C103" t="s">
        <v>26</v>
      </c>
      <c r="D103">
        <v>10.2003</v>
      </c>
      <c r="E103">
        <v>9.8000000000000007</v>
      </c>
      <c r="F103">
        <v>6.75</v>
      </c>
      <c r="G103">
        <v>101.22</v>
      </c>
      <c r="H103">
        <v>1.49</v>
      </c>
      <c r="I103">
        <v>4</v>
      </c>
      <c r="J103">
        <v>314.49</v>
      </c>
      <c r="K103">
        <v>59.89</v>
      </c>
      <c r="L103">
        <v>26.25</v>
      </c>
      <c r="M103">
        <v>2</v>
      </c>
      <c r="N103">
        <v>93.35</v>
      </c>
      <c r="O103">
        <v>39020.97</v>
      </c>
      <c r="P103">
        <v>107.18</v>
      </c>
      <c r="Q103">
        <v>204.15</v>
      </c>
      <c r="R103">
        <v>23.55</v>
      </c>
      <c r="S103">
        <v>17.37</v>
      </c>
      <c r="T103">
        <v>996.87</v>
      </c>
      <c r="U103">
        <v>0.74</v>
      </c>
      <c r="V103">
        <v>0.76</v>
      </c>
      <c r="W103">
        <v>1.1399999999999999</v>
      </c>
      <c r="X103">
        <v>0.06</v>
      </c>
      <c r="Y103">
        <v>1</v>
      </c>
      <c r="Z103">
        <v>10</v>
      </c>
    </row>
    <row r="104" spans="1:26" x14ac:dyDescent="0.3">
      <c r="A104">
        <v>102</v>
      </c>
      <c r="B104">
        <v>135</v>
      </c>
      <c r="C104" t="s">
        <v>26</v>
      </c>
      <c r="D104">
        <v>10.197699999999999</v>
      </c>
      <c r="E104">
        <v>9.81</v>
      </c>
      <c r="F104">
        <v>6.75</v>
      </c>
      <c r="G104">
        <v>101.26</v>
      </c>
      <c r="H104">
        <v>1.5</v>
      </c>
      <c r="I104">
        <v>4</v>
      </c>
      <c r="J104">
        <v>315.04000000000002</v>
      </c>
      <c r="K104">
        <v>59.89</v>
      </c>
      <c r="L104">
        <v>26.5</v>
      </c>
      <c r="M104">
        <v>2</v>
      </c>
      <c r="N104">
        <v>93.65</v>
      </c>
      <c r="O104">
        <v>39089.29</v>
      </c>
      <c r="P104">
        <v>107.4</v>
      </c>
      <c r="Q104">
        <v>204.15</v>
      </c>
      <c r="R104">
        <v>23.66</v>
      </c>
      <c r="S104">
        <v>17.37</v>
      </c>
      <c r="T104">
        <v>1053.4000000000001</v>
      </c>
      <c r="U104">
        <v>0.73</v>
      </c>
      <c r="V104">
        <v>0.76</v>
      </c>
      <c r="W104">
        <v>1.1399999999999999</v>
      </c>
      <c r="X104">
        <v>0.06</v>
      </c>
      <c r="Y104">
        <v>1</v>
      </c>
      <c r="Z104">
        <v>10</v>
      </c>
    </row>
    <row r="105" spans="1:26" x14ac:dyDescent="0.3">
      <c r="A105">
        <v>103</v>
      </c>
      <c r="B105">
        <v>135</v>
      </c>
      <c r="C105" t="s">
        <v>26</v>
      </c>
      <c r="D105">
        <v>10.2006</v>
      </c>
      <c r="E105">
        <v>9.8000000000000007</v>
      </c>
      <c r="F105">
        <v>6.75</v>
      </c>
      <c r="G105">
        <v>101.22</v>
      </c>
      <c r="H105">
        <v>1.51</v>
      </c>
      <c r="I105">
        <v>4</v>
      </c>
      <c r="J105">
        <v>315.60000000000002</v>
      </c>
      <c r="K105">
        <v>59.89</v>
      </c>
      <c r="L105">
        <v>26.75</v>
      </c>
      <c r="M105">
        <v>2</v>
      </c>
      <c r="N105">
        <v>93.96</v>
      </c>
      <c r="O105">
        <v>39157.74</v>
      </c>
      <c r="P105">
        <v>107.49</v>
      </c>
      <c r="Q105">
        <v>204.14</v>
      </c>
      <c r="R105">
        <v>23.65</v>
      </c>
      <c r="S105">
        <v>17.37</v>
      </c>
      <c r="T105">
        <v>1046.44</v>
      </c>
      <c r="U105">
        <v>0.73</v>
      </c>
      <c r="V105">
        <v>0.76</v>
      </c>
      <c r="W105">
        <v>1.1399999999999999</v>
      </c>
      <c r="X105">
        <v>0.06</v>
      </c>
      <c r="Y105">
        <v>1</v>
      </c>
      <c r="Z105">
        <v>10</v>
      </c>
    </row>
    <row r="106" spans="1:26" x14ac:dyDescent="0.3">
      <c r="A106">
        <v>104</v>
      </c>
      <c r="B106">
        <v>135</v>
      </c>
      <c r="C106" t="s">
        <v>26</v>
      </c>
      <c r="D106">
        <v>10.1983</v>
      </c>
      <c r="E106">
        <v>9.81</v>
      </c>
      <c r="F106">
        <v>6.75</v>
      </c>
      <c r="G106">
        <v>101.25</v>
      </c>
      <c r="H106">
        <v>1.52</v>
      </c>
      <c r="I106">
        <v>4</v>
      </c>
      <c r="J106">
        <v>316.14999999999998</v>
      </c>
      <c r="K106">
        <v>59.89</v>
      </c>
      <c r="L106">
        <v>27</v>
      </c>
      <c r="M106">
        <v>2</v>
      </c>
      <c r="N106">
        <v>94.26</v>
      </c>
      <c r="O106">
        <v>39226.32</v>
      </c>
      <c r="P106">
        <v>107.64</v>
      </c>
      <c r="Q106">
        <v>204.14</v>
      </c>
      <c r="R106">
        <v>23.67</v>
      </c>
      <c r="S106">
        <v>17.37</v>
      </c>
      <c r="T106">
        <v>1057.67</v>
      </c>
      <c r="U106">
        <v>0.73</v>
      </c>
      <c r="V106">
        <v>0.76</v>
      </c>
      <c r="W106">
        <v>1.1399999999999999</v>
      </c>
      <c r="X106">
        <v>0.06</v>
      </c>
      <c r="Y106">
        <v>1</v>
      </c>
      <c r="Z106">
        <v>10</v>
      </c>
    </row>
    <row r="107" spans="1:26" x14ac:dyDescent="0.3">
      <c r="A107">
        <v>105</v>
      </c>
      <c r="B107">
        <v>135</v>
      </c>
      <c r="C107" t="s">
        <v>26</v>
      </c>
      <c r="D107">
        <v>10.1995</v>
      </c>
      <c r="E107">
        <v>9.8000000000000007</v>
      </c>
      <c r="F107">
        <v>6.75</v>
      </c>
      <c r="G107">
        <v>101.24</v>
      </c>
      <c r="H107">
        <v>1.53</v>
      </c>
      <c r="I107">
        <v>4</v>
      </c>
      <c r="J107">
        <v>316.70999999999998</v>
      </c>
      <c r="K107">
        <v>59.89</v>
      </c>
      <c r="L107">
        <v>27.25</v>
      </c>
      <c r="M107">
        <v>2</v>
      </c>
      <c r="N107">
        <v>94.57</v>
      </c>
      <c r="O107">
        <v>39295.050000000003</v>
      </c>
      <c r="P107">
        <v>107.74</v>
      </c>
      <c r="Q107">
        <v>204.14</v>
      </c>
      <c r="R107">
        <v>23.69</v>
      </c>
      <c r="S107">
        <v>17.37</v>
      </c>
      <c r="T107">
        <v>1069.3399999999999</v>
      </c>
      <c r="U107">
        <v>0.73</v>
      </c>
      <c r="V107">
        <v>0.76</v>
      </c>
      <c r="W107">
        <v>1.1399999999999999</v>
      </c>
      <c r="X107">
        <v>0.06</v>
      </c>
      <c r="Y107">
        <v>1</v>
      </c>
      <c r="Z107">
        <v>10</v>
      </c>
    </row>
    <row r="108" spans="1:26" x14ac:dyDescent="0.3">
      <c r="A108">
        <v>106</v>
      </c>
      <c r="B108">
        <v>135</v>
      </c>
      <c r="C108" t="s">
        <v>26</v>
      </c>
      <c r="D108">
        <v>10.2026</v>
      </c>
      <c r="E108">
        <v>9.8000000000000007</v>
      </c>
      <c r="F108">
        <v>6.75</v>
      </c>
      <c r="G108">
        <v>101.19</v>
      </c>
      <c r="H108">
        <v>1.54</v>
      </c>
      <c r="I108">
        <v>4</v>
      </c>
      <c r="J108">
        <v>317.27</v>
      </c>
      <c r="K108">
        <v>59.89</v>
      </c>
      <c r="L108">
        <v>27.5</v>
      </c>
      <c r="M108">
        <v>2</v>
      </c>
      <c r="N108">
        <v>94.88</v>
      </c>
      <c r="O108">
        <v>39363.910000000003</v>
      </c>
      <c r="P108">
        <v>107.89</v>
      </c>
      <c r="Q108">
        <v>204.14</v>
      </c>
      <c r="R108">
        <v>23.6</v>
      </c>
      <c r="S108">
        <v>17.37</v>
      </c>
      <c r="T108">
        <v>1020.38</v>
      </c>
      <c r="U108">
        <v>0.74</v>
      </c>
      <c r="V108">
        <v>0.76</v>
      </c>
      <c r="W108">
        <v>1.1399999999999999</v>
      </c>
      <c r="X108">
        <v>0.06</v>
      </c>
      <c r="Y108">
        <v>1</v>
      </c>
      <c r="Z108">
        <v>10</v>
      </c>
    </row>
    <row r="109" spans="1:26" x14ac:dyDescent="0.3">
      <c r="A109">
        <v>107</v>
      </c>
      <c r="B109">
        <v>135</v>
      </c>
      <c r="C109" t="s">
        <v>26</v>
      </c>
      <c r="D109">
        <v>10.203799999999999</v>
      </c>
      <c r="E109">
        <v>9.8000000000000007</v>
      </c>
      <c r="F109">
        <v>6.75</v>
      </c>
      <c r="G109">
        <v>101.17</v>
      </c>
      <c r="H109">
        <v>1.56</v>
      </c>
      <c r="I109">
        <v>4</v>
      </c>
      <c r="J109">
        <v>317.83</v>
      </c>
      <c r="K109">
        <v>59.89</v>
      </c>
      <c r="L109">
        <v>27.75</v>
      </c>
      <c r="M109">
        <v>2</v>
      </c>
      <c r="N109">
        <v>95.19</v>
      </c>
      <c r="O109">
        <v>39432.92</v>
      </c>
      <c r="P109">
        <v>107.88</v>
      </c>
      <c r="Q109">
        <v>204.14</v>
      </c>
      <c r="R109">
        <v>23.52</v>
      </c>
      <c r="S109">
        <v>17.37</v>
      </c>
      <c r="T109">
        <v>983.67</v>
      </c>
      <c r="U109">
        <v>0.74</v>
      </c>
      <c r="V109">
        <v>0.76</v>
      </c>
      <c r="W109">
        <v>1.1399999999999999</v>
      </c>
      <c r="X109">
        <v>0.05</v>
      </c>
      <c r="Y109">
        <v>1</v>
      </c>
      <c r="Z109">
        <v>10</v>
      </c>
    </row>
    <row r="110" spans="1:26" x14ac:dyDescent="0.3">
      <c r="A110">
        <v>108</v>
      </c>
      <c r="B110">
        <v>135</v>
      </c>
      <c r="C110" t="s">
        <v>26</v>
      </c>
      <c r="D110">
        <v>10.207599999999999</v>
      </c>
      <c r="E110">
        <v>9.8000000000000007</v>
      </c>
      <c r="F110">
        <v>6.74</v>
      </c>
      <c r="G110">
        <v>101.12</v>
      </c>
      <c r="H110">
        <v>1.57</v>
      </c>
      <c r="I110">
        <v>4</v>
      </c>
      <c r="J110">
        <v>318.39</v>
      </c>
      <c r="K110">
        <v>59.89</v>
      </c>
      <c r="L110">
        <v>28</v>
      </c>
      <c r="M110">
        <v>2</v>
      </c>
      <c r="N110">
        <v>95.5</v>
      </c>
      <c r="O110">
        <v>39502.07</v>
      </c>
      <c r="P110">
        <v>107.98</v>
      </c>
      <c r="Q110">
        <v>204.14</v>
      </c>
      <c r="R110">
        <v>23.43</v>
      </c>
      <c r="S110">
        <v>17.37</v>
      </c>
      <c r="T110">
        <v>938.94</v>
      </c>
      <c r="U110">
        <v>0.74</v>
      </c>
      <c r="V110">
        <v>0.76</v>
      </c>
      <c r="W110">
        <v>1.1399999999999999</v>
      </c>
      <c r="X110">
        <v>0.05</v>
      </c>
      <c r="Y110">
        <v>1</v>
      </c>
      <c r="Z110">
        <v>10</v>
      </c>
    </row>
    <row r="111" spans="1:26" x14ac:dyDescent="0.3">
      <c r="A111">
        <v>109</v>
      </c>
      <c r="B111">
        <v>135</v>
      </c>
      <c r="C111" t="s">
        <v>26</v>
      </c>
      <c r="D111">
        <v>10.2006</v>
      </c>
      <c r="E111">
        <v>9.8000000000000007</v>
      </c>
      <c r="F111">
        <v>6.75</v>
      </c>
      <c r="G111">
        <v>101.22</v>
      </c>
      <c r="H111">
        <v>1.58</v>
      </c>
      <c r="I111">
        <v>4</v>
      </c>
      <c r="J111">
        <v>318.95</v>
      </c>
      <c r="K111">
        <v>59.89</v>
      </c>
      <c r="L111">
        <v>28.25</v>
      </c>
      <c r="M111">
        <v>2</v>
      </c>
      <c r="N111">
        <v>95.81</v>
      </c>
      <c r="O111">
        <v>39571.360000000001</v>
      </c>
      <c r="P111">
        <v>108.08</v>
      </c>
      <c r="Q111">
        <v>204.14</v>
      </c>
      <c r="R111">
        <v>23.53</v>
      </c>
      <c r="S111">
        <v>17.37</v>
      </c>
      <c r="T111">
        <v>985.02</v>
      </c>
      <c r="U111">
        <v>0.74</v>
      </c>
      <c r="V111">
        <v>0.76</v>
      </c>
      <c r="W111">
        <v>1.1399999999999999</v>
      </c>
      <c r="X111">
        <v>0.06</v>
      </c>
      <c r="Y111">
        <v>1</v>
      </c>
      <c r="Z111">
        <v>10</v>
      </c>
    </row>
    <row r="112" spans="1:26" x14ac:dyDescent="0.3">
      <c r="A112">
        <v>110</v>
      </c>
      <c r="B112">
        <v>135</v>
      </c>
      <c r="C112" t="s">
        <v>26</v>
      </c>
      <c r="D112">
        <v>10.2041</v>
      </c>
      <c r="E112">
        <v>9.8000000000000007</v>
      </c>
      <c r="F112">
        <v>6.74</v>
      </c>
      <c r="G112">
        <v>101.17</v>
      </c>
      <c r="H112">
        <v>1.59</v>
      </c>
      <c r="I112">
        <v>4</v>
      </c>
      <c r="J112">
        <v>319.51</v>
      </c>
      <c r="K112">
        <v>59.89</v>
      </c>
      <c r="L112">
        <v>28.5</v>
      </c>
      <c r="M112">
        <v>2</v>
      </c>
      <c r="N112">
        <v>96.13</v>
      </c>
      <c r="O112">
        <v>39640.79</v>
      </c>
      <c r="P112">
        <v>108.05</v>
      </c>
      <c r="Q112">
        <v>204.17</v>
      </c>
      <c r="R112">
        <v>23.52</v>
      </c>
      <c r="S112">
        <v>17.37</v>
      </c>
      <c r="T112">
        <v>981.6</v>
      </c>
      <c r="U112">
        <v>0.74</v>
      </c>
      <c r="V112">
        <v>0.76</v>
      </c>
      <c r="W112">
        <v>1.1399999999999999</v>
      </c>
      <c r="X112">
        <v>0.05</v>
      </c>
      <c r="Y112">
        <v>1</v>
      </c>
      <c r="Z112">
        <v>10</v>
      </c>
    </row>
    <row r="113" spans="1:26" x14ac:dyDescent="0.3">
      <c r="A113">
        <v>111</v>
      </c>
      <c r="B113">
        <v>135</v>
      </c>
      <c r="C113" t="s">
        <v>26</v>
      </c>
      <c r="D113">
        <v>10.1989</v>
      </c>
      <c r="E113">
        <v>9.8000000000000007</v>
      </c>
      <c r="F113">
        <v>6.75</v>
      </c>
      <c r="G113">
        <v>101.25</v>
      </c>
      <c r="H113">
        <v>1.6</v>
      </c>
      <c r="I113">
        <v>4</v>
      </c>
      <c r="J113">
        <v>320.08</v>
      </c>
      <c r="K113">
        <v>59.89</v>
      </c>
      <c r="L113">
        <v>28.75</v>
      </c>
      <c r="M113">
        <v>2</v>
      </c>
      <c r="N113">
        <v>96.44</v>
      </c>
      <c r="O113">
        <v>39710.36</v>
      </c>
      <c r="P113">
        <v>108.14</v>
      </c>
      <c r="Q113">
        <v>204.14</v>
      </c>
      <c r="R113">
        <v>23.69</v>
      </c>
      <c r="S113">
        <v>17.37</v>
      </c>
      <c r="T113">
        <v>1065.1099999999999</v>
      </c>
      <c r="U113">
        <v>0.73</v>
      </c>
      <c r="V113">
        <v>0.76</v>
      </c>
      <c r="W113">
        <v>1.1399999999999999</v>
      </c>
      <c r="X113">
        <v>0.06</v>
      </c>
      <c r="Y113">
        <v>1</v>
      </c>
      <c r="Z113">
        <v>10</v>
      </c>
    </row>
    <row r="114" spans="1:26" x14ac:dyDescent="0.3">
      <c r="A114">
        <v>112</v>
      </c>
      <c r="B114">
        <v>135</v>
      </c>
      <c r="C114" t="s">
        <v>26</v>
      </c>
      <c r="D114">
        <v>10.1997</v>
      </c>
      <c r="E114">
        <v>9.8000000000000007</v>
      </c>
      <c r="F114">
        <v>6.75</v>
      </c>
      <c r="G114">
        <v>101.23</v>
      </c>
      <c r="H114">
        <v>1.61</v>
      </c>
      <c r="I114">
        <v>4</v>
      </c>
      <c r="J114">
        <v>320.64</v>
      </c>
      <c r="K114">
        <v>59.89</v>
      </c>
      <c r="L114">
        <v>29</v>
      </c>
      <c r="M114">
        <v>2</v>
      </c>
      <c r="N114">
        <v>96.75</v>
      </c>
      <c r="O114">
        <v>39780.080000000002</v>
      </c>
      <c r="P114">
        <v>108.16</v>
      </c>
      <c r="Q114">
        <v>204.18</v>
      </c>
      <c r="R114">
        <v>23.67</v>
      </c>
      <c r="S114">
        <v>17.37</v>
      </c>
      <c r="T114">
        <v>1058.46</v>
      </c>
      <c r="U114">
        <v>0.73</v>
      </c>
      <c r="V114">
        <v>0.76</v>
      </c>
      <c r="W114">
        <v>1.1399999999999999</v>
      </c>
      <c r="X114">
        <v>0.06</v>
      </c>
      <c r="Y114">
        <v>1</v>
      </c>
      <c r="Z114">
        <v>10</v>
      </c>
    </row>
    <row r="115" spans="1:26" x14ac:dyDescent="0.3">
      <c r="A115">
        <v>113</v>
      </c>
      <c r="B115">
        <v>135</v>
      </c>
      <c r="C115" t="s">
        <v>26</v>
      </c>
      <c r="D115">
        <v>10.1966</v>
      </c>
      <c r="E115">
        <v>9.81</v>
      </c>
      <c r="F115">
        <v>6.75</v>
      </c>
      <c r="G115">
        <v>101.28</v>
      </c>
      <c r="H115">
        <v>1.62</v>
      </c>
      <c r="I115">
        <v>4</v>
      </c>
      <c r="J115">
        <v>321.20999999999998</v>
      </c>
      <c r="K115">
        <v>59.89</v>
      </c>
      <c r="L115">
        <v>29.25</v>
      </c>
      <c r="M115">
        <v>2</v>
      </c>
      <c r="N115">
        <v>97.07</v>
      </c>
      <c r="O115">
        <v>39849.949999999997</v>
      </c>
      <c r="P115">
        <v>108.15</v>
      </c>
      <c r="Q115">
        <v>204.14</v>
      </c>
      <c r="R115">
        <v>23.76</v>
      </c>
      <c r="S115">
        <v>17.37</v>
      </c>
      <c r="T115">
        <v>1103.8499999999999</v>
      </c>
      <c r="U115">
        <v>0.73</v>
      </c>
      <c r="V115">
        <v>0.76</v>
      </c>
      <c r="W115">
        <v>1.1399999999999999</v>
      </c>
      <c r="X115">
        <v>0.06</v>
      </c>
      <c r="Y115">
        <v>1</v>
      </c>
      <c r="Z115">
        <v>10</v>
      </c>
    </row>
    <row r="116" spans="1:26" x14ac:dyDescent="0.3">
      <c r="A116">
        <v>114</v>
      </c>
      <c r="B116">
        <v>135</v>
      </c>
      <c r="C116" t="s">
        <v>26</v>
      </c>
      <c r="D116">
        <v>10.2003</v>
      </c>
      <c r="E116">
        <v>9.8000000000000007</v>
      </c>
      <c r="F116">
        <v>6.75</v>
      </c>
      <c r="G116">
        <v>101.22</v>
      </c>
      <c r="H116">
        <v>1.63</v>
      </c>
      <c r="I116">
        <v>4</v>
      </c>
      <c r="J116">
        <v>321.77999999999997</v>
      </c>
      <c r="K116">
        <v>59.89</v>
      </c>
      <c r="L116">
        <v>29.5</v>
      </c>
      <c r="M116">
        <v>2</v>
      </c>
      <c r="N116">
        <v>97.39</v>
      </c>
      <c r="O116">
        <v>39919.96</v>
      </c>
      <c r="P116">
        <v>108.12</v>
      </c>
      <c r="Q116">
        <v>204.14</v>
      </c>
      <c r="R116">
        <v>23.68</v>
      </c>
      <c r="S116">
        <v>17.37</v>
      </c>
      <c r="T116">
        <v>1060.58</v>
      </c>
      <c r="U116">
        <v>0.73</v>
      </c>
      <c r="V116">
        <v>0.76</v>
      </c>
      <c r="W116">
        <v>1.1399999999999999</v>
      </c>
      <c r="X116">
        <v>0.06</v>
      </c>
      <c r="Y116">
        <v>1</v>
      </c>
      <c r="Z116">
        <v>10</v>
      </c>
    </row>
    <row r="117" spans="1:26" x14ac:dyDescent="0.3">
      <c r="A117">
        <v>115</v>
      </c>
      <c r="B117">
        <v>135</v>
      </c>
      <c r="C117" t="s">
        <v>26</v>
      </c>
      <c r="D117">
        <v>10.203200000000001</v>
      </c>
      <c r="E117">
        <v>9.8000000000000007</v>
      </c>
      <c r="F117">
        <v>6.75</v>
      </c>
      <c r="G117">
        <v>101.18</v>
      </c>
      <c r="H117">
        <v>1.64</v>
      </c>
      <c r="I117">
        <v>4</v>
      </c>
      <c r="J117">
        <v>322.33999999999997</v>
      </c>
      <c r="K117">
        <v>59.89</v>
      </c>
      <c r="L117">
        <v>29.75</v>
      </c>
      <c r="M117">
        <v>2</v>
      </c>
      <c r="N117">
        <v>97.71</v>
      </c>
      <c r="O117">
        <v>39990.120000000003</v>
      </c>
      <c r="P117">
        <v>108</v>
      </c>
      <c r="Q117">
        <v>204.14</v>
      </c>
      <c r="R117">
        <v>23.56</v>
      </c>
      <c r="S117">
        <v>17.37</v>
      </c>
      <c r="T117">
        <v>1002.97</v>
      </c>
      <c r="U117">
        <v>0.74</v>
      </c>
      <c r="V117">
        <v>0.76</v>
      </c>
      <c r="W117">
        <v>1.1399999999999999</v>
      </c>
      <c r="X117">
        <v>0.05</v>
      </c>
      <c r="Y117">
        <v>1</v>
      </c>
      <c r="Z117">
        <v>10</v>
      </c>
    </row>
    <row r="118" spans="1:26" x14ac:dyDescent="0.3">
      <c r="A118">
        <v>116</v>
      </c>
      <c r="B118">
        <v>135</v>
      </c>
      <c r="C118" t="s">
        <v>26</v>
      </c>
      <c r="D118">
        <v>10.201499999999999</v>
      </c>
      <c r="E118">
        <v>9.8000000000000007</v>
      </c>
      <c r="F118">
        <v>6.75</v>
      </c>
      <c r="G118">
        <v>101.21</v>
      </c>
      <c r="H118">
        <v>1.66</v>
      </c>
      <c r="I118">
        <v>4</v>
      </c>
      <c r="J118">
        <v>322.91000000000003</v>
      </c>
      <c r="K118">
        <v>59.89</v>
      </c>
      <c r="L118">
        <v>30</v>
      </c>
      <c r="M118">
        <v>2</v>
      </c>
      <c r="N118">
        <v>98.03</v>
      </c>
      <c r="O118">
        <v>40060.43</v>
      </c>
      <c r="P118">
        <v>108.06</v>
      </c>
      <c r="Q118">
        <v>204.14</v>
      </c>
      <c r="R118">
        <v>23.6</v>
      </c>
      <c r="S118">
        <v>17.37</v>
      </c>
      <c r="T118">
        <v>1020.85</v>
      </c>
      <c r="U118">
        <v>0.74</v>
      </c>
      <c r="V118">
        <v>0.76</v>
      </c>
      <c r="W118">
        <v>1.1399999999999999</v>
      </c>
      <c r="X118">
        <v>0.06</v>
      </c>
      <c r="Y118">
        <v>1</v>
      </c>
      <c r="Z118">
        <v>10</v>
      </c>
    </row>
    <row r="119" spans="1:26" x14ac:dyDescent="0.3">
      <c r="A119">
        <v>117</v>
      </c>
      <c r="B119">
        <v>135</v>
      </c>
      <c r="C119" t="s">
        <v>26</v>
      </c>
      <c r="D119">
        <v>10.200900000000001</v>
      </c>
      <c r="E119">
        <v>9.8000000000000007</v>
      </c>
      <c r="F119">
        <v>6.75</v>
      </c>
      <c r="G119">
        <v>101.22</v>
      </c>
      <c r="H119">
        <v>1.67</v>
      </c>
      <c r="I119">
        <v>4</v>
      </c>
      <c r="J119">
        <v>323.49</v>
      </c>
      <c r="K119">
        <v>59.89</v>
      </c>
      <c r="L119">
        <v>30.25</v>
      </c>
      <c r="M119">
        <v>2</v>
      </c>
      <c r="N119">
        <v>98.35</v>
      </c>
      <c r="O119">
        <v>40131.01</v>
      </c>
      <c r="P119">
        <v>108.04</v>
      </c>
      <c r="Q119">
        <v>204.14</v>
      </c>
      <c r="R119">
        <v>23.57</v>
      </c>
      <c r="S119">
        <v>17.37</v>
      </c>
      <c r="T119">
        <v>1008.72</v>
      </c>
      <c r="U119">
        <v>0.74</v>
      </c>
      <c r="V119">
        <v>0.76</v>
      </c>
      <c r="W119">
        <v>1.1399999999999999</v>
      </c>
      <c r="X119">
        <v>0.06</v>
      </c>
      <c r="Y119">
        <v>1</v>
      </c>
      <c r="Z119">
        <v>10</v>
      </c>
    </row>
    <row r="120" spans="1:26" x14ac:dyDescent="0.3">
      <c r="A120">
        <v>118</v>
      </c>
      <c r="B120">
        <v>135</v>
      </c>
      <c r="C120" t="s">
        <v>26</v>
      </c>
      <c r="D120">
        <v>10.205500000000001</v>
      </c>
      <c r="E120">
        <v>9.8000000000000007</v>
      </c>
      <c r="F120">
        <v>6.74</v>
      </c>
      <c r="G120">
        <v>101.15</v>
      </c>
      <c r="H120">
        <v>1.68</v>
      </c>
      <c r="I120">
        <v>4</v>
      </c>
      <c r="J120">
        <v>324.06</v>
      </c>
      <c r="K120">
        <v>59.89</v>
      </c>
      <c r="L120">
        <v>30.5</v>
      </c>
      <c r="M120">
        <v>2</v>
      </c>
      <c r="N120">
        <v>98.67</v>
      </c>
      <c r="O120">
        <v>40201.620000000003</v>
      </c>
      <c r="P120">
        <v>107.9</v>
      </c>
      <c r="Q120">
        <v>204.14</v>
      </c>
      <c r="R120">
        <v>23.42</v>
      </c>
      <c r="S120">
        <v>17.37</v>
      </c>
      <c r="T120">
        <v>931.94</v>
      </c>
      <c r="U120">
        <v>0.74</v>
      </c>
      <c r="V120">
        <v>0.76</v>
      </c>
      <c r="W120">
        <v>1.1399999999999999</v>
      </c>
      <c r="X120">
        <v>0.05</v>
      </c>
      <c r="Y120">
        <v>1</v>
      </c>
      <c r="Z120">
        <v>10</v>
      </c>
    </row>
    <row r="121" spans="1:26" x14ac:dyDescent="0.3">
      <c r="A121">
        <v>119</v>
      </c>
      <c r="B121">
        <v>135</v>
      </c>
      <c r="C121" t="s">
        <v>26</v>
      </c>
      <c r="D121">
        <v>10.209</v>
      </c>
      <c r="E121">
        <v>9.8000000000000007</v>
      </c>
      <c r="F121">
        <v>6.74</v>
      </c>
      <c r="G121">
        <v>101.1</v>
      </c>
      <c r="H121">
        <v>1.69</v>
      </c>
      <c r="I121">
        <v>4</v>
      </c>
      <c r="J121">
        <v>324.63</v>
      </c>
      <c r="K121">
        <v>59.89</v>
      </c>
      <c r="L121">
        <v>30.75</v>
      </c>
      <c r="M121">
        <v>2</v>
      </c>
      <c r="N121">
        <v>99</v>
      </c>
      <c r="O121">
        <v>40272.379999999997</v>
      </c>
      <c r="P121">
        <v>107.78</v>
      </c>
      <c r="Q121">
        <v>204.14</v>
      </c>
      <c r="R121">
        <v>23.34</v>
      </c>
      <c r="S121">
        <v>17.37</v>
      </c>
      <c r="T121">
        <v>892.62</v>
      </c>
      <c r="U121">
        <v>0.74</v>
      </c>
      <c r="V121">
        <v>0.76</v>
      </c>
      <c r="W121">
        <v>1.1399999999999999</v>
      </c>
      <c r="X121">
        <v>0.05</v>
      </c>
      <c r="Y121">
        <v>1</v>
      </c>
      <c r="Z121">
        <v>10</v>
      </c>
    </row>
    <row r="122" spans="1:26" x14ac:dyDescent="0.3">
      <c r="A122">
        <v>120</v>
      </c>
      <c r="B122">
        <v>135</v>
      </c>
      <c r="C122" t="s">
        <v>26</v>
      </c>
      <c r="D122">
        <v>10.205500000000001</v>
      </c>
      <c r="E122">
        <v>9.8000000000000007</v>
      </c>
      <c r="F122">
        <v>6.74</v>
      </c>
      <c r="G122">
        <v>101.15</v>
      </c>
      <c r="H122">
        <v>1.7</v>
      </c>
      <c r="I122">
        <v>4</v>
      </c>
      <c r="J122">
        <v>325.20999999999998</v>
      </c>
      <c r="K122">
        <v>59.89</v>
      </c>
      <c r="L122">
        <v>31</v>
      </c>
      <c r="M122">
        <v>2</v>
      </c>
      <c r="N122">
        <v>99.32</v>
      </c>
      <c r="O122">
        <v>40343.29</v>
      </c>
      <c r="P122">
        <v>107.75</v>
      </c>
      <c r="Q122">
        <v>204.15</v>
      </c>
      <c r="R122">
        <v>23.47</v>
      </c>
      <c r="S122">
        <v>17.37</v>
      </c>
      <c r="T122">
        <v>958.11</v>
      </c>
      <c r="U122">
        <v>0.74</v>
      </c>
      <c r="V122">
        <v>0.76</v>
      </c>
      <c r="W122">
        <v>1.1399999999999999</v>
      </c>
      <c r="X122">
        <v>0.05</v>
      </c>
      <c r="Y122">
        <v>1</v>
      </c>
      <c r="Z122">
        <v>10</v>
      </c>
    </row>
    <row r="123" spans="1:26" x14ac:dyDescent="0.3">
      <c r="A123">
        <v>121</v>
      </c>
      <c r="B123">
        <v>135</v>
      </c>
      <c r="C123" t="s">
        <v>26</v>
      </c>
      <c r="D123">
        <v>10.205500000000001</v>
      </c>
      <c r="E123">
        <v>9.8000000000000007</v>
      </c>
      <c r="F123">
        <v>6.74</v>
      </c>
      <c r="G123">
        <v>101.15</v>
      </c>
      <c r="H123">
        <v>1.71</v>
      </c>
      <c r="I123">
        <v>4</v>
      </c>
      <c r="J123">
        <v>325.77999999999997</v>
      </c>
      <c r="K123">
        <v>59.89</v>
      </c>
      <c r="L123">
        <v>31.25</v>
      </c>
      <c r="M123">
        <v>2</v>
      </c>
      <c r="N123">
        <v>99.65</v>
      </c>
      <c r="O123">
        <v>40414.36</v>
      </c>
      <c r="P123">
        <v>107.62</v>
      </c>
      <c r="Q123">
        <v>204.14</v>
      </c>
      <c r="R123">
        <v>23.49</v>
      </c>
      <c r="S123">
        <v>17.37</v>
      </c>
      <c r="T123">
        <v>965.48</v>
      </c>
      <c r="U123">
        <v>0.74</v>
      </c>
      <c r="V123">
        <v>0.76</v>
      </c>
      <c r="W123">
        <v>1.1399999999999999</v>
      </c>
      <c r="X123">
        <v>0.05</v>
      </c>
      <c r="Y123">
        <v>1</v>
      </c>
      <c r="Z123">
        <v>10</v>
      </c>
    </row>
    <row r="124" spans="1:26" x14ac:dyDescent="0.3">
      <c r="A124">
        <v>122</v>
      </c>
      <c r="B124">
        <v>135</v>
      </c>
      <c r="C124" t="s">
        <v>26</v>
      </c>
      <c r="D124">
        <v>10.2067</v>
      </c>
      <c r="E124">
        <v>9.8000000000000007</v>
      </c>
      <c r="F124">
        <v>6.74</v>
      </c>
      <c r="G124">
        <v>101.13</v>
      </c>
      <c r="H124">
        <v>1.72</v>
      </c>
      <c r="I124">
        <v>4</v>
      </c>
      <c r="J124">
        <v>326.36</v>
      </c>
      <c r="K124">
        <v>59.89</v>
      </c>
      <c r="L124">
        <v>31.5</v>
      </c>
      <c r="M124">
        <v>2</v>
      </c>
      <c r="N124">
        <v>99.97</v>
      </c>
      <c r="O124">
        <v>40485.58</v>
      </c>
      <c r="P124">
        <v>107.5</v>
      </c>
      <c r="Q124">
        <v>204.14</v>
      </c>
      <c r="R124">
        <v>23.41</v>
      </c>
      <c r="S124">
        <v>17.37</v>
      </c>
      <c r="T124">
        <v>928.75</v>
      </c>
      <c r="U124">
        <v>0.74</v>
      </c>
      <c r="V124">
        <v>0.76</v>
      </c>
      <c r="W124">
        <v>1.1399999999999999</v>
      </c>
      <c r="X124">
        <v>0.05</v>
      </c>
      <c r="Y124">
        <v>1</v>
      </c>
      <c r="Z124">
        <v>10</v>
      </c>
    </row>
    <row r="125" spans="1:26" x14ac:dyDescent="0.3">
      <c r="A125">
        <v>123</v>
      </c>
      <c r="B125">
        <v>135</v>
      </c>
      <c r="C125" t="s">
        <v>26</v>
      </c>
      <c r="D125">
        <v>10.206099999999999</v>
      </c>
      <c r="E125">
        <v>9.8000000000000007</v>
      </c>
      <c r="F125">
        <v>6.74</v>
      </c>
      <c r="G125">
        <v>101.14</v>
      </c>
      <c r="H125">
        <v>1.73</v>
      </c>
      <c r="I125">
        <v>4</v>
      </c>
      <c r="J125">
        <v>326.94</v>
      </c>
      <c r="K125">
        <v>59.89</v>
      </c>
      <c r="L125">
        <v>31.75</v>
      </c>
      <c r="M125">
        <v>2</v>
      </c>
      <c r="N125">
        <v>100.3</v>
      </c>
      <c r="O125">
        <v>40556.959999999999</v>
      </c>
      <c r="P125">
        <v>107.48</v>
      </c>
      <c r="Q125">
        <v>204.14</v>
      </c>
      <c r="R125">
        <v>23.4</v>
      </c>
      <c r="S125">
        <v>17.37</v>
      </c>
      <c r="T125">
        <v>922.47</v>
      </c>
      <c r="U125">
        <v>0.74</v>
      </c>
      <c r="V125">
        <v>0.76</v>
      </c>
      <c r="W125">
        <v>1.1399999999999999</v>
      </c>
      <c r="X125">
        <v>0.05</v>
      </c>
      <c r="Y125">
        <v>1</v>
      </c>
      <c r="Z125">
        <v>10</v>
      </c>
    </row>
    <row r="126" spans="1:26" x14ac:dyDescent="0.3">
      <c r="A126">
        <v>124</v>
      </c>
      <c r="B126">
        <v>135</v>
      </c>
      <c r="C126" t="s">
        <v>26</v>
      </c>
      <c r="D126">
        <v>10.207800000000001</v>
      </c>
      <c r="E126">
        <v>9.8000000000000007</v>
      </c>
      <c r="F126">
        <v>6.74</v>
      </c>
      <c r="G126">
        <v>101.12</v>
      </c>
      <c r="H126">
        <v>1.74</v>
      </c>
      <c r="I126">
        <v>4</v>
      </c>
      <c r="J126">
        <v>327.52</v>
      </c>
      <c r="K126">
        <v>59.89</v>
      </c>
      <c r="L126">
        <v>32</v>
      </c>
      <c r="M126">
        <v>2</v>
      </c>
      <c r="N126">
        <v>100.63</v>
      </c>
      <c r="O126">
        <v>40628.49</v>
      </c>
      <c r="P126">
        <v>107.23</v>
      </c>
      <c r="Q126">
        <v>204.14</v>
      </c>
      <c r="R126">
        <v>23.39</v>
      </c>
      <c r="S126">
        <v>17.37</v>
      </c>
      <c r="T126">
        <v>918.59</v>
      </c>
      <c r="U126">
        <v>0.74</v>
      </c>
      <c r="V126">
        <v>0.76</v>
      </c>
      <c r="W126">
        <v>1.1399999999999999</v>
      </c>
      <c r="X126">
        <v>0.05</v>
      </c>
      <c r="Y126">
        <v>1</v>
      </c>
      <c r="Z126">
        <v>10</v>
      </c>
    </row>
    <row r="127" spans="1:26" x14ac:dyDescent="0.3">
      <c r="A127">
        <v>125</v>
      </c>
      <c r="B127">
        <v>135</v>
      </c>
      <c r="C127" t="s">
        <v>26</v>
      </c>
      <c r="D127">
        <v>10.207599999999999</v>
      </c>
      <c r="E127">
        <v>9.8000000000000007</v>
      </c>
      <c r="F127">
        <v>6.74</v>
      </c>
      <c r="G127">
        <v>101.12</v>
      </c>
      <c r="H127">
        <v>1.75</v>
      </c>
      <c r="I127">
        <v>4</v>
      </c>
      <c r="J127">
        <v>328.1</v>
      </c>
      <c r="K127">
        <v>59.89</v>
      </c>
      <c r="L127">
        <v>32.25</v>
      </c>
      <c r="M127">
        <v>2</v>
      </c>
      <c r="N127">
        <v>100.96</v>
      </c>
      <c r="O127">
        <v>40700.18</v>
      </c>
      <c r="P127">
        <v>107.11</v>
      </c>
      <c r="Q127">
        <v>204.14</v>
      </c>
      <c r="R127">
        <v>23.42</v>
      </c>
      <c r="S127">
        <v>17.37</v>
      </c>
      <c r="T127">
        <v>934.5</v>
      </c>
      <c r="U127">
        <v>0.74</v>
      </c>
      <c r="V127">
        <v>0.76</v>
      </c>
      <c r="W127">
        <v>1.1399999999999999</v>
      </c>
      <c r="X127">
        <v>0.05</v>
      </c>
      <c r="Y127">
        <v>1</v>
      </c>
      <c r="Z127">
        <v>10</v>
      </c>
    </row>
    <row r="128" spans="1:26" x14ac:dyDescent="0.3">
      <c r="A128">
        <v>126</v>
      </c>
      <c r="B128">
        <v>135</v>
      </c>
      <c r="C128" t="s">
        <v>26</v>
      </c>
      <c r="D128">
        <v>10.2133</v>
      </c>
      <c r="E128">
        <v>9.7899999999999991</v>
      </c>
      <c r="F128">
        <v>6.74</v>
      </c>
      <c r="G128">
        <v>101.04</v>
      </c>
      <c r="H128">
        <v>1.76</v>
      </c>
      <c r="I128">
        <v>4</v>
      </c>
      <c r="J128">
        <v>328.68</v>
      </c>
      <c r="K128">
        <v>59.89</v>
      </c>
      <c r="L128">
        <v>32.5</v>
      </c>
      <c r="M128">
        <v>2</v>
      </c>
      <c r="N128">
        <v>101.3</v>
      </c>
      <c r="O128">
        <v>40772.03</v>
      </c>
      <c r="P128">
        <v>106.93</v>
      </c>
      <c r="Q128">
        <v>204.14</v>
      </c>
      <c r="R128">
        <v>23.16</v>
      </c>
      <c r="S128">
        <v>17.37</v>
      </c>
      <c r="T128">
        <v>804.66</v>
      </c>
      <c r="U128">
        <v>0.75</v>
      </c>
      <c r="V128">
        <v>0.76</v>
      </c>
      <c r="W128">
        <v>1.1399999999999999</v>
      </c>
      <c r="X128">
        <v>0.04</v>
      </c>
      <c r="Y128">
        <v>1</v>
      </c>
      <c r="Z128">
        <v>10</v>
      </c>
    </row>
    <row r="129" spans="1:26" x14ac:dyDescent="0.3">
      <c r="A129">
        <v>127</v>
      </c>
      <c r="B129">
        <v>135</v>
      </c>
      <c r="C129" t="s">
        <v>26</v>
      </c>
      <c r="D129">
        <v>10.2133</v>
      </c>
      <c r="E129">
        <v>9.7899999999999991</v>
      </c>
      <c r="F129">
        <v>6.74</v>
      </c>
      <c r="G129">
        <v>101.04</v>
      </c>
      <c r="H129">
        <v>1.77</v>
      </c>
      <c r="I129">
        <v>4</v>
      </c>
      <c r="J129">
        <v>329.27</v>
      </c>
      <c r="K129">
        <v>59.89</v>
      </c>
      <c r="L129">
        <v>32.75</v>
      </c>
      <c r="M129">
        <v>2</v>
      </c>
      <c r="N129">
        <v>101.63</v>
      </c>
      <c r="O129">
        <v>40844.03</v>
      </c>
      <c r="P129">
        <v>106.8</v>
      </c>
      <c r="Q129">
        <v>204.14</v>
      </c>
      <c r="R129">
        <v>23.16</v>
      </c>
      <c r="S129">
        <v>17.37</v>
      </c>
      <c r="T129">
        <v>802.08</v>
      </c>
      <c r="U129">
        <v>0.75</v>
      </c>
      <c r="V129">
        <v>0.76</v>
      </c>
      <c r="W129">
        <v>1.1399999999999999</v>
      </c>
      <c r="X129">
        <v>0.04</v>
      </c>
      <c r="Y129">
        <v>1</v>
      </c>
      <c r="Z129">
        <v>10</v>
      </c>
    </row>
    <row r="130" spans="1:26" x14ac:dyDescent="0.3">
      <c r="A130">
        <v>128</v>
      </c>
      <c r="B130">
        <v>135</v>
      </c>
      <c r="C130" t="s">
        <v>26</v>
      </c>
      <c r="D130">
        <v>10.216200000000001</v>
      </c>
      <c r="E130">
        <v>9.7899999999999991</v>
      </c>
      <c r="F130">
        <v>6.73</v>
      </c>
      <c r="G130">
        <v>101</v>
      </c>
      <c r="H130">
        <v>1.78</v>
      </c>
      <c r="I130">
        <v>4</v>
      </c>
      <c r="J130">
        <v>329.85</v>
      </c>
      <c r="K130">
        <v>59.89</v>
      </c>
      <c r="L130">
        <v>33</v>
      </c>
      <c r="M130">
        <v>2</v>
      </c>
      <c r="N130">
        <v>101.97</v>
      </c>
      <c r="O130">
        <v>40916.199999999997</v>
      </c>
      <c r="P130">
        <v>106.6</v>
      </c>
      <c r="Q130">
        <v>204.14</v>
      </c>
      <c r="R130">
        <v>23.08</v>
      </c>
      <c r="S130">
        <v>17.37</v>
      </c>
      <c r="T130">
        <v>760.72</v>
      </c>
      <c r="U130">
        <v>0.75</v>
      </c>
      <c r="V130">
        <v>0.76</v>
      </c>
      <c r="W130">
        <v>1.1399999999999999</v>
      </c>
      <c r="X130">
        <v>0.04</v>
      </c>
      <c r="Y130">
        <v>1</v>
      </c>
      <c r="Z130">
        <v>10</v>
      </c>
    </row>
    <row r="131" spans="1:26" x14ac:dyDescent="0.3">
      <c r="A131">
        <v>129</v>
      </c>
      <c r="B131">
        <v>135</v>
      </c>
      <c r="C131" t="s">
        <v>26</v>
      </c>
      <c r="D131">
        <v>10.2142</v>
      </c>
      <c r="E131">
        <v>9.7899999999999991</v>
      </c>
      <c r="F131">
        <v>6.74</v>
      </c>
      <c r="G131">
        <v>101.03</v>
      </c>
      <c r="H131">
        <v>1.79</v>
      </c>
      <c r="I131">
        <v>4</v>
      </c>
      <c r="J131">
        <v>330.44</v>
      </c>
      <c r="K131">
        <v>59.89</v>
      </c>
      <c r="L131">
        <v>33.25</v>
      </c>
      <c r="M131">
        <v>2</v>
      </c>
      <c r="N131">
        <v>102.3</v>
      </c>
      <c r="O131">
        <v>40988.53</v>
      </c>
      <c r="P131">
        <v>106.44</v>
      </c>
      <c r="Q131">
        <v>204.14</v>
      </c>
      <c r="R131">
        <v>23.12</v>
      </c>
      <c r="S131">
        <v>17.37</v>
      </c>
      <c r="T131">
        <v>784.4</v>
      </c>
      <c r="U131">
        <v>0.75</v>
      </c>
      <c r="V131">
        <v>0.76</v>
      </c>
      <c r="W131">
        <v>1.1399999999999999</v>
      </c>
      <c r="X131">
        <v>0.04</v>
      </c>
      <c r="Y131">
        <v>1</v>
      </c>
      <c r="Z131">
        <v>10</v>
      </c>
    </row>
    <row r="132" spans="1:26" x14ac:dyDescent="0.3">
      <c r="A132">
        <v>130</v>
      </c>
      <c r="B132">
        <v>135</v>
      </c>
      <c r="C132" t="s">
        <v>26</v>
      </c>
      <c r="D132">
        <v>10.2133</v>
      </c>
      <c r="E132">
        <v>9.7899999999999991</v>
      </c>
      <c r="F132">
        <v>6.74</v>
      </c>
      <c r="G132">
        <v>101.04</v>
      </c>
      <c r="H132">
        <v>1.8</v>
      </c>
      <c r="I132">
        <v>4</v>
      </c>
      <c r="J132">
        <v>331.03</v>
      </c>
      <c r="K132">
        <v>59.89</v>
      </c>
      <c r="L132">
        <v>33.5</v>
      </c>
      <c r="M132">
        <v>2</v>
      </c>
      <c r="N132">
        <v>102.64</v>
      </c>
      <c r="O132">
        <v>41061.019999999997</v>
      </c>
      <c r="P132">
        <v>106.35</v>
      </c>
      <c r="Q132">
        <v>204.14</v>
      </c>
      <c r="R132">
        <v>23.23</v>
      </c>
      <c r="S132">
        <v>17.37</v>
      </c>
      <c r="T132">
        <v>837.6</v>
      </c>
      <c r="U132">
        <v>0.75</v>
      </c>
      <c r="V132">
        <v>0.76</v>
      </c>
      <c r="W132">
        <v>1.1399999999999999</v>
      </c>
      <c r="X132">
        <v>0.04</v>
      </c>
      <c r="Y132">
        <v>1</v>
      </c>
      <c r="Z132">
        <v>10</v>
      </c>
    </row>
    <row r="133" spans="1:26" x14ac:dyDescent="0.3">
      <c r="A133">
        <v>131</v>
      </c>
      <c r="B133">
        <v>135</v>
      </c>
      <c r="C133" t="s">
        <v>26</v>
      </c>
      <c r="D133">
        <v>10.2104</v>
      </c>
      <c r="E133">
        <v>9.7899999999999991</v>
      </c>
      <c r="F133">
        <v>6.74</v>
      </c>
      <c r="G133">
        <v>101.08</v>
      </c>
      <c r="H133">
        <v>1.81</v>
      </c>
      <c r="I133">
        <v>4</v>
      </c>
      <c r="J133">
        <v>331.62</v>
      </c>
      <c r="K133">
        <v>59.89</v>
      </c>
      <c r="L133">
        <v>33.75</v>
      </c>
      <c r="M133">
        <v>2</v>
      </c>
      <c r="N133">
        <v>102.98</v>
      </c>
      <c r="O133">
        <v>41133.67</v>
      </c>
      <c r="P133">
        <v>106.31</v>
      </c>
      <c r="Q133">
        <v>204.14</v>
      </c>
      <c r="R133">
        <v>23.25</v>
      </c>
      <c r="S133">
        <v>17.37</v>
      </c>
      <c r="T133">
        <v>845.15</v>
      </c>
      <c r="U133">
        <v>0.75</v>
      </c>
      <c r="V133">
        <v>0.76</v>
      </c>
      <c r="W133">
        <v>1.1399999999999999</v>
      </c>
      <c r="X133">
        <v>0.05</v>
      </c>
      <c r="Y133">
        <v>1</v>
      </c>
      <c r="Z133">
        <v>10</v>
      </c>
    </row>
    <row r="134" spans="1:26" x14ac:dyDescent="0.3">
      <c r="A134">
        <v>132</v>
      </c>
      <c r="B134">
        <v>135</v>
      </c>
      <c r="C134" t="s">
        <v>26</v>
      </c>
      <c r="D134">
        <v>10.2128</v>
      </c>
      <c r="E134">
        <v>9.7899999999999991</v>
      </c>
      <c r="F134">
        <v>6.74</v>
      </c>
      <c r="G134">
        <v>101.05</v>
      </c>
      <c r="H134">
        <v>1.82</v>
      </c>
      <c r="I134">
        <v>4</v>
      </c>
      <c r="J134">
        <v>332.21</v>
      </c>
      <c r="K134">
        <v>59.89</v>
      </c>
      <c r="L134">
        <v>34</v>
      </c>
      <c r="M134">
        <v>2</v>
      </c>
      <c r="N134">
        <v>103.32</v>
      </c>
      <c r="O134">
        <v>41206.49</v>
      </c>
      <c r="P134">
        <v>106.19</v>
      </c>
      <c r="Q134">
        <v>204.14</v>
      </c>
      <c r="R134">
        <v>23.24</v>
      </c>
      <c r="S134">
        <v>17.37</v>
      </c>
      <c r="T134">
        <v>840.79</v>
      </c>
      <c r="U134">
        <v>0.75</v>
      </c>
      <c r="V134">
        <v>0.76</v>
      </c>
      <c r="W134">
        <v>1.1399999999999999</v>
      </c>
      <c r="X134">
        <v>0.05</v>
      </c>
      <c r="Y134">
        <v>1</v>
      </c>
      <c r="Z134">
        <v>10</v>
      </c>
    </row>
    <row r="135" spans="1:26" x14ac:dyDescent="0.3">
      <c r="A135">
        <v>133</v>
      </c>
      <c r="B135">
        <v>135</v>
      </c>
      <c r="C135" t="s">
        <v>26</v>
      </c>
      <c r="D135">
        <v>10.2067</v>
      </c>
      <c r="E135">
        <v>9.8000000000000007</v>
      </c>
      <c r="F135">
        <v>6.74</v>
      </c>
      <c r="G135">
        <v>101.13</v>
      </c>
      <c r="H135">
        <v>1.83</v>
      </c>
      <c r="I135">
        <v>4</v>
      </c>
      <c r="J135">
        <v>332.8</v>
      </c>
      <c r="K135">
        <v>59.89</v>
      </c>
      <c r="L135">
        <v>34.25</v>
      </c>
      <c r="M135">
        <v>2</v>
      </c>
      <c r="N135">
        <v>103.66</v>
      </c>
      <c r="O135">
        <v>41279.480000000003</v>
      </c>
      <c r="P135">
        <v>106.15</v>
      </c>
      <c r="Q135">
        <v>204.14</v>
      </c>
      <c r="R135">
        <v>23.35</v>
      </c>
      <c r="S135">
        <v>17.37</v>
      </c>
      <c r="T135">
        <v>899.36</v>
      </c>
      <c r="U135">
        <v>0.74</v>
      </c>
      <c r="V135">
        <v>0.76</v>
      </c>
      <c r="W135">
        <v>1.1399999999999999</v>
      </c>
      <c r="X135">
        <v>0.05</v>
      </c>
      <c r="Y135">
        <v>1</v>
      </c>
      <c r="Z135">
        <v>10</v>
      </c>
    </row>
    <row r="136" spans="1:26" x14ac:dyDescent="0.3">
      <c r="A136">
        <v>134</v>
      </c>
      <c r="B136">
        <v>135</v>
      </c>
      <c r="C136" t="s">
        <v>26</v>
      </c>
      <c r="D136">
        <v>10.2081</v>
      </c>
      <c r="E136">
        <v>9.8000000000000007</v>
      </c>
      <c r="F136">
        <v>6.74</v>
      </c>
      <c r="G136">
        <v>101.11</v>
      </c>
      <c r="H136">
        <v>1.84</v>
      </c>
      <c r="I136">
        <v>4</v>
      </c>
      <c r="J136">
        <v>333.39</v>
      </c>
      <c r="K136">
        <v>59.89</v>
      </c>
      <c r="L136">
        <v>34.5</v>
      </c>
      <c r="M136">
        <v>2</v>
      </c>
      <c r="N136">
        <v>104.01</v>
      </c>
      <c r="O136">
        <v>41352.629999999997</v>
      </c>
      <c r="P136">
        <v>105.81</v>
      </c>
      <c r="Q136">
        <v>204.14</v>
      </c>
      <c r="R136">
        <v>23.38</v>
      </c>
      <c r="S136">
        <v>17.37</v>
      </c>
      <c r="T136">
        <v>914.24</v>
      </c>
      <c r="U136">
        <v>0.74</v>
      </c>
      <c r="V136">
        <v>0.76</v>
      </c>
      <c r="W136">
        <v>1.1399999999999999</v>
      </c>
      <c r="X136">
        <v>0.05</v>
      </c>
      <c r="Y136">
        <v>1</v>
      </c>
      <c r="Z136">
        <v>10</v>
      </c>
    </row>
    <row r="137" spans="1:26" x14ac:dyDescent="0.3">
      <c r="A137">
        <v>135</v>
      </c>
      <c r="B137">
        <v>135</v>
      </c>
      <c r="C137" t="s">
        <v>26</v>
      </c>
      <c r="D137">
        <v>10.207800000000001</v>
      </c>
      <c r="E137">
        <v>9.8000000000000007</v>
      </c>
      <c r="F137">
        <v>6.74</v>
      </c>
      <c r="G137">
        <v>101.12</v>
      </c>
      <c r="H137">
        <v>1.85</v>
      </c>
      <c r="I137">
        <v>4</v>
      </c>
      <c r="J137">
        <v>333.99</v>
      </c>
      <c r="K137">
        <v>59.89</v>
      </c>
      <c r="L137">
        <v>34.75</v>
      </c>
      <c r="M137">
        <v>2</v>
      </c>
      <c r="N137">
        <v>104.35</v>
      </c>
      <c r="O137">
        <v>41426.07</v>
      </c>
      <c r="P137">
        <v>105.68</v>
      </c>
      <c r="Q137">
        <v>204.15</v>
      </c>
      <c r="R137">
        <v>23.42</v>
      </c>
      <c r="S137">
        <v>17.37</v>
      </c>
      <c r="T137">
        <v>931.69</v>
      </c>
      <c r="U137">
        <v>0.74</v>
      </c>
      <c r="V137">
        <v>0.76</v>
      </c>
      <c r="W137">
        <v>1.1399999999999999</v>
      </c>
      <c r="X137">
        <v>0.05</v>
      </c>
      <c r="Y137">
        <v>1</v>
      </c>
      <c r="Z137">
        <v>10</v>
      </c>
    </row>
    <row r="138" spans="1:26" x14ac:dyDescent="0.3">
      <c r="A138">
        <v>136</v>
      </c>
      <c r="B138">
        <v>135</v>
      </c>
      <c r="C138" t="s">
        <v>26</v>
      </c>
      <c r="D138">
        <v>10.211</v>
      </c>
      <c r="E138">
        <v>9.7899999999999991</v>
      </c>
      <c r="F138">
        <v>6.74</v>
      </c>
      <c r="G138">
        <v>101.07</v>
      </c>
      <c r="H138">
        <v>1.86</v>
      </c>
      <c r="I138">
        <v>4</v>
      </c>
      <c r="J138">
        <v>334.58</v>
      </c>
      <c r="K138">
        <v>59.89</v>
      </c>
      <c r="L138">
        <v>35</v>
      </c>
      <c r="M138">
        <v>2</v>
      </c>
      <c r="N138">
        <v>104.7</v>
      </c>
      <c r="O138">
        <v>41499.57</v>
      </c>
      <c r="P138">
        <v>105.5</v>
      </c>
      <c r="Q138">
        <v>204.14</v>
      </c>
      <c r="R138">
        <v>23.25</v>
      </c>
      <c r="S138">
        <v>17.37</v>
      </c>
      <c r="T138">
        <v>845.87</v>
      </c>
      <c r="U138">
        <v>0.75</v>
      </c>
      <c r="V138">
        <v>0.76</v>
      </c>
      <c r="W138">
        <v>1.1399999999999999</v>
      </c>
      <c r="X138">
        <v>0.05</v>
      </c>
      <c r="Y138">
        <v>1</v>
      </c>
      <c r="Z138">
        <v>10</v>
      </c>
    </row>
    <row r="139" spans="1:26" x14ac:dyDescent="0.3">
      <c r="A139">
        <v>137</v>
      </c>
      <c r="B139">
        <v>135</v>
      </c>
      <c r="C139" t="s">
        <v>26</v>
      </c>
      <c r="D139">
        <v>10.209899999999999</v>
      </c>
      <c r="E139">
        <v>9.7899999999999991</v>
      </c>
      <c r="F139">
        <v>6.74</v>
      </c>
      <c r="G139">
        <v>101.09</v>
      </c>
      <c r="H139">
        <v>1.87</v>
      </c>
      <c r="I139">
        <v>4</v>
      </c>
      <c r="J139">
        <v>335.18</v>
      </c>
      <c r="K139">
        <v>59.89</v>
      </c>
      <c r="L139">
        <v>35.25</v>
      </c>
      <c r="M139">
        <v>2</v>
      </c>
      <c r="N139">
        <v>105.04</v>
      </c>
      <c r="O139">
        <v>41573.230000000003</v>
      </c>
      <c r="P139">
        <v>105.36</v>
      </c>
      <c r="Q139">
        <v>204.14</v>
      </c>
      <c r="R139">
        <v>23.27</v>
      </c>
      <c r="S139">
        <v>17.37</v>
      </c>
      <c r="T139">
        <v>858.11</v>
      </c>
      <c r="U139">
        <v>0.75</v>
      </c>
      <c r="V139">
        <v>0.76</v>
      </c>
      <c r="W139">
        <v>1.1399999999999999</v>
      </c>
      <c r="X139">
        <v>0.05</v>
      </c>
      <c r="Y139">
        <v>1</v>
      </c>
      <c r="Z139">
        <v>10</v>
      </c>
    </row>
    <row r="140" spans="1:26" x14ac:dyDescent="0.3">
      <c r="A140">
        <v>138</v>
      </c>
      <c r="B140">
        <v>135</v>
      </c>
      <c r="C140" t="s">
        <v>26</v>
      </c>
      <c r="D140">
        <v>10.2096</v>
      </c>
      <c r="E140">
        <v>9.7899999999999991</v>
      </c>
      <c r="F140">
        <v>6.74</v>
      </c>
      <c r="G140">
        <v>101.09</v>
      </c>
      <c r="H140">
        <v>1.88</v>
      </c>
      <c r="I140">
        <v>4</v>
      </c>
      <c r="J140">
        <v>335.78</v>
      </c>
      <c r="K140">
        <v>59.89</v>
      </c>
      <c r="L140">
        <v>35.5</v>
      </c>
      <c r="M140">
        <v>2</v>
      </c>
      <c r="N140">
        <v>105.39</v>
      </c>
      <c r="O140">
        <v>41647.07</v>
      </c>
      <c r="P140">
        <v>105.32</v>
      </c>
      <c r="Q140">
        <v>204.14</v>
      </c>
      <c r="R140">
        <v>23.32</v>
      </c>
      <c r="S140">
        <v>17.37</v>
      </c>
      <c r="T140">
        <v>883.88</v>
      </c>
      <c r="U140">
        <v>0.74</v>
      </c>
      <c r="V140">
        <v>0.76</v>
      </c>
      <c r="W140">
        <v>1.1399999999999999</v>
      </c>
      <c r="X140">
        <v>0.05</v>
      </c>
      <c r="Y140">
        <v>1</v>
      </c>
      <c r="Z140">
        <v>10</v>
      </c>
    </row>
    <row r="141" spans="1:26" x14ac:dyDescent="0.3">
      <c r="A141">
        <v>139</v>
      </c>
      <c r="B141">
        <v>135</v>
      </c>
      <c r="C141" t="s">
        <v>26</v>
      </c>
      <c r="D141">
        <v>10.211600000000001</v>
      </c>
      <c r="E141">
        <v>9.7899999999999991</v>
      </c>
      <c r="F141">
        <v>6.74</v>
      </c>
      <c r="G141">
        <v>101.06</v>
      </c>
      <c r="H141">
        <v>1.89</v>
      </c>
      <c r="I141">
        <v>4</v>
      </c>
      <c r="J141">
        <v>336.38</v>
      </c>
      <c r="K141">
        <v>59.89</v>
      </c>
      <c r="L141">
        <v>35.75</v>
      </c>
      <c r="M141">
        <v>2</v>
      </c>
      <c r="N141">
        <v>105.74</v>
      </c>
      <c r="O141">
        <v>41721.08</v>
      </c>
      <c r="P141">
        <v>105.19</v>
      </c>
      <c r="Q141">
        <v>204.14</v>
      </c>
      <c r="R141">
        <v>23.2</v>
      </c>
      <c r="S141">
        <v>17.37</v>
      </c>
      <c r="T141">
        <v>820.85</v>
      </c>
      <c r="U141">
        <v>0.75</v>
      </c>
      <c r="V141">
        <v>0.76</v>
      </c>
      <c r="W141">
        <v>1.1399999999999999</v>
      </c>
      <c r="X141">
        <v>0.05</v>
      </c>
      <c r="Y141">
        <v>1</v>
      </c>
      <c r="Z141">
        <v>10</v>
      </c>
    </row>
    <row r="142" spans="1:26" x14ac:dyDescent="0.3">
      <c r="A142">
        <v>140</v>
      </c>
      <c r="B142">
        <v>135</v>
      </c>
      <c r="C142" t="s">
        <v>26</v>
      </c>
      <c r="D142">
        <v>10.211600000000001</v>
      </c>
      <c r="E142">
        <v>9.7899999999999991</v>
      </c>
      <c r="F142">
        <v>6.74</v>
      </c>
      <c r="G142">
        <v>101.06</v>
      </c>
      <c r="H142">
        <v>1.9</v>
      </c>
      <c r="I142">
        <v>4</v>
      </c>
      <c r="J142">
        <v>336.98</v>
      </c>
      <c r="K142">
        <v>59.89</v>
      </c>
      <c r="L142">
        <v>36</v>
      </c>
      <c r="M142">
        <v>2</v>
      </c>
      <c r="N142">
        <v>106.09</v>
      </c>
      <c r="O142">
        <v>41795.26</v>
      </c>
      <c r="P142">
        <v>104.95</v>
      </c>
      <c r="Q142">
        <v>204.14</v>
      </c>
      <c r="R142">
        <v>23.29</v>
      </c>
      <c r="S142">
        <v>17.37</v>
      </c>
      <c r="T142">
        <v>869.12</v>
      </c>
      <c r="U142">
        <v>0.75</v>
      </c>
      <c r="V142">
        <v>0.76</v>
      </c>
      <c r="W142">
        <v>1.1399999999999999</v>
      </c>
      <c r="X142">
        <v>0.05</v>
      </c>
      <c r="Y142">
        <v>1</v>
      </c>
      <c r="Z142">
        <v>10</v>
      </c>
    </row>
    <row r="143" spans="1:26" x14ac:dyDescent="0.3">
      <c r="A143">
        <v>141</v>
      </c>
      <c r="B143">
        <v>135</v>
      </c>
      <c r="C143" t="s">
        <v>26</v>
      </c>
      <c r="D143">
        <v>10.207599999999999</v>
      </c>
      <c r="E143">
        <v>9.8000000000000007</v>
      </c>
      <c r="F143">
        <v>6.74</v>
      </c>
      <c r="G143">
        <v>101.12</v>
      </c>
      <c r="H143">
        <v>1.91</v>
      </c>
      <c r="I143">
        <v>4</v>
      </c>
      <c r="J143">
        <v>337.58</v>
      </c>
      <c r="K143">
        <v>59.89</v>
      </c>
      <c r="L143">
        <v>36.25</v>
      </c>
      <c r="M143">
        <v>2</v>
      </c>
      <c r="N143">
        <v>106.45</v>
      </c>
      <c r="O143">
        <v>41869.620000000003</v>
      </c>
      <c r="P143">
        <v>104.79</v>
      </c>
      <c r="Q143">
        <v>204.14</v>
      </c>
      <c r="R143">
        <v>23.37</v>
      </c>
      <c r="S143">
        <v>17.37</v>
      </c>
      <c r="T143">
        <v>907.79</v>
      </c>
      <c r="U143">
        <v>0.74</v>
      </c>
      <c r="V143">
        <v>0.76</v>
      </c>
      <c r="W143">
        <v>1.1399999999999999</v>
      </c>
      <c r="X143">
        <v>0.05</v>
      </c>
      <c r="Y143">
        <v>1</v>
      </c>
      <c r="Z143">
        <v>10</v>
      </c>
    </row>
    <row r="144" spans="1:26" x14ac:dyDescent="0.3">
      <c r="A144">
        <v>142</v>
      </c>
      <c r="B144">
        <v>135</v>
      </c>
      <c r="C144" t="s">
        <v>26</v>
      </c>
      <c r="D144">
        <v>10.2073</v>
      </c>
      <c r="E144">
        <v>9.8000000000000007</v>
      </c>
      <c r="F144">
        <v>6.74</v>
      </c>
      <c r="G144">
        <v>101.12</v>
      </c>
      <c r="H144">
        <v>1.92</v>
      </c>
      <c r="I144">
        <v>4</v>
      </c>
      <c r="J144">
        <v>338.19</v>
      </c>
      <c r="K144">
        <v>59.89</v>
      </c>
      <c r="L144">
        <v>36.5</v>
      </c>
      <c r="M144">
        <v>2</v>
      </c>
      <c r="N144">
        <v>106.8</v>
      </c>
      <c r="O144">
        <v>41944.15</v>
      </c>
      <c r="P144">
        <v>104.48</v>
      </c>
      <c r="Q144">
        <v>204.14</v>
      </c>
      <c r="R144">
        <v>23.41</v>
      </c>
      <c r="S144">
        <v>17.37</v>
      </c>
      <c r="T144">
        <v>926.91</v>
      </c>
      <c r="U144">
        <v>0.74</v>
      </c>
      <c r="V144">
        <v>0.76</v>
      </c>
      <c r="W144">
        <v>1.1399999999999999</v>
      </c>
      <c r="X144">
        <v>0.05</v>
      </c>
      <c r="Y144">
        <v>1</v>
      </c>
      <c r="Z144">
        <v>10</v>
      </c>
    </row>
    <row r="145" spans="1:26" x14ac:dyDescent="0.3">
      <c r="A145">
        <v>143</v>
      </c>
      <c r="B145">
        <v>135</v>
      </c>
      <c r="C145" t="s">
        <v>26</v>
      </c>
      <c r="D145">
        <v>10.2073</v>
      </c>
      <c r="E145">
        <v>9.8000000000000007</v>
      </c>
      <c r="F145">
        <v>6.74</v>
      </c>
      <c r="G145">
        <v>101.12</v>
      </c>
      <c r="H145">
        <v>1.93</v>
      </c>
      <c r="I145">
        <v>4</v>
      </c>
      <c r="J145">
        <v>338.79</v>
      </c>
      <c r="K145">
        <v>59.89</v>
      </c>
      <c r="L145">
        <v>36.75</v>
      </c>
      <c r="M145">
        <v>2</v>
      </c>
      <c r="N145">
        <v>107.16</v>
      </c>
      <c r="O145">
        <v>42018.86</v>
      </c>
      <c r="P145">
        <v>104.3</v>
      </c>
      <c r="Q145">
        <v>204.14</v>
      </c>
      <c r="R145">
        <v>23.35</v>
      </c>
      <c r="S145">
        <v>17.37</v>
      </c>
      <c r="T145">
        <v>896.07</v>
      </c>
      <c r="U145">
        <v>0.74</v>
      </c>
      <c r="V145">
        <v>0.76</v>
      </c>
      <c r="W145">
        <v>1.1399999999999999</v>
      </c>
      <c r="X145">
        <v>0.05</v>
      </c>
      <c r="Y145">
        <v>1</v>
      </c>
      <c r="Z145">
        <v>10</v>
      </c>
    </row>
    <row r="146" spans="1:26" x14ac:dyDescent="0.3">
      <c r="A146">
        <v>144</v>
      </c>
      <c r="B146">
        <v>135</v>
      </c>
      <c r="C146" t="s">
        <v>26</v>
      </c>
      <c r="D146">
        <v>10.286899999999999</v>
      </c>
      <c r="E146">
        <v>9.7200000000000006</v>
      </c>
      <c r="F146">
        <v>6.72</v>
      </c>
      <c r="G146">
        <v>134.33000000000001</v>
      </c>
      <c r="H146">
        <v>1.94</v>
      </c>
      <c r="I146">
        <v>3</v>
      </c>
      <c r="J146">
        <v>339.4</v>
      </c>
      <c r="K146">
        <v>59.89</v>
      </c>
      <c r="L146">
        <v>37</v>
      </c>
      <c r="M146">
        <v>1</v>
      </c>
      <c r="N146">
        <v>107.51</v>
      </c>
      <c r="O146">
        <v>42093.75</v>
      </c>
      <c r="P146">
        <v>103.44</v>
      </c>
      <c r="Q146">
        <v>204.14</v>
      </c>
      <c r="R146">
        <v>22.59</v>
      </c>
      <c r="S146">
        <v>17.37</v>
      </c>
      <c r="T146">
        <v>520.29</v>
      </c>
      <c r="U146">
        <v>0.77</v>
      </c>
      <c r="V146">
        <v>0.76</v>
      </c>
      <c r="W146">
        <v>1.1399999999999999</v>
      </c>
      <c r="X146">
        <v>0.03</v>
      </c>
      <c r="Y146">
        <v>1</v>
      </c>
      <c r="Z146">
        <v>10</v>
      </c>
    </row>
    <row r="147" spans="1:26" x14ac:dyDescent="0.3">
      <c r="A147">
        <v>145</v>
      </c>
      <c r="B147">
        <v>135</v>
      </c>
      <c r="C147" t="s">
        <v>26</v>
      </c>
      <c r="D147">
        <v>10.2857</v>
      </c>
      <c r="E147">
        <v>9.7200000000000006</v>
      </c>
      <c r="F147">
        <v>6.72</v>
      </c>
      <c r="G147">
        <v>134.35</v>
      </c>
      <c r="H147">
        <v>1.95</v>
      </c>
      <c r="I147">
        <v>3</v>
      </c>
      <c r="J147">
        <v>340.01</v>
      </c>
      <c r="K147">
        <v>59.89</v>
      </c>
      <c r="L147">
        <v>37.25</v>
      </c>
      <c r="M147">
        <v>1</v>
      </c>
      <c r="N147">
        <v>107.87</v>
      </c>
      <c r="O147">
        <v>42168.82</v>
      </c>
      <c r="P147">
        <v>103.52</v>
      </c>
      <c r="Q147">
        <v>204.15</v>
      </c>
      <c r="R147">
        <v>22.61</v>
      </c>
      <c r="S147">
        <v>17.37</v>
      </c>
      <c r="T147">
        <v>530.74</v>
      </c>
      <c r="U147">
        <v>0.77</v>
      </c>
      <c r="V147">
        <v>0.76</v>
      </c>
      <c r="W147">
        <v>1.1399999999999999</v>
      </c>
      <c r="X147">
        <v>0.03</v>
      </c>
      <c r="Y147">
        <v>1</v>
      </c>
      <c r="Z147">
        <v>10</v>
      </c>
    </row>
    <row r="148" spans="1:26" x14ac:dyDescent="0.3">
      <c r="A148">
        <v>146</v>
      </c>
      <c r="B148">
        <v>135</v>
      </c>
      <c r="C148" t="s">
        <v>26</v>
      </c>
      <c r="D148">
        <v>10.285399999999999</v>
      </c>
      <c r="E148">
        <v>9.7200000000000006</v>
      </c>
      <c r="F148">
        <v>6.72</v>
      </c>
      <c r="G148">
        <v>134.36000000000001</v>
      </c>
      <c r="H148">
        <v>1.96</v>
      </c>
      <c r="I148">
        <v>3</v>
      </c>
      <c r="J148">
        <v>340.62</v>
      </c>
      <c r="K148">
        <v>59.89</v>
      </c>
      <c r="L148">
        <v>37.5</v>
      </c>
      <c r="M148">
        <v>1</v>
      </c>
      <c r="N148">
        <v>108.23</v>
      </c>
      <c r="O148">
        <v>42244.08</v>
      </c>
      <c r="P148">
        <v>103.95</v>
      </c>
      <c r="Q148">
        <v>204.14</v>
      </c>
      <c r="R148">
        <v>22.62</v>
      </c>
      <c r="S148">
        <v>17.37</v>
      </c>
      <c r="T148">
        <v>539.36</v>
      </c>
      <c r="U148">
        <v>0.77</v>
      </c>
      <c r="V148">
        <v>0.76</v>
      </c>
      <c r="W148">
        <v>1.1399999999999999</v>
      </c>
      <c r="X148">
        <v>0.03</v>
      </c>
      <c r="Y148">
        <v>1</v>
      </c>
      <c r="Z148">
        <v>10</v>
      </c>
    </row>
    <row r="149" spans="1:26" x14ac:dyDescent="0.3">
      <c r="A149">
        <v>147</v>
      </c>
      <c r="B149">
        <v>135</v>
      </c>
      <c r="C149" t="s">
        <v>26</v>
      </c>
      <c r="D149">
        <v>10.2837</v>
      </c>
      <c r="E149">
        <v>9.7200000000000006</v>
      </c>
      <c r="F149">
        <v>6.72</v>
      </c>
      <c r="G149">
        <v>134.38999999999999</v>
      </c>
      <c r="H149">
        <v>1.97</v>
      </c>
      <c r="I149">
        <v>3</v>
      </c>
      <c r="J149">
        <v>341.23</v>
      </c>
      <c r="K149">
        <v>59.89</v>
      </c>
      <c r="L149">
        <v>37.75</v>
      </c>
      <c r="M149">
        <v>1</v>
      </c>
      <c r="N149">
        <v>108.59</v>
      </c>
      <c r="O149">
        <v>42319.51</v>
      </c>
      <c r="P149">
        <v>104.09</v>
      </c>
      <c r="Q149">
        <v>204.14</v>
      </c>
      <c r="R149">
        <v>22.67</v>
      </c>
      <c r="S149">
        <v>17.37</v>
      </c>
      <c r="T149">
        <v>564.01</v>
      </c>
      <c r="U149">
        <v>0.77</v>
      </c>
      <c r="V149">
        <v>0.76</v>
      </c>
      <c r="W149">
        <v>1.1399999999999999</v>
      </c>
      <c r="X149">
        <v>0.03</v>
      </c>
      <c r="Y149">
        <v>1</v>
      </c>
      <c r="Z149">
        <v>10</v>
      </c>
    </row>
    <row r="150" spans="1:26" x14ac:dyDescent="0.3">
      <c r="A150">
        <v>148</v>
      </c>
      <c r="B150">
        <v>135</v>
      </c>
      <c r="C150" t="s">
        <v>26</v>
      </c>
      <c r="D150">
        <v>10.284000000000001</v>
      </c>
      <c r="E150">
        <v>9.7200000000000006</v>
      </c>
      <c r="F150">
        <v>6.72</v>
      </c>
      <c r="G150">
        <v>134.38</v>
      </c>
      <c r="H150">
        <v>1.98</v>
      </c>
      <c r="I150">
        <v>3</v>
      </c>
      <c r="J150">
        <v>341.84</v>
      </c>
      <c r="K150">
        <v>59.89</v>
      </c>
      <c r="L150">
        <v>38</v>
      </c>
      <c r="M150">
        <v>1</v>
      </c>
      <c r="N150">
        <v>108.96</v>
      </c>
      <c r="O150">
        <v>42395.13</v>
      </c>
      <c r="P150">
        <v>104.4</v>
      </c>
      <c r="Q150">
        <v>204.14</v>
      </c>
      <c r="R150">
        <v>22.68</v>
      </c>
      <c r="S150">
        <v>17.37</v>
      </c>
      <c r="T150">
        <v>567.92999999999995</v>
      </c>
      <c r="U150">
        <v>0.77</v>
      </c>
      <c r="V150">
        <v>0.76</v>
      </c>
      <c r="W150">
        <v>1.1399999999999999</v>
      </c>
      <c r="X150">
        <v>0.03</v>
      </c>
      <c r="Y150">
        <v>1</v>
      </c>
      <c r="Z150">
        <v>10</v>
      </c>
    </row>
    <row r="151" spans="1:26" x14ac:dyDescent="0.3">
      <c r="A151">
        <v>149</v>
      </c>
      <c r="B151">
        <v>135</v>
      </c>
      <c r="C151" t="s">
        <v>26</v>
      </c>
      <c r="D151">
        <v>10.2845</v>
      </c>
      <c r="E151">
        <v>9.7200000000000006</v>
      </c>
      <c r="F151">
        <v>6.72</v>
      </c>
      <c r="G151">
        <v>134.37</v>
      </c>
      <c r="H151">
        <v>1.99</v>
      </c>
      <c r="I151">
        <v>3</v>
      </c>
      <c r="J151">
        <v>342.46</v>
      </c>
      <c r="K151">
        <v>59.89</v>
      </c>
      <c r="L151">
        <v>38.25</v>
      </c>
      <c r="M151">
        <v>1</v>
      </c>
      <c r="N151">
        <v>109.32</v>
      </c>
      <c r="O151">
        <v>42470.94</v>
      </c>
      <c r="P151">
        <v>104.5</v>
      </c>
      <c r="Q151">
        <v>204.14</v>
      </c>
      <c r="R151">
        <v>22.67</v>
      </c>
      <c r="S151">
        <v>17.37</v>
      </c>
      <c r="T151">
        <v>562.69000000000005</v>
      </c>
      <c r="U151">
        <v>0.77</v>
      </c>
      <c r="V151">
        <v>0.76</v>
      </c>
      <c r="W151">
        <v>1.1399999999999999</v>
      </c>
      <c r="X151">
        <v>0.03</v>
      </c>
      <c r="Y151">
        <v>1</v>
      </c>
      <c r="Z151">
        <v>10</v>
      </c>
    </row>
    <row r="152" spans="1:26" x14ac:dyDescent="0.3">
      <c r="A152">
        <v>150</v>
      </c>
      <c r="B152">
        <v>135</v>
      </c>
      <c r="C152" t="s">
        <v>26</v>
      </c>
      <c r="D152">
        <v>10.284800000000001</v>
      </c>
      <c r="E152">
        <v>9.7200000000000006</v>
      </c>
      <c r="F152">
        <v>6.72</v>
      </c>
      <c r="G152">
        <v>134.37</v>
      </c>
      <c r="H152">
        <v>2</v>
      </c>
      <c r="I152">
        <v>3</v>
      </c>
      <c r="J152">
        <v>343.08</v>
      </c>
      <c r="K152">
        <v>59.89</v>
      </c>
      <c r="L152">
        <v>38.5</v>
      </c>
      <c r="M152">
        <v>1</v>
      </c>
      <c r="N152">
        <v>109.69</v>
      </c>
      <c r="O152">
        <v>42546.93</v>
      </c>
      <c r="P152">
        <v>104.6</v>
      </c>
      <c r="Q152">
        <v>204.14</v>
      </c>
      <c r="R152">
        <v>22.64</v>
      </c>
      <c r="S152">
        <v>17.37</v>
      </c>
      <c r="T152">
        <v>548.21</v>
      </c>
      <c r="U152">
        <v>0.77</v>
      </c>
      <c r="V152">
        <v>0.76</v>
      </c>
      <c r="W152">
        <v>1.1399999999999999</v>
      </c>
      <c r="X152">
        <v>0.03</v>
      </c>
      <c r="Y152">
        <v>1</v>
      </c>
      <c r="Z152">
        <v>10</v>
      </c>
    </row>
    <row r="153" spans="1:26" x14ac:dyDescent="0.3">
      <c r="A153">
        <v>151</v>
      </c>
      <c r="B153">
        <v>135</v>
      </c>
      <c r="C153" t="s">
        <v>26</v>
      </c>
      <c r="D153">
        <v>10.2872</v>
      </c>
      <c r="E153">
        <v>9.7200000000000006</v>
      </c>
      <c r="F153">
        <v>6.72</v>
      </c>
      <c r="G153">
        <v>134.32</v>
      </c>
      <c r="H153">
        <v>2.0099999999999998</v>
      </c>
      <c r="I153">
        <v>3</v>
      </c>
      <c r="J153">
        <v>343.69</v>
      </c>
      <c r="K153">
        <v>59.89</v>
      </c>
      <c r="L153">
        <v>38.75</v>
      </c>
      <c r="M153">
        <v>1</v>
      </c>
      <c r="N153">
        <v>110.06</v>
      </c>
      <c r="O153">
        <v>42623.24</v>
      </c>
      <c r="P153">
        <v>104.85</v>
      </c>
      <c r="Q153">
        <v>204.14</v>
      </c>
      <c r="R153">
        <v>22.59</v>
      </c>
      <c r="S153">
        <v>17.37</v>
      </c>
      <c r="T153">
        <v>524.54</v>
      </c>
      <c r="U153">
        <v>0.77</v>
      </c>
      <c r="V153">
        <v>0.76</v>
      </c>
      <c r="W153">
        <v>1.1399999999999999</v>
      </c>
      <c r="X153">
        <v>0.03</v>
      </c>
      <c r="Y153">
        <v>1</v>
      </c>
      <c r="Z153">
        <v>10</v>
      </c>
    </row>
    <row r="154" spans="1:26" x14ac:dyDescent="0.3">
      <c r="A154">
        <v>152</v>
      </c>
      <c r="B154">
        <v>135</v>
      </c>
      <c r="C154" t="s">
        <v>26</v>
      </c>
      <c r="D154">
        <v>10.2851</v>
      </c>
      <c r="E154">
        <v>9.7200000000000006</v>
      </c>
      <c r="F154">
        <v>6.72</v>
      </c>
      <c r="G154">
        <v>134.36000000000001</v>
      </c>
      <c r="H154">
        <v>2.02</v>
      </c>
      <c r="I154">
        <v>3</v>
      </c>
      <c r="J154">
        <v>344.31</v>
      </c>
      <c r="K154">
        <v>59.89</v>
      </c>
      <c r="L154">
        <v>39</v>
      </c>
      <c r="M154">
        <v>1</v>
      </c>
      <c r="N154">
        <v>110.43</v>
      </c>
      <c r="O154">
        <v>42699.62</v>
      </c>
      <c r="P154">
        <v>105.01</v>
      </c>
      <c r="Q154">
        <v>204.14</v>
      </c>
      <c r="R154">
        <v>22.61</v>
      </c>
      <c r="S154">
        <v>17.37</v>
      </c>
      <c r="T154">
        <v>534.24</v>
      </c>
      <c r="U154">
        <v>0.77</v>
      </c>
      <c r="V154">
        <v>0.76</v>
      </c>
      <c r="W154">
        <v>1.1399999999999999</v>
      </c>
      <c r="X154">
        <v>0.03</v>
      </c>
      <c r="Y154">
        <v>1</v>
      </c>
      <c r="Z154">
        <v>10</v>
      </c>
    </row>
    <row r="155" spans="1:26" x14ac:dyDescent="0.3">
      <c r="A155">
        <v>153</v>
      </c>
      <c r="B155">
        <v>135</v>
      </c>
      <c r="C155" t="s">
        <v>26</v>
      </c>
      <c r="D155">
        <v>10.2845</v>
      </c>
      <c r="E155">
        <v>9.7200000000000006</v>
      </c>
      <c r="F155">
        <v>6.72</v>
      </c>
      <c r="G155">
        <v>134.37</v>
      </c>
      <c r="H155">
        <v>2.0299999999999998</v>
      </c>
      <c r="I155">
        <v>3</v>
      </c>
      <c r="J155">
        <v>344.93</v>
      </c>
      <c r="K155">
        <v>59.89</v>
      </c>
      <c r="L155">
        <v>39.25</v>
      </c>
      <c r="M155">
        <v>1</v>
      </c>
      <c r="N155">
        <v>110.8</v>
      </c>
      <c r="O155">
        <v>42776.18</v>
      </c>
      <c r="P155">
        <v>105.11</v>
      </c>
      <c r="Q155">
        <v>204.16</v>
      </c>
      <c r="R155">
        <v>22.66</v>
      </c>
      <c r="S155">
        <v>17.37</v>
      </c>
      <c r="T155">
        <v>559.76</v>
      </c>
      <c r="U155">
        <v>0.77</v>
      </c>
      <c r="V155">
        <v>0.76</v>
      </c>
      <c r="W155">
        <v>1.1399999999999999</v>
      </c>
      <c r="X155">
        <v>0.03</v>
      </c>
      <c r="Y155">
        <v>1</v>
      </c>
      <c r="Z155">
        <v>10</v>
      </c>
    </row>
    <row r="156" spans="1:26" x14ac:dyDescent="0.3">
      <c r="A156">
        <v>154</v>
      </c>
      <c r="B156">
        <v>135</v>
      </c>
      <c r="C156" t="s">
        <v>26</v>
      </c>
      <c r="D156">
        <v>10.2828</v>
      </c>
      <c r="E156">
        <v>9.7200000000000006</v>
      </c>
      <c r="F156">
        <v>6.72</v>
      </c>
      <c r="G156">
        <v>134.41</v>
      </c>
      <c r="H156">
        <v>2.04</v>
      </c>
      <c r="I156">
        <v>3</v>
      </c>
      <c r="J156">
        <v>345.56</v>
      </c>
      <c r="K156">
        <v>59.89</v>
      </c>
      <c r="L156">
        <v>39.5</v>
      </c>
      <c r="M156">
        <v>1</v>
      </c>
      <c r="N156">
        <v>111.17</v>
      </c>
      <c r="O156">
        <v>42852.94</v>
      </c>
      <c r="P156">
        <v>105.23</v>
      </c>
      <c r="Q156">
        <v>204.19</v>
      </c>
      <c r="R156">
        <v>22.73</v>
      </c>
      <c r="S156">
        <v>17.37</v>
      </c>
      <c r="T156">
        <v>593.91</v>
      </c>
      <c r="U156">
        <v>0.76</v>
      </c>
      <c r="V156">
        <v>0.76</v>
      </c>
      <c r="W156">
        <v>1.1399999999999999</v>
      </c>
      <c r="X156">
        <v>0.03</v>
      </c>
      <c r="Y156">
        <v>1</v>
      </c>
      <c r="Z156">
        <v>10</v>
      </c>
    </row>
    <row r="157" spans="1:26" x14ac:dyDescent="0.3">
      <c r="A157">
        <v>155</v>
      </c>
      <c r="B157">
        <v>135</v>
      </c>
      <c r="C157" t="s">
        <v>26</v>
      </c>
      <c r="D157">
        <v>10.2804</v>
      </c>
      <c r="E157">
        <v>9.73</v>
      </c>
      <c r="F157">
        <v>6.72</v>
      </c>
      <c r="G157">
        <v>134.44999999999999</v>
      </c>
      <c r="H157">
        <v>2.0499999999999998</v>
      </c>
      <c r="I157">
        <v>3</v>
      </c>
      <c r="J157">
        <v>346.18</v>
      </c>
      <c r="K157">
        <v>59.89</v>
      </c>
      <c r="L157">
        <v>39.75</v>
      </c>
      <c r="M157">
        <v>1</v>
      </c>
      <c r="N157">
        <v>111.54</v>
      </c>
      <c r="O157">
        <v>42929.9</v>
      </c>
      <c r="P157">
        <v>105.33</v>
      </c>
      <c r="Q157">
        <v>204.14</v>
      </c>
      <c r="R157">
        <v>22.77</v>
      </c>
      <c r="S157">
        <v>17.37</v>
      </c>
      <c r="T157">
        <v>613.54</v>
      </c>
      <c r="U157">
        <v>0.76</v>
      </c>
      <c r="V157">
        <v>0.76</v>
      </c>
      <c r="W157">
        <v>1.1399999999999999</v>
      </c>
      <c r="X157">
        <v>0.03</v>
      </c>
      <c r="Y157">
        <v>1</v>
      </c>
      <c r="Z157">
        <v>10</v>
      </c>
    </row>
    <row r="158" spans="1:26" x14ac:dyDescent="0.3">
      <c r="A158">
        <v>156</v>
      </c>
      <c r="B158">
        <v>135</v>
      </c>
      <c r="C158" t="s">
        <v>26</v>
      </c>
      <c r="D158">
        <v>10.283099999999999</v>
      </c>
      <c r="E158">
        <v>9.7200000000000006</v>
      </c>
      <c r="F158">
        <v>6.72</v>
      </c>
      <c r="G158">
        <v>134.4</v>
      </c>
      <c r="H158">
        <v>2.06</v>
      </c>
      <c r="I158">
        <v>3</v>
      </c>
      <c r="J158">
        <v>346.81</v>
      </c>
      <c r="K158">
        <v>59.89</v>
      </c>
      <c r="L158">
        <v>40</v>
      </c>
      <c r="M158">
        <v>1</v>
      </c>
      <c r="N158">
        <v>111.92</v>
      </c>
      <c r="O158">
        <v>43007.05</v>
      </c>
      <c r="P158">
        <v>105.33</v>
      </c>
      <c r="Q158">
        <v>204.14</v>
      </c>
      <c r="R158">
        <v>22.71</v>
      </c>
      <c r="S158">
        <v>17.37</v>
      </c>
      <c r="T158">
        <v>583.32000000000005</v>
      </c>
      <c r="U158">
        <v>0.76</v>
      </c>
      <c r="V158">
        <v>0.76</v>
      </c>
      <c r="W158">
        <v>1.1399999999999999</v>
      </c>
      <c r="X158">
        <v>0.03</v>
      </c>
      <c r="Y158">
        <v>1</v>
      </c>
      <c r="Z158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Planilha16"/>
  <dimension ref="A1:Z72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80</v>
      </c>
      <c r="C2" t="s">
        <v>26</v>
      </c>
      <c r="D2">
        <v>7.7845000000000004</v>
      </c>
      <c r="E2">
        <v>12.85</v>
      </c>
      <c r="F2">
        <v>8.17</v>
      </c>
      <c r="G2">
        <v>6.71</v>
      </c>
      <c r="H2">
        <v>0.11</v>
      </c>
      <c r="I2">
        <v>73</v>
      </c>
      <c r="J2">
        <v>159.12</v>
      </c>
      <c r="K2">
        <v>50.28</v>
      </c>
      <c r="L2">
        <v>1</v>
      </c>
      <c r="M2">
        <v>71</v>
      </c>
      <c r="N2">
        <v>27.84</v>
      </c>
      <c r="O2">
        <v>19859.16</v>
      </c>
      <c r="P2">
        <v>100.12</v>
      </c>
      <c r="Q2">
        <v>204.28</v>
      </c>
      <c r="R2">
        <v>67.819999999999993</v>
      </c>
      <c r="S2">
        <v>17.37</v>
      </c>
      <c r="T2">
        <v>22785.82</v>
      </c>
      <c r="U2">
        <v>0.26</v>
      </c>
      <c r="V2">
        <v>0.63</v>
      </c>
      <c r="W2">
        <v>1.26</v>
      </c>
      <c r="X2">
        <v>1.47</v>
      </c>
      <c r="Y2">
        <v>1</v>
      </c>
      <c r="Z2">
        <v>10</v>
      </c>
    </row>
    <row r="3" spans="1:26" x14ac:dyDescent="0.3">
      <c r="A3">
        <v>1</v>
      </c>
      <c r="B3">
        <v>80</v>
      </c>
      <c r="C3" t="s">
        <v>26</v>
      </c>
      <c r="D3">
        <v>8.3701000000000008</v>
      </c>
      <c r="E3">
        <v>11.95</v>
      </c>
      <c r="F3">
        <v>7.82</v>
      </c>
      <c r="G3">
        <v>8.3800000000000008</v>
      </c>
      <c r="H3">
        <v>0.14000000000000001</v>
      </c>
      <c r="I3">
        <v>56</v>
      </c>
      <c r="J3">
        <v>159.47999999999999</v>
      </c>
      <c r="K3">
        <v>50.28</v>
      </c>
      <c r="L3">
        <v>1.25</v>
      </c>
      <c r="M3">
        <v>54</v>
      </c>
      <c r="N3">
        <v>27.95</v>
      </c>
      <c r="O3">
        <v>19902.91</v>
      </c>
      <c r="P3">
        <v>95.64</v>
      </c>
      <c r="Q3">
        <v>204.22</v>
      </c>
      <c r="R3">
        <v>56.86</v>
      </c>
      <c r="S3">
        <v>17.37</v>
      </c>
      <c r="T3">
        <v>17390.28</v>
      </c>
      <c r="U3">
        <v>0.31</v>
      </c>
      <c r="V3">
        <v>0.65</v>
      </c>
      <c r="W3">
        <v>1.23</v>
      </c>
      <c r="X3">
        <v>1.1200000000000001</v>
      </c>
      <c r="Y3">
        <v>1</v>
      </c>
      <c r="Z3">
        <v>10</v>
      </c>
    </row>
    <row r="4" spans="1:26" x14ac:dyDescent="0.3">
      <c r="A4">
        <v>2</v>
      </c>
      <c r="B4">
        <v>80</v>
      </c>
      <c r="C4" t="s">
        <v>26</v>
      </c>
      <c r="D4">
        <v>8.7672000000000008</v>
      </c>
      <c r="E4">
        <v>11.41</v>
      </c>
      <c r="F4">
        <v>7.6</v>
      </c>
      <c r="G4">
        <v>9.91</v>
      </c>
      <c r="H4">
        <v>0.17</v>
      </c>
      <c r="I4">
        <v>46</v>
      </c>
      <c r="J4">
        <v>159.83000000000001</v>
      </c>
      <c r="K4">
        <v>50.28</v>
      </c>
      <c r="L4">
        <v>1.5</v>
      </c>
      <c r="M4">
        <v>44</v>
      </c>
      <c r="N4">
        <v>28.05</v>
      </c>
      <c r="O4">
        <v>19946.71</v>
      </c>
      <c r="P4">
        <v>92.71</v>
      </c>
      <c r="Q4">
        <v>204.18</v>
      </c>
      <c r="R4">
        <v>50.16</v>
      </c>
      <c r="S4">
        <v>17.37</v>
      </c>
      <c r="T4">
        <v>14090.49</v>
      </c>
      <c r="U4">
        <v>0.35</v>
      </c>
      <c r="V4">
        <v>0.67</v>
      </c>
      <c r="W4">
        <v>1.21</v>
      </c>
      <c r="X4">
        <v>0.91</v>
      </c>
      <c r="Y4">
        <v>1</v>
      </c>
      <c r="Z4">
        <v>10</v>
      </c>
    </row>
    <row r="5" spans="1:26" x14ac:dyDescent="0.3">
      <c r="A5">
        <v>3</v>
      </c>
      <c r="B5">
        <v>80</v>
      </c>
      <c r="C5" t="s">
        <v>26</v>
      </c>
      <c r="D5">
        <v>9.0509000000000004</v>
      </c>
      <c r="E5">
        <v>11.05</v>
      </c>
      <c r="F5">
        <v>7.47</v>
      </c>
      <c r="G5">
        <v>11.49</v>
      </c>
      <c r="H5">
        <v>0.19</v>
      </c>
      <c r="I5">
        <v>39</v>
      </c>
      <c r="J5">
        <v>160.19</v>
      </c>
      <c r="K5">
        <v>50.28</v>
      </c>
      <c r="L5">
        <v>1.75</v>
      </c>
      <c r="M5">
        <v>37</v>
      </c>
      <c r="N5">
        <v>28.16</v>
      </c>
      <c r="O5">
        <v>19990.53</v>
      </c>
      <c r="P5">
        <v>90.87</v>
      </c>
      <c r="Q5">
        <v>204.22</v>
      </c>
      <c r="R5">
        <v>45.88</v>
      </c>
      <c r="S5">
        <v>17.37</v>
      </c>
      <c r="T5">
        <v>11986.82</v>
      </c>
      <c r="U5">
        <v>0.38</v>
      </c>
      <c r="V5">
        <v>0.68</v>
      </c>
      <c r="W5">
        <v>1.2</v>
      </c>
      <c r="X5">
        <v>0.78</v>
      </c>
      <c r="Y5">
        <v>1</v>
      </c>
      <c r="Z5">
        <v>10</v>
      </c>
    </row>
    <row r="6" spans="1:26" x14ac:dyDescent="0.3">
      <c r="A6">
        <v>4</v>
      </c>
      <c r="B6">
        <v>80</v>
      </c>
      <c r="C6" t="s">
        <v>26</v>
      </c>
      <c r="D6">
        <v>9.3316999999999997</v>
      </c>
      <c r="E6">
        <v>10.72</v>
      </c>
      <c r="F6">
        <v>7.33</v>
      </c>
      <c r="G6">
        <v>13.32</v>
      </c>
      <c r="H6">
        <v>0.22</v>
      </c>
      <c r="I6">
        <v>33</v>
      </c>
      <c r="J6">
        <v>160.54</v>
      </c>
      <c r="K6">
        <v>50.28</v>
      </c>
      <c r="L6">
        <v>2</v>
      </c>
      <c r="M6">
        <v>31</v>
      </c>
      <c r="N6">
        <v>28.26</v>
      </c>
      <c r="O6">
        <v>20034.400000000001</v>
      </c>
      <c r="P6">
        <v>88.97</v>
      </c>
      <c r="Q6">
        <v>204.15</v>
      </c>
      <c r="R6">
        <v>41.5</v>
      </c>
      <c r="S6">
        <v>17.37</v>
      </c>
      <c r="T6">
        <v>9828.66</v>
      </c>
      <c r="U6">
        <v>0.42</v>
      </c>
      <c r="V6">
        <v>0.7</v>
      </c>
      <c r="W6">
        <v>1.19</v>
      </c>
      <c r="X6">
        <v>0.64</v>
      </c>
      <c r="Y6">
        <v>1</v>
      </c>
      <c r="Z6">
        <v>10</v>
      </c>
    </row>
    <row r="7" spans="1:26" x14ac:dyDescent="0.3">
      <c r="A7">
        <v>5</v>
      </c>
      <c r="B7">
        <v>80</v>
      </c>
      <c r="C7" t="s">
        <v>26</v>
      </c>
      <c r="D7">
        <v>9.5139999999999993</v>
      </c>
      <c r="E7">
        <v>10.51</v>
      </c>
      <c r="F7">
        <v>7.25</v>
      </c>
      <c r="G7">
        <v>15</v>
      </c>
      <c r="H7">
        <v>0.25</v>
      </c>
      <c r="I7">
        <v>29</v>
      </c>
      <c r="J7">
        <v>160.9</v>
      </c>
      <c r="K7">
        <v>50.28</v>
      </c>
      <c r="L7">
        <v>2.25</v>
      </c>
      <c r="M7">
        <v>27</v>
      </c>
      <c r="N7">
        <v>28.37</v>
      </c>
      <c r="O7">
        <v>20078.3</v>
      </c>
      <c r="P7">
        <v>87.81</v>
      </c>
      <c r="Q7">
        <v>204.14</v>
      </c>
      <c r="R7">
        <v>39.619999999999997</v>
      </c>
      <c r="S7">
        <v>17.37</v>
      </c>
      <c r="T7">
        <v>8909.5300000000007</v>
      </c>
      <c r="U7">
        <v>0.44</v>
      </c>
      <c r="V7">
        <v>0.7</v>
      </c>
      <c r="W7">
        <v>1.17</v>
      </c>
      <c r="X7">
        <v>0.56000000000000005</v>
      </c>
      <c r="Y7">
        <v>1</v>
      </c>
      <c r="Z7">
        <v>10</v>
      </c>
    </row>
    <row r="8" spans="1:26" x14ac:dyDescent="0.3">
      <c r="A8">
        <v>6</v>
      </c>
      <c r="B8">
        <v>80</v>
      </c>
      <c r="C8" t="s">
        <v>26</v>
      </c>
      <c r="D8">
        <v>9.6585000000000001</v>
      </c>
      <c r="E8">
        <v>10.35</v>
      </c>
      <c r="F8">
        <v>7.19</v>
      </c>
      <c r="G8">
        <v>16.600000000000001</v>
      </c>
      <c r="H8">
        <v>0.27</v>
      </c>
      <c r="I8">
        <v>26</v>
      </c>
      <c r="J8">
        <v>161.26</v>
      </c>
      <c r="K8">
        <v>50.28</v>
      </c>
      <c r="L8">
        <v>2.5</v>
      </c>
      <c r="M8">
        <v>24</v>
      </c>
      <c r="N8">
        <v>28.48</v>
      </c>
      <c r="O8">
        <v>20122.23</v>
      </c>
      <c r="P8">
        <v>86.95</v>
      </c>
      <c r="Q8">
        <v>204.14</v>
      </c>
      <c r="R8">
        <v>37.29</v>
      </c>
      <c r="S8">
        <v>17.37</v>
      </c>
      <c r="T8">
        <v>7756.95</v>
      </c>
      <c r="U8">
        <v>0.47</v>
      </c>
      <c r="V8">
        <v>0.71</v>
      </c>
      <c r="W8">
        <v>1.18</v>
      </c>
      <c r="X8">
        <v>0.5</v>
      </c>
      <c r="Y8">
        <v>1</v>
      </c>
      <c r="Z8">
        <v>10</v>
      </c>
    </row>
    <row r="9" spans="1:26" x14ac:dyDescent="0.3">
      <c r="A9">
        <v>7</v>
      </c>
      <c r="B9">
        <v>80</v>
      </c>
      <c r="C9" t="s">
        <v>26</v>
      </c>
      <c r="D9">
        <v>9.7386999999999997</v>
      </c>
      <c r="E9">
        <v>10.27</v>
      </c>
      <c r="F9">
        <v>7.17</v>
      </c>
      <c r="G9">
        <v>17.93</v>
      </c>
      <c r="H9">
        <v>0.3</v>
      </c>
      <c r="I9">
        <v>24</v>
      </c>
      <c r="J9">
        <v>161.61000000000001</v>
      </c>
      <c r="K9">
        <v>50.28</v>
      </c>
      <c r="L9">
        <v>2.75</v>
      </c>
      <c r="M9">
        <v>22</v>
      </c>
      <c r="N9">
        <v>28.58</v>
      </c>
      <c r="O9">
        <v>20166.2</v>
      </c>
      <c r="P9">
        <v>86.45</v>
      </c>
      <c r="Q9">
        <v>204.15</v>
      </c>
      <c r="R9">
        <v>36.869999999999997</v>
      </c>
      <c r="S9">
        <v>17.37</v>
      </c>
      <c r="T9">
        <v>7556.61</v>
      </c>
      <c r="U9">
        <v>0.47</v>
      </c>
      <c r="V9">
        <v>0.71</v>
      </c>
      <c r="W9">
        <v>1.17</v>
      </c>
      <c r="X9">
        <v>0.48</v>
      </c>
      <c r="Y9">
        <v>1</v>
      </c>
      <c r="Z9">
        <v>10</v>
      </c>
    </row>
    <row r="10" spans="1:26" x14ac:dyDescent="0.3">
      <c r="A10">
        <v>8</v>
      </c>
      <c r="B10">
        <v>80</v>
      </c>
      <c r="C10" t="s">
        <v>26</v>
      </c>
      <c r="D10">
        <v>9.8521999999999998</v>
      </c>
      <c r="E10">
        <v>10.15</v>
      </c>
      <c r="F10">
        <v>7.12</v>
      </c>
      <c r="G10">
        <v>19.41</v>
      </c>
      <c r="H10">
        <v>0.33</v>
      </c>
      <c r="I10">
        <v>22</v>
      </c>
      <c r="J10">
        <v>161.97</v>
      </c>
      <c r="K10">
        <v>50.28</v>
      </c>
      <c r="L10">
        <v>3</v>
      </c>
      <c r="M10">
        <v>20</v>
      </c>
      <c r="N10">
        <v>28.69</v>
      </c>
      <c r="O10">
        <v>20210.21</v>
      </c>
      <c r="P10">
        <v>85.61</v>
      </c>
      <c r="Q10">
        <v>204.15</v>
      </c>
      <c r="R10">
        <v>35.020000000000003</v>
      </c>
      <c r="S10">
        <v>17.37</v>
      </c>
      <c r="T10">
        <v>6643.41</v>
      </c>
      <c r="U10">
        <v>0.5</v>
      </c>
      <c r="V10">
        <v>0.72</v>
      </c>
      <c r="W10">
        <v>1.17</v>
      </c>
      <c r="X10">
        <v>0.42</v>
      </c>
      <c r="Y10">
        <v>1</v>
      </c>
      <c r="Z10">
        <v>10</v>
      </c>
    </row>
    <row r="11" spans="1:26" x14ac:dyDescent="0.3">
      <c r="A11">
        <v>9</v>
      </c>
      <c r="B11">
        <v>80</v>
      </c>
      <c r="C11" t="s">
        <v>26</v>
      </c>
      <c r="D11">
        <v>9.9612999999999996</v>
      </c>
      <c r="E11">
        <v>10.039999999999999</v>
      </c>
      <c r="F11">
        <v>7.07</v>
      </c>
      <c r="G11">
        <v>21.21</v>
      </c>
      <c r="H11">
        <v>0.35</v>
      </c>
      <c r="I11">
        <v>20</v>
      </c>
      <c r="J11">
        <v>162.33000000000001</v>
      </c>
      <c r="K11">
        <v>50.28</v>
      </c>
      <c r="L11">
        <v>3.25</v>
      </c>
      <c r="M11">
        <v>18</v>
      </c>
      <c r="N11">
        <v>28.8</v>
      </c>
      <c r="O11">
        <v>20254.259999999998</v>
      </c>
      <c r="P11">
        <v>84.9</v>
      </c>
      <c r="Q11">
        <v>204.14</v>
      </c>
      <c r="R11">
        <v>33.67</v>
      </c>
      <c r="S11">
        <v>17.37</v>
      </c>
      <c r="T11">
        <v>5976.74</v>
      </c>
      <c r="U11">
        <v>0.52</v>
      </c>
      <c r="V11">
        <v>0.72</v>
      </c>
      <c r="W11">
        <v>1.17</v>
      </c>
      <c r="X11">
        <v>0.38</v>
      </c>
      <c r="Y11">
        <v>1</v>
      </c>
      <c r="Z11">
        <v>10</v>
      </c>
    </row>
    <row r="12" spans="1:26" x14ac:dyDescent="0.3">
      <c r="A12">
        <v>10</v>
      </c>
      <c r="B12">
        <v>80</v>
      </c>
      <c r="C12" t="s">
        <v>26</v>
      </c>
      <c r="D12">
        <v>10.0078</v>
      </c>
      <c r="E12">
        <v>9.99</v>
      </c>
      <c r="F12">
        <v>7.06</v>
      </c>
      <c r="G12">
        <v>22.28</v>
      </c>
      <c r="H12">
        <v>0.38</v>
      </c>
      <c r="I12">
        <v>19</v>
      </c>
      <c r="J12">
        <v>162.68</v>
      </c>
      <c r="K12">
        <v>50.28</v>
      </c>
      <c r="L12">
        <v>3.5</v>
      </c>
      <c r="M12">
        <v>17</v>
      </c>
      <c r="N12">
        <v>28.9</v>
      </c>
      <c r="O12">
        <v>20298.34</v>
      </c>
      <c r="P12">
        <v>84.5</v>
      </c>
      <c r="Q12">
        <v>204.15</v>
      </c>
      <c r="R12">
        <v>32.950000000000003</v>
      </c>
      <c r="S12">
        <v>17.37</v>
      </c>
      <c r="T12">
        <v>5624.04</v>
      </c>
      <c r="U12">
        <v>0.53</v>
      </c>
      <c r="V12">
        <v>0.72</v>
      </c>
      <c r="W12">
        <v>1.17</v>
      </c>
      <c r="X12">
        <v>0.36</v>
      </c>
      <c r="Y12">
        <v>1</v>
      </c>
      <c r="Z12">
        <v>10</v>
      </c>
    </row>
    <row r="13" spans="1:26" x14ac:dyDescent="0.3">
      <c r="A13">
        <v>11</v>
      </c>
      <c r="B13">
        <v>80</v>
      </c>
      <c r="C13" t="s">
        <v>26</v>
      </c>
      <c r="D13">
        <v>10.122299999999999</v>
      </c>
      <c r="E13">
        <v>9.8800000000000008</v>
      </c>
      <c r="F13">
        <v>7.01</v>
      </c>
      <c r="G13">
        <v>24.73</v>
      </c>
      <c r="H13">
        <v>0.41</v>
      </c>
      <c r="I13">
        <v>17</v>
      </c>
      <c r="J13">
        <v>163.04</v>
      </c>
      <c r="K13">
        <v>50.28</v>
      </c>
      <c r="L13">
        <v>3.75</v>
      </c>
      <c r="M13">
        <v>15</v>
      </c>
      <c r="N13">
        <v>29.01</v>
      </c>
      <c r="O13">
        <v>20342.46</v>
      </c>
      <c r="P13">
        <v>83.46</v>
      </c>
      <c r="Q13">
        <v>204.16</v>
      </c>
      <c r="R13">
        <v>31.45</v>
      </c>
      <c r="S13">
        <v>17.37</v>
      </c>
      <c r="T13">
        <v>4881.2</v>
      </c>
      <c r="U13">
        <v>0.55000000000000004</v>
      </c>
      <c r="V13">
        <v>0.73</v>
      </c>
      <c r="W13">
        <v>1.17</v>
      </c>
      <c r="X13">
        <v>0.31</v>
      </c>
      <c r="Y13">
        <v>1</v>
      </c>
      <c r="Z13">
        <v>10</v>
      </c>
    </row>
    <row r="14" spans="1:26" x14ac:dyDescent="0.3">
      <c r="A14">
        <v>12</v>
      </c>
      <c r="B14">
        <v>80</v>
      </c>
      <c r="C14" t="s">
        <v>26</v>
      </c>
      <c r="D14">
        <v>10.1721</v>
      </c>
      <c r="E14">
        <v>9.83</v>
      </c>
      <c r="F14">
        <v>6.99</v>
      </c>
      <c r="G14">
        <v>26.22</v>
      </c>
      <c r="H14">
        <v>0.43</v>
      </c>
      <c r="I14">
        <v>16</v>
      </c>
      <c r="J14">
        <v>163.4</v>
      </c>
      <c r="K14">
        <v>50.28</v>
      </c>
      <c r="L14">
        <v>4</v>
      </c>
      <c r="M14">
        <v>14</v>
      </c>
      <c r="N14">
        <v>29.12</v>
      </c>
      <c r="O14">
        <v>20386.62</v>
      </c>
      <c r="P14">
        <v>83.28</v>
      </c>
      <c r="Q14">
        <v>204.15</v>
      </c>
      <c r="R14">
        <v>31.16</v>
      </c>
      <c r="S14">
        <v>17.37</v>
      </c>
      <c r="T14">
        <v>4741.42</v>
      </c>
      <c r="U14">
        <v>0.56000000000000005</v>
      </c>
      <c r="V14">
        <v>0.73</v>
      </c>
      <c r="W14">
        <v>1.1599999999999999</v>
      </c>
      <c r="X14">
        <v>0.3</v>
      </c>
      <c r="Y14">
        <v>1</v>
      </c>
      <c r="Z14">
        <v>10</v>
      </c>
    </row>
    <row r="15" spans="1:26" x14ac:dyDescent="0.3">
      <c r="A15">
        <v>13</v>
      </c>
      <c r="B15">
        <v>80</v>
      </c>
      <c r="C15" t="s">
        <v>26</v>
      </c>
      <c r="D15">
        <v>10.2067</v>
      </c>
      <c r="E15">
        <v>9.8000000000000007</v>
      </c>
      <c r="F15">
        <v>6.99</v>
      </c>
      <c r="G15">
        <v>27.96</v>
      </c>
      <c r="H15">
        <v>0.46</v>
      </c>
      <c r="I15">
        <v>15</v>
      </c>
      <c r="J15">
        <v>163.76</v>
      </c>
      <c r="K15">
        <v>50.28</v>
      </c>
      <c r="L15">
        <v>4.25</v>
      </c>
      <c r="M15">
        <v>13</v>
      </c>
      <c r="N15">
        <v>29.23</v>
      </c>
      <c r="O15">
        <v>20430.810000000001</v>
      </c>
      <c r="P15">
        <v>82.98</v>
      </c>
      <c r="Q15">
        <v>204.16</v>
      </c>
      <c r="R15">
        <v>31.21</v>
      </c>
      <c r="S15">
        <v>17.37</v>
      </c>
      <c r="T15">
        <v>4774.43</v>
      </c>
      <c r="U15">
        <v>0.56000000000000005</v>
      </c>
      <c r="V15">
        <v>0.73</v>
      </c>
      <c r="W15">
        <v>1.1599999999999999</v>
      </c>
      <c r="X15">
        <v>0.3</v>
      </c>
      <c r="Y15">
        <v>1</v>
      </c>
      <c r="Z15">
        <v>10</v>
      </c>
    </row>
    <row r="16" spans="1:26" x14ac:dyDescent="0.3">
      <c r="A16">
        <v>14</v>
      </c>
      <c r="B16">
        <v>80</v>
      </c>
      <c r="C16" t="s">
        <v>26</v>
      </c>
      <c r="D16">
        <v>10.221500000000001</v>
      </c>
      <c r="E16">
        <v>9.7799999999999994</v>
      </c>
      <c r="F16">
        <v>6.98</v>
      </c>
      <c r="G16">
        <v>27.9</v>
      </c>
      <c r="H16">
        <v>0.49</v>
      </c>
      <c r="I16">
        <v>15</v>
      </c>
      <c r="J16">
        <v>164.12</v>
      </c>
      <c r="K16">
        <v>50.28</v>
      </c>
      <c r="L16">
        <v>4.5</v>
      </c>
      <c r="M16">
        <v>13</v>
      </c>
      <c r="N16">
        <v>29.34</v>
      </c>
      <c r="O16">
        <v>20475.04</v>
      </c>
      <c r="P16">
        <v>82.65</v>
      </c>
      <c r="Q16">
        <v>204.17</v>
      </c>
      <c r="R16">
        <v>30.65</v>
      </c>
      <c r="S16">
        <v>17.37</v>
      </c>
      <c r="T16">
        <v>4493.99</v>
      </c>
      <c r="U16">
        <v>0.56999999999999995</v>
      </c>
      <c r="V16">
        <v>0.73</v>
      </c>
      <c r="W16">
        <v>1.1599999999999999</v>
      </c>
      <c r="X16">
        <v>0.28000000000000003</v>
      </c>
      <c r="Y16">
        <v>1</v>
      </c>
      <c r="Z16">
        <v>10</v>
      </c>
    </row>
    <row r="17" spans="1:26" x14ac:dyDescent="0.3">
      <c r="A17">
        <v>15</v>
      </c>
      <c r="B17">
        <v>80</v>
      </c>
      <c r="C17" t="s">
        <v>26</v>
      </c>
      <c r="D17">
        <v>10.286</v>
      </c>
      <c r="E17">
        <v>9.7200000000000006</v>
      </c>
      <c r="F17">
        <v>6.95</v>
      </c>
      <c r="G17">
        <v>29.77</v>
      </c>
      <c r="H17">
        <v>0.51</v>
      </c>
      <c r="I17">
        <v>14</v>
      </c>
      <c r="J17">
        <v>164.48</v>
      </c>
      <c r="K17">
        <v>50.28</v>
      </c>
      <c r="L17">
        <v>4.75</v>
      </c>
      <c r="M17">
        <v>12</v>
      </c>
      <c r="N17">
        <v>29.45</v>
      </c>
      <c r="O17">
        <v>20519.3</v>
      </c>
      <c r="P17">
        <v>82.17</v>
      </c>
      <c r="Q17">
        <v>204.15</v>
      </c>
      <c r="R17">
        <v>29.68</v>
      </c>
      <c r="S17">
        <v>17.37</v>
      </c>
      <c r="T17">
        <v>4014.66</v>
      </c>
      <c r="U17">
        <v>0.59</v>
      </c>
      <c r="V17">
        <v>0.74</v>
      </c>
      <c r="W17">
        <v>1.1599999999999999</v>
      </c>
      <c r="X17">
        <v>0.25</v>
      </c>
      <c r="Y17">
        <v>1</v>
      </c>
      <c r="Z17">
        <v>10</v>
      </c>
    </row>
    <row r="18" spans="1:26" x14ac:dyDescent="0.3">
      <c r="A18">
        <v>16</v>
      </c>
      <c r="B18">
        <v>80</v>
      </c>
      <c r="C18" t="s">
        <v>26</v>
      </c>
      <c r="D18">
        <v>10.337999999999999</v>
      </c>
      <c r="E18">
        <v>9.67</v>
      </c>
      <c r="F18">
        <v>6.93</v>
      </c>
      <c r="G18">
        <v>31.98</v>
      </c>
      <c r="H18">
        <v>0.54</v>
      </c>
      <c r="I18">
        <v>13</v>
      </c>
      <c r="J18">
        <v>164.83</v>
      </c>
      <c r="K18">
        <v>50.28</v>
      </c>
      <c r="L18">
        <v>5</v>
      </c>
      <c r="M18">
        <v>11</v>
      </c>
      <c r="N18">
        <v>29.55</v>
      </c>
      <c r="O18">
        <v>20563.61</v>
      </c>
      <c r="P18">
        <v>81.72</v>
      </c>
      <c r="Q18">
        <v>204.15</v>
      </c>
      <c r="R18">
        <v>29.31</v>
      </c>
      <c r="S18">
        <v>17.37</v>
      </c>
      <c r="T18">
        <v>3834.25</v>
      </c>
      <c r="U18">
        <v>0.59</v>
      </c>
      <c r="V18">
        <v>0.74</v>
      </c>
      <c r="W18">
        <v>1.1499999999999999</v>
      </c>
      <c r="X18">
        <v>0.24</v>
      </c>
      <c r="Y18">
        <v>1</v>
      </c>
      <c r="Z18">
        <v>10</v>
      </c>
    </row>
    <row r="19" spans="1:26" x14ac:dyDescent="0.3">
      <c r="A19">
        <v>17</v>
      </c>
      <c r="B19">
        <v>80</v>
      </c>
      <c r="C19" t="s">
        <v>26</v>
      </c>
      <c r="D19">
        <v>10.328200000000001</v>
      </c>
      <c r="E19">
        <v>9.68</v>
      </c>
      <c r="F19">
        <v>6.94</v>
      </c>
      <c r="G19">
        <v>32.03</v>
      </c>
      <c r="H19">
        <v>0.56000000000000005</v>
      </c>
      <c r="I19">
        <v>13</v>
      </c>
      <c r="J19">
        <v>165.19</v>
      </c>
      <c r="K19">
        <v>50.28</v>
      </c>
      <c r="L19">
        <v>5.25</v>
      </c>
      <c r="M19">
        <v>11</v>
      </c>
      <c r="N19">
        <v>29.66</v>
      </c>
      <c r="O19">
        <v>20607.95</v>
      </c>
      <c r="P19">
        <v>81.569999999999993</v>
      </c>
      <c r="Q19">
        <v>204.15</v>
      </c>
      <c r="R19">
        <v>29.48</v>
      </c>
      <c r="S19">
        <v>17.37</v>
      </c>
      <c r="T19">
        <v>3915.84</v>
      </c>
      <c r="U19">
        <v>0.59</v>
      </c>
      <c r="V19">
        <v>0.74</v>
      </c>
      <c r="W19">
        <v>1.1599999999999999</v>
      </c>
      <c r="X19">
        <v>0.25</v>
      </c>
      <c r="Y19">
        <v>1</v>
      </c>
      <c r="Z19">
        <v>10</v>
      </c>
    </row>
    <row r="20" spans="1:26" x14ac:dyDescent="0.3">
      <c r="A20">
        <v>18</v>
      </c>
      <c r="B20">
        <v>80</v>
      </c>
      <c r="C20" t="s">
        <v>26</v>
      </c>
      <c r="D20">
        <v>10.3893</v>
      </c>
      <c r="E20">
        <v>9.6300000000000008</v>
      </c>
      <c r="F20">
        <v>6.91</v>
      </c>
      <c r="G20">
        <v>34.57</v>
      </c>
      <c r="H20">
        <v>0.59</v>
      </c>
      <c r="I20">
        <v>12</v>
      </c>
      <c r="J20">
        <v>165.55</v>
      </c>
      <c r="K20">
        <v>50.28</v>
      </c>
      <c r="L20">
        <v>5.5</v>
      </c>
      <c r="M20">
        <v>10</v>
      </c>
      <c r="N20">
        <v>29.77</v>
      </c>
      <c r="O20">
        <v>20652.330000000002</v>
      </c>
      <c r="P20">
        <v>81.209999999999994</v>
      </c>
      <c r="Q20">
        <v>204.17</v>
      </c>
      <c r="R20">
        <v>28.67</v>
      </c>
      <c r="S20">
        <v>17.37</v>
      </c>
      <c r="T20">
        <v>3515.95</v>
      </c>
      <c r="U20">
        <v>0.61</v>
      </c>
      <c r="V20">
        <v>0.74</v>
      </c>
      <c r="W20">
        <v>1.1599999999999999</v>
      </c>
      <c r="X20">
        <v>0.22</v>
      </c>
      <c r="Y20">
        <v>1</v>
      </c>
      <c r="Z20">
        <v>10</v>
      </c>
    </row>
    <row r="21" spans="1:26" x14ac:dyDescent="0.3">
      <c r="A21">
        <v>19</v>
      </c>
      <c r="B21">
        <v>80</v>
      </c>
      <c r="C21" t="s">
        <v>26</v>
      </c>
      <c r="D21">
        <v>10.4636</v>
      </c>
      <c r="E21">
        <v>9.56</v>
      </c>
      <c r="F21">
        <v>6.88</v>
      </c>
      <c r="G21">
        <v>37.520000000000003</v>
      </c>
      <c r="H21">
        <v>0.61</v>
      </c>
      <c r="I21">
        <v>11</v>
      </c>
      <c r="J21">
        <v>165.91</v>
      </c>
      <c r="K21">
        <v>50.28</v>
      </c>
      <c r="L21">
        <v>5.75</v>
      </c>
      <c r="M21">
        <v>9</v>
      </c>
      <c r="N21">
        <v>29.88</v>
      </c>
      <c r="O21">
        <v>20696.740000000002</v>
      </c>
      <c r="P21">
        <v>80.319999999999993</v>
      </c>
      <c r="Q21">
        <v>204.14</v>
      </c>
      <c r="R21">
        <v>27.78</v>
      </c>
      <c r="S21">
        <v>17.37</v>
      </c>
      <c r="T21">
        <v>3078.92</v>
      </c>
      <c r="U21">
        <v>0.63</v>
      </c>
      <c r="V21">
        <v>0.74</v>
      </c>
      <c r="W21">
        <v>1.1499999999999999</v>
      </c>
      <c r="X21">
        <v>0.19</v>
      </c>
      <c r="Y21">
        <v>1</v>
      </c>
      <c r="Z21">
        <v>10</v>
      </c>
    </row>
    <row r="22" spans="1:26" x14ac:dyDescent="0.3">
      <c r="A22">
        <v>20</v>
      </c>
      <c r="B22">
        <v>80</v>
      </c>
      <c r="C22" t="s">
        <v>26</v>
      </c>
      <c r="D22">
        <v>10.459</v>
      </c>
      <c r="E22">
        <v>9.56</v>
      </c>
      <c r="F22">
        <v>6.88</v>
      </c>
      <c r="G22">
        <v>37.54</v>
      </c>
      <c r="H22">
        <v>0.64</v>
      </c>
      <c r="I22">
        <v>11</v>
      </c>
      <c r="J22">
        <v>166.27</v>
      </c>
      <c r="K22">
        <v>50.28</v>
      </c>
      <c r="L22">
        <v>6</v>
      </c>
      <c r="M22">
        <v>9</v>
      </c>
      <c r="N22">
        <v>29.99</v>
      </c>
      <c r="O22">
        <v>20741.2</v>
      </c>
      <c r="P22">
        <v>80.36</v>
      </c>
      <c r="Q22">
        <v>204.16</v>
      </c>
      <c r="R22">
        <v>27.59</v>
      </c>
      <c r="S22">
        <v>17.37</v>
      </c>
      <c r="T22">
        <v>2982.13</v>
      </c>
      <c r="U22">
        <v>0.63</v>
      </c>
      <c r="V22">
        <v>0.74</v>
      </c>
      <c r="W22">
        <v>1.1599999999999999</v>
      </c>
      <c r="X22">
        <v>0.19</v>
      </c>
      <c r="Y22">
        <v>1</v>
      </c>
      <c r="Z22">
        <v>10</v>
      </c>
    </row>
    <row r="23" spans="1:26" x14ac:dyDescent="0.3">
      <c r="A23">
        <v>21</v>
      </c>
      <c r="B23">
        <v>80</v>
      </c>
      <c r="C23" t="s">
        <v>26</v>
      </c>
      <c r="D23">
        <v>10.4496</v>
      </c>
      <c r="E23">
        <v>9.57</v>
      </c>
      <c r="F23">
        <v>6.89</v>
      </c>
      <c r="G23">
        <v>37.590000000000003</v>
      </c>
      <c r="H23">
        <v>0.66</v>
      </c>
      <c r="I23">
        <v>11</v>
      </c>
      <c r="J23">
        <v>166.64</v>
      </c>
      <c r="K23">
        <v>50.28</v>
      </c>
      <c r="L23">
        <v>6.25</v>
      </c>
      <c r="M23">
        <v>9</v>
      </c>
      <c r="N23">
        <v>30.11</v>
      </c>
      <c r="O23">
        <v>20785.689999999999</v>
      </c>
      <c r="P23">
        <v>80.14</v>
      </c>
      <c r="Q23">
        <v>204.15</v>
      </c>
      <c r="R23">
        <v>27.92</v>
      </c>
      <c r="S23">
        <v>17.37</v>
      </c>
      <c r="T23">
        <v>3149.76</v>
      </c>
      <c r="U23">
        <v>0.62</v>
      </c>
      <c r="V23">
        <v>0.74</v>
      </c>
      <c r="W23">
        <v>1.1599999999999999</v>
      </c>
      <c r="X23">
        <v>0.2</v>
      </c>
      <c r="Y23">
        <v>1</v>
      </c>
      <c r="Z23">
        <v>10</v>
      </c>
    </row>
    <row r="24" spans="1:26" x14ac:dyDescent="0.3">
      <c r="A24">
        <v>22</v>
      </c>
      <c r="B24">
        <v>80</v>
      </c>
      <c r="C24" t="s">
        <v>26</v>
      </c>
      <c r="D24">
        <v>10.5067</v>
      </c>
      <c r="E24">
        <v>9.52</v>
      </c>
      <c r="F24">
        <v>6.87</v>
      </c>
      <c r="G24">
        <v>41.23</v>
      </c>
      <c r="H24">
        <v>0.69</v>
      </c>
      <c r="I24">
        <v>10</v>
      </c>
      <c r="J24">
        <v>167</v>
      </c>
      <c r="K24">
        <v>50.28</v>
      </c>
      <c r="L24">
        <v>6.5</v>
      </c>
      <c r="M24">
        <v>8</v>
      </c>
      <c r="N24">
        <v>30.22</v>
      </c>
      <c r="O24">
        <v>20830.22</v>
      </c>
      <c r="P24">
        <v>79.55</v>
      </c>
      <c r="Q24">
        <v>204.14</v>
      </c>
      <c r="R24">
        <v>27.33</v>
      </c>
      <c r="S24">
        <v>17.37</v>
      </c>
      <c r="T24">
        <v>2855.59</v>
      </c>
      <c r="U24">
        <v>0.64</v>
      </c>
      <c r="V24">
        <v>0.74</v>
      </c>
      <c r="W24">
        <v>1.1499999999999999</v>
      </c>
      <c r="X24">
        <v>0.18</v>
      </c>
      <c r="Y24">
        <v>1</v>
      </c>
      <c r="Z24">
        <v>10</v>
      </c>
    </row>
    <row r="25" spans="1:26" x14ac:dyDescent="0.3">
      <c r="A25">
        <v>23</v>
      </c>
      <c r="B25">
        <v>80</v>
      </c>
      <c r="C25" t="s">
        <v>26</v>
      </c>
      <c r="D25">
        <v>10.5067</v>
      </c>
      <c r="E25">
        <v>9.52</v>
      </c>
      <c r="F25">
        <v>6.87</v>
      </c>
      <c r="G25">
        <v>41.23</v>
      </c>
      <c r="H25">
        <v>0.71</v>
      </c>
      <c r="I25">
        <v>10</v>
      </c>
      <c r="J25">
        <v>167.36</v>
      </c>
      <c r="K25">
        <v>50.28</v>
      </c>
      <c r="L25">
        <v>6.75</v>
      </c>
      <c r="M25">
        <v>8</v>
      </c>
      <c r="N25">
        <v>30.33</v>
      </c>
      <c r="O25">
        <v>20874.78</v>
      </c>
      <c r="P25">
        <v>79.52</v>
      </c>
      <c r="Q25">
        <v>204.16</v>
      </c>
      <c r="R25">
        <v>27.42</v>
      </c>
      <c r="S25">
        <v>17.37</v>
      </c>
      <c r="T25">
        <v>2903.73</v>
      </c>
      <c r="U25">
        <v>0.63</v>
      </c>
      <c r="V25">
        <v>0.74</v>
      </c>
      <c r="W25">
        <v>1.1499999999999999</v>
      </c>
      <c r="X25">
        <v>0.18</v>
      </c>
      <c r="Y25">
        <v>1</v>
      </c>
      <c r="Z25">
        <v>10</v>
      </c>
    </row>
    <row r="26" spans="1:26" x14ac:dyDescent="0.3">
      <c r="A26">
        <v>24</v>
      </c>
      <c r="B26">
        <v>80</v>
      </c>
      <c r="C26" t="s">
        <v>26</v>
      </c>
      <c r="D26">
        <v>10.507300000000001</v>
      </c>
      <c r="E26">
        <v>9.52</v>
      </c>
      <c r="F26">
        <v>6.87</v>
      </c>
      <c r="G26">
        <v>41.22</v>
      </c>
      <c r="H26">
        <v>0.74</v>
      </c>
      <c r="I26">
        <v>10</v>
      </c>
      <c r="J26">
        <v>167.72</v>
      </c>
      <c r="K26">
        <v>50.28</v>
      </c>
      <c r="L26">
        <v>7</v>
      </c>
      <c r="M26">
        <v>8</v>
      </c>
      <c r="N26">
        <v>30.44</v>
      </c>
      <c r="O26">
        <v>20919.39</v>
      </c>
      <c r="P26">
        <v>79.2</v>
      </c>
      <c r="Q26">
        <v>204.14</v>
      </c>
      <c r="R26">
        <v>27.34</v>
      </c>
      <c r="S26">
        <v>17.37</v>
      </c>
      <c r="T26">
        <v>2864.2</v>
      </c>
      <c r="U26">
        <v>0.64</v>
      </c>
      <c r="V26">
        <v>0.74</v>
      </c>
      <c r="W26">
        <v>1.1499999999999999</v>
      </c>
      <c r="X26">
        <v>0.18</v>
      </c>
      <c r="Y26">
        <v>1</v>
      </c>
      <c r="Z26">
        <v>10</v>
      </c>
    </row>
    <row r="27" spans="1:26" x14ac:dyDescent="0.3">
      <c r="A27">
        <v>25</v>
      </c>
      <c r="B27">
        <v>80</v>
      </c>
      <c r="C27" t="s">
        <v>26</v>
      </c>
      <c r="D27">
        <v>10.558400000000001</v>
      </c>
      <c r="E27">
        <v>9.4700000000000006</v>
      </c>
      <c r="F27">
        <v>6.86</v>
      </c>
      <c r="G27">
        <v>45.71</v>
      </c>
      <c r="H27">
        <v>0.76</v>
      </c>
      <c r="I27">
        <v>9</v>
      </c>
      <c r="J27">
        <v>168.08</v>
      </c>
      <c r="K27">
        <v>50.28</v>
      </c>
      <c r="L27">
        <v>7.25</v>
      </c>
      <c r="M27">
        <v>7</v>
      </c>
      <c r="N27">
        <v>30.55</v>
      </c>
      <c r="O27">
        <v>20964.03</v>
      </c>
      <c r="P27">
        <v>79.09</v>
      </c>
      <c r="Q27">
        <v>204.19</v>
      </c>
      <c r="R27">
        <v>27.08</v>
      </c>
      <c r="S27">
        <v>17.37</v>
      </c>
      <c r="T27">
        <v>2735.31</v>
      </c>
      <c r="U27">
        <v>0.64</v>
      </c>
      <c r="V27">
        <v>0.74</v>
      </c>
      <c r="W27">
        <v>1.1499999999999999</v>
      </c>
      <c r="X27">
        <v>0.17</v>
      </c>
      <c r="Y27">
        <v>1</v>
      </c>
      <c r="Z27">
        <v>10</v>
      </c>
    </row>
    <row r="28" spans="1:26" x14ac:dyDescent="0.3">
      <c r="A28">
        <v>26</v>
      </c>
      <c r="B28">
        <v>80</v>
      </c>
      <c r="C28" t="s">
        <v>26</v>
      </c>
      <c r="D28">
        <v>10.555300000000001</v>
      </c>
      <c r="E28">
        <v>9.4700000000000006</v>
      </c>
      <c r="F28">
        <v>6.86</v>
      </c>
      <c r="G28">
        <v>45.73</v>
      </c>
      <c r="H28">
        <v>0.79</v>
      </c>
      <c r="I28">
        <v>9</v>
      </c>
      <c r="J28">
        <v>168.44</v>
      </c>
      <c r="K28">
        <v>50.28</v>
      </c>
      <c r="L28">
        <v>7.5</v>
      </c>
      <c r="M28">
        <v>7</v>
      </c>
      <c r="N28">
        <v>30.66</v>
      </c>
      <c r="O28">
        <v>21008.71</v>
      </c>
      <c r="P28">
        <v>79.13</v>
      </c>
      <c r="Q28">
        <v>204.16</v>
      </c>
      <c r="R28">
        <v>27.03</v>
      </c>
      <c r="S28">
        <v>17.37</v>
      </c>
      <c r="T28">
        <v>2710.3</v>
      </c>
      <c r="U28">
        <v>0.64</v>
      </c>
      <c r="V28">
        <v>0.74</v>
      </c>
      <c r="W28">
        <v>1.1499999999999999</v>
      </c>
      <c r="X28">
        <v>0.17</v>
      </c>
      <c r="Y28">
        <v>1</v>
      </c>
      <c r="Z28">
        <v>10</v>
      </c>
    </row>
    <row r="29" spans="1:26" x14ac:dyDescent="0.3">
      <c r="A29">
        <v>27</v>
      </c>
      <c r="B29">
        <v>80</v>
      </c>
      <c r="C29" t="s">
        <v>26</v>
      </c>
      <c r="D29">
        <v>10.552199999999999</v>
      </c>
      <c r="E29">
        <v>9.48</v>
      </c>
      <c r="F29">
        <v>6.86</v>
      </c>
      <c r="G29">
        <v>45.75</v>
      </c>
      <c r="H29">
        <v>0.81</v>
      </c>
      <c r="I29">
        <v>9</v>
      </c>
      <c r="J29">
        <v>168.81</v>
      </c>
      <c r="K29">
        <v>50.28</v>
      </c>
      <c r="L29">
        <v>7.75</v>
      </c>
      <c r="M29">
        <v>7</v>
      </c>
      <c r="N29">
        <v>30.78</v>
      </c>
      <c r="O29">
        <v>21053.43</v>
      </c>
      <c r="P29">
        <v>78.739999999999995</v>
      </c>
      <c r="Q29">
        <v>204.15</v>
      </c>
      <c r="R29">
        <v>27.18</v>
      </c>
      <c r="S29">
        <v>17.37</v>
      </c>
      <c r="T29">
        <v>2786.12</v>
      </c>
      <c r="U29">
        <v>0.64</v>
      </c>
      <c r="V29">
        <v>0.74</v>
      </c>
      <c r="W29">
        <v>1.1499999999999999</v>
      </c>
      <c r="X29">
        <v>0.17</v>
      </c>
      <c r="Y29">
        <v>1</v>
      </c>
      <c r="Z29">
        <v>10</v>
      </c>
    </row>
    <row r="30" spans="1:26" x14ac:dyDescent="0.3">
      <c r="A30">
        <v>28</v>
      </c>
      <c r="B30">
        <v>80</v>
      </c>
      <c r="C30" t="s">
        <v>26</v>
      </c>
      <c r="D30">
        <v>10.616300000000001</v>
      </c>
      <c r="E30">
        <v>9.42</v>
      </c>
      <c r="F30">
        <v>6.84</v>
      </c>
      <c r="G30">
        <v>51.28</v>
      </c>
      <c r="H30">
        <v>0.84</v>
      </c>
      <c r="I30">
        <v>8</v>
      </c>
      <c r="J30">
        <v>169.17</v>
      </c>
      <c r="K30">
        <v>50.28</v>
      </c>
      <c r="L30">
        <v>8</v>
      </c>
      <c r="M30">
        <v>6</v>
      </c>
      <c r="N30">
        <v>30.89</v>
      </c>
      <c r="O30">
        <v>21098.19</v>
      </c>
      <c r="P30">
        <v>78</v>
      </c>
      <c r="Q30">
        <v>204.14</v>
      </c>
      <c r="R30">
        <v>26.38</v>
      </c>
      <c r="S30">
        <v>17.37</v>
      </c>
      <c r="T30">
        <v>2390.19</v>
      </c>
      <c r="U30">
        <v>0.66</v>
      </c>
      <c r="V30">
        <v>0.75</v>
      </c>
      <c r="W30">
        <v>1.1499999999999999</v>
      </c>
      <c r="X30">
        <v>0.15</v>
      </c>
      <c r="Y30">
        <v>1</v>
      </c>
      <c r="Z30">
        <v>10</v>
      </c>
    </row>
    <row r="31" spans="1:26" x14ac:dyDescent="0.3">
      <c r="A31">
        <v>29</v>
      </c>
      <c r="B31">
        <v>80</v>
      </c>
      <c r="C31" t="s">
        <v>26</v>
      </c>
      <c r="D31">
        <v>10.6342</v>
      </c>
      <c r="E31">
        <v>9.4</v>
      </c>
      <c r="F31">
        <v>6.82</v>
      </c>
      <c r="G31">
        <v>51.16</v>
      </c>
      <c r="H31">
        <v>0.86</v>
      </c>
      <c r="I31">
        <v>8</v>
      </c>
      <c r="J31">
        <v>169.53</v>
      </c>
      <c r="K31">
        <v>50.28</v>
      </c>
      <c r="L31">
        <v>8.25</v>
      </c>
      <c r="M31">
        <v>6</v>
      </c>
      <c r="N31">
        <v>31</v>
      </c>
      <c r="O31">
        <v>21142.98</v>
      </c>
      <c r="P31">
        <v>77.599999999999994</v>
      </c>
      <c r="Q31">
        <v>204.14</v>
      </c>
      <c r="R31">
        <v>25.85</v>
      </c>
      <c r="S31">
        <v>17.37</v>
      </c>
      <c r="T31">
        <v>2125.29</v>
      </c>
      <c r="U31">
        <v>0.67</v>
      </c>
      <c r="V31">
        <v>0.75</v>
      </c>
      <c r="W31">
        <v>1.1499999999999999</v>
      </c>
      <c r="X31">
        <v>0.13</v>
      </c>
      <c r="Y31">
        <v>1</v>
      </c>
      <c r="Z31">
        <v>10</v>
      </c>
    </row>
    <row r="32" spans="1:26" x14ac:dyDescent="0.3">
      <c r="A32">
        <v>30</v>
      </c>
      <c r="B32">
        <v>80</v>
      </c>
      <c r="C32" t="s">
        <v>26</v>
      </c>
      <c r="D32">
        <v>10.623200000000001</v>
      </c>
      <c r="E32">
        <v>9.41</v>
      </c>
      <c r="F32">
        <v>6.83</v>
      </c>
      <c r="G32">
        <v>51.23</v>
      </c>
      <c r="H32">
        <v>0.89</v>
      </c>
      <c r="I32">
        <v>8</v>
      </c>
      <c r="J32">
        <v>169.9</v>
      </c>
      <c r="K32">
        <v>50.28</v>
      </c>
      <c r="L32">
        <v>8.5</v>
      </c>
      <c r="M32">
        <v>6</v>
      </c>
      <c r="N32">
        <v>31.12</v>
      </c>
      <c r="O32">
        <v>21187.82</v>
      </c>
      <c r="P32">
        <v>77.41</v>
      </c>
      <c r="Q32">
        <v>204.14</v>
      </c>
      <c r="R32">
        <v>26.28</v>
      </c>
      <c r="S32">
        <v>17.37</v>
      </c>
      <c r="T32">
        <v>2340.65</v>
      </c>
      <c r="U32">
        <v>0.66</v>
      </c>
      <c r="V32">
        <v>0.75</v>
      </c>
      <c r="W32">
        <v>1.1499999999999999</v>
      </c>
      <c r="X32">
        <v>0.14000000000000001</v>
      </c>
      <c r="Y32">
        <v>1</v>
      </c>
      <c r="Z32">
        <v>10</v>
      </c>
    </row>
    <row r="33" spans="1:26" x14ac:dyDescent="0.3">
      <c r="A33">
        <v>31</v>
      </c>
      <c r="B33">
        <v>80</v>
      </c>
      <c r="C33" t="s">
        <v>26</v>
      </c>
      <c r="D33">
        <v>10.629200000000001</v>
      </c>
      <c r="E33">
        <v>9.41</v>
      </c>
      <c r="F33">
        <v>6.83</v>
      </c>
      <c r="G33">
        <v>51.19</v>
      </c>
      <c r="H33">
        <v>0.91</v>
      </c>
      <c r="I33">
        <v>8</v>
      </c>
      <c r="J33">
        <v>170.26</v>
      </c>
      <c r="K33">
        <v>50.28</v>
      </c>
      <c r="L33">
        <v>8.75</v>
      </c>
      <c r="M33">
        <v>6</v>
      </c>
      <c r="N33">
        <v>31.23</v>
      </c>
      <c r="O33">
        <v>21232.69</v>
      </c>
      <c r="P33">
        <v>77.319999999999993</v>
      </c>
      <c r="Q33">
        <v>204.14</v>
      </c>
      <c r="R33">
        <v>26.05</v>
      </c>
      <c r="S33">
        <v>17.37</v>
      </c>
      <c r="T33">
        <v>2225.5300000000002</v>
      </c>
      <c r="U33">
        <v>0.67</v>
      </c>
      <c r="V33">
        <v>0.75</v>
      </c>
      <c r="W33">
        <v>1.1499999999999999</v>
      </c>
      <c r="X33">
        <v>0.13</v>
      </c>
      <c r="Y33">
        <v>1</v>
      </c>
      <c r="Z33">
        <v>10</v>
      </c>
    </row>
    <row r="34" spans="1:26" x14ac:dyDescent="0.3">
      <c r="A34">
        <v>32</v>
      </c>
      <c r="B34">
        <v>80</v>
      </c>
      <c r="C34" t="s">
        <v>26</v>
      </c>
      <c r="D34">
        <v>10.6235</v>
      </c>
      <c r="E34">
        <v>9.41</v>
      </c>
      <c r="F34">
        <v>6.83</v>
      </c>
      <c r="G34">
        <v>51.23</v>
      </c>
      <c r="H34">
        <v>0.94</v>
      </c>
      <c r="I34">
        <v>8</v>
      </c>
      <c r="J34">
        <v>170.62</v>
      </c>
      <c r="K34">
        <v>50.28</v>
      </c>
      <c r="L34">
        <v>9</v>
      </c>
      <c r="M34">
        <v>6</v>
      </c>
      <c r="N34">
        <v>31.34</v>
      </c>
      <c r="O34">
        <v>21277.599999999999</v>
      </c>
      <c r="P34">
        <v>76.900000000000006</v>
      </c>
      <c r="Q34">
        <v>204.14</v>
      </c>
      <c r="R34">
        <v>26.13</v>
      </c>
      <c r="S34">
        <v>17.37</v>
      </c>
      <c r="T34">
        <v>2267.33</v>
      </c>
      <c r="U34">
        <v>0.66</v>
      </c>
      <c r="V34">
        <v>0.75</v>
      </c>
      <c r="W34">
        <v>1.1499999999999999</v>
      </c>
      <c r="X34">
        <v>0.14000000000000001</v>
      </c>
      <c r="Y34">
        <v>1</v>
      </c>
      <c r="Z34">
        <v>10</v>
      </c>
    </row>
    <row r="35" spans="1:26" x14ac:dyDescent="0.3">
      <c r="A35">
        <v>33</v>
      </c>
      <c r="B35">
        <v>80</v>
      </c>
      <c r="C35" t="s">
        <v>26</v>
      </c>
      <c r="D35">
        <v>10.689500000000001</v>
      </c>
      <c r="E35">
        <v>9.36</v>
      </c>
      <c r="F35">
        <v>6.8</v>
      </c>
      <c r="G35">
        <v>58.33</v>
      </c>
      <c r="H35">
        <v>0.96</v>
      </c>
      <c r="I35">
        <v>7</v>
      </c>
      <c r="J35">
        <v>170.99</v>
      </c>
      <c r="K35">
        <v>50.28</v>
      </c>
      <c r="L35">
        <v>9.25</v>
      </c>
      <c r="M35">
        <v>5</v>
      </c>
      <c r="N35">
        <v>31.46</v>
      </c>
      <c r="O35">
        <v>21322.55</v>
      </c>
      <c r="P35">
        <v>76.52</v>
      </c>
      <c r="Q35">
        <v>204.14</v>
      </c>
      <c r="R35">
        <v>25.35</v>
      </c>
      <c r="S35">
        <v>17.37</v>
      </c>
      <c r="T35">
        <v>1880.77</v>
      </c>
      <c r="U35">
        <v>0.69</v>
      </c>
      <c r="V35">
        <v>0.75</v>
      </c>
      <c r="W35">
        <v>1.1499999999999999</v>
      </c>
      <c r="X35">
        <v>0.11</v>
      </c>
      <c r="Y35">
        <v>1</v>
      </c>
      <c r="Z35">
        <v>10</v>
      </c>
    </row>
    <row r="36" spans="1:26" x14ac:dyDescent="0.3">
      <c r="A36">
        <v>34</v>
      </c>
      <c r="B36">
        <v>80</v>
      </c>
      <c r="C36" t="s">
        <v>26</v>
      </c>
      <c r="D36">
        <v>10.688800000000001</v>
      </c>
      <c r="E36">
        <v>9.36</v>
      </c>
      <c r="F36">
        <v>6.81</v>
      </c>
      <c r="G36">
        <v>58.33</v>
      </c>
      <c r="H36">
        <v>0.98</v>
      </c>
      <c r="I36">
        <v>7</v>
      </c>
      <c r="J36">
        <v>171.35</v>
      </c>
      <c r="K36">
        <v>50.28</v>
      </c>
      <c r="L36">
        <v>9.5</v>
      </c>
      <c r="M36">
        <v>5</v>
      </c>
      <c r="N36">
        <v>31.57</v>
      </c>
      <c r="O36">
        <v>21367.54</v>
      </c>
      <c r="P36">
        <v>76.75</v>
      </c>
      <c r="Q36">
        <v>204.14</v>
      </c>
      <c r="R36">
        <v>25.38</v>
      </c>
      <c r="S36">
        <v>17.37</v>
      </c>
      <c r="T36">
        <v>1898.12</v>
      </c>
      <c r="U36">
        <v>0.68</v>
      </c>
      <c r="V36">
        <v>0.75</v>
      </c>
      <c r="W36">
        <v>1.1499999999999999</v>
      </c>
      <c r="X36">
        <v>0.11</v>
      </c>
      <c r="Y36">
        <v>1</v>
      </c>
      <c r="Z36">
        <v>10</v>
      </c>
    </row>
    <row r="37" spans="1:26" x14ac:dyDescent="0.3">
      <c r="A37">
        <v>35</v>
      </c>
      <c r="B37">
        <v>80</v>
      </c>
      <c r="C37" t="s">
        <v>26</v>
      </c>
      <c r="D37">
        <v>10.676500000000001</v>
      </c>
      <c r="E37">
        <v>9.3699999999999992</v>
      </c>
      <c r="F37">
        <v>6.82</v>
      </c>
      <c r="G37">
        <v>58.43</v>
      </c>
      <c r="H37">
        <v>1.01</v>
      </c>
      <c r="I37">
        <v>7</v>
      </c>
      <c r="J37">
        <v>171.72</v>
      </c>
      <c r="K37">
        <v>50.28</v>
      </c>
      <c r="L37">
        <v>9.75</v>
      </c>
      <c r="M37">
        <v>5</v>
      </c>
      <c r="N37">
        <v>31.69</v>
      </c>
      <c r="O37">
        <v>21412.57</v>
      </c>
      <c r="P37">
        <v>76.7</v>
      </c>
      <c r="Q37">
        <v>204.15</v>
      </c>
      <c r="R37">
        <v>25.7</v>
      </c>
      <c r="S37">
        <v>17.37</v>
      </c>
      <c r="T37">
        <v>2058.29</v>
      </c>
      <c r="U37">
        <v>0.68</v>
      </c>
      <c r="V37">
        <v>0.75</v>
      </c>
      <c r="W37">
        <v>1.1499999999999999</v>
      </c>
      <c r="X37">
        <v>0.12</v>
      </c>
      <c r="Y37">
        <v>1</v>
      </c>
      <c r="Z37">
        <v>10</v>
      </c>
    </row>
    <row r="38" spans="1:26" x14ac:dyDescent="0.3">
      <c r="A38">
        <v>36</v>
      </c>
      <c r="B38">
        <v>80</v>
      </c>
      <c r="C38" t="s">
        <v>26</v>
      </c>
      <c r="D38">
        <v>10.6806</v>
      </c>
      <c r="E38">
        <v>9.36</v>
      </c>
      <c r="F38">
        <v>6.81</v>
      </c>
      <c r="G38">
        <v>58.4</v>
      </c>
      <c r="H38">
        <v>1.03</v>
      </c>
      <c r="I38">
        <v>7</v>
      </c>
      <c r="J38">
        <v>172.08</v>
      </c>
      <c r="K38">
        <v>50.28</v>
      </c>
      <c r="L38">
        <v>10</v>
      </c>
      <c r="M38">
        <v>5</v>
      </c>
      <c r="N38">
        <v>31.8</v>
      </c>
      <c r="O38">
        <v>21457.64</v>
      </c>
      <c r="P38">
        <v>76.45</v>
      </c>
      <c r="Q38">
        <v>204.15</v>
      </c>
      <c r="R38">
        <v>25.64</v>
      </c>
      <c r="S38">
        <v>17.37</v>
      </c>
      <c r="T38">
        <v>2025.73</v>
      </c>
      <c r="U38">
        <v>0.68</v>
      </c>
      <c r="V38">
        <v>0.75</v>
      </c>
      <c r="W38">
        <v>1.1499999999999999</v>
      </c>
      <c r="X38">
        <v>0.12</v>
      </c>
      <c r="Y38">
        <v>1</v>
      </c>
      <c r="Z38">
        <v>10</v>
      </c>
    </row>
    <row r="39" spans="1:26" x14ac:dyDescent="0.3">
      <c r="A39">
        <v>37</v>
      </c>
      <c r="B39">
        <v>80</v>
      </c>
      <c r="C39" t="s">
        <v>26</v>
      </c>
      <c r="D39">
        <v>10.678699999999999</v>
      </c>
      <c r="E39">
        <v>9.36</v>
      </c>
      <c r="F39">
        <v>6.81</v>
      </c>
      <c r="G39">
        <v>58.41</v>
      </c>
      <c r="H39">
        <v>1.05</v>
      </c>
      <c r="I39">
        <v>7</v>
      </c>
      <c r="J39">
        <v>172.45</v>
      </c>
      <c r="K39">
        <v>50.28</v>
      </c>
      <c r="L39">
        <v>10.25</v>
      </c>
      <c r="M39">
        <v>5</v>
      </c>
      <c r="N39">
        <v>31.92</v>
      </c>
      <c r="O39">
        <v>21502.75</v>
      </c>
      <c r="P39">
        <v>76.03</v>
      </c>
      <c r="Q39">
        <v>204.18</v>
      </c>
      <c r="R39">
        <v>25.7</v>
      </c>
      <c r="S39">
        <v>17.37</v>
      </c>
      <c r="T39">
        <v>2059.46</v>
      </c>
      <c r="U39">
        <v>0.68</v>
      </c>
      <c r="V39">
        <v>0.75</v>
      </c>
      <c r="W39">
        <v>1.1499999999999999</v>
      </c>
      <c r="X39">
        <v>0.12</v>
      </c>
      <c r="Y39">
        <v>1</v>
      </c>
      <c r="Z39">
        <v>10</v>
      </c>
    </row>
    <row r="40" spans="1:26" x14ac:dyDescent="0.3">
      <c r="A40">
        <v>38</v>
      </c>
      <c r="B40">
        <v>80</v>
      </c>
      <c r="C40" t="s">
        <v>26</v>
      </c>
      <c r="D40">
        <v>10.680300000000001</v>
      </c>
      <c r="E40">
        <v>9.36</v>
      </c>
      <c r="F40">
        <v>6.81</v>
      </c>
      <c r="G40">
        <v>58.4</v>
      </c>
      <c r="H40">
        <v>1.08</v>
      </c>
      <c r="I40">
        <v>7</v>
      </c>
      <c r="J40">
        <v>172.82</v>
      </c>
      <c r="K40">
        <v>50.28</v>
      </c>
      <c r="L40">
        <v>10.5</v>
      </c>
      <c r="M40">
        <v>5</v>
      </c>
      <c r="N40">
        <v>32.04</v>
      </c>
      <c r="O40">
        <v>21547.89</v>
      </c>
      <c r="P40">
        <v>75.650000000000006</v>
      </c>
      <c r="Q40">
        <v>204.14</v>
      </c>
      <c r="R40">
        <v>25.65</v>
      </c>
      <c r="S40">
        <v>17.37</v>
      </c>
      <c r="T40">
        <v>2031.66</v>
      </c>
      <c r="U40">
        <v>0.68</v>
      </c>
      <c r="V40">
        <v>0.75</v>
      </c>
      <c r="W40">
        <v>1.1499999999999999</v>
      </c>
      <c r="X40">
        <v>0.12</v>
      </c>
      <c r="Y40">
        <v>1</v>
      </c>
      <c r="Z40">
        <v>10</v>
      </c>
    </row>
    <row r="41" spans="1:26" x14ac:dyDescent="0.3">
      <c r="A41">
        <v>39</v>
      </c>
      <c r="B41">
        <v>80</v>
      </c>
      <c r="C41" t="s">
        <v>26</v>
      </c>
      <c r="D41">
        <v>10.7501</v>
      </c>
      <c r="E41">
        <v>9.3000000000000007</v>
      </c>
      <c r="F41">
        <v>6.78</v>
      </c>
      <c r="G41">
        <v>67.84</v>
      </c>
      <c r="H41">
        <v>1.1000000000000001</v>
      </c>
      <c r="I41">
        <v>6</v>
      </c>
      <c r="J41">
        <v>173.18</v>
      </c>
      <c r="K41">
        <v>50.28</v>
      </c>
      <c r="L41">
        <v>10.75</v>
      </c>
      <c r="M41">
        <v>4</v>
      </c>
      <c r="N41">
        <v>32.15</v>
      </c>
      <c r="O41">
        <v>21593.08</v>
      </c>
      <c r="P41">
        <v>74.87</v>
      </c>
      <c r="Q41">
        <v>204.14</v>
      </c>
      <c r="R41">
        <v>24.75</v>
      </c>
      <c r="S41">
        <v>17.37</v>
      </c>
      <c r="T41">
        <v>1585.95</v>
      </c>
      <c r="U41">
        <v>0.7</v>
      </c>
      <c r="V41">
        <v>0.75</v>
      </c>
      <c r="W41">
        <v>1.1399999999999999</v>
      </c>
      <c r="X41">
        <v>0.09</v>
      </c>
      <c r="Y41">
        <v>1</v>
      </c>
      <c r="Z41">
        <v>10</v>
      </c>
    </row>
    <row r="42" spans="1:26" x14ac:dyDescent="0.3">
      <c r="A42">
        <v>40</v>
      </c>
      <c r="B42">
        <v>80</v>
      </c>
      <c r="C42" t="s">
        <v>26</v>
      </c>
      <c r="D42">
        <v>10.7479</v>
      </c>
      <c r="E42">
        <v>9.3000000000000007</v>
      </c>
      <c r="F42">
        <v>6.79</v>
      </c>
      <c r="G42">
        <v>67.86</v>
      </c>
      <c r="H42">
        <v>1.1200000000000001</v>
      </c>
      <c r="I42">
        <v>6</v>
      </c>
      <c r="J42">
        <v>173.55</v>
      </c>
      <c r="K42">
        <v>50.28</v>
      </c>
      <c r="L42">
        <v>11</v>
      </c>
      <c r="M42">
        <v>4</v>
      </c>
      <c r="N42">
        <v>32.270000000000003</v>
      </c>
      <c r="O42">
        <v>21638.31</v>
      </c>
      <c r="P42">
        <v>74.86</v>
      </c>
      <c r="Q42">
        <v>204.14</v>
      </c>
      <c r="R42">
        <v>24.86</v>
      </c>
      <c r="S42">
        <v>17.37</v>
      </c>
      <c r="T42">
        <v>1644.8</v>
      </c>
      <c r="U42">
        <v>0.7</v>
      </c>
      <c r="V42">
        <v>0.75</v>
      </c>
      <c r="W42">
        <v>1.1399999999999999</v>
      </c>
      <c r="X42">
        <v>0.1</v>
      </c>
      <c r="Y42">
        <v>1</v>
      </c>
      <c r="Z42">
        <v>10</v>
      </c>
    </row>
    <row r="43" spans="1:26" x14ac:dyDescent="0.3">
      <c r="A43">
        <v>41</v>
      </c>
      <c r="B43">
        <v>80</v>
      </c>
      <c r="C43" t="s">
        <v>26</v>
      </c>
      <c r="D43">
        <v>10.7463</v>
      </c>
      <c r="E43">
        <v>9.31</v>
      </c>
      <c r="F43">
        <v>6.79</v>
      </c>
      <c r="G43">
        <v>67.88</v>
      </c>
      <c r="H43">
        <v>1.1499999999999999</v>
      </c>
      <c r="I43">
        <v>6</v>
      </c>
      <c r="J43">
        <v>173.92</v>
      </c>
      <c r="K43">
        <v>50.28</v>
      </c>
      <c r="L43">
        <v>11.25</v>
      </c>
      <c r="M43">
        <v>4</v>
      </c>
      <c r="N43">
        <v>32.39</v>
      </c>
      <c r="O43">
        <v>21683.57</v>
      </c>
      <c r="P43">
        <v>74.959999999999994</v>
      </c>
      <c r="Q43">
        <v>204.17</v>
      </c>
      <c r="R43">
        <v>24.8</v>
      </c>
      <c r="S43">
        <v>17.37</v>
      </c>
      <c r="T43">
        <v>1611.66</v>
      </c>
      <c r="U43">
        <v>0.7</v>
      </c>
      <c r="V43">
        <v>0.75</v>
      </c>
      <c r="W43">
        <v>1.1499999999999999</v>
      </c>
      <c r="X43">
        <v>0.1</v>
      </c>
      <c r="Y43">
        <v>1</v>
      </c>
      <c r="Z43">
        <v>10</v>
      </c>
    </row>
    <row r="44" spans="1:26" x14ac:dyDescent="0.3">
      <c r="A44">
        <v>42</v>
      </c>
      <c r="B44">
        <v>80</v>
      </c>
      <c r="C44" t="s">
        <v>26</v>
      </c>
      <c r="D44">
        <v>10.7498</v>
      </c>
      <c r="E44">
        <v>9.3000000000000007</v>
      </c>
      <c r="F44">
        <v>6.78</v>
      </c>
      <c r="G44">
        <v>67.849999999999994</v>
      </c>
      <c r="H44">
        <v>1.17</v>
      </c>
      <c r="I44">
        <v>6</v>
      </c>
      <c r="J44">
        <v>174.28</v>
      </c>
      <c r="K44">
        <v>50.28</v>
      </c>
      <c r="L44">
        <v>11.5</v>
      </c>
      <c r="M44">
        <v>4</v>
      </c>
      <c r="N44">
        <v>32.5</v>
      </c>
      <c r="O44">
        <v>21728.87</v>
      </c>
      <c r="P44">
        <v>74.86</v>
      </c>
      <c r="Q44">
        <v>204.15</v>
      </c>
      <c r="R44">
        <v>24.79</v>
      </c>
      <c r="S44">
        <v>17.37</v>
      </c>
      <c r="T44">
        <v>1606.19</v>
      </c>
      <c r="U44">
        <v>0.7</v>
      </c>
      <c r="V44">
        <v>0.75</v>
      </c>
      <c r="W44">
        <v>1.1399999999999999</v>
      </c>
      <c r="X44">
        <v>0.09</v>
      </c>
      <c r="Y44">
        <v>1</v>
      </c>
      <c r="Z44">
        <v>10</v>
      </c>
    </row>
    <row r="45" spans="1:26" x14ac:dyDescent="0.3">
      <c r="A45">
        <v>43</v>
      </c>
      <c r="B45">
        <v>80</v>
      </c>
      <c r="C45" t="s">
        <v>26</v>
      </c>
      <c r="D45">
        <v>10.754899999999999</v>
      </c>
      <c r="E45">
        <v>9.3000000000000007</v>
      </c>
      <c r="F45">
        <v>6.78</v>
      </c>
      <c r="G45">
        <v>67.8</v>
      </c>
      <c r="H45">
        <v>1.19</v>
      </c>
      <c r="I45">
        <v>6</v>
      </c>
      <c r="J45">
        <v>174.65</v>
      </c>
      <c r="K45">
        <v>50.28</v>
      </c>
      <c r="L45">
        <v>11.75</v>
      </c>
      <c r="M45">
        <v>4</v>
      </c>
      <c r="N45">
        <v>32.619999999999997</v>
      </c>
      <c r="O45">
        <v>21774.22</v>
      </c>
      <c r="P45">
        <v>74.45</v>
      </c>
      <c r="Q45">
        <v>204.14</v>
      </c>
      <c r="R45">
        <v>24.61</v>
      </c>
      <c r="S45">
        <v>17.37</v>
      </c>
      <c r="T45">
        <v>1516</v>
      </c>
      <c r="U45">
        <v>0.71</v>
      </c>
      <c r="V45">
        <v>0.75</v>
      </c>
      <c r="W45">
        <v>1.1499999999999999</v>
      </c>
      <c r="X45">
        <v>0.09</v>
      </c>
      <c r="Y45">
        <v>1</v>
      </c>
      <c r="Z45">
        <v>10</v>
      </c>
    </row>
    <row r="46" spans="1:26" x14ac:dyDescent="0.3">
      <c r="A46">
        <v>44</v>
      </c>
      <c r="B46">
        <v>80</v>
      </c>
      <c r="C46" t="s">
        <v>26</v>
      </c>
      <c r="D46">
        <v>10.744999999999999</v>
      </c>
      <c r="E46">
        <v>9.31</v>
      </c>
      <c r="F46">
        <v>6.79</v>
      </c>
      <c r="G46">
        <v>67.89</v>
      </c>
      <c r="H46">
        <v>1.22</v>
      </c>
      <c r="I46">
        <v>6</v>
      </c>
      <c r="J46">
        <v>175.02</v>
      </c>
      <c r="K46">
        <v>50.28</v>
      </c>
      <c r="L46">
        <v>12</v>
      </c>
      <c r="M46">
        <v>4</v>
      </c>
      <c r="N46">
        <v>32.74</v>
      </c>
      <c r="O46">
        <v>21819.599999999999</v>
      </c>
      <c r="P46">
        <v>74.209999999999994</v>
      </c>
      <c r="Q46">
        <v>204.15</v>
      </c>
      <c r="R46">
        <v>24.85</v>
      </c>
      <c r="S46">
        <v>17.37</v>
      </c>
      <c r="T46">
        <v>1636.09</v>
      </c>
      <c r="U46">
        <v>0.7</v>
      </c>
      <c r="V46">
        <v>0.75</v>
      </c>
      <c r="W46">
        <v>1.1499999999999999</v>
      </c>
      <c r="X46">
        <v>0.1</v>
      </c>
      <c r="Y46">
        <v>1</v>
      </c>
      <c r="Z46">
        <v>10</v>
      </c>
    </row>
    <row r="47" spans="1:26" x14ac:dyDescent="0.3">
      <c r="A47">
        <v>45</v>
      </c>
      <c r="B47">
        <v>80</v>
      </c>
      <c r="C47" t="s">
        <v>26</v>
      </c>
      <c r="D47">
        <v>10.7437</v>
      </c>
      <c r="E47">
        <v>9.31</v>
      </c>
      <c r="F47">
        <v>6.79</v>
      </c>
      <c r="G47">
        <v>67.900000000000006</v>
      </c>
      <c r="H47">
        <v>1.24</v>
      </c>
      <c r="I47">
        <v>6</v>
      </c>
      <c r="J47">
        <v>175.39</v>
      </c>
      <c r="K47">
        <v>50.28</v>
      </c>
      <c r="L47">
        <v>12.25</v>
      </c>
      <c r="M47">
        <v>4</v>
      </c>
      <c r="N47">
        <v>32.86</v>
      </c>
      <c r="O47">
        <v>21865.03</v>
      </c>
      <c r="P47">
        <v>73.95</v>
      </c>
      <c r="Q47">
        <v>204.14</v>
      </c>
      <c r="R47">
        <v>24.94</v>
      </c>
      <c r="S47">
        <v>17.37</v>
      </c>
      <c r="T47">
        <v>1680.19</v>
      </c>
      <c r="U47">
        <v>0.7</v>
      </c>
      <c r="V47">
        <v>0.75</v>
      </c>
      <c r="W47">
        <v>1.1499999999999999</v>
      </c>
      <c r="X47">
        <v>0.1</v>
      </c>
      <c r="Y47">
        <v>1</v>
      </c>
      <c r="Z47">
        <v>10</v>
      </c>
    </row>
    <row r="48" spans="1:26" x14ac:dyDescent="0.3">
      <c r="A48">
        <v>46</v>
      </c>
      <c r="B48">
        <v>80</v>
      </c>
      <c r="C48" t="s">
        <v>26</v>
      </c>
      <c r="D48">
        <v>10.7456</v>
      </c>
      <c r="E48">
        <v>9.31</v>
      </c>
      <c r="F48">
        <v>6.79</v>
      </c>
      <c r="G48">
        <v>67.88</v>
      </c>
      <c r="H48">
        <v>1.26</v>
      </c>
      <c r="I48">
        <v>6</v>
      </c>
      <c r="J48">
        <v>175.76</v>
      </c>
      <c r="K48">
        <v>50.28</v>
      </c>
      <c r="L48">
        <v>12.5</v>
      </c>
      <c r="M48">
        <v>4</v>
      </c>
      <c r="N48">
        <v>32.979999999999997</v>
      </c>
      <c r="O48">
        <v>21910.49</v>
      </c>
      <c r="P48">
        <v>73.72</v>
      </c>
      <c r="Q48">
        <v>204.14</v>
      </c>
      <c r="R48">
        <v>24.89</v>
      </c>
      <c r="S48">
        <v>17.37</v>
      </c>
      <c r="T48">
        <v>1654.91</v>
      </c>
      <c r="U48">
        <v>0.7</v>
      </c>
      <c r="V48">
        <v>0.75</v>
      </c>
      <c r="W48">
        <v>1.1499999999999999</v>
      </c>
      <c r="X48">
        <v>0.1</v>
      </c>
      <c r="Y48">
        <v>1</v>
      </c>
      <c r="Z48">
        <v>10</v>
      </c>
    </row>
    <row r="49" spans="1:26" x14ac:dyDescent="0.3">
      <c r="A49">
        <v>47</v>
      </c>
      <c r="B49">
        <v>80</v>
      </c>
      <c r="C49" t="s">
        <v>26</v>
      </c>
      <c r="D49">
        <v>10.7431</v>
      </c>
      <c r="E49">
        <v>9.31</v>
      </c>
      <c r="F49">
        <v>6.79</v>
      </c>
      <c r="G49">
        <v>67.91</v>
      </c>
      <c r="H49">
        <v>1.28</v>
      </c>
      <c r="I49">
        <v>6</v>
      </c>
      <c r="J49">
        <v>176.12</v>
      </c>
      <c r="K49">
        <v>50.28</v>
      </c>
      <c r="L49">
        <v>12.75</v>
      </c>
      <c r="M49">
        <v>4</v>
      </c>
      <c r="N49">
        <v>33.090000000000003</v>
      </c>
      <c r="O49">
        <v>21956</v>
      </c>
      <c r="P49">
        <v>73.459999999999994</v>
      </c>
      <c r="Q49">
        <v>204.14</v>
      </c>
      <c r="R49">
        <v>24.93</v>
      </c>
      <c r="S49">
        <v>17.37</v>
      </c>
      <c r="T49">
        <v>1679.28</v>
      </c>
      <c r="U49">
        <v>0.7</v>
      </c>
      <c r="V49">
        <v>0.75</v>
      </c>
      <c r="W49">
        <v>1.1499999999999999</v>
      </c>
      <c r="X49">
        <v>0.1</v>
      </c>
      <c r="Y49">
        <v>1</v>
      </c>
      <c r="Z49">
        <v>10</v>
      </c>
    </row>
    <row r="50" spans="1:26" x14ac:dyDescent="0.3">
      <c r="A50">
        <v>48</v>
      </c>
      <c r="B50">
        <v>80</v>
      </c>
      <c r="C50" t="s">
        <v>26</v>
      </c>
      <c r="D50">
        <v>10.803699999999999</v>
      </c>
      <c r="E50">
        <v>9.26</v>
      </c>
      <c r="F50">
        <v>6.77</v>
      </c>
      <c r="G50">
        <v>81.25</v>
      </c>
      <c r="H50">
        <v>1.31</v>
      </c>
      <c r="I50">
        <v>5</v>
      </c>
      <c r="J50">
        <v>176.49</v>
      </c>
      <c r="K50">
        <v>50.28</v>
      </c>
      <c r="L50">
        <v>13</v>
      </c>
      <c r="M50">
        <v>3</v>
      </c>
      <c r="N50">
        <v>33.21</v>
      </c>
      <c r="O50">
        <v>22001.54</v>
      </c>
      <c r="P50">
        <v>72.38</v>
      </c>
      <c r="Q50">
        <v>204.16</v>
      </c>
      <c r="R50">
        <v>24.26</v>
      </c>
      <c r="S50">
        <v>17.37</v>
      </c>
      <c r="T50">
        <v>1346.09</v>
      </c>
      <c r="U50">
        <v>0.72</v>
      </c>
      <c r="V50">
        <v>0.75</v>
      </c>
      <c r="W50">
        <v>1.1499999999999999</v>
      </c>
      <c r="X50">
        <v>0.08</v>
      </c>
      <c r="Y50">
        <v>1</v>
      </c>
      <c r="Z50">
        <v>10</v>
      </c>
    </row>
    <row r="51" spans="1:26" x14ac:dyDescent="0.3">
      <c r="A51">
        <v>49</v>
      </c>
      <c r="B51">
        <v>80</v>
      </c>
      <c r="C51" t="s">
        <v>26</v>
      </c>
      <c r="D51">
        <v>10.797499999999999</v>
      </c>
      <c r="E51">
        <v>9.26</v>
      </c>
      <c r="F51">
        <v>6.78</v>
      </c>
      <c r="G51">
        <v>81.31</v>
      </c>
      <c r="H51">
        <v>1.33</v>
      </c>
      <c r="I51">
        <v>5</v>
      </c>
      <c r="J51">
        <v>176.86</v>
      </c>
      <c r="K51">
        <v>50.28</v>
      </c>
      <c r="L51">
        <v>13.25</v>
      </c>
      <c r="M51">
        <v>3</v>
      </c>
      <c r="N51">
        <v>33.33</v>
      </c>
      <c r="O51">
        <v>22047.13</v>
      </c>
      <c r="P51">
        <v>72.72</v>
      </c>
      <c r="Q51">
        <v>204.14</v>
      </c>
      <c r="R51">
        <v>24.56</v>
      </c>
      <c r="S51">
        <v>17.37</v>
      </c>
      <c r="T51">
        <v>1497.3</v>
      </c>
      <c r="U51">
        <v>0.71</v>
      </c>
      <c r="V51">
        <v>0.75</v>
      </c>
      <c r="W51">
        <v>1.1399999999999999</v>
      </c>
      <c r="X51">
        <v>0.08</v>
      </c>
      <c r="Y51">
        <v>1</v>
      </c>
      <c r="Z51">
        <v>10</v>
      </c>
    </row>
    <row r="52" spans="1:26" x14ac:dyDescent="0.3">
      <c r="A52">
        <v>50</v>
      </c>
      <c r="B52">
        <v>80</v>
      </c>
      <c r="C52" t="s">
        <v>26</v>
      </c>
      <c r="D52">
        <v>10.8027</v>
      </c>
      <c r="E52">
        <v>9.26</v>
      </c>
      <c r="F52">
        <v>6.77</v>
      </c>
      <c r="G52">
        <v>81.260000000000005</v>
      </c>
      <c r="H52">
        <v>1.35</v>
      </c>
      <c r="I52">
        <v>5</v>
      </c>
      <c r="J52">
        <v>177.23</v>
      </c>
      <c r="K52">
        <v>50.28</v>
      </c>
      <c r="L52">
        <v>13.5</v>
      </c>
      <c r="M52">
        <v>3</v>
      </c>
      <c r="N52">
        <v>33.450000000000003</v>
      </c>
      <c r="O52">
        <v>22092.76</v>
      </c>
      <c r="P52">
        <v>72.75</v>
      </c>
      <c r="Q52">
        <v>204.17</v>
      </c>
      <c r="R52">
        <v>24.36</v>
      </c>
      <c r="S52">
        <v>17.37</v>
      </c>
      <c r="T52">
        <v>1398.66</v>
      </c>
      <c r="U52">
        <v>0.71</v>
      </c>
      <c r="V52">
        <v>0.75</v>
      </c>
      <c r="W52">
        <v>1.1399999999999999</v>
      </c>
      <c r="X52">
        <v>0.08</v>
      </c>
      <c r="Y52">
        <v>1</v>
      </c>
      <c r="Z52">
        <v>10</v>
      </c>
    </row>
    <row r="53" spans="1:26" x14ac:dyDescent="0.3">
      <c r="A53">
        <v>51</v>
      </c>
      <c r="B53">
        <v>80</v>
      </c>
      <c r="C53" t="s">
        <v>26</v>
      </c>
      <c r="D53">
        <v>10.796200000000001</v>
      </c>
      <c r="E53">
        <v>9.26</v>
      </c>
      <c r="F53">
        <v>6.78</v>
      </c>
      <c r="G53">
        <v>81.319999999999993</v>
      </c>
      <c r="H53">
        <v>1.37</v>
      </c>
      <c r="I53">
        <v>5</v>
      </c>
      <c r="J53">
        <v>177.6</v>
      </c>
      <c r="K53">
        <v>50.28</v>
      </c>
      <c r="L53">
        <v>13.75</v>
      </c>
      <c r="M53">
        <v>3</v>
      </c>
      <c r="N53">
        <v>33.57</v>
      </c>
      <c r="O53">
        <v>22138.42</v>
      </c>
      <c r="P53">
        <v>72.989999999999995</v>
      </c>
      <c r="Q53">
        <v>204.16</v>
      </c>
      <c r="R53">
        <v>24.57</v>
      </c>
      <c r="S53">
        <v>17.37</v>
      </c>
      <c r="T53">
        <v>1500.18</v>
      </c>
      <c r="U53">
        <v>0.71</v>
      </c>
      <c r="V53">
        <v>0.75</v>
      </c>
      <c r="W53">
        <v>1.1399999999999999</v>
      </c>
      <c r="X53">
        <v>0.09</v>
      </c>
      <c r="Y53">
        <v>1</v>
      </c>
      <c r="Z53">
        <v>10</v>
      </c>
    </row>
    <row r="54" spans="1:26" x14ac:dyDescent="0.3">
      <c r="A54">
        <v>52</v>
      </c>
      <c r="B54">
        <v>80</v>
      </c>
      <c r="C54" t="s">
        <v>26</v>
      </c>
      <c r="D54">
        <v>10.8024</v>
      </c>
      <c r="E54">
        <v>9.26</v>
      </c>
      <c r="F54">
        <v>6.77</v>
      </c>
      <c r="G54">
        <v>81.260000000000005</v>
      </c>
      <c r="H54">
        <v>1.4</v>
      </c>
      <c r="I54">
        <v>5</v>
      </c>
      <c r="J54">
        <v>177.97</v>
      </c>
      <c r="K54">
        <v>50.28</v>
      </c>
      <c r="L54">
        <v>14</v>
      </c>
      <c r="M54">
        <v>3</v>
      </c>
      <c r="N54">
        <v>33.69</v>
      </c>
      <c r="O54">
        <v>22184.13</v>
      </c>
      <c r="P54">
        <v>72.61</v>
      </c>
      <c r="Q54">
        <v>204.14</v>
      </c>
      <c r="R54">
        <v>24.44</v>
      </c>
      <c r="S54">
        <v>17.37</v>
      </c>
      <c r="T54">
        <v>1436.85</v>
      </c>
      <c r="U54">
        <v>0.71</v>
      </c>
      <c r="V54">
        <v>0.75</v>
      </c>
      <c r="W54">
        <v>1.1399999999999999</v>
      </c>
      <c r="X54">
        <v>0.08</v>
      </c>
      <c r="Y54">
        <v>1</v>
      </c>
      <c r="Z54">
        <v>10</v>
      </c>
    </row>
    <row r="55" spans="1:26" x14ac:dyDescent="0.3">
      <c r="A55">
        <v>53</v>
      </c>
      <c r="B55">
        <v>80</v>
      </c>
      <c r="C55" t="s">
        <v>26</v>
      </c>
      <c r="D55">
        <v>10.7949</v>
      </c>
      <c r="E55">
        <v>9.26</v>
      </c>
      <c r="F55">
        <v>6.78</v>
      </c>
      <c r="G55">
        <v>81.34</v>
      </c>
      <c r="H55">
        <v>1.42</v>
      </c>
      <c r="I55">
        <v>5</v>
      </c>
      <c r="J55">
        <v>178.34</v>
      </c>
      <c r="K55">
        <v>50.28</v>
      </c>
      <c r="L55">
        <v>14.25</v>
      </c>
      <c r="M55">
        <v>3</v>
      </c>
      <c r="N55">
        <v>33.82</v>
      </c>
      <c r="O55">
        <v>22229.88</v>
      </c>
      <c r="P55">
        <v>72.489999999999995</v>
      </c>
      <c r="Q55">
        <v>204.14</v>
      </c>
      <c r="R55">
        <v>24.55</v>
      </c>
      <c r="S55">
        <v>17.37</v>
      </c>
      <c r="T55">
        <v>1494.25</v>
      </c>
      <c r="U55">
        <v>0.71</v>
      </c>
      <c r="V55">
        <v>0.75</v>
      </c>
      <c r="W55">
        <v>1.1499999999999999</v>
      </c>
      <c r="X55">
        <v>0.09</v>
      </c>
      <c r="Y55">
        <v>1</v>
      </c>
      <c r="Z55">
        <v>10</v>
      </c>
    </row>
    <row r="56" spans="1:26" x14ac:dyDescent="0.3">
      <c r="A56">
        <v>54</v>
      </c>
      <c r="B56">
        <v>80</v>
      </c>
      <c r="C56" t="s">
        <v>26</v>
      </c>
      <c r="D56">
        <v>10.803000000000001</v>
      </c>
      <c r="E56">
        <v>9.26</v>
      </c>
      <c r="F56">
        <v>6.77</v>
      </c>
      <c r="G56">
        <v>81.25</v>
      </c>
      <c r="H56">
        <v>1.44</v>
      </c>
      <c r="I56">
        <v>5</v>
      </c>
      <c r="J56">
        <v>178.72</v>
      </c>
      <c r="K56">
        <v>50.28</v>
      </c>
      <c r="L56">
        <v>14.5</v>
      </c>
      <c r="M56">
        <v>3</v>
      </c>
      <c r="N56">
        <v>33.94</v>
      </c>
      <c r="O56">
        <v>22275.67</v>
      </c>
      <c r="P56">
        <v>72.09</v>
      </c>
      <c r="Q56">
        <v>204.14</v>
      </c>
      <c r="R56">
        <v>24.42</v>
      </c>
      <c r="S56">
        <v>17.37</v>
      </c>
      <c r="T56">
        <v>1427.67</v>
      </c>
      <c r="U56">
        <v>0.71</v>
      </c>
      <c r="V56">
        <v>0.75</v>
      </c>
      <c r="W56">
        <v>1.1399999999999999</v>
      </c>
      <c r="X56">
        <v>0.08</v>
      </c>
      <c r="Y56">
        <v>1</v>
      </c>
      <c r="Z56">
        <v>10</v>
      </c>
    </row>
    <row r="57" spans="1:26" x14ac:dyDescent="0.3">
      <c r="A57">
        <v>55</v>
      </c>
      <c r="B57">
        <v>80</v>
      </c>
      <c r="C57" t="s">
        <v>26</v>
      </c>
      <c r="D57">
        <v>10.8095</v>
      </c>
      <c r="E57">
        <v>9.25</v>
      </c>
      <c r="F57">
        <v>6.77</v>
      </c>
      <c r="G57">
        <v>81.19</v>
      </c>
      <c r="H57">
        <v>1.46</v>
      </c>
      <c r="I57">
        <v>5</v>
      </c>
      <c r="J57">
        <v>179.09</v>
      </c>
      <c r="K57">
        <v>50.28</v>
      </c>
      <c r="L57">
        <v>14.75</v>
      </c>
      <c r="M57">
        <v>3</v>
      </c>
      <c r="N57">
        <v>34.06</v>
      </c>
      <c r="O57">
        <v>22321.5</v>
      </c>
      <c r="P57">
        <v>71.66</v>
      </c>
      <c r="Q57">
        <v>204.14</v>
      </c>
      <c r="R57">
        <v>24.14</v>
      </c>
      <c r="S57">
        <v>17.37</v>
      </c>
      <c r="T57">
        <v>1285.96</v>
      </c>
      <c r="U57">
        <v>0.72</v>
      </c>
      <c r="V57">
        <v>0.75</v>
      </c>
      <c r="W57">
        <v>1.1399999999999999</v>
      </c>
      <c r="X57">
        <v>7.0000000000000007E-2</v>
      </c>
      <c r="Y57">
        <v>1</v>
      </c>
      <c r="Z57">
        <v>10</v>
      </c>
    </row>
    <row r="58" spans="1:26" x14ac:dyDescent="0.3">
      <c r="A58">
        <v>56</v>
      </c>
      <c r="B58">
        <v>80</v>
      </c>
      <c r="C58" t="s">
        <v>26</v>
      </c>
      <c r="D58">
        <v>10.812099999999999</v>
      </c>
      <c r="E58">
        <v>9.25</v>
      </c>
      <c r="F58">
        <v>6.76</v>
      </c>
      <c r="G58">
        <v>81.16</v>
      </c>
      <c r="H58">
        <v>1.48</v>
      </c>
      <c r="I58">
        <v>5</v>
      </c>
      <c r="J58">
        <v>179.46</v>
      </c>
      <c r="K58">
        <v>50.28</v>
      </c>
      <c r="L58">
        <v>15</v>
      </c>
      <c r="M58">
        <v>3</v>
      </c>
      <c r="N58">
        <v>34.18</v>
      </c>
      <c r="O58">
        <v>22367.38</v>
      </c>
      <c r="P58">
        <v>71.010000000000005</v>
      </c>
      <c r="Q58">
        <v>204.14</v>
      </c>
      <c r="R58">
        <v>24.02</v>
      </c>
      <c r="S58">
        <v>17.37</v>
      </c>
      <c r="T58">
        <v>1225.6099999999999</v>
      </c>
      <c r="U58">
        <v>0.72</v>
      </c>
      <c r="V58">
        <v>0.76</v>
      </c>
      <c r="W58">
        <v>1.1499999999999999</v>
      </c>
      <c r="X58">
        <v>7.0000000000000007E-2</v>
      </c>
      <c r="Y58">
        <v>1</v>
      </c>
      <c r="Z58">
        <v>10</v>
      </c>
    </row>
    <row r="59" spans="1:26" x14ac:dyDescent="0.3">
      <c r="A59">
        <v>57</v>
      </c>
      <c r="B59">
        <v>80</v>
      </c>
      <c r="C59" t="s">
        <v>26</v>
      </c>
      <c r="D59">
        <v>10.8072</v>
      </c>
      <c r="E59">
        <v>9.25</v>
      </c>
      <c r="F59">
        <v>6.77</v>
      </c>
      <c r="G59">
        <v>81.209999999999994</v>
      </c>
      <c r="H59">
        <v>1.5</v>
      </c>
      <c r="I59">
        <v>5</v>
      </c>
      <c r="J59">
        <v>179.83</v>
      </c>
      <c r="K59">
        <v>50.28</v>
      </c>
      <c r="L59">
        <v>15.25</v>
      </c>
      <c r="M59">
        <v>3</v>
      </c>
      <c r="N59">
        <v>34.299999999999997</v>
      </c>
      <c r="O59">
        <v>22413.29</v>
      </c>
      <c r="P59">
        <v>70.33</v>
      </c>
      <c r="Q59">
        <v>204.14</v>
      </c>
      <c r="R59">
        <v>24.22</v>
      </c>
      <c r="S59">
        <v>17.37</v>
      </c>
      <c r="T59">
        <v>1326.03</v>
      </c>
      <c r="U59">
        <v>0.72</v>
      </c>
      <c r="V59">
        <v>0.75</v>
      </c>
      <c r="W59">
        <v>1.1399999999999999</v>
      </c>
      <c r="X59">
        <v>0.08</v>
      </c>
      <c r="Y59">
        <v>1</v>
      </c>
      <c r="Z59">
        <v>10</v>
      </c>
    </row>
    <row r="60" spans="1:26" x14ac:dyDescent="0.3">
      <c r="A60">
        <v>58</v>
      </c>
      <c r="B60">
        <v>80</v>
      </c>
      <c r="C60" t="s">
        <v>26</v>
      </c>
      <c r="D60">
        <v>10.8063</v>
      </c>
      <c r="E60">
        <v>9.25</v>
      </c>
      <c r="F60">
        <v>6.77</v>
      </c>
      <c r="G60">
        <v>81.22</v>
      </c>
      <c r="H60">
        <v>1.53</v>
      </c>
      <c r="I60">
        <v>5</v>
      </c>
      <c r="J60">
        <v>180.2</v>
      </c>
      <c r="K60">
        <v>50.28</v>
      </c>
      <c r="L60">
        <v>15.5</v>
      </c>
      <c r="M60">
        <v>3</v>
      </c>
      <c r="N60">
        <v>34.43</v>
      </c>
      <c r="O60">
        <v>22459.24</v>
      </c>
      <c r="P60">
        <v>69.989999999999995</v>
      </c>
      <c r="Q60">
        <v>204.15</v>
      </c>
      <c r="R60">
        <v>24.21</v>
      </c>
      <c r="S60">
        <v>17.37</v>
      </c>
      <c r="T60">
        <v>1323.79</v>
      </c>
      <c r="U60">
        <v>0.72</v>
      </c>
      <c r="V60">
        <v>0.75</v>
      </c>
      <c r="W60">
        <v>1.1499999999999999</v>
      </c>
      <c r="X60">
        <v>0.08</v>
      </c>
      <c r="Y60">
        <v>1</v>
      </c>
      <c r="Z60">
        <v>10</v>
      </c>
    </row>
    <row r="61" spans="1:26" x14ac:dyDescent="0.3">
      <c r="A61">
        <v>59</v>
      </c>
      <c r="B61">
        <v>80</v>
      </c>
      <c r="C61" t="s">
        <v>26</v>
      </c>
      <c r="D61">
        <v>10.803000000000001</v>
      </c>
      <c r="E61">
        <v>9.26</v>
      </c>
      <c r="F61">
        <v>6.77</v>
      </c>
      <c r="G61">
        <v>81.25</v>
      </c>
      <c r="H61">
        <v>1.55</v>
      </c>
      <c r="I61">
        <v>5</v>
      </c>
      <c r="J61">
        <v>180.58</v>
      </c>
      <c r="K61">
        <v>50.28</v>
      </c>
      <c r="L61">
        <v>15.75</v>
      </c>
      <c r="M61">
        <v>3</v>
      </c>
      <c r="N61">
        <v>34.549999999999997</v>
      </c>
      <c r="O61">
        <v>22505.24</v>
      </c>
      <c r="P61">
        <v>69.77</v>
      </c>
      <c r="Q61">
        <v>204.14</v>
      </c>
      <c r="R61">
        <v>24.36</v>
      </c>
      <c r="S61">
        <v>17.37</v>
      </c>
      <c r="T61">
        <v>1396.69</v>
      </c>
      <c r="U61">
        <v>0.71</v>
      </c>
      <c r="V61">
        <v>0.75</v>
      </c>
      <c r="W61">
        <v>1.1399999999999999</v>
      </c>
      <c r="X61">
        <v>0.08</v>
      </c>
      <c r="Y61">
        <v>1</v>
      </c>
      <c r="Z61">
        <v>10</v>
      </c>
    </row>
    <row r="62" spans="1:26" x14ac:dyDescent="0.3">
      <c r="A62">
        <v>60</v>
      </c>
      <c r="B62">
        <v>80</v>
      </c>
      <c r="C62" t="s">
        <v>26</v>
      </c>
      <c r="D62">
        <v>10.804</v>
      </c>
      <c r="E62">
        <v>9.26</v>
      </c>
      <c r="F62">
        <v>6.77</v>
      </c>
      <c r="G62">
        <v>81.239999999999995</v>
      </c>
      <c r="H62">
        <v>1.57</v>
      </c>
      <c r="I62">
        <v>5</v>
      </c>
      <c r="J62">
        <v>180.95</v>
      </c>
      <c r="K62">
        <v>50.28</v>
      </c>
      <c r="L62">
        <v>16</v>
      </c>
      <c r="M62">
        <v>3</v>
      </c>
      <c r="N62">
        <v>34.67</v>
      </c>
      <c r="O62">
        <v>22551.279999999999</v>
      </c>
      <c r="P62">
        <v>69.319999999999993</v>
      </c>
      <c r="Q62">
        <v>204.14</v>
      </c>
      <c r="R62">
        <v>24.27</v>
      </c>
      <c r="S62">
        <v>17.37</v>
      </c>
      <c r="T62">
        <v>1352.51</v>
      </c>
      <c r="U62">
        <v>0.72</v>
      </c>
      <c r="V62">
        <v>0.75</v>
      </c>
      <c r="W62">
        <v>1.1499999999999999</v>
      </c>
      <c r="X62">
        <v>0.08</v>
      </c>
      <c r="Y62">
        <v>1</v>
      </c>
      <c r="Z62">
        <v>10</v>
      </c>
    </row>
    <row r="63" spans="1:26" x14ac:dyDescent="0.3">
      <c r="A63">
        <v>61</v>
      </c>
      <c r="B63">
        <v>80</v>
      </c>
      <c r="C63" t="s">
        <v>26</v>
      </c>
      <c r="D63">
        <v>10.8111</v>
      </c>
      <c r="E63">
        <v>9.25</v>
      </c>
      <c r="F63">
        <v>6.76</v>
      </c>
      <c r="G63">
        <v>81.17</v>
      </c>
      <c r="H63">
        <v>1.59</v>
      </c>
      <c r="I63">
        <v>5</v>
      </c>
      <c r="J63">
        <v>181.32</v>
      </c>
      <c r="K63">
        <v>50.28</v>
      </c>
      <c r="L63">
        <v>16.25</v>
      </c>
      <c r="M63">
        <v>3</v>
      </c>
      <c r="N63">
        <v>34.79</v>
      </c>
      <c r="O63">
        <v>22597.360000000001</v>
      </c>
      <c r="P63">
        <v>68.48</v>
      </c>
      <c r="Q63">
        <v>204.14</v>
      </c>
      <c r="R63">
        <v>24.08</v>
      </c>
      <c r="S63">
        <v>17.37</v>
      </c>
      <c r="T63">
        <v>1256.8900000000001</v>
      </c>
      <c r="U63">
        <v>0.72</v>
      </c>
      <c r="V63">
        <v>0.75</v>
      </c>
      <c r="W63">
        <v>1.1399999999999999</v>
      </c>
      <c r="X63">
        <v>7.0000000000000007E-2</v>
      </c>
      <c r="Y63">
        <v>1</v>
      </c>
      <c r="Z63">
        <v>10</v>
      </c>
    </row>
    <row r="64" spans="1:26" x14ac:dyDescent="0.3">
      <c r="A64">
        <v>62</v>
      </c>
      <c r="B64">
        <v>80</v>
      </c>
      <c r="C64" t="s">
        <v>26</v>
      </c>
      <c r="D64">
        <v>10.8742</v>
      </c>
      <c r="E64">
        <v>9.1999999999999993</v>
      </c>
      <c r="F64">
        <v>6.74</v>
      </c>
      <c r="G64">
        <v>101.14</v>
      </c>
      <c r="H64">
        <v>1.61</v>
      </c>
      <c r="I64">
        <v>4</v>
      </c>
      <c r="J64">
        <v>181.7</v>
      </c>
      <c r="K64">
        <v>50.28</v>
      </c>
      <c r="L64">
        <v>16.5</v>
      </c>
      <c r="M64">
        <v>2</v>
      </c>
      <c r="N64">
        <v>34.92</v>
      </c>
      <c r="O64">
        <v>22643.61</v>
      </c>
      <c r="P64">
        <v>68.150000000000006</v>
      </c>
      <c r="Q64">
        <v>204.14</v>
      </c>
      <c r="R64">
        <v>23.46</v>
      </c>
      <c r="S64">
        <v>17.37</v>
      </c>
      <c r="T64">
        <v>953.06</v>
      </c>
      <c r="U64">
        <v>0.74</v>
      </c>
      <c r="V64">
        <v>0.76</v>
      </c>
      <c r="W64">
        <v>1.1399999999999999</v>
      </c>
      <c r="X64">
        <v>0.05</v>
      </c>
      <c r="Y64">
        <v>1</v>
      </c>
      <c r="Z64">
        <v>10</v>
      </c>
    </row>
    <row r="65" spans="1:26" x14ac:dyDescent="0.3">
      <c r="A65">
        <v>63</v>
      </c>
      <c r="B65">
        <v>80</v>
      </c>
      <c r="C65" t="s">
        <v>26</v>
      </c>
      <c r="D65">
        <v>10.8683</v>
      </c>
      <c r="E65">
        <v>9.1999999999999993</v>
      </c>
      <c r="F65">
        <v>6.75</v>
      </c>
      <c r="G65">
        <v>101.22</v>
      </c>
      <c r="H65">
        <v>1.63</v>
      </c>
      <c r="I65">
        <v>4</v>
      </c>
      <c r="J65">
        <v>182.07</v>
      </c>
      <c r="K65">
        <v>50.28</v>
      </c>
      <c r="L65">
        <v>16.75</v>
      </c>
      <c r="M65">
        <v>2</v>
      </c>
      <c r="N65">
        <v>35.04</v>
      </c>
      <c r="O65">
        <v>22689.77</v>
      </c>
      <c r="P65">
        <v>68.489999999999995</v>
      </c>
      <c r="Q65">
        <v>204.14</v>
      </c>
      <c r="R65">
        <v>23.65</v>
      </c>
      <c r="S65">
        <v>17.37</v>
      </c>
      <c r="T65">
        <v>1048.72</v>
      </c>
      <c r="U65">
        <v>0.73</v>
      </c>
      <c r="V65">
        <v>0.76</v>
      </c>
      <c r="W65">
        <v>1.1399999999999999</v>
      </c>
      <c r="X65">
        <v>0.06</v>
      </c>
      <c r="Y65">
        <v>1</v>
      </c>
      <c r="Z65">
        <v>10</v>
      </c>
    </row>
    <row r="66" spans="1:26" x14ac:dyDescent="0.3">
      <c r="A66">
        <v>64</v>
      </c>
      <c r="B66">
        <v>80</v>
      </c>
      <c r="C66" t="s">
        <v>26</v>
      </c>
      <c r="D66">
        <v>10.864599999999999</v>
      </c>
      <c r="E66">
        <v>9.1999999999999993</v>
      </c>
      <c r="F66">
        <v>6.75</v>
      </c>
      <c r="G66">
        <v>101.26</v>
      </c>
      <c r="H66">
        <v>1.65</v>
      </c>
      <c r="I66">
        <v>4</v>
      </c>
      <c r="J66">
        <v>182.45</v>
      </c>
      <c r="K66">
        <v>50.28</v>
      </c>
      <c r="L66">
        <v>17</v>
      </c>
      <c r="M66">
        <v>2</v>
      </c>
      <c r="N66">
        <v>35.17</v>
      </c>
      <c r="O66">
        <v>22735.98</v>
      </c>
      <c r="P66">
        <v>68.459999999999994</v>
      </c>
      <c r="Q66">
        <v>204.14</v>
      </c>
      <c r="R66">
        <v>23.69</v>
      </c>
      <c r="S66">
        <v>17.37</v>
      </c>
      <c r="T66">
        <v>1069.18</v>
      </c>
      <c r="U66">
        <v>0.73</v>
      </c>
      <c r="V66">
        <v>0.76</v>
      </c>
      <c r="W66">
        <v>1.1399999999999999</v>
      </c>
      <c r="X66">
        <v>0.06</v>
      </c>
      <c r="Y66">
        <v>1</v>
      </c>
      <c r="Z66">
        <v>10</v>
      </c>
    </row>
    <row r="67" spans="1:26" x14ac:dyDescent="0.3">
      <c r="A67">
        <v>65</v>
      </c>
      <c r="B67">
        <v>80</v>
      </c>
      <c r="C67" t="s">
        <v>26</v>
      </c>
      <c r="D67">
        <v>10.870200000000001</v>
      </c>
      <c r="E67">
        <v>9.1999999999999993</v>
      </c>
      <c r="F67">
        <v>6.75</v>
      </c>
      <c r="G67">
        <v>101.19</v>
      </c>
      <c r="H67">
        <v>1.67</v>
      </c>
      <c r="I67">
        <v>4</v>
      </c>
      <c r="J67">
        <v>182.82</v>
      </c>
      <c r="K67">
        <v>50.28</v>
      </c>
      <c r="L67">
        <v>17.25</v>
      </c>
      <c r="M67">
        <v>2</v>
      </c>
      <c r="N67">
        <v>35.29</v>
      </c>
      <c r="O67">
        <v>22782.23</v>
      </c>
      <c r="P67">
        <v>68.63</v>
      </c>
      <c r="Q67">
        <v>204.14</v>
      </c>
      <c r="R67">
        <v>23.56</v>
      </c>
      <c r="S67">
        <v>17.37</v>
      </c>
      <c r="T67">
        <v>1004.77</v>
      </c>
      <c r="U67">
        <v>0.74</v>
      </c>
      <c r="V67">
        <v>0.76</v>
      </c>
      <c r="W67">
        <v>1.1399999999999999</v>
      </c>
      <c r="X67">
        <v>0.06</v>
      </c>
      <c r="Y67">
        <v>1</v>
      </c>
      <c r="Z67">
        <v>10</v>
      </c>
    </row>
    <row r="68" spans="1:26" x14ac:dyDescent="0.3">
      <c r="A68">
        <v>66</v>
      </c>
      <c r="B68">
        <v>80</v>
      </c>
      <c r="C68" t="s">
        <v>26</v>
      </c>
      <c r="D68">
        <v>10.8751</v>
      </c>
      <c r="E68">
        <v>9.1999999999999993</v>
      </c>
      <c r="F68">
        <v>6.74</v>
      </c>
      <c r="G68">
        <v>101.13</v>
      </c>
      <c r="H68">
        <v>1.69</v>
      </c>
      <c r="I68">
        <v>4</v>
      </c>
      <c r="J68">
        <v>183.2</v>
      </c>
      <c r="K68">
        <v>50.28</v>
      </c>
      <c r="L68">
        <v>17.5</v>
      </c>
      <c r="M68">
        <v>1</v>
      </c>
      <c r="N68">
        <v>35.42</v>
      </c>
      <c r="O68">
        <v>22828.53</v>
      </c>
      <c r="P68">
        <v>68.59</v>
      </c>
      <c r="Q68">
        <v>204.14</v>
      </c>
      <c r="R68">
        <v>23.4</v>
      </c>
      <c r="S68">
        <v>17.37</v>
      </c>
      <c r="T68">
        <v>919.9</v>
      </c>
      <c r="U68">
        <v>0.74</v>
      </c>
      <c r="V68">
        <v>0.76</v>
      </c>
      <c r="W68">
        <v>1.1399999999999999</v>
      </c>
      <c r="X68">
        <v>0.05</v>
      </c>
      <c r="Y68">
        <v>1</v>
      </c>
      <c r="Z68">
        <v>10</v>
      </c>
    </row>
    <row r="69" spans="1:26" x14ac:dyDescent="0.3">
      <c r="A69">
        <v>67</v>
      </c>
      <c r="B69">
        <v>80</v>
      </c>
      <c r="C69" t="s">
        <v>26</v>
      </c>
      <c r="D69">
        <v>10.871499999999999</v>
      </c>
      <c r="E69">
        <v>9.1999999999999993</v>
      </c>
      <c r="F69">
        <v>6.75</v>
      </c>
      <c r="G69">
        <v>101.17</v>
      </c>
      <c r="H69">
        <v>1.72</v>
      </c>
      <c r="I69">
        <v>4</v>
      </c>
      <c r="J69">
        <v>183.57</v>
      </c>
      <c r="K69">
        <v>50.28</v>
      </c>
      <c r="L69">
        <v>17.75</v>
      </c>
      <c r="M69">
        <v>1</v>
      </c>
      <c r="N69">
        <v>35.54</v>
      </c>
      <c r="O69">
        <v>22874.86</v>
      </c>
      <c r="P69">
        <v>68.540000000000006</v>
      </c>
      <c r="Q69">
        <v>204.14</v>
      </c>
      <c r="R69">
        <v>23.54</v>
      </c>
      <c r="S69">
        <v>17.37</v>
      </c>
      <c r="T69">
        <v>990.55</v>
      </c>
      <c r="U69">
        <v>0.74</v>
      </c>
      <c r="V69">
        <v>0.76</v>
      </c>
      <c r="W69">
        <v>1.1399999999999999</v>
      </c>
      <c r="X69">
        <v>0.05</v>
      </c>
      <c r="Y69">
        <v>1</v>
      </c>
      <c r="Z69">
        <v>10</v>
      </c>
    </row>
    <row r="70" spans="1:26" x14ac:dyDescent="0.3">
      <c r="A70">
        <v>68</v>
      </c>
      <c r="B70">
        <v>80</v>
      </c>
      <c r="C70" t="s">
        <v>26</v>
      </c>
      <c r="D70">
        <v>10.870200000000001</v>
      </c>
      <c r="E70">
        <v>9.1999999999999993</v>
      </c>
      <c r="F70">
        <v>6.75</v>
      </c>
      <c r="G70">
        <v>101.19</v>
      </c>
      <c r="H70">
        <v>1.74</v>
      </c>
      <c r="I70">
        <v>4</v>
      </c>
      <c r="J70">
        <v>183.95</v>
      </c>
      <c r="K70">
        <v>50.28</v>
      </c>
      <c r="L70">
        <v>18</v>
      </c>
      <c r="M70">
        <v>1</v>
      </c>
      <c r="N70">
        <v>35.67</v>
      </c>
      <c r="O70">
        <v>22921.24</v>
      </c>
      <c r="P70">
        <v>68.48</v>
      </c>
      <c r="Q70">
        <v>204.14</v>
      </c>
      <c r="R70">
        <v>23.55</v>
      </c>
      <c r="S70">
        <v>17.37</v>
      </c>
      <c r="T70">
        <v>994.86</v>
      </c>
      <c r="U70">
        <v>0.74</v>
      </c>
      <c r="V70">
        <v>0.76</v>
      </c>
      <c r="W70">
        <v>1.1399999999999999</v>
      </c>
      <c r="X70">
        <v>0.06</v>
      </c>
      <c r="Y70">
        <v>1</v>
      </c>
      <c r="Z70">
        <v>10</v>
      </c>
    </row>
    <row r="71" spans="1:26" x14ac:dyDescent="0.3">
      <c r="A71">
        <v>69</v>
      </c>
      <c r="B71">
        <v>80</v>
      </c>
      <c r="C71" t="s">
        <v>26</v>
      </c>
      <c r="D71">
        <v>10.868600000000001</v>
      </c>
      <c r="E71">
        <v>9.1999999999999993</v>
      </c>
      <c r="F71">
        <v>6.75</v>
      </c>
      <c r="G71">
        <v>101.21</v>
      </c>
      <c r="H71">
        <v>1.76</v>
      </c>
      <c r="I71">
        <v>4</v>
      </c>
      <c r="J71">
        <v>184.33</v>
      </c>
      <c r="K71">
        <v>50.28</v>
      </c>
      <c r="L71">
        <v>18.25</v>
      </c>
      <c r="M71">
        <v>1</v>
      </c>
      <c r="N71">
        <v>35.799999999999997</v>
      </c>
      <c r="O71">
        <v>22967.66</v>
      </c>
      <c r="P71">
        <v>68.48</v>
      </c>
      <c r="Q71">
        <v>204.14</v>
      </c>
      <c r="R71">
        <v>23.6</v>
      </c>
      <c r="S71">
        <v>17.37</v>
      </c>
      <c r="T71">
        <v>1020.73</v>
      </c>
      <c r="U71">
        <v>0.74</v>
      </c>
      <c r="V71">
        <v>0.76</v>
      </c>
      <c r="W71">
        <v>1.1399999999999999</v>
      </c>
      <c r="X71">
        <v>0.06</v>
      </c>
      <c r="Y71">
        <v>1</v>
      </c>
      <c r="Z71">
        <v>10</v>
      </c>
    </row>
    <row r="72" spans="1:26" x14ac:dyDescent="0.3">
      <c r="A72">
        <v>70</v>
      </c>
      <c r="B72">
        <v>80</v>
      </c>
      <c r="C72" t="s">
        <v>26</v>
      </c>
      <c r="D72">
        <v>10.863300000000001</v>
      </c>
      <c r="E72">
        <v>9.2100000000000009</v>
      </c>
      <c r="F72">
        <v>6.75</v>
      </c>
      <c r="G72">
        <v>101.28</v>
      </c>
      <c r="H72">
        <v>1.78</v>
      </c>
      <c r="I72">
        <v>4</v>
      </c>
      <c r="J72">
        <v>184.7</v>
      </c>
      <c r="K72">
        <v>50.28</v>
      </c>
      <c r="L72">
        <v>18.5</v>
      </c>
      <c r="M72">
        <v>0</v>
      </c>
      <c r="N72">
        <v>35.92</v>
      </c>
      <c r="O72">
        <v>23014.13</v>
      </c>
      <c r="P72">
        <v>68.61</v>
      </c>
      <c r="Q72">
        <v>204.18</v>
      </c>
      <c r="R72">
        <v>23.68</v>
      </c>
      <c r="S72">
        <v>17.37</v>
      </c>
      <c r="T72">
        <v>1059.9100000000001</v>
      </c>
      <c r="U72">
        <v>0.73</v>
      </c>
      <c r="V72">
        <v>0.76</v>
      </c>
      <c r="W72">
        <v>1.1399999999999999</v>
      </c>
      <c r="X72">
        <v>0.06</v>
      </c>
      <c r="Y72">
        <v>1</v>
      </c>
      <c r="Z72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Planilha17"/>
  <dimension ref="A1:Z129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115</v>
      </c>
      <c r="C2" t="s">
        <v>26</v>
      </c>
      <c r="D2">
        <v>6.4396000000000004</v>
      </c>
      <c r="E2">
        <v>15.53</v>
      </c>
      <c r="F2">
        <v>8.65</v>
      </c>
      <c r="G2">
        <v>5.41</v>
      </c>
      <c r="H2">
        <v>0.08</v>
      </c>
      <c r="I2">
        <v>96</v>
      </c>
      <c r="J2">
        <v>222.93</v>
      </c>
      <c r="K2">
        <v>56.94</v>
      </c>
      <c r="L2">
        <v>1</v>
      </c>
      <c r="M2">
        <v>94</v>
      </c>
      <c r="N2">
        <v>49.99</v>
      </c>
      <c r="O2">
        <v>27728.69</v>
      </c>
      <c r="P2">
        <v>131.86000000000001</v>
      </c>
      <c r="Q2">
        <v>204.26</v>
      </c>
      <c r="R2">
        <v>82.68</v>
      </c>
      <c r="S2">
        <v>17.37</v>
      </c>
      <c r="T2">
        <v>30102.47</v>
      </c>
      <c r="U2">
        <v>0.21</v>
      </c>
      <c r="V2">
        <v>0.59</v>
      </c>
      <c r="W2">
        <v>1.3</v>
      </c>
      <c r="X2">
        <v>1.96</v>
      </c>
      <c r="Y2">
        <v>1</v>
      </c>
      <c r="Z2">
        <v>10</v>
      </c>
    </row>
    <row r="3" spans="1:26" x14ac:dyDescent="0.3">
      <c r="A3">
        <v>1</v>
      </c>
      <c r="B3">
        <v>115</v>
      </c>
      <c r="C3" t="s">
        <v>26</v>
      </c>
      <c r="D3">
        <v>7.1685999999999996</v>
      </c>
      <c r="E3">
        <v>13.95</v>
      </c>
      <c r="F3">
        <v>8.1300000000000008</v>
      </c>
      <c r="G3">
        <v>6.77</v>
      </c>
      <c r="H3">
        <v>0.1</v>
      </c>
      <c r="I3">
        <v>72</v>
      </c>
      <c r="J3">
        <v>223.35</v>
      </c>
      <c r="K3">
        <v>56.94</v>
      </c>
      <c r="L3">
        <v>1.25</v>
      </c>
      <c r="M3">
        <v>70</v>
      </c>
      <c r="N3">
        <v>50.15</v>
      </c>
      <c r="O3">
        <v>27780.03</v>
      </c>
      <c r="P3">
        <v>123.7</v>
      </c>
      <c r="Q3">
        <v>204.32</v>
      </c>
      <c r="R3">
        <v>66.47</v>
      </c>
      <c r="S3">
        <v>17.37</v>
      </c>
      <c r="T3">
        <v>22117.99</v>
      </c>
      <c r="U3">
        <v>0.26</v>
      </c>
      <c r="V3">
        <v>0.63</v>
      </c>
      <c r="W3">
        <v>1.25</v>
      </c>
      <c r="X3">
        <v>1.43</v>
      </c>
      <c r="Y3">
        <v>1</v>
      </c>
      <c r="Z3">
        <v>10</v>
      </c>
    </row>
    <row r="4" spans="1:26" x14ac:dyDescent="0.3">
      <c r="A4">
        <v>2</v>
      </c>
      <c r="B4">
        <v>115</v>
      </c>
      <c r="C4" t="s">
        <v>26</v>
      </c>
      <c r="D4">
        <v>7.6094999999999997</v>
      </c>
      <c r="E4">
        <v>13.14</v>
      </c>
      <c r="F4">
        <v>7.89</v>
      </c>
      <c r="G4">
        <v>8.02</v>
      </c>
      <c r="H4">
        <v>0.12</v>
      </c>
      <c r="I4">
        <v>59</v>
      </c>
      <c r="J4">
        <v>223.76</v>
      </c>
      <c r="K4">
        <v>56.94</v>
      </c>
      <c r="L4">
        <v>1.5</v>
      </c>
      <c r="M4">
        <v>57</v>
      </c>
      <c r="N4">
        <v>50.32</v>
      </c>
      <c r="O4">
        <v>27831.42</v>
      </c>
      <c r="P4">
        <v>119.96</v>
      </c>
      <c r="Q4">
        <v>204.19</v>
      </c>
      <c r="R4">
        <v>59.1</v>
      </c>
      <c r="S4">
        <v>17.37</v>
      </c>
      <c r="T4">
        <v>18497.439999999999</v>
      </c>
      <c r="U4">
        <v>0.28999999999999998</v>
      </c>
      <c r="V4">
        <v>0.65</v>
      </c>
      <c r="W4">
        <v>1.24</v>
      </c>
      <c r="X4">
        <v>1.2</v>
      </c>
      <c r="Y4">
        <v>1</v>
      </c>
      <c r="Z4">
        <v>10</v>
      </c>
    </row>
    <row r="5" spans="1:26" x14ac:dyDescent="0.3">
      <c r="A5">
        <v>3</v>
      </c>
      <c r="B5">
        <v>115</v>
      </c>
      <c r="C5" t="s">
        <v>26</v>
      </c>
      <c r="D5">
        <v>8.0092999999999996</v>
      </c>
      <c r="E5">
        <v>12.49</v>
      </c>
      <c r="F5">
        <v>7.67</v>
      </c>
      <c r="G5">
        <v>9.4</v>
      </c>
      <c r="H5">
        <v>0.14000000000000001</v>
      </c>
      <c r="I5">
        <v>49</v>
      </c>
      <c r="J5">
        <v>224.18</v>
      </c>
      <c r="K5">
        <v>56.94</v>
      </c>
      <c r="L5">
        <v>1.75</v>
      </c>
      <c r="M5">
        <v>47</v>
      </c>
      <c r="N5">
        <v>50.49</v>
      </c>
      <c r="O5">
        <v>27882.87</v>
      </c>
      <c r="P5">
        <v>116.53</v>
      </c>
      <c r="Q5">
        <v>204.15</v>
      </c>
      <c r="R5">
        <v>52.69</v>
      </c>
      <c r="S5">
        <v>17.37</v>
      </c>
      <c r="T5">
        <v>15342.11</v>
      </c>
      <c r="U5">
        <v>0.33</v>
      </c>
      <c r="V5">
        <v>0.67</v>
      </c>
      <c r="W5">
        <v>1.21</v>
      </c>
      <c r="X5">
        <v>0.98</v>
      </c>
      <c r="Y5">
        <v>1</v>
      </c>
      <c r="Z5">
        <v>10</v>
      </c>
    </row>
    <row r="6" spans="1:26" x14ac:dyDescent="0.3">
      <c r="A6">
        <v>4</v>
      </c>
      <c r="B6">
        <v>115</v>
      </c>
      <c r="C6" t="s">
        <v>26</v>
      </c>
      <c r="D6">
        <v>8.3126999999999995</v>
      </c>
      <c r="E6">
        <v>12.03</v>
      </c>
      <c r="F6">
        <v>7.53</v>
      </c>
      <c r="G6">
        <v>10.75</v>
      </c>
      <c r="H6">
        <v>0.16</v>
      </c>
      <c r="I6">
        <v>42</v>
      </c>
      <c r="J6">
        <v>224.6</v>
      </c>
      <c r="K6">
        <v>56.94</v>
      </c>
      <c r="L6">
        <v>2</v>
      </c>
      <c r="M6">
        <v>40</v>
      </c>
      <c r="N6">
        <v>50.65</v>
      </c>
      <c r="O6">
        <v>27934.37</v>
      </c>
      <c r="P6">
        <v>114.15</v>
      </c>
      <c r="Q6">
        <v>204.18</v>
      </c>
      <c r="R6">
        <v>47.54</v>
      </c>
      <c r="S6">
        <v>17.37</v>
      </c>
      <c r="T6">
        <v>12804.45</v>
      </c>
      <c r="U6">
        <v>0.37</v>
      </c>
      <c r="V6">
        <v>0.68</v>
      </c>
      <c r="W6">
        <v>1.21</v>
      </c>
      <c r="X6">
        <v>0.83</v>
      </c>
      <c r="Y6">
        <v>1</v>
      </c>
      <c r="Z6">
        <v>10</v>
      </c>
    </row>
    <row r="7" spans="1:26" x14ac:dyDescent="0.3">
      <c r="A7">
        <v>5</v>
      </c>
      <c r="B7">
        <v>115</v>
      </c>
      <c r="C7" t="s">
        <v>26</v>
      </c>
      <c r="D7">
        <v>8.5489999999999995</v>
      </c>
      <c r="E7">
        <v>11.7</v>
      </c>
      <c r="F7">
        <v>7.41</v>
      </c>
      <c r="G7">
        <v>12.02</v>
      </c>
      <c r="H7">
        <v>0.18</v>
      </c>
      <c r="I7">
        <v>37</v>
      </c>
      <c r="J7">
        <v>225.01</v>
      </c>
      <c r="K7">
        <v>56.94</v>
      </c>
      <c r="L7">
        <v>2.25</v>
      </c>
      <c r="M7">
        <v>35</v>
      </c>
      <c r="N7">
        <v>50.82</v>
      </c>
      <c r="O7">
        <v>27985.94</v>
      </c>
      <c r="P7">
        <v>112.29</v>
      </c>
      <c r="Q7">
        <v>204.17</v>
      </c>
      <c r="R7">
        <v>44.37</v>
      </c>
      <c r="S7">
        <v>17.37</v>
      </c>
      <c r="T7">
        <v>11244.74</v>
      </c>
      <c r="U7">
        <v>0.39</v>
      </c>
      <c r="V7">
        <v>0.69</v>
      </c>
      <c r="W7">
        <v>1.19</v>
      </c>
      <c r="X7">
        <v>0.72</v>
      </c>
      <c r="Y7">
        <v>1</v>
      </c>
      <c r="Z7">
        <v>10</v>
      </c>
    </row>
    <row r="8" spans="1:26" x14ac:dyDescent="0.3">
      <c r="A8">
        <v>6</v>
      </c>
      <c r="B8">
        <v>115</v>
      </c>
      <c r="C8" t="s">
        <v>26</v>
      </c>
      <c r="D8">
        <v>8.7406000000000006</v>
      </c>
      <c r="E8">
        <v>11.44</v>
      </c>
      <c r="F8">
        <v>7.33</v>
      </c>
      <c r="G8">
        <v>13.33</v>
      </c>
      <c r="H8">
        <v>0.2</v>
      </c>
      <c r="I8">
        <v>33</v>
      </c>
      <c r="J8">
        <v>225.43</v>
      </c>
      <c r="K8">
        <v>56.94</v>
      </c>
      <c r="L8">
        <v>2.5</v>
      </c>
      <c r="M8">
        <v>31</v>
      </c>
      <c r="N8">
        <v>50.99</v>
      </c>
      <c r="O8">
        <v>28037.57</v>
      </c>
      <c r="P8">
        <v>110.95</v>
      </c>
      <c r="Q8">
        <v>204.15</v>
      </c>
      <c r="R8">
        <v>41.56</v>
      </c>
      <c r="S8">
        <v>17.37</v>
      </c>
      <c r="T8">
        <v>9856.2000000000007</v>
      </c>
      <c r="U8">
        <v>0.42</v>
      </c>
      <c r="V8">
        <v>0.7</v>
      </c>
      <c r="W8">
        <v>1.2</v>
      </c>
      <c r="X8">
        <v>0.64</v>
      </c>
      <c r="Y8">
        <v>1</v>
      </c>
      <c r="Z8">
        <v>10</v>
      </c>
    </row>
    <row r="9" spans="1:26" x14ac:dyDescent="0.3">
      <c r="A9">
        <v>7</v>
      </c>
      <c r="B9">
        <v>115</v>
      </c>
      <c r="C9" t="s">
        <v>26</v>
      </c>
      <c r="D9">
        <v>8.8866999999999994</v>
      </c>
      <c r="E9">
        <v>11.25</v>
      </c>
      <c r="F9">
        <v>7.28</v>
      </c>
      <c r="G9">
        <v>14.55</v>
      </c>
      <c r="H9">
        <v>0.22</v>
      </c>
      <c r="I9">
        <v>30</v>
      </c>
      <c r="J9">
        <v>225.85</v>
      </c>
      <c r="K9">
        <v>56.94</v>
      </c>
      <c r="L9">
        <v>2.75</v>
      </c>
      <c r="M9">
        <v>28</v>
      </c>
      <c r="N9">
        <v>51.16</v>
      </c>
      <c r="O9">
        <v>28089.25</v>
      </c>
      <c r="P9">
        <v>110</v>
      </c>
      <c r="Q9">
        <v>204.18</v>
      </c>
      <c r="R9">
        <v>40.08</v>
      </c>
      <c r="S9">
        <v>17.37</v>
      </c>
      <c r="T9">
        <v>9132.65</v>
      </c>
      <c r="U9">
        <v>0.43</v>
      </c>
      <c r="V9">
        <v>0.7</v>
      </c>
      <c r="W9">
        <v>1.18</v>
      </c>
      <c r="X9">
        <v>0.57999999999999996</v>
      </c>
      <c r="Y9">
        <v>1</v>
      </c>
      <c r="Z9">
        <v>10</v>
      </c>
    </row>
    <row r="10" spans="1:26" x14ac:dyDescent="0.3">
      <c r="A10">
        <v>8</v>
      </c>
      <c r="B10">
        <v>115</v>
      </c>
      <c r="C10" t="s">
        <v>26</v>
      </c>
      <c r="D10">
        <v>9.0449999999999999</v>
      </c>
      <c r="E10">
        <v>11.06</v>
      </c>
      <c r="F10">
        <v>7.21</v>
      </c>
      <c r="G10">
        <v>16.02</v>
      </c>
      <c r="H10">
        <v>0.24</v>
      </c>
      <c r="I10">
        <v>27</v>
      </c>
      <c r="J10">
        <v>226.27</v>
      </c>
      <c r="K10">
        <v>56.94</v>
      </c>
      <c r="L10">
        <v>3</v>
      </c>
      <c r="M10">
        <v>25</v>
      </c>
      <c r="N10">
        <v>51.33</v>
      </c>
      <c r="O10">
        <v>28140.99</v>
      </c>
      <c r="P10">
        <v>108.85</v>
      </c>
      <c r="Q10">
        <v>204.27</v>
      </c>
      <c r="R10">
        <v>38.020000000000003</v>
      </c>
      <c r="S10">
        <v>17.37</v>
      </c>
      <c r="T10">
        <v>8115.36</v>
      </c>
      <c r="U10">
        <v>0.46</v>
      </c>
      <c r="V10">
        <v>0.71</v>
      </c>
      <c r="W10">
        <v>1.18</v>
      </c>
      <c r="X10">
        <v>0.52</v>
      </c>
      <c r="Y10">
        <v>1</v>
      </c>
      <c r="Z10">
        <v>10</v>
      </c>
    </row>
    <row r="11" spans="1:26" x14ac:dyDescent="0.3">
      <c r="A11">
        <v>9</v>
      </c>
      <c r="B11">
        <v>115</v>
      </c>
      <c r="C11" t="s">
        <v>26</v>
      </c>
      <c r="D11">
        <v>9.1397999999999993</v>
      </c>
      <c r="E11">
        <v>10.94</v>
      </c>
      <c r="F11">
        <v>7.18</v>
      </c>
      <c r="G11">
        <v>17.239999999999998</v>
      </c>
      <c r="H11">
        <v>0.25</v>
      </c>
      <c r="I11">
        <v>25</v>
      </c>
      <c r="J11">
        <v>226.69</v>
      </c>
      <c r="K11">
        <v>56.94</v>
      </c>
      <c r="L11">
        <v>3.25</v>
      </c>
      <c r="M11">
        <v>23</v>
      </c>
      <c r="N11">
        <v>51.5</v>
      </c>
      <c r="O11">
        <v>28192.799999999999</v>
      </c>
      <c r="P11">
        <v>108.35</v>
      </c>
      <c r="Q11">
        <v>204.15</v>
      </c>
      <c r="R11">
        <v>37.03</v>
      </c>
      <c r="S11">
        <v>17.37</v>
      </c>
      <c r="T11">
        <v>7632.1</v>
      </c>
      <c r="U11">
        <v>0.47</v>
      </c>
      <c r="V11">
        <v>0.71</v>
      </c>
      <c r="W11">
        <v>1.18</v>
      </c>
      <c r="X11">
        <v>0.49</v>
      </c>
      <c r="Y11">
        <v>1</v>
      </c>
      <c r="Z11">
        <v>10</v>
      </c>
    </row>
    <row r="12" spans="1:26" x14ac:dyDescent="0.3">
      <c r="A12">
        <v>10</v>
      </c>
      <c r="B12">
        <v>115</v>
      </c>
      <c r="C12" t="s">
        <v>26</v>
      </c>
      <c r="D12">
        <v>9.2523999999999997</v>
      </c>
      <c r="E12">
        <v>10.81</v>
      </c>
      <c r="F12">
        <v>7.14</v>
      </c>
      <c r="G12">
        <v>18.62</v>
      </c>
      <c r="H12">
        <v>0.27</v>
      </c>
      <c r="I12">
        <v>23</v>
      </c>
      <c r="J12">
        <v>227.11</v>
      </c>
      <c r="K12">
        <v>56.94</v>
      </c>
      <c r="L12">
        <v>3.5</v>
      </c>
      <c r="M12">
        <v>21</v>
      </c>
      <c r="N12">
        <v>51.67</v>
      </c>
      <c r="O12">
        <v>28244.66</v>
      </c>
      <c r="P12">
        <v>107.52</v>
      </c>
      <c r="Q12">
        <v>204.28</v>
      </c>
      <c r="R12">
        <v>35.75</v>
      </c>
      <c r="S12">
        <v>17.37</v>
      </c>
      <c r="T12">
        <v>7003.97</v>
      </c>
      <c r="U12">
        <v>0.49</v>
      </c>
      <c r="V12">
        <v>0.72</v>
      </c>
      <c r="W12">
        <v>1.18</v>
      </c>
      <c r="X12">
        <v>0.45</v>
      </c>
      <c r="Y12">
        <v>1</v>
      </c>
      <c r="Z12">
        <v>10</v>
      </c>
    </row>
    <row r="13" spans="1:26" x14ac:dyDescent="0.3">
      <c r="A13">
        <v>11</v>
      </c>
      <c r="B13">
        <v>115</v>
      </c>
      <c r="C13" t="s">
        <v>26</v>
      </c>
      <c r="D13">
        <v>9.3040000000000003</v>
      </c>
      <c r="E13">
        <v>10.75</v>
      </c>
      <c r="F13">
        <v>7.12</v>
      </c>
      <c r="G13">
        <v>19.420000000000002</v>
      </c>
      <c r="H13">
        <v>0.28999999999999998</v>
      </c>
      <c r="I13">
        <v>22</v>
      </c>
      <c r="J13">
        <v>227.53</v>
      </c>
      <c r="K13">
        <v>56.94</v>
      </c>
      <c r="L13">
        <v>3.75</v>
      </c>
      <c r="M13">
        <v>20</v>
      </c>
      <c r="N13">
        <v>51.84</v>
      </c>
      <c r="O13">
        <v>28296.58</v>
      </c>
      <c r="P13">
        <v>107.19</v>
      </c>
      <c r="Q13">
        <v>204.15</v>
      </c>
      <c r="R13">
        <v>35.090000000000003</v>
      </c>
      <c r="S13">
        <v>17.37</v>
      </c>
      <c r="T13">
        <v>6677.02</v>
      </c>
      <c r="U13">
        <v>0.5</v>
      </c>
      <c r="V13">
        <v>0.72</v>
      </c>
      <c r="W13">
        <v>1.18</v>
      </c>
      <c r="X13">
        <v>0.43</v>
      </c>
      <c r="Y13">
        <v>1</v>
      </c>
      <c r="Z13">
        <v>10</v>
      </c>
    </row>
    <row r="14" spans="1:26" x14ac:dyDescent="0.3">
      <c r="A14">
        <v>12</v>
      </c>
      <c r="B14">
        <v>115</v>
      </c>
      <c r="C14" t="s">
        <v>26</v>
      </c>
      <c r="D14">
        <v>9.4387000000000008</v>
      </c>
      <c r="E14">
        <v>10.59</v>
      </c>
      <c r="F14">
        <v>7.06</v>
      </c>
      <c r="G14">
        <v>21.17</v>
      </c>
      <c r="H14">
        <v>0.31</v>
      </c>
      <c r="I14">
        <v>20</v>
      </c>
      <c r="J14">
        <v>227.95</v>
      </c>
      <c r="K14">
        <v>56.94</v>
      </c>
      <c r="L14">
        <v>4</v>
      </c>
      <c r="M14">
        <v>18</v>
      </c>
      <c r="N14">
        <v>52.01</v>
      </c>
      <c r="O14">
        <v>28348.560000000001</v>
      </c>
      <c r="P14">
        <v>106.05</v>
      </c>
      <c r="Q14">
        <v>204.14</v>
      </c>
      <c r="R14">
        <v>33.29</v>
      </c>
      <c r="S14">
        <v>17.37</v>
      </c>
      <c r="T14">
        <v>5789.39</v>
      </c>
      <c r="U14">
        <v>0.52</v>
      </c>
      <c r="V14">
        <v>0.72</v>
      </c>
      <c r="W14">
        <v>1.1599999999999999</v>
      </c>
      <c r="X14">
        <v>0.36</v>
      </c>
      <c r="Y14">
        <v>1</v>
      </c>
      <c r="Z14">
        <v>10</v>
      </c>
    </row>
    <row r="15" spans="1:26" x14ac:dyDescent="0.3">
      <c r="A15">
        <v>13</v>
      </c>
      <c r="B15">
        <v>115</v>
      </c>
      <c r="C15" t="s">
        <v>26</v>
      </c>
      <c r="D15">
        <v>9.4918999999999993</v>
      </c>
      <c r="E15">
        <v>10.54</v>
      </c>
      <c r="F15">
        <v>7.04</v>
      </c>
      <c r="G15">
        <v>22.23</v>
      </c>
      <c r="H15">
        <v>0.33</v>
      </c>
      <c r="I15">
        <v>19</v>
      </c>
      <c r="J15">
        <v>228.38</v>
      </c>
      <c r="K15">
        <v>56.94</v>
      </c>
      <c r="L15">
        <v>4.25</v>
      </c>
      <c r="M15">
        <v>17</v>
      </c>
      <c r="N15">
        <v>52.18</v>
      </c>
      <c r="O15">
        <v>28400.61</v>
      </c>
      <c r="P15">
        <v>105.67</v>
      </c>
      <c r="Q15">
        <v>204.16</v>
      </c>
      <c r="R15">
        <v>32.86</v>
      </c>
      <c r="S15">
        <v>17.37</v>
      </c>
      <c r="T15">
        <v>5577.34</v>
      </c>
      <c r="U15">
        <v>0.53</v>
      </c>
      <c r="V15">
        <v>0.73</v>
      </c>
      <c r="W15">
        <v>1.1599999999999999</v>
      </c>
      <c r="X15">
        <v>0.35</v>
      </c>
      <c r="Y15">
        <v>1</v>
      </c>
      <c r="Z15">
        <v>10</v>
      </c>
    </row>
    <row r="16" spans="1:26" x14ac:dyDescent="0.3">
      <c r="A16">
        <v>14</v>
      </c>
      <c r="B16">
        <v>115</v>
      </c>
      <c r="C16" t="s">
        <v>26</v>
      </c>
      <c r="D16">
        <v>9.5432000000000006</v>
      </c>
      <c r="E16">
        <v>10.48</v>
      </c>
      <c r="F16">
        <v>7.03</v>
      </c>
      <c r="G16">
        <v>23.43</v>
      </c>
      <c r="H16">
        <v>0.35</v>
      </c>
      <c r="I16">
        <v>18</v>
      </c>
      <c r="J16">
        <v>228.8</v>
      </c>
      <c r="K16">
        <v>56.94</v>
      </c>
      <c r="L16">
        <v>4.5</v>
      </c>
      <c r="M16">
        <v>16</v>
      </c>
      <c r="N16">
        <v>52.36</v>
      </c>
      <c r="O16">
        <v>28452.71</v>
      </c>
      <c r="P16">
        <v>105.43</v>
      </c>
      <c r="Q16">
        <v>204.17</v>
      </c>
      <c r="R16">
        <v>32.29</v>
      </c>
      <c r="S16">
        <v>17.37</v>
      </c>
      <c r="T16">
        <v>5298.4</v>
      </c>
      <c r="U16">
        <v>0.54</v>
      </c>
      <c r="V16">
        <v>0.73</v>
      </c>
      <c r="W16">
        <v>1.17</v>
      </c>
      <c r="X16">
        <v>0.34</v>
      </c>
      <c r="Y16">
        <v>1</v>
      </c>
      <c r="Z16">
        <v>10</v>
      </c>
    </row>
    <row r="17" spans="1:26" x14ac:dyDescent="0.3">
      <c r="A17">
        <v>15</v>
      </c>
      <c r="B17">
        <v>115</v>
      </c>
      <c r="C17" t="s">
        <v>26</v>
      </c>
      <c r="D17">
        <v>9.5949000000000009</v>
      </c>
      <c r="E17">
        <v>10.42</v>
      </c>
      <c r="F17">
        <v>7.02</v>
      </c>
      <c r="G17">
        <v>24.76</v>
      </c>
      <c r="H17">
        <v>0.37</v>
      </c>
      <c r="I17">
        <v>17</v>
      </c>
      <c r="J17">
        <v>229.22</v>
      </c>
      <c r="K17">
        <v>56.94</v>
      </c>
      <c r="L17">
        <v>4.75</v>
      </c>
      <c r="M17">
        <v>15</v>
      </c>
      <c r="N17">
        <v>52.53</v>
      </c>
      <c r="O17">
        <v>28504.87</v>
      </c>
      <c r="P17">
        <v>105.04</v>
      </c>
      <c r="Q17">
        <v>204.15</v>
      </c>
      <c r="R17">
        <v>31.71</v>
      </c>
      <c r="S17">
        <v>17.37</v>
      </c>
      <c r="T17">
        <v>5014.63</v>
      </c>
      <c r="U17">
        <v>0.55000000000000004</v>
      </c>
      <c r="V17">
        <v>0.73</v>
      </c>
      <c r="W17">
        <v>1.17</v>
      </c>
      <c r="X17">
        <v>0.32</v>
      </c>
      <c r="Y17">
        <v>1</v>
      </c>
      <c r="Z17">
        <v>10</v>
      </c>
    </row>
    <row r="18" spans="1:26" x14ac:dyDescent="0.3">
      <c r="A18">
        <v>16</v>
      </c>
      <c r="B18">
        <v>115</v>
      </c>
      <c r="C18" t="s">
        <v>26</v>
      </c>
      <c r="D18">
        <v>9.6534999999999993</v>
      </c>
      <c r="E18">
        <v>10.36</v>
      </c>
      <c r="F18">
        <v>7</v>
      </c>
      <c r="G18">
        <v>26.23</v>
      </c>
      <c r="H18">
        <v>0.39</v>
      </c>
      <c r="I18">
        <v>16</v>
      </c>
      <c r="J18">
        <v>229.65</v>
      </c>
      <c r="K18">
        <v>56.94</v>
      </c>
      <c r="L18">
        <v>5</v>
      </c>
      <c r="M18">
        <v>14</v>
      </c>
      <c r="N18">
        <v>52.7</v>
      </c>
      <c r="O18">
        <v>28557.1</v>
      </c>
      <c r="P18">
        <v>104.74</v>
      </c>
      <c r="Q18">
        <v>204.16</v>
      </c>
      <c r="R18">
        <v>31.23</v>
      </c>
      <c r="S18">
        <v>17.37</v>
      </c>
      <c r="T18">
        <v>4775.84</v>
      </c>
      <c r="U18">
        <v>0.56000000000000005</v>
      </c>
      <c r="V18">
        <v>0.73</v>
      </c>
      <c r="W18">
        <v>1.1599999999999999</v>
      </c>
      <c r="X18">
        <v>0.3</v>
      </c>
      <c r="Y18">
        <v>1</v>
      </c>
      <c r="Z18">
        <v>10</v>
      </c>
    </row>
    <row r="19" spans="1:26" x14ac:dyDescent="0.3">
      <c r="A19">
        <v>17</v>
      </c>
      <c r="B19">
        <v>115</v>
      </c>
      <c r="C19" t="s">
        <v>26</v>
      </c>
      <c r="D19">
        <v>9.6374999999999993</v>
      </c>
      <c r="E19">
        <v>10.38</v>
      </c>
      <c r="F19">
        <v>7.01</v>
      </c>
      <c r="G19">
        <v>26.3</v>
      </c>
      <c r="H19">
        <v>0.41</v>
      </c>
      <c r="I19">
        <v>16</v>
      </c>
      <c r="J19">
        <v>230.07</v>
      </c>
      <c r="K19">
        <v>56.94</v>
      </c>
      <c r="L19">
        <v>5.25</v>
      </c>
      <c r="M19">
        <v>14</v>
      </c>
      <c r="N19">
        <v>52.88</v>
      </c>
      <c r="O19">
        <v>28609.38</v>
      </c>
      <c r="P19">
        <v>104.89</v>
      </c>
      <c r="Q19">
        <v>204.18</v>
      </c>
      <c r="R19">
        <v>31.88</v>
      </c>
      <c r="S19">
        <v>17.37</v>
      </c>
      <c r="T19">
        <v>5102.91</v>
      </c>
      <c r="U19">
        <v>0.54</v>
      </c>
      <c r="V19">
        <v>0.73</v>
      </c>
      <c r="W19">
        <v>1.1599999999999999</v>
      </c>
      <c r="X19">
        <v>0.32</v>
      </c>
      <c r="Y19">
        <v>1</v>
      </c>
      <c r="Z19">
        <v>10</v>
      </c>
    </row>
    <row r="20" spans="1:26" x14ac:dyDescent="0.3">
      <c r="A20">
        <v>18</v>
      </c>
      <c r="B20">
        <v>115</v>
      </c>
      <c r="C20" t="s">
        <v>26</v>
      </c>
      <c r="D20">
        <v>9.7279</v>
      </c>
      <c r="E20">
        <v>10.28</v>
      </c>
      <c r="F20">
        <v>6.96</v>
      </c>
      <c r="G20">
        <v>27.84</v>
      </c>
      <c r="H20">
        <v>0.42</v>
      </c>
      <c r="I20">
        <v>15</v>
      </c>
      <c r="J20">
        <v>230.49</v>
      </c>
      <c r="K20">
        <v>56.94</v>
      </c>
      <c r="L20">
        <v>5.5</v>
      </c>
      <c r="M20">
        <v>13</v>
      </c>
      <c r="N20">
        <v>53.05</v>
      </c>
      <c r="O20">
        <v>28661.73</v>
      </c>
      <c r="P20">
        <v>103.96</v>
      </c>
      <c r="Q20">
        <v>204.14</v>
      </c>
      <c r="R20">
        <v>30.24</v>
      </c>
      <c r="S20">
        <v>17.37</v>
      </c>
      <c r="T20">
        <v>4286.3999999999996</v>
      </c>
      <c r="U20">
        <v>0.56999999999999995</v>
      </c>
      <c r="V20">
        <v>0.73</v>
      </c>
      <c r="W20">
        <v>1.1599999999999999</v>
      </c>
      <c r="X20">
        <v>0.27</v>
      </c>
      <c r="Y20">
        <v>1</v>
      </c>
      <c r="Z20">
        <v>10</v>
      </c>
    </row>
    <row r="21" spans="1:26" x14ac:dyDescent="0.3">
      <c r="A21">
        <v>19</v>
      </c>
      <c r="B21">
        <v>115</v>
      </c>
      <c r="C21" t="s">
        <v>26</v>
      </c>
      <c r="D21">
        <v>9.7759999999999998</v>
      </c>
      <c r="E21">
        <v>10.23</v>
      </c>
      <c r="F21">
        <v>6.95</v>
      </c>
      <c r="G21">
        <v>29.8</v>
      </c>
      <c r="H21">
        <v>0.44</v>
      </c>
      <c r="I21">
        <v>14</v>
      </c>
      <c r="J21">
        <v>230.92</v>
      </c>
      <c r="K21">
        <v>56.94</v>
      </c>
      <c r="L21">
        <v>5.75</v>
      </c>
      <c r="M21">
        <v>12</v>
      </c>
      <c r="N21">
        <v>53.23</v>
      </c>
      <c r="O21">
        <v>28714.14</v>
      </c>
      <c r="P21">
        <v>103.69</v>
      </c>
      <c r="Q21">
        <v>204.19</v>
      </c>
      <c r="R21">
        <v>30.08</v>
      </c>
      <c r="S21">
        <v>17.37</v>
      </c>
      <c r="T21">
        <v>4210.62</v>
      </c>
      <c r="U21">
        <v>0.57999999999999996</v>
      </c>
      <c r="V21">
        <v>0.73</v>
      </c>
      <c r="W21">
        <v>1.1599999999999999</v>
      </c>
      <c r="X21">
        <v>0.26</v>
      </c>
      <c r="Y21">
        <v>1</v>
      </c>
      <c r="Z21">
        <v>10</v>
      </c>
    </row>
    <row r="22" spans="1:26" x14ac:dyDescent="0.3">
      <c r="A22">
        <v>20</v>
      </c>
      <c r="B22">
        <v>115</v>
      </c>
      <c r="C22" t="s">
        <v>26</v>
      </c>
      <c r="D22">
        <v>9.7838999999999992</v>
      </c>
      <c r="E22">
        <v>10.220000000000001</v>
      </c>
      <c r="F22">
        <v>6.95</v>
      </c>
      <c r="G22">
        <v>29.77</v>
      </c>
      <c r="H22">
        <v>0.46</v>
      </c>
      <c r="I22">
        <v>14</v>
      </c>
      <c r="J22">
        <v>231.34</v>
      </c>
      <c r="K22">
        <v>56.94</v>
      </c>
      <c r="L22">
        <v>6</v>
      </c>
      <c r="M22">
        <v>12</v>
      </c>
      <c r="N22">
        <v>53.4</v>
      </c>
      <c r="O22">
        <v>28766.61</v>
      </c>
      <c r="P22">
        <v>103.54</v>
      </c>
      <c r="Q22">
        <v>204.16</v>
      </c>
      <c r="R22">
        <v>29.68</v>
      </c>
      <c r="S22">
        <v>17.37</v>
      </c>
      <c r="T22">
        <v>4012.79</v>
      </c>
      <c r="U22">
        <v>0.59</v>
      </c>
      <c r="V22">
        <v>0.74</v>
      </c>
      <c r="W22">
        <v>1.1599999999999999</v>
      </c>
      <c r="X22">
        <v>0.25</v>
      </c>
      <c r="Y22">
        <v>1</v>
      </c>
      <c r="Z22">
        <v>10</v>
      </c>
    </row>
    <row r="23" spans="1:26" x14ac:dyDescent="0.3">
      <c r="A23">
        <v>21</v>
      </c>
      <c r="B23">
        <v>115</v>
      </c>
      <c r="C23" t="s">
        <v>26</v>
      </c>
      <c r="D23">
        <v>9.8416999999999994</v>
      </c>
      <c r="E23">
        <v>10.16</v>
      </c>
      <c r="F23">
        <v>6.93</v>
      </c>
      <c r="G23">
        <v>31.98</v>
      </c>
      <c r="H23">
        <v>0.48</v>
      </c>
      <c r="I23">
        <v>13</v>
      </c>
      <c r="J23">
        <v>231.77</v>
      </c>
      <c r="K23">
        <v>56.94</v>
      </c>
      <c r="L23">
        <v>6.25</v>
      </c>
      <c r="M23">
        <v>11</v>
      </c>
      <c r="N23">
        <v>53.58</v>
      </c>
      <c r="O23">
        <v>28819.14</v>
      </c>
      <c r="P23">
        <v>103.17</v>
      </c>
      <c r="Q23">
        <v>204.14</v>
      </c>
      <c r="R23">
        <v>29.32</v>
      </c>
      <c r="S23">
        <v>17.37</v>
      </c>
      <c r="T23">
        <v>3835.26</v>
      </c>
      <c r="U23">
        <v>0.59</v>
      </c>
      <c r="V23">
        <v>0.74</v>
      </c>
      <c r="W23">
        <v>1.1499999999999999</v>
      </c>
      <c r="X23">
        <v>0.24</v>
      </c>
      <c r="Y23">
        <v>1</v>
      </c>
      <c r="Z23">
        <v>10</v>
      </c>
    </row>
    <row r="24" spans="1:26" x14ac:dyDescent="0.3">
      <c r="A24">
        <v>22</v>
      </c>
      <c r="B24">
        <v>115</v>
      </c>
      <c r="C24" t="s">
        <v>26</v>
      </c>
      <c r="D24">
        <v>9.8474000000000004</v>
      </c>
      <c r="E24">
        <v>10.15</v>
      </c>
      <c r="F24">
        <v>6.92</v>
      </c>
      <c r="G24">
        <v>31.96</v>
      </c>
      <c r="H24">
        <v>0.5</v>
      </c>
      <c r="I24">
        <v>13</v>
      </c>
      <c r="J24">
        <v>232.2</v>
      </c>
      <c r="K24">
        <v>56.94</v>
      </c>
      <c r="L24">
        <v>6.5</v>
      </c>
      <c r="M24">
        <v>11</v>
      </c>
      <c r="N24">
        <v>53.75</v>
      </c>
      <c r="O24">
        <v>28871.74</v>
      </c>
      <c r="P24">
        <v>103.03</v>
      </c>
      <c r="Q24">
        <v>204.17</v>
      </c>
      <c r="R24">
        <v>28.97</v>
      </c>
      <c r="S24">
        <v>17.37</v>
      </c>
      <c r="T24">
        <v>3663.95</v>
      </c>
      <c r="U24">
        <v>0.6</v>
      </c>
      <c r="V24">
        <v>0.74</v>
      </c>
      <c r="W24">
        <v>1.1599999999999999</v>
      </c>
      <c r="X24">
        <v>0.23</v>
      </c>
      <c r="Y24">
        <v>1</v>
      </c>
      <c r="Z24">
        <v>10</v>
      </c>
    </row>
    <row r="25" spans="1:26" x14ac:dyDescent="0.3">
      <c r="A25">
        <v>23</v>
      </c>
      <c r="B25">
        <v>115</v>
      </c>
      <c r="C25" t="s">
        <v>26</v>
      </c>
      <c r="D25">
        <v>9.8995999999999995</v>
      </c>
      <c r="E25">
        <v>10.1</v>
      </c>
      <c r="F25">
        <v>6.91</v>
      </c>
      <c r="G25">
        <v>34.57</v>
      </c>
      <c r="H25">
        <v>0.52</v>
      </c>
      <c r="I25">
        <v>12</v>
      </c>
      <c r="J25">
        <v>232.62</v>
      </c>
      <c r="K25">
        <v>56.94</v>
      </c>
      <c r="L25">
        <v>6.75</v>
      </c>
      <c r="M25">
        <v>10</v>
      </c>
      <c r="N25">
        <v>53.93</v>
      </c>
      <c r="O25">
        <v>28924.39</v>
      </c>
      <c r="P25">
        <v>102.73</v>
      </c>
      <c r="Q25">
        <v>204.14</v>
      </c>
      <c r="R25">
        <v>28.81</v>
      </c>
      <c r="S25">
        <v>17.37</v>
      </c>
      <c r="T25">
        <v>3585.89</v>
      </c>
      <c r="U25">
        <v>0.6</v>
      </c>
      <c r="V25">
        <v>0.74</v>
      </c>
      <c r="W25">
        <v>1.1499999999999999</v>
      </c>
      <c r="X25">
        <v>0.22</v>
      </c>
      <c r="Y25">
        <v>1</v>
      </c>
      <c r="Z25">
        <v>10</v>
      </c>
    </row>
    <row r="26" spans="1:26" x14ac:dyDescent="0.3">
      <c r="A26">
        <v>24</v>
      </c>
      <c r="B26">
        <v>115</v>
      </c>
      <c r="C26" t="s">
        <v>26</v>
      </c>
      <c r="D26">
        <v>9.8979999999999997</v>
      </c>
      <c r="E26">
        <v>10.1</v>
      </c>
      <c r="F26">
        <v>6.92</v>
      </c>
      <c r="G26">
        <v>34.58</v>
      </c>
      <c r="H26">
        <v>0.53</v>
      </c>
      <c r="I26">
        <v>12</v>
      </c>
      <c r="J26">
        <v>233.05</v>
      </c>
      <c r="K26">
        <v>56.94</v>
      </c>
      <c r="L26">
        <v>7</v>
      </c>
      <c r="M26">
        <v>10</v>
      </c>
      <c r="N26">
        <v>54.11</v>
      </c>
      <c r="O26">
        <v>28977.11</v>
      </c>
      <c r="P26">
        <v>102.71</v>
      </c>
      <c r="Q26">
        <v>204.17</v>
      </c>
      <c r="R26">
        <v>28.85</v>
      </c>
      <c r="S26">
        <v>17.37</v>
      </c>
      <c r="T26">
        <v>3605.58</v>
      </c>
      <c r="U26">
        <v>0.6</v>
      </c>
      <c r="V26">
        <v>0.74</v>
      </c>
      <c r="W26">
        <v>1.1499999999999999</v>
      </c>
      <c r="X26">
        <v>0.22</v>
      </c>
      <c r="Y26">
        <v>1</v>
      </c>
      <c r="Z26">
        <v>10</v>
      </c>
    </row>
    <row r="27" spans="1:26" x14ac:dyDescent="0.3">
      <c r="A27">
        <v>25</v>
      </c>
      <c r="B27">
        <v>115</v>
      </c>
      <c r="C27" t="s">
        <v>26</v>
      </c>
      <c r="D27">
        <v>9.8963999999999999</v>
      </c>
      <c r="E27">
        <v>10.1</v>
      </c>
      <c r="F27">
        <v>6.92</v>
      </c>
      <c r="G27">
        <v>34.590000000000003</v>
      </c>
      <c r="H27">
        <v>0.55000000000000004</v>
      </c>
      <c r="I27">
        <v>12</v>
      </c>
      <c r="J27">
        <v>233.48</v>
      </c>
      <c r="K27">
        <v>56.94</v>
      </c>
      <c r="L27">
        <v>7.25</v>
      </c>
      <c r="M27">
        <v>10</v>
      </c>
      <c r="N27">
        <v>54.29</v>
      </c>
      <c r="O27">
        <v>29029.89</v>
      </c>
      <c r="P27">
        <v>102.47</v>
      </c>
      <c r="Q27">
        <v>204.14</v>
      </c>
      <c r="R27">
        <v>28.67</v>
      </c>
      <c r="S27">
        <v>17.37</v>
      </c>
      <c r="T27">
        <v>3517.75</v>
      </c>
      <c r="U27">
        <v>0.61</v>
      </c>
      <c r="V27">
        <v>0.74</v>
      </c>
      <c r="W27">
        <v>1.1599999999999999</v>
      </c>
      <c r="X27">
        <v>0.23</v>
      </c>
      <c r="Y27">
        <v>1</v>
      </c>
      <c r="Z27">
        <v>10</v>
      </c>
    </row>
    <row r="28" spans="1:26" x14ac:dyDescent="0.3">
      <c r="A28">
        <v>26</v>
      </c>
      <c r="B28">
        <v>115</v>
      </c>
      <c r="C28" t="s">
        <v>26</v>
      </c>
      <c r="D28">
        <v>9.9709000000000003</v>
      </c>
      <c r="E28">
        <v>10.029999999999999</v>
      </c>
      <c r="F28">
        <v>6.89</v>
      </c>
      <c r="G28">
        <v>37.56</v>
      </c>
      <c r="H28">
        <v>0.56999999999999995</v>
      </c>
      <c r="I28">
        <v>11</v>
      </c>
      <c r="J28">
        <v>233.91</v>
      </c>
      <c r="K28">
        <v>56.94</v>
      </c>
      <c r="L28">
        <v>7.5</v>
      </c>
      <c r="M28">
        <v>9</v>
      </c>
      <c r="N28">
        <v>54.46</v>
      </c>
      <c r="O28">
        <v>29082.74</v>
      </c>
      <c r="P28">
        <v>101.85</v>
      </c>
      <c r="Q28">
        <v>204.14</v>
      </c>
      <c r="R28">
        <v>27.88</v>
      </c>
      <c r="S28">
        <v>17.37</v>
      </c>
      <c r="T28">
        <v>3126.1</v>
      </c>
      <c r="U28">
        <v>0.62</v>
      </c>
      <c r="V28">
        <v>0.74</v>
      </c>
      <c r="W28">
        <v>1.1499999999999999</v>
      </c>
      <c r="X28">
        <v>0.19</v>
      </c>
      <c r="Y28">
        <v>1</v>
      </c>
      <c r="Z28">
        <v>10</v>
      </c>
    </row>
    <row r="29" spans="1:26" x14ac:dyDescent="0.3">
      <c r="A29">
        <v>27</v>
      </c>
      <c r="B29">
        <v>115</v>
      </c>
      <c r="C29" t="s">
        <v>26</v>
      </c>
      <c r="D29">
        <v>9.9689999999999994</v>
      </c>
      <c r="E29">
        <v>10.029999999999999</v>
      </c>
      <c r="F29">
        <v>6.89</v>
      </c>
      <c r="G29">
        <v>37.57</v>
      </c>
      <c r="H29">
        <v>0.59</v>
      </c>
      <c r="I29">
        <v>11</v>
      </c>
      <c r="J29">
        <v>234.34</v>
      </c>
      <c r="K29">
        <v>56.94</v>
      </c>
      <c r="L29">
        <v>7.75</v>
      </c>
      <c r="M29">
        <v>9</v>
      </c>
      <c r="N29">
        <v>54.64</v>
      </c>
      <c r="O29">
        <v>29135.65</v>
      </c>
      <c r="P29">
        <v>101.83</v>
      </c>
      <c r="Q29">
        <v>204.14</v>
      </c>
      <c r="R29">
        <v>27.94</v>
      </c>
      <c r="S29">
        <v>17.37</v>
      </c>
      <c r="T29">
        <v>3158.71</v>
      </c>
      <c r="U29">
        <v>0.62</v>
      </c>
      <c r="V29">
        <v>0.74</v>
      </c>
      <c r="W29">
        <v>1.1499999999999999</v>
      </c>
      <c r="X29">
        <v>0.2</v>
      </c>
      <c r="Y29">
        <v>1</v>
      </c>
      <c r="Z29">
        <v>10</v>
      </c>
    </row>
    <row r="30" spans="1:26" x14ac:dyDescent="0.3">
      <c r="A30">
        <v>28</v>
      </c>
      <c r="B30">
        <v>115</v>
      </c>
      <c r="C30" t="s">
        <v>26</v>
      </c>
      <c r="D30">
        <v>9.9693000000000005</v>
      </c>
      <c r="E30">
        <v>10.029999999999999</v>
      </c>
      <c r="F30">
        <v>6.89</v>
      </c>
      <c r="G30">
        <v>37.57</v>
      </c>
      <c r="H30">
        <v>0.61</v>
      </c>
      <c r="I30">
        <v>11</v>
      </c>
      <c r="J30">
        <v>234.77</v>
      </c>
      <c r="K30">
        <v>56.94</v>
      </c>
      <c r="L30">
        <v>8</v>
      </c>
      <c r="M30">
        <v>9</v>
      </c>
      <c r="N30">
        <v>54.82</v>
      </c>
      <c r="O30">
        <v>29188.62</v>
      </c>
      <c r="P30">
        <v>101.58</v>
      </c>
      <c r="Q30">
        <v>204.14</v>
      </c>
      <c r="R30">
        <v>27.94</v>
      </c>
      <c r="S30">
        <v>17.37</v>
      </c>
      <c r="T30">
        <v>3158.1</v>
      </c>
      <c r="U30">
        <v>0.62</v>
      </c>
      <c r="V30">
        <v>0.74</v>
      </c>
      <c r="W30">
        <v>1.1499999999999999</v>
      </c>
      <c r="X30">
        <v>0.2</v>
      </c>
      <c r="Y30">
        <v>1</v>
      </c>
      <c r="Z30">
        <v>10</v>
      </c>
    </row>
    <row r="31" spans="1:26" x14ac:dyDescent="0.3">
      <c r="A31">
        <v>29</v>
      </c>
      <c r="B31">
        <v>115</v>
      </c>
      <c r="C31" t="s">
        <v>26</v>
      </c>
      <c r="D31">
        <v>10.0351</v>
      </c>
      <c r="E31">
        <v>9.9600000000000009</v>
      </c>
      <c r="F31">
        <v>6.87</v>
      </c>
      <c r="G31">
        <v>41.19</v>
      </c>
      <c r="H31">
        <v>0.62</v>
      </c>
      <c r="I31">
        <v>10</v>
      </c>
      <c r="J31">
        <v>235.2</v>
      </c>
      <c r="K31">
        <v>56.94</v>
      </c>
      <c r="L31">
        <v>8.25</v>
      </c>
      <c r="M31">
        <v>8</v>
      </c>
      <c r="N31">
        <v>55</v>
      </c>
      <c r="O31">
        <v>29241.66</v>
      </c>
      <c r="P31">
        <v>101.09</v>
      </c>
      <c r="Q31">
        <v>204.15</v>
      </c>
      <c r="R31">
        <v>27.29</v>
      </c>
      <c r="S31">
        <v>17.37</v>
      </c>
      <c r="T31">
        <v>2835.11</v>
      </c>
      <c r="U31">
        <v>0.64</v>
      </c>
      <c r="V31">
        <v>0.74</v>
      </c>
      <c r="W31">
        <v>1.1499999999999999</v>
      </c>
      <c r="X31">
        <v>0.17</v>
      </c>
      <c r="Y31">
        <v>1</v>
      </c>
      <c r="Z31">
        <v>10</v>
      </c>
    </row>
    <row r="32" spans="1:26" x14ac:dyDescent="0.3">
      <c r="A32">
        <v>30</v>
      </c>
      <c r="B32">
        <v>115</v>
      </c>
      <c r="C32" t="s">
        <v>26</v>
      </c>
      <c r="D32">
        <v>10.038500000000001</v>
      </c>
      <c r="E32">
        <v>9.9600000000000009</v>
      </c>
      <c r="F32">
        <v>6.86</v>
      </c>
      <c r="G32">
        <v>41.17</v>
      </c>
      <c r="H32">
        <v>0.64</v>
      </c>
      <c r="I32">
        <v>10</v>
      </c>
      <c r="J32">
        <v>235.63</v>
      </c>
      <c r="K32">
        <v>56.94</v>
      </c>
      <c r="L32">
        <v>8.5</v>
      </c>
      <c r="M32">
        <v>8</v>
      </c>
      <c r="N32">
        <v>55.18</v>
      </c>
      <c r="O32">
        <v>29294.76</v>
      </c>
      <c r="P32">
        <v>101.06</v>
      </c>
      <c r="Q32">
        <v>204.15</v>
      </c>
      <c r="R32">
        <v>27.22</v>
      </c>
      <c r="S32">
        <v>17.37</v>
      </c>
      <c r="T32">
        <v>2804.42</v>
      </c>
      <c r="U32">
        <v>0.64</v>
      </c>
      <c r="V32">
        <v>0.74</v>
      </c>
      <c r="W32">
        <v>1.1499999999999999</v>
      </c>
      <c r="X32">
        <v>0.17</v>
      </c>
      <c r="Y32">
        <v>1</v>
      </c>
      <c r="Z32">
        <v>10</v>
      </c>
    </row>
    <row r="33" spans="1:26" x14ac:dyDescent="0.3">
      <c r="A33">
        <v>31</v>
      </c>
      <c r="B33">
        <v>115</v>
      </c>
      <c r="C33" t="s">
        <v>26</v>
      </c>
      <c r="D33">
        <v>10.0413</v>
      </c>
      <c r="E33">
        <v>9.9600000000000009</v>
      </c>
      <c r="F33">
        <v>6.86</v>
      </c>
      <c r="G33">
        <v>41.16</v>
      </c>
      <c r="H33">
        <v>0.66</v>
      </c>
      <c r="I33">
        <v>10</v>
      </c>
      <c r="J33">
        <v>236.06</v>
      </c>
      <c r="K33">
        <v>56.94</v>
      </c>
      <c r="L33">
        <v>8.75</v>
      </c>
      <c r="M33">
        <v>8</v>
      </c>
      <c r="N33">
        <v>55.36</v>
      </c>
      <c r="O33">
        <v>29347.919999999998</v>
      </c>
      <c r="P33">
        <v>101.02</v>
      </c>
      <c r="Q33">
        <v>204.14</v>
      </c>
      <c r="R33">
        <v>27.01</v>
      </c>
      <c r="S33">
        <v>17.37</v>
      </c>
      <c r="T33">
        <v>2697.35</v>
      </c>
      <c r="U33">
        <v>0.64</v>
      </c>
      <c r="V33">
        <v>0.74</v>
      </c>
      <c r="W33">
        <v>1.1499999999999999</v>
      </c>
      <c r="X33">
        <v>0.17</v>
      </c>
      <c r="Y33">
        <v>1</v>
      </c>
      <c r="Z33">
        <v>10</v>
      </c>
    </row>
    <row r="34" spans="1:26" x14ac:dyDescent="0.3">
      <c r="A34">
        <v>32</v>
      </c>
      <c r="B34">
        <v>115</v>
      </c>
      <c r="C34" t="s">
        <v>26</v>
      </c>
      <c r="D34">
        <v>10.103</v>
      </c>
      <c r="E34">
        <v>9.9</v>
      </c>
      <c r="F34">
        <v>6.84</v>
      </c>
      <c r="G34">
        <v>45.61</v>
      </c>
      <c r="H34">
        <v>0.68</v>
      </c>
      <c r="I34">
        <v>9</v>
      </c>
      <c r="J34">
        <v>236.49</v>
      </c>
      <c r="K34">
        <v>56.94</v>
      </c>
      <c r="L34">
        <v>9</v>
      </c>
      <c r="M34">
        <v>7</v>
      </c>
      <c r="N34">
        <v>55.55</v>
      </c>
      <c r="O34">
        <v>29401.15</v>
      </c>
      <c r="P34">
        <v>100.32</v>
      </c>
      <c r="Q34">
        <v>204.14</v>
      </c>
      <c r="R34">
        <v>26.54</v>
      </c>
      <c r="S34">
        <v>17.37</v>
      </c>
      <c r="T34">
        <v>2468.86</v>
      </c>
      <c r="U34">
        <v>0.65</v>
      </c>
      <c r="V34">
        <v>0.75</v>
      </c>
      <c r="W34">
        <v>1.1499999999999999</v>
      </c>
      <c r="X34">
        <v>0.15</v>
      </c>
      <c r="Y34">
        <v>1</v>
      </c>
      <c r="Z34">
        <v>10</v>
      </c>
    </row>
    <row r="35" spans="1:26" x14ac:dyDescent="0.3">
      <c r="A35">
        <v>33</v>
      </c>
      <c r="B35">
        <v>115</v>
      </c>
      <c r="C35" t="s">
        <v>26</v>
      </c>
      <c r="D35">
        <v>10.086600000000001</v>
      </c>
      <c r="E35">
        <v>9.91</v>
      </c>
      <c r="F35">
        <v>6.86</v>
      </c>
      <c r="G35">
        <v>45.72</v>
      </c>
      <c r="H35">
        <v>0.69</v>
      </c>
      <c r="I35">
        <v>9</v>
      </c>
      <c r="J35">
        <v>236.92</v>
      </c>
      <c r="K35">
        <v>56.94</v>
      </c>
      <c r="L35">
        <v>9.25</v>
      </c>
      <c r="M35">
        <v>7</v>
      </c>
      <c r="N35">
        <v>55.73</v>
      </c>
      <c r="O35">
        <v>29454.44</v>
      </c>
      <c r="P35">
        <v>100.82</v>
      </c>
      <c r="Q35">
        <v>204.14</v>
      </c>
      <c r="R35">
        <v>27.06</v>
      </c>
      <c r="S35">
        <v>17.37</v>
      </c>
      <c r="T35">
        <v>2729.59</v>
      </c>
      <c r="U35">
        <v>0.64</v>
      </c>
      <c r="V35">
        <v>0.74</v>
      </c>
      <c r="W35">
        <v>1.1499999999999999</v>
      </c>
      <c r="X35">
        <v>0.17</v>
      </c>
      <c r="Y35">
        <v>1</v>
      </c>
      <c r="Z35">
        <v>10</v>
      </c>
    </row>
    <row r="36" spans="1:26" x14ac:dyDescent="0.3">
      <c r="A36">
        <v>34</v>
      </c>
      <c r="B36">
        <v>115</v>
      </c>
      <c r="C36" t="s">
        <v>26</v>
      </c>
      <c r="D36">
        <v>10.0877</v>
      </c>
      <c r="E36">
        <v>9.91</v>
      </c>
      <c r="F36">
        <v>6.86</v>
      </c>
      <c r="G36">
        <v>45.71</v>
      </c>
      <c r="H36">
        <v>0.71</v>
      </c>
      <c r="I36">
        <v>9</v>
      </c>
      <c r="J36">
        <v>237.35</v>
      </c>
      <c r="K36">
        <v>56.94</v>
      </c>
      <c r="L36">
        <v>9.5</v>
      </c>
      <c r="M36">
        <v>7</v>
      </c>
      <c r="N36">
        <v>55.91</v>
      </c>
      <c r="O36">
        <v>29507.8</v>
      </c>
      <c r="P36">
        <v>100.92</v>
      </c>
      <c r="Q36">
        <v>204.16</v>
      </c>
      <c r="R36">
        <v>26.94</v>
      </c>
      <c r="S36">
        <v>17.37</v>
      </c>
      <c r="T36">
        <v>2667.86</v>
      </c>
      <c r="U36">
        <v>0.64</v>
      </c>
      <c r="V36">
        <v>0.74</v>
      </c>
      <c r="W36">
        <v>1.1499999999999999</v>
      </c>
      <c r="X36">
        <v>0.17</v>
      </c>
      <c r="Y36">
        <v>1</v>
      </c>
      <c r="Z36">
        <v>10</v>
      </c>
    </row>
    <row r="37" spans="1:26" x14ac:dyDescent="0.3">
      <c r="A37">
        <v>35</v>
      </c>
      <c r="B37">
        <v>115</v>
      </c>
      <c r="C37" t="s">
        <v>26</v>
      </c>
      <c r="D37">
        <v>10.088800000000001</v>
      </c>
      <c r="E37">
        <v>9.91</v>
      </c>
      <c r="F37">
        <v>6.86</v>
      </c>
      <c r="G37">
        <v>45.71</v>
      </c>
      <c r="H37">
        <v>0.73</v>
      </c>
      <c r="I37">
        <v>9</v>
      </c>
      <c r="J37">
        <v>237.79</v>
      </c>
      <c r="K37">
        <v>56.94</v>
      </c>
      <c r="L37">
        <v>9.75</v>
      </c>
      <c r="M37">
        <v>7</v>
      </c>
      <c r="N37">
        <v>56.09</v>
      </c>
      <c r="O37">
        <v>29561.22</v>
      </c>
      <c r="P37">
        <v>100.59</v>
      </c>
      <c r="Q37">
        <v>204.15</v>
      </c>
      <c r="R37">
        <v>27.02</v>
      </c>
      <c r="S37">
        <v>17.37</v>
      </c>
      <c r="T37">
        <v>2709.82</v>
      </c>
      <c r="U37">
        <v>0.64</v>
      </c>
      <c r="V37">
        <v>0.74</v>
      </c>
      <c r="W37">
        <v>1.1499999999999999</v>
      </c>
      <c r="X37">
        <v>0.16</v>
      </c>
      <c r="Y37">
        <v>1</v>
      </c>
      <c r="Z37">
        <v>10</v>
      </c>
    </row>
    <row r="38" spans="1:26" x14ac:dyDescent="0.3">
      <c r="A38">
        <v>36</v>
      </c>
      <c r="B38">
        <v>115</v>
      </c>
      <c r="C38" t="s">
        <v>26</v>
      </c>
      <c r="D38">
        <v>10.0905</v>
      </c>
      <c r="E38">
        <v>9.91</v>
      </c>
      <c r="F38">
        <v>6.85</v>
      </c>
      <c r="G38">
        <v>45.7</v>
      </c>
      <c r="H38">
        <v>0.75</v>
      </c>
      <c r="I38">
        <v>9</v>
      </c>
      <c r="J38">
        <v>238.22</v>
      </c>
      <c r="K38">
        <v>56.94</v>
      </c>
      <c r="L38">
        <v>10</v>
      </c>
      <c r="M38">
        <v>7</v>
      </c>
      <c r="N38">
        <v>56.28</v>
      </c>
      <c r="O38">
        <v>29614.71</v>
      </c>
      <c r="P38">
        <v>100.39</v>
      </c>
      <c r="Q38">
        <v>204.14</v>
      </c>
      <c r="R38">
        <v>26.99</v>
      </c>
      <c r="S38">
        <v>17.37</v>
      </c>
      <c r="T38">
        <v>2691.08</v>
      </c>
      <c r="U38">
        <v>0.64</v>
      </c>
      <c r="V38">
        <v>0.75</v>
      </c>
      <c r="W38">
        <v>1.1499999999999999</v>
      </c>
      <c r="X38">
        <v>0.16</v>
      </c>
      <c r="Y38">
        <v>1</v>
      </c>
      <c r="Z38">
        <v>10</v>
      </c>
    </row>
    <row r="39" spans="1:26" x14ac:dyDescent="0.3">
      <c r="A39">
        <v>37</v>
      </c>
      <c r="B39">
        <v>115</v>
      </c>
      <c r="C39" t="s">
        <v>26</v>
      </c>
      <c r="D39">
        <v>10.1531</v>
      </c>
      <c r="E39">
        <v>9.85</v>
      </c>
      <c r="F39">
        <v>6.84</v>
      </c>
      <c r="G39">
        <v>51.28</v>
      </c>
      <c r="H39">
        <v>0.76</v>
      </c>
      <c r="I39">
        <v>8</v>
      </c>
      <c r="J39">
        <v>238.66</v>
      </c>
      <c r="K39">
        <v>56.94</v>
      </c>
      <c r="L39">
        <v>10.25</v>
      </c>
      <c r="M39">
        <v>6</v>
      </c>
      <c r="N39">
        <v>56.46</v>
      </c>
      <c r="O39">
        <v>29668.27</v>
      </c>
      <c r="P39">
        <v>99.87</v>
      </c>
      <c r="Q39">
        <v>204.21</v>
      </c>
      <c r="R39">
        <v>26.36</v>
      </c>
      <c r="S39">
        <v>17.37</v>
      </c>
      <c r="T39">
        <v>2382.08</v>
      </c>
      <c r="U39">
        <v>0.66</v>
      </c>
      <c r="V39">
        <v>0.75</v>
      </c>
      <c r="W39">
        <v>1.1499999999999999</v>
      </c>
      <c r="X39">
        <v>0.15</v>
      </c>
      <c r="Y39">
        <v>1</v>
      </c>
      <c r="Z39">
        <v>10</v>
      </c>
    </row>
    <row r="40" spans="1:26" x14ac:dyDescent="0.3">
      <c r="A40">
        <v>38</v>
      </c>
      <c r="B40">
        <v>115</v>
      </c>
      <c r="C40" t="s">
        <v>26</v>
      </c>
      <c r="D40">
        <v>10.1692</v>
      </c>
      <c r="E40">
        <v>9.83</v>
      </c>
      <c r="F40">
        <v>6.82</v>
      </c>
      <c r="G40">
        <v>51.16</v>
      </c>
      <c r="H40">
        <v>0.78</v>
      </c>
      <c r="I40">
        <v>8</v>
      </c>
      <c r="J40">
        <v>239.09</v>
      </c>
      <c r="K40">
        <v>56.94</v>
      </c>
      <c r="L40">
        <v>10.5</v>
      </c>
      <c r="M40">
        <v>6</v>
      </c>
      <c r="N40">
        <v>56.65</v>
      </c>
      <c r="O40">
        <v>29721.89</v>
      </c>
      <c r="P40">
        <v>99.65</v>
      </c>
      <c r="Q40">
        <v>204.14</v>
      </c>
      <c r="R40">
        <v>25.81</v>
      </c>
      <c r="S40">
        <v>17.37</v>
      </c>
      <c r="T40">
        <v>2105.75</v>
      </c>
      <c r="U40">
        <v>0.67</v>
      </c>
      <c r="V40">
        <v>0.75</v>
      </c>
      <c r="W40">
        <v>1.1499999999999999</v>
      </c>
      <c r="X40">
        <v>0.13</v>
      </c>
      <c r="Y40">
        <v>1</v>
      </c>
      <c r="Z40">
        <v>10</v>
      </c>
    </row>
    <row r="41" spans="1:26" x14ac:dyDescent="0.3">
      <c r="A41">
        <v>39</v>
      </c>
      <c r="B41">
        <v>115</v>
      </c>
      <c r="C41" t="s">
        <v>26</v>
      </c>
      <c r="D41">
        <v>10.1683</v>
      </c>
      <c r="E41">
        <v>9.83</v>
      </c>
      <c r="F41">
        <v>6.82</v>
      </c>
      <c r="G41">
        <v>51.17</v>
      </c>
      <c r="H41">
        <v>0.8</v>
      </c>
      <c r="I41">
        <v>8</v>
      </c>
      <c r="J41">
        <v>239.53</v>
      </c>
      <c r="K41">
        <v>56.94</v>
      </c>
      <c r="L41">
        <v>10.75</v>
      </c>
      <c r="M41">
        <v>6</v>
      </c>
      <c r="N41">
        <v>56.83</v>
      </c>
      <c r="O41">
        <v>29775.57</v>
      </c>
      <c r="P41">
        <v>99.48</v>
      </c>
      <c r="Q41">
        <v>204.15</v>
      </c>
      <c r="R41">
        <v>25.9</v>
      </c>
      <c r="S41">
        <v>17.37</v>
      </c>
      <c r="T41">
        <v>2151.58</v>
      </c>
      <c r="U41">
        <v>0.67</v>
      </c>
      <c r="V41">
        <v>0.75</v>
      </c>
      <c r="W41">
        <v>1.1499999999999999</v>
      </c>
      <c r="X41">
        <v>0.13</v>
      </c>
      <c r="Y41">
        <v>1</v>
      </c>
      <c r="Z41">
        <v>10</v>
      </c>
    </row>
    <row r="42" spans="1:26" x14ac:dyDescent="0.3">
      <c r="A42">
        <v>40</v>
      </c>
      <c r="B42">
        <v>115</v>
      </c>
      <c r="C42" t="s">
        <v>26</v>
      </c>
      <c r="D42">
        <v>10.1557</v>
      </c>
      <c r="E42">
        <v>9.85</v>
      </c>
      <c r="F42">
        <v>6.83</v>
      </c>
      <c r="G42">
        <v>51.26</v>
      </c>
      <c r="H42">
        <v>0.82</v>
      </c>
      <c r="I42">
        <v>8</v>
      </c>
      <c r="J42">
        <v>239.96</v>
      </c>
      <c r="K42">
        <v>56.94</v>
      </c>
      <c r="L42">
        <v>11</v>
      </c>
      <c r="M42">
        <v>6</v>
      </c>
      <c r="N42">
        <v>57.02</v>
      </c>
      <c r="O42">
        <v>29829.32</v>
      </c>
      <c r="P42">
        <v>99.52</v>
      </c>
      <c r="Q42">
        <v>204.15</v>
      </c>
      <c r="R42">
        <v>26.29</v>
      </c>
      <c r="S42">
        <v>17.37</v>
      </c>
      <c r="T42">
        <v>2349.8000000000002</v>
      </c>
      <c r="U42">
        <v>0.66</v>
      </c>
      <c r="V42">
        <v>0.75</v>
      </c>
      <c r="W42">
        <v>1.1499999999999999</v>
      </c>
      <c r="X42">
        <v>0.14000000000000001</v>
      </c>
      <c r="Y42">
        <v>1</v>
      </c>
      <c r="Z42">
        <v>10</v>
      </c>
    </row>
    <row r="43" spans="1:26" x14ac:dyDescent="0.3">
      <c r="A43">
        <v>41</v>
      </c>
      <c r="B43">
        <v>115</v>
      </c>
      <c r="C43" t="s">
        <v>26</v>
      </c>
      <c r="D43">
        <v>10.1655</v>
      </c>
      <c r="E43">
        <v>9.84</v>
      </c>
      <c r="F43">
        <v>6.83</v>
      </c>
      <c r="G43">
        <v>51.19</v>
      </c>
      <c r="H43">
        <v>0.83</v>
      </c>
      <c r="I43">
        <v>8</v>
      </c>
      <c r="J43">
        <v>240.4</v>
      </c>
      <c r="K43">
        <v>56.94</v>
      </c>
      <c r="L43">
        <v>11.25</v>
      </c>
      <c r="M43">
        <v>6</v>
      </c>
      <c r="N43">
        <v>57.21</v>
      </c>
      <c r="O43">
        <v>29883.27</v>
      </c>
      <c r="P43">
        <v>99.31</v>
      </c>
      <c r="Q43">
        <v>204.14</v>
      </c>
      <c r="R43">
        <v>26.07</v>
      </c>
      <c r="S43">
        <v>17.37</v>
      </c>
      <c r="T43">
        <v>2238.1799999999998</v>
      </c>
      <c r="U43">
        <v>0.67</v>
      </c>
      <c r="V43">
        <v>0.75</v>
      </c>
      <c r="W43">
        <v>1.1499999999999999</v>
      </c>
      <c r="X43">
        <v>0.13</v>
      </c>
      <c r="Y43">
        <v>1</v>
      </c>
      <c r="Z43">
        <v>10</v>
      </c>
    </row>
    <row r="44" spans="1:26" x14ac:dyDescent="0.3">
      <c r="A44">
        <v>42</v>
      </c>
      <c r="B44">
        <v>115</v>
      </c>
      <c r="C44" t="s">
        <v>26</v>
      </c>
      <c r="D44">
        <v>10.1609</v>
      </c>
      <c r="E44">
        <v>9.84</v>
      </c>
      <c r="F44">
        <v>6.83</v>
      </c>
      <c r="G44">
        <v>51.22</v>
      </c>
      <c r="H44">
        <v>0.85</v>
      </c>
      <c r="I44">
        <v>8</v>
      </c>
      <c r="J44">
        <v>240.84</v>
      </c>
      <c r="K44">
        <v>56.94</v>
      </c>
      <c r="L44">
        <v>11.5</v>
      </c>
      <c r="M44">
        <v>6</v>
      </c>
      <c r="N44">
        <v>57.39</v>
      </c>
      <c r="O44">
        <v>29937.16</v>
      </c>
      <c r="P44">
        <v>99.14</v>
      </c>
      <c r="Q44">
        <v>204.14</v>
      </c>
      <c r="R44">
        <v>26.14</v>
      </c>
      <c r="S44">
        <v>17.37</v>
      </c>
      <c r="T44">
        <v>2273.3200000000002</v>
      </c>
      <c r="U44">
        <v>0.66</v>
      </c>
      <c r="V44">
        <v>0.75</v>
      </c>
      <c r="W44">
        <v>1.1499999999999999</v>
      </c>
      <c r="X44">
        <v>0.14000000000000001</v>
      </c>
      <c r="Y44">
        <v>1</v>
      </c>
      <c r="Z44">
        <v>10</v>
      </c>
    </row>
    <row r="45" spans="1:26" x14ac:dyDescent="0.3">
      <c r="A45">
        <v>43</v>
      </c>
      <c r="B45">
        <v>115</v>
      </c>
      <c r="C45" t="s">
        <v>26</v>
      </c>
      <c r="D45">
        <v>10.2372</v>
      </c>
      <c r="E45">
        <v>9.77</v>
      </c>
      <c r="F45">
        <v>6.8</v>
      </c>
      <c r="G45">
        <v>58.29</v>
      </c>
      <c r="H45">
        <v>0.87</v>
      </c>
      <c r="I45">
        <v>7</v>
      </c>
      <c r="J45">
        <v>241.27</v>
      </c>
      <c r="K45">
        <v>56.94</v>
      </c>
      <c r="L45">
        <v>11.75</v>
      </c>
      <c r="M45">
        <v>5</v>
      </c>
      <c r="N45">
        <v>57.58</v>
      </c>
      <c r="O45">
        <v>29991.11</v>
      </c>
      <c r="P45">
        <v>98.38</v>
      </c>
      <c r="Q45">
        <v>204.14</v>
      </c>
      <c r="R45">
        <v>25.24</v>
      </c>
      <c r="S45">
        <v>17.37</v>
      </c>
      <c r="T45">
        <v>1828.72</v>
      </c>
      <c r="U45">
        <v>0.69</v>
      </c>
      <c r="V45">
        <v>0.75</v>
      </c>
      <c r="W45">
        <v>1.1499999999999999</v>
      </c>
      <c r="X45">
        <v>0.11</v>
      </c>
      <c r="Y45">
        <v>1</v>
      </c>
      <c r="Z45">
        <v>10</v>
      </c>
    </row>
    <row r="46" spans="1:26" x14ac:dyDescent="0.3">
      <c r="A46">
        <v>44</v>
      </c>
      <c r="B46">
        <v>115</v>
      </c>
      <c r="C46" t="s">
        <v>26</v>
      </c>
      <c r="D46">
        <v>10.232799999999999</v>
      </c>
      <c r="E46">
        <v>9.77</v>
      </c>
      <c r="F46">
        <v>6.8</v>
      </c>
      <c r="G46">
        <v>58.32</v>
      </c>
      <c r="H46">
        <v>0.88</v>
      </c>
      <c r="I46">
        <v>7</v>
      </c>
      <c r="J46">
        <v>241.71</v>
      </c>
      <c r="K46">
        <v>56.94</v>
      </c>
      <c r="L46">
        <v>12</v>
      </c>
      <c r="M46">
        <v>5</v>
      </c>
      <c r="N46">
        <v>57.77</v>
      </c>
      <c r="O46">
        <v>30045.13</v>
      </c>
      <c r="P46">
        <v>98.64</v>
      </c>
      <c r="Q46">
        <v>204.14</v>
      </c>
      <c r="R46">
        <v>25.29</v>
      </c>
      <c r="S46">
        <v>17.37</v>
      </c>
      <c r="T46">
        <v>1853.49</v>
      </c>
      <c r="U46">
        <v>0.69</v>
      </c>
      <c r="V46">
        <v>0.75</v>
      </c>
      <c r="W46">
        <v>1.1499999999999999</v>
      </c>
      <c r="X46">
        <v>0.11</v>
      </c>
      <c r="Y46">
        <v>1</v>
      </c>
      <c r="Z46">
        <v>10</v>
      </c>
    </row>
    <row r="47" spans="1:26" x14ac:dyDescent="0.3">
      <c r="A47">
        <v>45</v>
      </c>
      <c r="B47">
        <v>115</v>
      </c>
      <c r="C47" t="s">
        <v>26</v>
      </c>
      <c r="D47">
        <v>10.230499999999999</v>
      </c>
      <c r="E47">
        <v>9.77</v>
      </c>
      <c r="F47">
        <v>6.81</v>
      </c>
      <c r="G47">
        <v>58.34</v>
      </c>
      <c r="H47">
        <v>0.9</v>
      </c>
      <c r="I47">
        <v>7</v>
      </c>
      <c r="J47">
        <v>242.15</v>
      </c>
      <c r="K47">
        <v>56.94</v>
      </c>
      <c r="L47">
        <v>12.25</v>
      </c>
      <c r="M47">
        <v>5</v>
      </c>
      <c r="N47">
        <v>57.96</v>
      </c>
      <c r="O47">
        <v>30099.23</v>
      </c>
      <c r="P47">
        <v>98.78</v>
      </c>
      <c r="Q47">
        <v>204.18</v>
      </c>
      <c r="R47">
        <v>25.43</v>
      </c>
      <c r="S47">
        <v>17.37</v>
      </c>
      <c r="T47">
        <v>1922.16</v>
      </c>
      <c r="U47">
        <v>0.68</v>
      </c>
      <c r="V47">
        <v>0.75</v>
      </c>
      <c r="W47">
        <v>1.1499999999999999</v>
      </c>
      <c r="X47">
        <v>0.12</v>
      </c>
      <c r="Y47">
        <v>1</v>
      </c>
      <c r="Z47">
        <v>10</v>
      </c>
    </row>
    <row r="48" spans="1:26" x14ac:dyDescent="0.3">
      <c r="A48">
        <v>46</v>
      </c>
      <c r="B48">
        <v>115</v>
      </c>
      <c r="C48" t="s">
        <v>26</v>
      </c>
      <c r="D48">
        <v>10.228999999999999</v>
      </c>
      <c r="E48">
        <v>9.7799999999999994</v>
      </c>
      <c r="F48">
        <v>6.81</v>
      </c>
      <c r="G48">
        <v>58.35</v>
      </c>
      <c r="H48">
        <v>0.92</v>
      </c>
      <c r="I48">
        <v>7</v>
      </c>
      <c r="J48">
        <v>242.59</v>
      </c>
      <c r="K48">
        <v>56.94</v>
      </c>
      <c r="L48">
        <v>12.5</v>
      </c>
      <c r="M48">
        <v>5</v>
      </c>
      <c r="N48">
        <v>58.15</v>
      </c>
      <c r="O48">
        <v>30153.38</v>
      </c>
      <c r="P48">
        <v>98.86</v>
      </c>
      <c r="Q48">
        <v>204.14</v>
      </c>
      <c r="R48">
        <v>25.47</v>
      </c>
      <c r="S48">
        <v>17.37</v>
      </c>
      <c r="T48">
        <v>1941.75</v>
      </c>
      <c r="U48">
        <v>0.68</v>
      </c>
      <c r="V48">
        <v>0.75</v>
      </c>
      <c r="W48">
        <v>1.1499999999999999</v>
      </c>
      <c r="X48">
        <v>0.12</v>
      </c>
      <c r="Y48">
        <v>1</v>
      </c>
      <c r="Z48">
        <v>10</v>
      </c>
    </row>
    <row r="49" spans="1:26" x14ac:dyDescent="0.3">
      <c r="A49">
        <v>47</v>
      </c>
      <c r="B49">
        <v>115</v>
      </c>
      <c r="C49" t="s">
        <v>26</v>
      </c>
      <c r="D49">
        <v>10.223800000000001</v>
      </c>
      <c r="E49">
        <v>9.7799999999999994</v>
      </c>
      <c r="F49">
        <v>6.81</v>
      </c>
      <c r="G49">
        <v>58.4</v>
      </c>
      <c r="H49">
        <v>0.93</v>
      </c>
      <c r="I49">
        <v>7</v>
      </c>
      <c r="J49">
        <v>243.03</v>
      </c>
      <c r="K49">
        <v>56.94</v>
      </c>
      <c r="L49">
        <v>12.75</v>
      </c>
      <c r="M49">
        <v>5</v>
      </c>
      <c r="N49">
        <v>58.34</v>
      </c>
      <c r="O49">
        <v>30207.61</v>
      </c>
      <c r="P49">
        <v>98.88</v>
      </c>
      <c r="Q49">
        <v>204.17</v>
      </c>
      <c r="R49">
        <v>25.62</v>
      </c>
      <c r="S49">
        <v>17.37</v>
      </c>
      <c r="T49">
        <v>2018.53</v>
      </c>
      <c r="U49">
        <v>0.68</v>
      </c>
      <c r="V49">
        <v>0.75</v>
      </c>
      <c r="W49">
        <v>1.1499999999999999</v>
      </c>
      <c r="X49">
        <v>0.12</v>
      </c>
      <c r="Y49">
        <v>1</v>
      </c>
      <c r="Z49">
        <v>10</v>
      </c>
    </row>
    <row r="50" spans="1:26" x14ac:dyDescent="0.3">
      <c r="A50">
        <v>48</v>
      </c>
      <c r="B50">
        <v>115</v>
      </c>
      <c r="C50" t="s">
        <v>26</v>
      </c>
      <c r="D50">
        <v>10.2258</v>
      </c>
      <c r="E50">
        <v>9.7799999999999994</v>
      </c>
      <c r="F50">
        <v>6.81</v>
      </c>
      <c r="G50">
        <v>58.38</v>
      </c>
      <c r="H50">
        <v>0.95</v>
      </c>
      <c r="I50">
        <v>7</v>
      </c>
      <c r="J50">
        <v>243.47</v>
      </c>
      <c r="K50">
        <v>56.94</v>
      </c>
      <c r="L50">
        <v>13</v>
      </c>
      <c r="M50">
        <v>5</v>
      </c>
      <c r="N50">
        <v>58.53</v>
      </c>
      <c r="O50">
        <v>30261.91</v>
      </c>
      <c r="P50">
        <v>98.61</v>
      </c>
      <c r="Q50">
        <v>204.15</v>
      </c>
      <c r="R50">
        <v>25.62</v>
      </c>
      <c r="S50">
        <v>17.37</v>
      </c>
      <c r="T50">
        <v>2017.11</v>
      </c>
      <c r="U50">
        <v>0.68</v>
      </c>
      <c r="V50">
        <v>0.75</v>
      </c>
      <c r="W50">
        <v>1.1499999999999999</v>
      </c>
      <c r="X50">
        <v>0.12</v>
      </c>
      <c r="Y50">
        <v>1</v>
      </c>
      <c r="Z50">
        <v>10</v>
      </c>
    </row>
    <row r="51" spans="1:26" x14ac:dyDescent="0.3">
      <c r="A51">
        <v>49</v>
      </c>
      <c r="B51">
        <v>115</v>
      </c>
      <c r="C51" t="s">
        <v>26</v>
      </c>
      <c r="D51">
        <v>10.225199999999999</v>
      </c>
      <c r="E51">
        <v>9.7799999999999994</v>
      </c>
      <c r="F51">
        <v>6.81</v>
      </c>
      <c r="G51">
        <v>58.39</v>
      </c>
      <c r="H51">
        <v>0.97</v>
      </c>
      <c r="I51">
        <v>7</v>
      </c>
      <c r="J51">
        <v>243.91</v>
      </c>
      <c r="K51">
        <v>56.94</v>
      </c>
      <c r="L51">
        <v>13.25</v>
      </c>
      <c r="M51">
        <v>5</v>
      </c>
      <c r="N51">
        <v>58.72</v>
      </c>
      <c r="O51">
        <v>30316.27</v>
      </c>
      <c r="P51">
        <v>98.4</v>
      </c>
      <c r="Q51">
        <v>204.14</v>
      </c>
      <c r="R51">
        <v>25.64</v>
      </c>
      <c r="S51">
        <v>17.37</v>
      </c>
      <c r="T51">
        <v>2025.47</v>
      </c>
      <c r="U51">
        <v>0.68</v>
      </c>
      <c r="V51">
        <v>0.75</v>
      </c>
      <c r="W51">
        <v>1.1499999999999999</v>
      </c>
      <c r="X51">
        <v>0.12</v>
      </c>
      <c r="Y51">
        <v>1</v>
      </c>
      <c r="Z51">
        <v>10</v>
      </c>
    </row>
    <row r="52" spans="1:26" x14ac:dyDescent="0.3">
      <c r="A52">
        <v>50</v>
      </c>
      <c r="B52">
        <v>115</v>
      </c>
      <c r="C52" t="s">
        <v>26</v>
      </c>
      <c r="D52">
        <v>10.2186</v>
      </c>
      <c r="E52">
        <v>9.7899999999999991</v>
      </c>
      <c r="F52">
        <v>6.82</v>
      </c>
      <c r="G52">
        <v>58.44</v>
      </c>
      <c r="H52">
        <v>0.98</v>
      </c>
      <c r="I52">
        <v>7</v>
      </c>
      <c r="J52">
        <v>244.35</v>
      </c>
      <c r="K52">
        <v>56.94</v>
      </c>
      <c r="L52">
        <v>13.5</v>
      </c>
      <c r="M52">
        <v>5</v>
      </c>
      <c r="N52">
        <v>58.91</v>
      </c>
      <c r="O52">
        <v>30370.7</v>
      </c>
      <c r="P52">
        <v>98.29</v>
      </c>
      <c r="Q52">
        <v>204.14</v>
      </c>
      <c r="R52">
        <v>25.81</v>
      </c>
      <c r="S52">
        <v>17.37</v>
      </c>
      <c r="T52">
        <v>2111.19</v>
      </c>
      <c r="U52">
        <v>0.67</v>
      </c>
      <c r="V52">
        <v>0.75</v>
      </c>
      <c r="W52">
        <v>1.1499999999999999</v>
      </c>
      <c r="X52">
        <v>0.13</v>
      </c>
      <c r="Y52">
        <v>1</v>
      </c>
      <c r="Z52">
        <v>10</v>
      </c>
    </row>
    <row r="53" spans="1:26" x14ac:dyDescent="0.3">
      <c r="A53">
        <v>51</v>
      </c>
      <c r="B53">
        <v>115</v>
      </c>
      <c r="C53" t="s">
        <v>26</v>
      </c>
      <c r="D53">
        <v>10.2247</v>
      </c>
      <c r="E53">
        <v>9.7799999999999994</v>
      </c>
      <c r="F53">
        <v>6.81</v>
      </c>
      <c r="G53">
        <v>58.39</v>
      </c>
      <c r="H53">
        <v>1</v>
      </c>
      <c r="I53">
        <v>7</v>
      </c>
      <c r="J53">
        <v>244.79</v>
      </c>
      <c r="K53">
        <v>56.94</v>
      </c>
      <c r="L53">
        <v>13.75</v>
      </c>
      <c r="M53">
        <v>5</v>
      </c>
      <c r="N53">
        <v>59.1</v>
      </c>
      <c r="O53">
        <v>30425.200000000001</v>
      </c>
      <c r="P53">
        <v>97.94</v>
      </c>
      <c r="Q53">
        <v>204.14</v>
      </c>
      <c r="R53">
        <v>25.55</v>
      </c>
      <c r="S53">
        <v>17.37</v>
      </c>
      <c r="T53">
        <v>1983.69</v>
      </c>
      <c r="U53">
        <v>0.68</v>
      </c>
      <c r="V53">
        <v>0.75</v>
      </c>
      <c r="W53">
        <v>1.1499999999999999</v>
      </c>
      <c r="X53">
        <v>0.12</v>
      </c>
      <c r="Y53">
        <v>1</v>
      </c>
      <c r="Z53">
        <v>10</v>
      </c>
    </row>
    <row r="54" spans="1:26" x14ac:dyDescent="0.3">
      <c r="A54">
        <v>52</v>
      </c>
      <c r="B54">
        <v>115</v>
      </c>
      <c r="C54" t="s">
        <v>26</v>
      </c>
      <c r="D54">
        <v>10.302199999999999</v>
      </c>
      <c r="E54">
        <v>9.7100000000000009</v>
      </c>
      <c r="F54">
        <v>6.78</v>
      </c>
      <c r="G54">
        <v>67.83</v>
      </c>
      <c r="H54">
        <v>1.02</v>
      </c>
      <c r="I54">
        <v>6</v>
      </c>
      <c r="J54">
        <v>245.23</v>
      </c>
      <c r="K54">
        <v>56.94</v>
      </c>
      <c r="L54">
        <v>14</v>
      </c>
      <c r="M54">
        <v>4</v>
      </c>
      <c r="N54">
        <v>59.29</v>
      </c>
      <c r="O54">
        <v>30479.78</v>
      </c>
      <c r="P54">
        <v>97.28</v>
      </c>
      <c r="Q54">
        <v>204.14</v>
      </c>
      <c r="R54">
        <v>24.72</v>
      </c>
      <c r="S54">
        <v>17.37</v>
      </c>
      <c r="T54">
        <v>1571.1</v>
      </c>
      <c r="U54">
        <v>0.7</v>
      </c>
      <c r="V54">
        <v>0.75</v>
      </c>
      <c r="W54">
        <v>1.1399999999999999</v>
      </c>
      <c r="X54">
        <v>0.09</v>
      </c>
      <c r="Y54">
        <v>1</v>
      </c>
      <c r="Z54">
        <v>10</v>
      </c>
    </row>
    <row r="55" spans="1:26" x14ac:dyDescent="0.3">
      <c r="A55">
        <v>53</v>
      </c>
      <c r="B55">
        <v>115</v>
      </c>
      <c r="C55" t="s">
        <v>26</v>
      </c>
      <c r="D55">
        <v>10.2987</v>
      </c>
      <c r="E55">
        <v>9.7100000000000009</v>
      </c>
      <c r="F55">
        <v>6.79</v>
      </c>
      <c r="G55">
        <v>67.86</v>
      </c>
      <c r="H55">
        <v>1.03</v>
      </c>
      <c r="I55">
        <v>6</v>
      </c>
      <c r="J55">
        <v>245.68</v>
      </c>
      <c r="K55">
        <v>56.94</v>
      </c>
      <c r="L55">
        <v>14.25</v>
      </c>
      <c r="M55">
        <v>4</v>
      </c>
      <c r="N55">
        <v>59.48</v>
      </c>
      <c r="O55">
        <v>30534.42</v>
      </c>
      <c r="P55">
        <v>97.37</v>
      </c>
      <c r="Q55">
        <v>204.16</v>
      </c>
      <c r="R55">
        <v>24.73</v>
      </c>
      <c r="S55">
        <v>17.37</v>
      </c>
      <c r="T55">
        <v>1576.97</v>
      </c>
      <c r="U55">
        <v>0.7</v>
      </c>
      <c r="V55">
        <v>0.75</v>
      </c>
      <c r="W55">
        <v>1.1499999999999999</v>
      </c>
      <c r="X55">
        <v>0.09</v>
      </c>
      <c r="Y55">
        <v>1</v>
      </c>
      <c r="Z55">
        <v>10</v>
      </c>
    </row>
    <row r="56" spans="1:26" x14ac:dyDescent="0.3">
      <c r="A56">
        <v>54</v>
      </c>
      <c r="B56">
        <v>115</v>
      </c>
      <c r="C56" t="s">
        <v>26</v>
      </c>
      <c r="D56">
        <v>10.297499999999999</v>
      </c>
      <c r="E56">
        <v>9.7100000000000009</v>
      </c>
      <c r="F56">
        <v>6.79</v>
      </c>
      <c r="G56">
        <v>67.87</v>
      </c>
      <c r="H56">
        <v>1.05</v>
      </c>
      <c r="I56">
        <v>6</v>
      </c>
      <c r="J56">
        <v>246.12</v>
      </c>
      <c r="K56">
        <v>56.94</v>
      </c>
      <c r="L56">
        <v>14.5</v>
      </c>
      <c r="M56">
        <v>4</v>
      </c>
      <c r="N56">
        <v>59.68</v>
      </c>
      <c r="O56">
        <v>30589.13</v>
      </c>
      <c r="P56">
        <v>97.34</v>
      </c>
      <c r="Q56">
        <v>204.15</v>
      </c>
      <c r="R56">
        <v>24.87</v>
      </c>
      <c r="S56">
        <v>17.37</v>
      </c>
      <c r="T56">
        <v>1647.52</v>
      </c>
      <c r="U56">
        <v>0.7</v>
      </c>
      <c r="V56">
        <v>0.75</v>
      </c>
      <c r="W56">
        <v>1.1399999999999999</v>
      </c>
      <c r="X56">
        <v>0.1</v>
      </c>
      <c r="Y56">
        <v>1</v>
      </c>
      <c r="Z56">
        <v>10</v>
      </c>
    </row>
    <row r="57" spans="1:26" x14ac:dyDescent="0.3">
      <c r="A57">
        <v>55</v>
      </c>
      <c r="B57">
        <v>115</v>
      </c>
      <c r="C57" t="s">
        <v>26</v>
      </c>
      <c r="D57">
        <v>10.297800000000001</v>
      </c>
      <c r="E57">
        <v>9.7100000000000009</v>
      </c>
      <c r="F57">
        <v>6.79</v>
      </c>
      <c r="G57">
        <v>67.87</v>
      </c>
      <c r="H57">
        <v>1.06</v>
      </c>
      <c r="I57">
        <v>6</v>
      </c>
      <c r="J57">
        <v>246.57</v>
      </c>
      <c r="K57">
        <v>56.94</v>
      </c>
      <c r="L57">
        <v>14.75</v>
      </c>
      <c r="M57">
        <v>4</v>
      </c>
      <c r="N57">
        <v>59.87</v>
      </c>
      <c r="O57">
        <v>30643.91</v>
      </c>
      <c r="P57">
        <v>97.47</v>
      </c>
      <c r="Q57">
        <v>204.14</v>
      </c>
      <c r="R57">
        <v>24.88</v>
      </c>
      <c r="S57">
        <v>17.37</v>
      </c>
      <c r="T57">
        <v>1653.94</v>
      </c>
      <c r="U57">
        <v>0.7</v>
      </c>
      <c r="V57">
        <v>0.75</v>
      </c>
      <c r="W57">
        <v>1.1399999999999999</v>
      </c>
      <c r="X57">
        <v>0.1</v>
      </c>
      <c r="Y57">
        <v>1</v>
      </c>
      <c r="Z57">
        <v>10</v>
      </c>
    </row>
    <row r="58" spans="1:26" x14ac:dyDescent="0.3">
      <c r="A58">
        <v>56</v>
      </c>
      <c r="B58">
        <v>115</v>
      </c>
      <c r="C58" t="s">
        <v>26</v>
      </c>
      <c r="D58">
        <v>10.293900000000001</v>
      </c>
      <c r="E58">
        <v>9.7100000000000009</v>
      </c>
      <c r="F58">
        <v>6.79</v>
      </c>
      <c r="G58">
        <v>67.900000000000006</v>
      </c>
      <c r="H58">
        <v>1.08</v>
      </c>
      <c r="I58">
        <v>6</v>
      </c>
      <c r="J58">
        <v>247.01</v>
      </c>
      <c r="K58">
        <v>56.94</v>
      </c>
      <c r="L58">
        <v>15</v>
      </c>
      <c r="M58">
        <v>4</v>
      </c>
      <c r="N58">
        <v>60.07</v>
      </c>
      <c r="O58">
        <v>30698.76</v>
      </c>
      <c r="P58">
        <v>97.53</v>
      </c>
      <c r="Q58">
        <v>204.15</v>
      </c>
      <c r="R58">
        <v>24.98</v>
      </c>
      <c r="S58">
        <v>17.37</v>
      </c>
      <c r="T58">
        <v>1703.42</v>
      </c>
      <c r="U58">
        <v>0.7</v>
      </c>
      <c r="V58">
        <v>0.75</v>
      </c>
      <c r="W58">
        <v>1.1399999999999999</v>
      </c>
      <c r="X58">
        <v>0.1</v>
      </c>
      <c r="Y58">
        <v>1</v>
      </c>
      <c r="Z58">
        <v>10</v>
      </c>
    </row>
    <row r="59" spans="1:26" x14ac:dyDescent="0.3">
      <c r="A59">
        <v>57</v>
      </c>
      <c r="B59">
        <v>115</v>
      </c>
      <c r="C59" t="s">
        <v>26</v>
      </c>
      <c r="D59">
        <v>10.3028</v>
      </c>
      <c r="E59">
        <v>9.7100000000000009</v>
      </c>
      <c r="F59">
        <v>6.78</v>
      </c>
      <c r="G59">
        <v>67.819999999999993</v>
      </c>
      <c r="H59">
        <v>1.1000000000000001</v>
      </c>
      <c r="I59">
        <v>6</v>
      </c>
      <c r="J59">
        <v>247.46</v>
      </c>
      <c r="K59">
        <v>56.94</v>
      </c>
      <c r="L59">
        <v>15.25</v>
      </c>
      <c r="M59">
        <v>4</v>
      </c>
      <c r="N59">
        <v>60.26</v>
      </c>
      <c r="O59">
        <v>30753.68</v>
      </c>
      <c r="P59">
        <v>97.36</v>
      </c>
      <c r="Q59">
        <v>204.15</v>
      </c>
      <c r="R59">
        <v>24.63</v>
      </c>
      <c r="S59">
        <v>17.37</v>
      </c>
      <c r="T59">
        <v>1526.3</v>
      </c>
      <c r="U59">
        <v>0.71</v>
      </c>
      <c r="V59">
        <v>0.75</v>
      </c>
      <c r="W59">
        <v>1.1499999999999999</v>
      </c>
      <c r="X59">
        <v>0.09</v>
      </c>
      <c r="Y59">
        <v>1</v>
      </c>
      <c r="Z59">
        <v>10</v>
      </c>
    </row>
    <row r="60" spans="1:26" x14ac:dyDescent="0.3">
      <c r="A60">
        <v>58</v>
      </c>
      <c r="B60">
        <v>115</v>
      </c>
      <c r="C60" t="s">
        <v>26</v>
      </c>
      <c r="D60">
        <v>10.3004</v>
      </c>
      <c r="E60">
        <v>9.7100000000000009</v>
      </c>
      <c r="F60">
        <v>6.78</v>
      </c>
      <c r="G60">
        <v>67.84</v>
      </c>
      <c r="H60">
        <v>1.1100000000000001</v>
      </c>
      <c r="I60">
        <v>6</v>
      </c>
      <c r="J60">
        <v>247.9</v>
      </c>
      <c r="K60">
        <v>56.94</v>
      </c>
      <c r="L60">
        <v>15.5</v>
      </c>
      <c r="M60">
        <v>4</v>
      </c>
      <c r="N60">
        <v>60.46</v>
      </c>
      <c r="O60">
        <v>30808.68</v>
      </c>
      <c r="P60">
        <v>97.1</v>
      </c>
      <c r="Q60">
        <v>204.14</v>
      </c>
      <c r="R60">
        <v>24.71</v>
      </c>
      <c r="S60">
        <v>17.37</v>
      </c>
      <c r="T60">
        <v>1566.2</v>
      </c>
      <c r="U60">
        <v>0.7</v>
      </c>
      <c r="V60">
        <v>0.75</v>
      </c>
      <c r="W60">
        <v>1.1499999999999999</v>
      </c>
      <c r="X60">
        <v>0.09</v>
      </c>
      <c r="Y60">
        <v>1</v>
      </c>
      <c r="Z60">
        <v>10</v>
      </c>
    </row>
    <row r="61" spans="1:26" x14ac:dyDescent="0.3">
      <c r="A61">
        <v>59</v>
      </c>
      <c r="B61">
        <v>115</v>
      </c>
      <c r="C61" t="s">
        <v>26</v>
      </c>
      <c r="D61">
        <v>10.296900000000001</v>
      </c>
      <c r="E61">
        <v>9.7100000000000009</v>
      </c>
      <c r="F61">
        <v>6.79</v>
      </c>
      <c r="G61">
        <v>67.88</v>
      </c>
      <c r="H61">
        <v>1.1299999999999999</v>
      </c>
      <c r="I61">
        <v>6</v>
      </c>
      <c r="J61">
        <v>248.35</v>
      </c>
      <c r="K61">
        <v>56.94</v>
      </c>
      <c r="L61">
        <v>15.75</v>
      </c>
      <c r="M61">
        <v>4</v>
      </c>
      <c r="N61">
        <v>60.66</v>
      </c>
      <c r="O61">
        <v>30863.74</v>
      </c>
      <c r="P61">
        <v>96.96</v>
      </c>
      <c r="Q61">
        <v>204.14</v>
      </c>
      <c r="R61">
        <v>24.84</v>
      </c>
      <c r="S61">
        <v>17.37</v>
      </c>
      <c r="T61">
        <v>1630.59</v>
      </c>
      <c r="U61">
        <v>0.7</v>
      </c>
      <c r="V61">
        <v>0.75</v>
      </c>
      <c r="W61">
        <v>1.1499999999999999</v>
      </c>
      <c r="X61">
        <v>0.1</v>
      </c>
      <c r="Y61">
        <v>1</v>
      </c>
      <c r="Z61">
        <v>10</v>
      </c>
    </row>
    <row r="62" spans="1:26" x14ac:dyDescent="0.3">
      <c r="A62">
        <v>60</v>
      </c>
      <c r="B62">
        <v>115</v>
      </c>
      <c r="C62" t="s">
        <v>26</v>
      </c>
      <c r="D62">
        <v>10.293900000000001</v>
      </c>
      <c r="E62">
        <v>9.7100000000000009</v>
      </c>
      <c r="F62">
        <v>6.79</v>
      </c>
      <c r="G62">
        <v>67.900000000000006</v>
      </c>
      <c r="H62">
        <v>1.1399999999999999</v>
      </c>
      <c r="I62">
        <v>6</v>
      </c>
      <c r="J62">
        <v>248.79</v>
      </c>
      <c r="K62">
        <v>56.94</v>
      </c>
      <c r="L62">
        <v>16</v>
      </c>
      <c r="M62">
        <v>4</v>
      </c>
      <c r="N62">
        <v>60.85</v>
      </c>
      <c r="O62">
        <v>30918.880000000001</v>
      </c>
      <c r="P62">
        <v>96.9</v>
      </c>
      <c r="Q62">
        <v>204.15</v>
      </c>
      <c r="R62">
        <v>25.02</v>
      </c>
      <c r="S62">
        <v>17.37</v>
      </c>
      <c r="T62">
        <v>1721.3</v>
      </c>
      <c r="U62">
        <v>0.69</v>
      </c>
      <c r="V62">
        <v>0.75</v>
      </c>
      <c r="W62">
        <v>1.1399999999999999</v>
      </c>
      <c r="X62">
        <v>0.1</v>
      </c>
      <c r="Y62">
        <v>1</v>
      </c>
      <c r="Z62">
        <v>10</v>
      </c>
    </row>
    <row r="63" spans="1:26" x14ac:dyDescent="0.3">
      <c r="A63">
        <v>61</v>
      </c>
      <c r="B63">
        <v>115</v>
      </c>
      <c r="C63" t="s">
        <v>26</v>
      </c>
      <c r="D63">
        <v>10.297800000000001</v>
      </c>
      <c r="E63">
        <v>9.7100000000000009</v>
      </c>
      <c r="F63">
        <v>6.79</v>
      </c>
      <c r="G63">
        <v>67.87</v>
      </c>
      <c r="H63">
        <v>1.1599999999999999</v>
      </c>
      <c r="I63">
        <v>6</v>
      </c>
      <c r="J63">
        <v>249.24</v>
      </c>
      <c r="K63">
        <v>56.94</v>
      </c>
      <c r="L63">
        <v>16.25</v>
      </c>
      <c r="M63">
        <v>4</v>
      </c>
      <c r="N63">
        <v>61.05</v>
      </c>
      <c r="O63">
        <v>30974.09</v>
      </c>
      <c r="P63">
        <v>96.62</v>
      </c>
      <c r="Q63">
        <v>204.14</v>
      </c>
      <c r="R63">
        <v>24.86</v>
      </c>
      <c r="S63">
        <v>17.37</v>
      </c>
      <c r="T63">
        <v>1640.02</v>
      </c>
      <c r="U63">
        <v>0.7</v>
      </c>
      <c r="V63">
        <v>0.75</v>
      </c>
      <c r="W63">
        <v>1.1399999999999999</v>
      </c>
      <c r="X63">
        <v>0.1</v>
      </c>
      <c r="Y63">
        <v>1</v>
      </c>
      <c r="Z63">
        <v>10</v>
      </c>
    </row>
    <row r="64" spans="1:26" x14ac:dyDescent="0.3">
      <c r="A64">
        <v>62</v>
      </c>
      <c r="B64">
        <v>115</v>
      </c>
      <c r="C64" t="s">
        <v>26</v>
      </c>
      <c r="D64">
        <v>10.299799999999999</v>
      </c>
      <c r="E64">
        <v>9.7100000000000009</v>
      </c>
      <c r="F64">
        <v>6.78</v>
      </c>
      <c r="G64">
        <v>67.849999999999994</v>
      </c>
      <c r="H64">
        <v>1.18</v>
      </c>
      <c r="I64">
        <v>6</v>
      </c>
      <c r="J64">
        <v>249.69</v>
      </c>
      <c r="K64">
        <v>56.94</v>
      </c>
      <c r="L64">
        <v>16.5</v>
      </c>
      <c r="M64">
        <v>4</v>
      </c>
      <c r="N64">
        <v>61.25</v>
      </c>
      <c r="O64">
        <v>31029.37</v>
      </c>
      <c r="P64">
        <v>96.58</v>
      </c>
      <c r="Q64">
        <v>204.14</v>
      </c>
      <c r="R64">
        <v>24.78</v>
      </c>
      <c r="S64">
        <v>17.37</v>
      </c>
      <c r="T64">
        <v>1603.25</v>
      </c>
      <c r="U64">
        <v>0.7</v>
      </c>
      <c r="V64">
        <v>0.75</v>
      </c>
      <c r="W64">
        <v>1.1399999999999999</v>
      </c>
      <c r="X64">
        <v>0.09</v>
      </c>
      <c r="Y64">
        <v>1</v>
      </c>
      <c r="Z64">
        <v>10</v>
      </c>
    </row>
    <row r="65" spans="1:26" x14ac:dyDescent="0.3">
      <c r="A65">
        <v>63</v>
      </c>
      <c r="B65">
        <v>115</v>
      </c>
      <c r="C65" t="s">
        <v>26</v>
      </c>
      <c r="D65">
        <v>10.297800000000001</v>
      </c>
      <c r="E65">
        <v>9.7100000000000009</v>
      </c>
      <c r="F65">
        <v>6.79</v>
      </c>
      <c r="G65">
        <v>67.87</v>
      </c>
      <c r="H65">
        <v>1.19</v>
      </c>
      <c r="I65">
        <v>6</v>
      </c>
      <c r="J65">
        <v>250.14</v>
      </c>
      <c r="K65">
        <v>56.94</v>
      </c>
      <c r="L65">
        <v>16.75</v>
      </c>
      <c r="M65">
        <v>4</v>
      </c>
      <c r="N65">
        <v>61.45</v>
      </c>
      <c r="O65">
        <v>31084.720000000001</v>
      </c>
      <c r="P65">
        <v>96.43</v>
      </c>
      <c r="Q65">
        <v>204.14</v>
      </c>
      <c r="R65">
        <v>24.82</v>
      </c>
      <c r="S65">
        <v>17.37</v>
      </c>
      <c r="T65">
        <v>1623.55</v>
      </c>
      <c r="U65">
        <v>0.7</v>
      </c>
      <c r="V65">
        <v>0.75</v>
      </c>
      <c r="W65">
        <v>1.1499999999999999</v>
      </c>
      <c r="X65">
        <v>0.1</v>
      </c>
      <c r="Y65">
        <v>1</v>
      </c>
      <c r="Z65">
        <v>10</v>
      </c>
    </row>
    <row r="66" spans="1:26" x14ac:dyDescent="0.3">
      <c r="A66">
        <v>64</v>
      </c>
      <c r="B66">
        <v>115</v>
      </c>
      <c r="C66" t="s">
        <v>26</v>
      </c>
      <c r="D66">
        <v>10.292199999999999</v>
      </c>
      <c r="E66">
        <v>9.7200000000000006</v>
      </c>
      <c r="F66">
        <v>6.79</v>
      </c>
      <c r="G66">
        <v>67.92</v>
      </c>
      <c r="H66">
        <v>1.21</v>
      </c>
      <c r="I66">
        <v>6</v>
      </c>
      <c r="J66">
        <v>250.59</v>
      </c>
      <c r="K66">
        <v>56.94</v>
      </c>
      <c r="L66">
        <v>17</v>
      </c>
      <c r="M66">
        <v>4</v>
      </c>
      <c r="N66">
        <v>61.65</v>
      </c>
      <c r="O66">
        <v>31140.15</v>
      </c>
      <c r="P66">
        <v>96.02</v>
      </c>
      <c r="Q66">
        <v>204.14</v>
      </c>
      <c r="R66">
        <v>25.05</v>
      </c>
      <c r="S66">
        <v>17.37</v>
      </c>
      <c r="T66">
        <v>1736.34</v>
      </c>
      <c r="U66">
        <v>0.69</v>
      </c>
      <c r="V66">
        <v>0.75</v>
      </c>
      <c r="W66">
        <v>1.1399999999999999</v>
      </c>
      <c r="X66">
        <v>0.1</v>
      </c>
      <c r="Y66">
        <v>1</v>
      </c>
      <c r="Z66">
        <v>10</v>
      </c>
    </row>
    <row r="67" spans="1:26" x14ac:dyDescent="0.3">
      <c r="A67">
        <v>65</v>
      </c>
      <c r="B67">
        <v>115</v>
      </c>
      <c r="C67" t="s">
        <v>26</v>
      </c>
      <c r="D67">
        <v>10.359400000000001</v>
      </c>
      <c r="E67">
        <v>9.65</v>
      </c>
      <c r="F67">
        <v>6.77</v>
      </c>
      <c r="G67">
        <v>81.27</v>
      </c>
      <c r="H67">
        <v>1.22</v>
      </c>
      <c r="I67">
        <v>5</v>
      </c>
      <c r="J67">
        <v>251.04</v>
      </c>
      <c r="K67">
        <v>56.94</v>
      </c>
      <c r="L67">
        <v>17.25</v>
      </c>
      <c r="M67">
        <v>3</v>
      </c>
      <c r="N67">
        <v>61.85</v>
      </c>
      <c r="O67">
        <v>31195.65</v>
      </c>
      <c r="P67">
        <v>95.53</v>
      </c>
      <c r="Q67">
        <v>204.14</v>
      </c>
      <c r="R67">
        <v>24.37</v>
      </c>
      <c r="S67">
        <v>17.37</v>
      </c>
      <c r="T67">
        <v>1402.32</v>
      </c>
      <c r="U67">
        <v>0.71</v>
      </c>
      <c r="V67">
        <v>0.75</v>
      </c>
      <c r="W67">
        <v>1.1399999999999999</v>
      </c>
      <c r="X67">
        <v>0.08</v>
      </c>
      <c r="Y67">
        <v>1</v>
      </c>
      <c r="Z67">
        <v>10</v>
      </c>
    </row>
    <row r="68" spans="1:26" x14ac:dyDescent="0.3">
      <c r="A68">
        <v>66</v>
      </c>
      <c r="B68">
        <v>115</v>
      </c>
      <c r="C68" t="s">
        <v>26</v>
      </c>
      <c r="D68">
        <v>10.356400000000001</v>
      </c>
      <c r="E68">
        <v>9.66</v>
      </c>
      <c r="F68">
        <v>6.78</v>
      </c>
      <c r="G68">
        <v>81.31</v>
      </c>
      <c r="H68">
        <v>1.24</v>
      </c>
      <c r="I68">
        <v>5</v>
      </c>
      <c r="J68">
        <v>251.49</v>
      </c>
      <c r="K68">
        <v>56.94</v>
      </c>
      <c r="L68">
        <v>17.5</v>
      </c>
      <c r="M68">
        <v>3</v>
      </c>
      <c r="N68">
        <v>62.05</v>
      </c>
      <c r="O68">
        <v>31251.22</v>
      </c>
      <c r="P68">
        <v>95.88</v>
      </c>
      <c r="Q68">
        <v>204.14</v>
      </c>
      <c r="R68">
        <v>24.49</v>
      </c>
      <c r="S68">
        <v>17.37</v>
      </c>
      <c r="T68">
        <v>1461.38</v>
      </c>
      <c r="U68">
        <v>0.71</v>
      </c>
      <c r="V68">
        <v>0.75</v>
      </c>
      <c r="W68">
        <v>1.1399999999999999</v>
      </c>
      <c r="X68">
        <v>0.08</v>
      </c>
      <c r="Y68">
        <v>1</v>
      </c>
      <c r="Z68">
        <v>10</v>
      </c>
    </row>
    <row r="69" spans="1:26" x14ac:dyDescent="0.3">
      <c r="A69">
        <v>67</v>
      </c>
      <c r="B69">
        <v>115</v>
      </c>
      <c r="C69" t="s">
        <v>26</v>
      </c>
      <c r="D69">
        <v>10.3576</v>
      </c>
      <c r="E69">
        <v>9.65</v>
      </c>
      <c r="F69">
        <v>6.77</v>
      </c>
      <c r="G69">
        <v>81.290000000000006</v>
      </c>
      <c r="H69">
        <v>1.25</v>
      </c>
      <c r="I69">
        <v>5</v>
      </c>
      <c r="J69">
        <v>251.94</v>
      </c>
      <c r="K69">
        <v>56.94</v>
      </c>
      <c r="L69">
        <v>17.75</v>
      </c>
      <c r="M69">
        <v>3</v>
      </c>
      <c r="N69">
        <v>62.25</v>
      </c>
      <c r="O69">
        <v>31306.86</v>
      </c>
      <c r="P69">
        <v>95.99</v>
      </c>
      <c r="Q69">
        <v>204.14</v>
      </c>
      <c r="R69">
        <v>24.48</v>
      </c>
      <c r="S69">
        <v>17.37</v>
      </c>
      <c r="T69">
        <v>1459.68</v>
      </c>
      <c r="U69">
        <v>0.71</v>
      </c>
      <c r="V69">
        <v>0.75</v>
      </c>
      <c r="W69">
        <v>1.1399999999999999</v>
      </c>
      <c r="X69">
        <v>0.08</v>
      </c>
      <c r="Y69">
        <v>1</v>
      </c>
      <c r="Z69">
        <v>10</v>
      </c>
    </row>
    <row r="70" spans="1:26" x14ac:dyDescent="0.3">
      <c r="A70">
        <v>68</v>
      </c>
      <c r="B70">
        <v>115</v>
      </c>
      <c r="C70" t="s">
        <v>26</v>
      </c>
      <c r="D70">
        <v>10.3612</v>
      </c>
      <c r="E70">
        <v>9.65</v>
      </c>
      <c r="F70">
        <v>6.77</v>
      </c>
      <c r="G70">
        <v>81.25</v>
      </c>
      <c r="H70">
        <v>1.27</v>
      </c>
      <c r="I70">
        <v>5</v>
      </c>
      <c r="J70">
        <v>252.39</v>
      </c>
      <c r="K70">
        <v>56.94</v>
      </c>
      <c r="L70">
        <v>18</v>
      </c>
      <c r="M70">
        <v>3</v>
      </c>
      <c r="N70">
        <v>62.45</v>
      </c>
      <c r="O70">
        <v>31362.58</v>
      </c>
      <c r="P70">
        <v>96.1</v>
      </c>
      <c r="Q70">
        <v>204.17</v>
      </c>
      <c r="R70">
        <v>24.35</v>
      </c>
      <c r="S70">
        <v>17.37</v>
      </c>
      <c r="T70">
        <v>1390.21</v>
      </c>
      <c r="U70">
        <v>0.71</v>
      </c>
      <c r="V70">
        <v>0.75</v>
      </c>
      <c r="W70">
        <v>1.1399999999999999</v>
      </c>
      <c r="X70">
        <v>0.08</v>
      </c>
      <c r="Y70">
        <v>1</v>
      </c>
      <c r="Z70">
        <v>10</v>
      </c>
    </row>
    <row r="71" spans="1:26" x14ac:dyDescent="0.3">
      <c r="A71">
        <v>69</v>
      </c>
      <c r="B71">
        <v>115</v>
      </c>
      <c r="C71" t="s">
        <v>26</v>
      </c>
      <c r="D71">
        <v>10.3573</v>
      </c>
      <c r="E71">
        <v>9.65</v>
      </c>
      <c r="F71">
        <v>6.77</v>
      </c>
      <c r="G71">
        <v>81.3</v>
      </c>
      <c r="H71">
        <v>1.28</v>
      </c>
      <c r="I71">
        <v>5</v>
      </c>
      <c r="J71">
        <v>252.84</v>
      </c>
      <c r="K71">
        <v>56.94</v>
      </c>
      <c r="L71">
        <v>18.25</v>
      </c>
      <c r="M71">
        <v>3</v>
      </c>
      <c r="N71">
        <v>62.65</v>
      </c>
      <c r="O71">
        <v>31418.38</v>
      </c>
      <c r="P71">
        <v>96.16</v>
      </c>
      <c r="Q71">
        <v>204.15</v>
      </c>
      <c r="R71">
        <v>24.53</v>
      </c>
      <c r="S71">
        <v>17.37</v>
      </c>
      <c r="T71">
        <v>1484.33</v>
      </c>
      <c r="U71">
        <v>0.71</v>
      </c>
      <c r="V71">
        <v>0.75</v>
      </c>
      <c r="W71">
        <v>1.1399999999999999</v>
      </c>
      <c r="X71">
        <v>0.08</v>
      </c>
      <c r="Y71">
        <v>1</v>
      </c>
      <c r="Z71">
        <v>10</v>
      </c>
    </row>
    <row r="72" spans="1:26" x14ac:dyDescent="0.3">
      <c r="A72">
        <v>70</v>
      </c>
      <c r="B72">
        <v>115</v>
      </c>
      <c r="C72" t="s">
        <v>26</v>
      </c>
      <c r="D72">
        <v>10.3591</v>
      </c>
      <c r="E72">
        <v>9.65</v>
      </c>
      <c r="F72">
        <v>6.77</v>
      </c>
      <c r="G72">
        <v>81.28</v>
      </c>
      <c r="H72">
        <v>1.3</v>
      </c>
      <c r="I72">
        <v>5</v>
      </c>
      <c r="J72">
        <v>253.3</v>
      </c>
      <c r="K72">
        <v>56.94</v>
      </c>
      <c r="L72">
        <v>18.5</v>
      </c>
      <c r="M72">
        <v>3</v>
      </c>
      <c r="N72">
        <v>62.86</v>
      </c>
      <c r="O72">
        <v>31474.25</v>
      </c>
      <c r="P72">
        <v>95.96</v>
      </c>
      <c r="Q72">
        <v>204.14</v>
      </c>
      <c r="R72">
        <v>24.36</v>
      </c>
      <c r="S72">
        <v>17.37</v>
      </c>
      <c r="T72">
        <v>1395.61</v>
      </c>
      <c r="U72">
        <v>0.71</v>
      </c>
      <c r="V72">
        <v>0.75</v>
      </c>
      <c r="W72">
        <v>1.1499999999999999</v>
      </c>
      <c r="X72">
        <v>0.08</v>
      </c>
      <c r="Y72">
        <v>1</v>
      </c>
      <c r="Z72">
        <v>10</v>
      </c>
    </row>
    <row r="73" spans="1:26" x14ac:dyDescent="0.3">
      <c r="A73">
        <v>71</v>
      </c>
      <c r="B73">
        <v>115</v>
      </c>
      <c r="C73" t="s">
        <v>26</v>
      </c>
      <c r="D73">
        <v>10.3576</v>
      </c>
      <c r="E73">
        <v>9.65</v>
      </c>
      <c r="F73">
        <v>6.77</v>
      </c>
      <c r="G73">
        <v>81.290000000000006</v>
      </c>
      <c r="H73">
        <v>1.31</v>
      </c>
      <c r="I73">
        <v>5</v>
      </c>
      <c r="J73">
        <v>253.75</v>
      </c>
      <c r="K73">
        <v>56.94</v>
      </c>
      <c r="L73">
        <v>18.75</v>
      </c>
      <c r="M73">
        <v>3</v>
      </c>
      <c r="N73">
        <v>63.06</v>
      </c>
      <c r="O73">
        <v>31530.19</v>
      </c>
      <c r="P73">
        <v>95.95</v>
      </c>
      <c r="Q73">
        <v>204.15</v>
      </c>
      <c r="R73">
        <v>24.48</v>
      </c>
      <c r="S73">
        <v>17.37</v>
      </c>
      <c r="T73">
        <v>1456.53</v>
      </c>
      <c r="U73">
        <v>0.71</v>
      </c>
      <c r="V73">
        <v>0.75</v>
      </c>
      <c r="W73">
        <v>1.1399999999999999</v>
      </c>
      <c r="X73">
        <v>0.08</v>
      </c>
      <c r="Y73">
        <v>1</v>
      </c>
      <c r="Z73">
        <v>10</v>
      </c>
    </row>
    <row r="74" spans="1:26" x14ac:dyDescent="0.3">
      <c r="A74">
        <v>72</v>
      </c>
      <c r="B74">
        <v>115</v>
      </c>
      <c r="C74" t="s">
        <v>26</v>
      </c>
      <c r="D74">
        <v>10.354100000000001</v>
      </c>
      <c r="E74">
        <v>9.66</v>
      </c>
      <c r="F74">
        <v>6.78</v>
      </c>
      <c r="G74">
        <v>81.33</v>
      </c>
      <c r="H74">
        <v>1.33</v>
      </c>
      <c r="I74">
        <v>5</v>
      </c>
      <c r="J74">
        <v>254.21</v>
      </c>
      <c r="K74">
        <v>56.94</v>
      </c>
      <c r="L74">
        <v>19</v>
      </c>
      <c r="M74">
        <v>3</v>
      </c>
      <c r="N74">
        <v>63.26</v>
      </c>
      <c r="O74">
        <v>31586.21</v>
      </c>
      <c r="P74">
        <v>95.97</v>
      </c>
      <c r="Q74">
        <v>204.14</v>
      </c>
      <c r="R74">
        <v>24.54</v>
      </c>
      <c r="S74">
        <v>17.37</v>
      </c>
      <c r="T74">
        <v>1489.8</v>
      </c>
      <c r="U74">
        <v>0.71</v>
      </c>
      <c r="V74">
        <v>0.75</v>
      </c>
      <c r="W74">
        <v>1.1499999999999999</v>
      </c>
      <c r="X74">
        <v>0.09</v>
      </c>
      <c r="Y74">
        <v>1</v>
      </c>
      <c r="Z74">
        <v>10</v>
      </c>
    </row>
    <row r="75" spans="1:26" x14ac:dyDescent="0.3">
      <c r="A75">
        <v>73</v>
      </c>
      <c r="B75">
        <v>115</v>
      </c>
      <c r="C75" t="s">
        <v>26</v>
      </c>
      <c r="D75">
        <v>10.3621</v>
      </c>
      <c r="E75">
        <v>9.65</v>
      </c>
      <c r="F75">
        <v>6.77</v>
      </c>
      <c r="G75">
        <v>81.239999999999995</v>
      </c>
      <c r="H75">
        <v>1.34</v>
      </c>
      <c r="I75">
        <v>5</v>
      </c>
      <c r="J75">
        <v>254.66</v>
      </c>
      <c r="K75">
        <v>56.94</v>
      </c>
      <c r="L75">
        <v>19.25</v>
      </c>
      <c r="M75">
        <v>3</v>
      </c>
      <c r="N75">
        <v>63.47</v>
      </c>
      <c r="O75">
        <v>31642.3</v>
      </c>
      <c r="P75">
        <v>95.69</v>
      </c>
      <c r="Q75">
        <v>204.14</v>
      </c>
      <c r="R75">
        <v>24.36</v>
      </c>
      <c r="S75">
        <v>17.37</v>
      </c>
      <c r="T75">
        <v>1398.05</v>
      </c>
      <c r="U75">
        <v>0.71</v>
      </c>
      <c r="V75">
        <v>0.75</v>
      </c>
      <c r="W75">
        <v>1.1399999999999999</v>
      </c>
      <c r="X75">
        <v>0.08</v>
      </c>
      <c r="Y75">
        <v>1</v>
      </c>
      <c r="Z75">
        <v>10</v>
      </c>
    </row>
    <row r="76" spans="1:26" x14ac:dyDescent="0.3">
      <c r="A76">
        <v>74</v>
      </c>
      <c r="B76">
        <v>115</v>
      </c>
      <c r="C76" t="s">
        <v>26</v>
      </c>
      <c r="D76">
        <v>10.3612</v>
      </c>
      <c r="E76">
        <v>9.65</v>
      </c>
      <c r="F76">
        <v>6.77</v>
      </c>
      <c r="G76">
        <v>81.25</v>
      </c>
      <c r="H76">
        <v>1.36</v>
      </c>
      <c r="I76">
        <v>5</v>
      </c>
      <c r="J76">
        <v>255.12</v>
      </c>
      <c r="K76">
        <v>56.94</v>
      </c>
      <c r="L76">
        <v>19.5</v>
      </c>
      <c r="M76">
        <v>3</v>
      </c>
      <c r="N76">
        <v>63.67</v>
      </c>
      <c r="O76">
        <v>31698.47</v>
      </c>
      <c r="P76">
        <v>95.58</v>
      </c>
      <c r="Q76">
        <v>204.14</v>
      </c>
      <c r="R76">
        <v>24.4</v>
      </c>
      <c r="S76">
        <v>17.37</v>
      </c>
      <c r="T76">
        <v>1417.63</v>
      </c>
      <c r="U76">
        <v>0.71</v>
      </c>
      <c r="V76">
        <v>0.75</v>
      </c>
      <c r="W76">
        <v>1.1399999999999999</v>
      </c>
      <c r="X76">
        <v>0.08</v>
      </c>
      <c r="Y76">
        <v>1</v>
      </c>
      <c r="Z76">
        <v>10</v>
      </c>
    </row>
    <row r="77" spans="1:26" x14ac:dyDescent="0.3">
      <c r="A77">
        <v>75</v>
      </c>
      <c r="B77">
        <v>115</v>
      </c>
      <c r="C77" t="s">
        <v>26</v>
      </c>
      <c r="D77">
        <v>10.365399999999999</v>
      </c>
      <c r="E77">
        <v>9.65</v>
      </c>
      <c r="F77">
        <v>6.77</v>
      </c>
      <c r="G77">
        <v>81.209999999999994</v>
      </c>
      <c r="H77">
        <v>1.37</v>
      </c>
      <c r="I77">
        <v>5</v>
      </c>
      <c r="J77">
        <v>255.57</v>
      </c>
      <c r="K77">
        <v>56.94</v>
      </c>
      <c r="L77">
        <v>19.75</v>
      </c>
      <c r="M77">
        <v>3</v>
      </c>
      <c r="N77">
        <v>63.88</v>
      </c>
      <c r="O77">
        <v>31754.720000000001</v>
      </c>
      <c r="P77">
        <v>95.28</v>
      </c>
      <c r="Q77">
        <v>204.15</v>
      </c>
      <c r="R77">
        <v>24.18</v>
      </c>
      <c r="S77">
        <v>17.37</v>
      </c>
      <c r="T77">
        <v>1308.58</v>
      </c>
      <c r="U77">
        <v>0.72</v>
      </c>
      <c r="V77">
        <v>0.75</v>
      </c>
      <c r="W77">
        <v>1.1399999999999999</v>
      </c>
      <c r="X77">
        <v>0.08</v>
      </c>
      <c r="Y77">
        <v>1</v>
      </c>
      <c r="Z77">
        <v>10</v>
      </c>
    </row>
    <row r="78" spans="1:26" x14ac:dyDescent="0.3">
      <c r="A78">
        <v>76</v>
      </c>
      <c r="B78">
        <v>115</v>
      </c>
      <c r="C78" t="s">
        <v>26</v>
      </c>
      <c r="D78">
        <v>10.3681</v>
      </c>
      <c r="E78">
        <v>9.64</v>
      </c>
      <c r="F78">
        <v>6.76</v>
      </c>
      <c r="G78">
        <v>81.180000000000007</v>
      </c>
      <c r="H78">
        <v>1.39</v>
      </c>
      <c r="I78">
        <v>5</v>
      </c>
      <c r="J78">
        <v>256.02999999999997</v>
      </c>
      <c r="K78">
        <v>56.94</v>
      </c>
      <c r="L78">
        <v>20</v>
      </c>
      <c r="M78">
        <v>3</v>
      </c>
      <c r="N78">
        <v>64.09</v>
      </c>
      <c r="O78">
        <v>31811.040000000001</v>
      </c>
      <c r="P78">
        <v>94.94</v>
      </c>
      <c r="Q78">
        <v>204.14</v>
      </c>
      <c r="R78">
        <v>24.11</v>
      </c>
      <c r="S78">
        <v>17.37</v>
      </c>
      <c r="T78">
        <v>1274.01</v>
      </c>
      <c r="U78">
        <v>0.72</v>
      </c>
      <c r="V78">
        <v>0.75</v>
      </c>
      <c r="W78">
        <v>1.1399999999999999</v>
      </c>
      <c r="X78">
        <v>7.0000000000000007E-2</v>
      </c>
      <c r="Y78">
        <v>1</v>
      </c>
      <c r="Z78">
        <v>10</v>
      </c>
    </row>
    <row r="79" spans="1:26" x14ac:dyDescent="0.3">
      <c r="A79">
        <v>77</v>
      </c>
      <c r="B79">
        <v>115</v>
      </c>
      <c r="C79" t="s">
        <v>26</v>
      </c>
      <c r="D79">
        <v>10.369899999999999</v>
      </c>
      <c r="E79">
        <v>9.64</v>
      </c>
      <c r="F79">
        <v>6.76</v>
      </c>
      <c r="G79">
        <v>81.16</v>
      </c>
      <c r="H79">
        <v>1.4</v>
      </c>
      <c r="I79">
        <v>5</v>
      </c>
      <c r="J79">
        <v>256.49</v>
      </c>
      <c r="K79">
        <v>56.94</v>
      </c>
      <c r="L79">
        <v>20.25</v>
      </c>
      <c r="M79">
        <v>3</v>
      </c>
      <c r="N79">
        <v>64.290000000000006</v>
      </c>
      <c r="O79">
        <v>31867.439999999999</v>
      </c>
      <c r="P79">
        <v>94.63</v>
      </c>
      <c r="Q79">
        <v>204.14</v>
      </c>
      <c r="R79">
        <v>24.05</v>
      </c>
      <c r="S79">
        <v>17.37</v>
      </c>
      <c r="T79">
        <v>1242.4100000000001</v>
      </c>
      <c r="U79">
        <v>0.72</v>
      </c>
      <c r="V79">
        <v>0.76</v>
      </c>
      <c r="W79">
        <v>1.1399999999999999</v>
      </c>
      <c r="X79">
        <v>7.0000000000000007E-2</v>
      </c>
      <c r="Y79">
        <v>1</v>
      </c>
      <c r="Z79">
        <v>10</v>
      </c>
    </row>
    <row r="80" spans="1:26" x14ac:dyDescent="0.3">
      <c r="A80">
        <v>78</v>
      </c>
      <c r="B80">
        <v>115</v>
      </c>
      <c r="C80" t="s">
        <v>26</v>
      </c>
      <c r="D80">
        <v>10.365399999999999</v>
      </c>
      <c r="E80">
        <v>9.65</v>
      </c>
      <c r="F80">
        <v>6.77</v>
      </c>
      <c r="G80">
        <v>81.209999999999994</v>
      </c>
      <c r="H80">
        <v>1.42</v>
      </c>
      <c r="I80">
        <v>5</v>
      </c>
      <c r="J80">
        <v>256.94</v>
      </c>
      <c r="K80">
        <v>56.94</v>
      </c>
      <c r="L80">
        <v>20.5</v>
      </c>
      <c r="M80">
        <v>3</v>
      </c>
      <c r="N80">
        <v>64.5</v>
      </c>
      <c r="O80">
        <v>31924.04</v>
      </c>
      <c r="P80">
        <v>94.29</v>
      </c>
      <c r="Q80">
        <v>204.14</v>
      </c>
      <c r="R80">
        <v>24.18</v>
      </c>
      <c r="S80">
        <v>17.37</v>
      </c>
      <c r="T80">
        <v>1305.17</v>
      </c>
      <c r="U80">
        <v>0.72</v>
      </c>
      <c r="V80">
        <v>0.75</v>
      </c>
      <c r="W80">
        <v>1.1399999999999999</v>
      </c>
      <c r="X80">
        <v>0.08</v>
      </c>
      <c r="Y80">
        <v>1</v>
      </c>
      <c r="Z80">
        <v>10</v>
      </c>
    </row>
    <row r="81" spans="1:26" x14ac:dyDescent="0.3">
      <c r="A81">
        <v>79</v>
      </c>
      <c r="B81">
        <v>115</v>
      </c>
      <c r="C81" t="s">
        <v>26</v>
      </c>
      <c r="D81">
        <v>10.3675</v>
      </c>
      <c r="E81">
        <v>9.65</v>
      </c>
      <c r="F81">
        <v>6.77</v>
      </c>
      <c r="G81">
        <v>81.180000000000007</v>
      </c>
      <c r="H81">
        <v>1.43</v>
      </c>
      <c r="I81">
        <v>5</v>
      </c>
      <c r="J81">
        <v>257.39999999999998</v>
      </c>
      <c r="K81">
        <v>56.94</v>
      </c>
      <c r="L81">
        <v>20.75</v>
      </c>
      <c r="M81">
        <v>3</v>
      </c>
      <c r="N81">
        <v>64.709999999999994</v>
      </c>
      <c r="O81">
        <v>31980.59</v>
      </c>
      <c r="P81">
        <v>93.95</v>
      </c>
      <c r="Q81">
        <v>204.14</v>
      </c>
      <c r="R81">
        <v>24.16</v>
      </c>
      <c r="S81">
        <v>17.37</v>
      </c>
      <c r="T81">
        <v>1298.99</v>
      </c>
      <c r="U81">
        <v>0.72</v>
      </c>
      <c r="V81">
        <v>0.75</v>
      </c>
      <c r="W81">
        <v>1.1399999999999999</v>
      </c>
      <c r="X81">
        <v>7.0000000000000007E-2</v>
      </c>
      <c r="Y81">
        <v>1</v>
      </c>
      <c r="Z81">
        <v>10</v>
      </c>
    </row>
    <row r="82" spans="1:26" x14ac:dyDescent="0.3">
      <c r="A82">
        <v>80</v>
      </c>
      <c r="B82">
        <v>115</v>
      </c>
      <c r="C82" t="s">
        <v>26</v>
      </c>
      <c r="D82">
        <v>10.364800000000001</v>
      </c>
      <c r="E82">
        <v>9.65</v>
      </c>
      <c r="F82">
        <v>6.77</v>
      </c>
      <c r="G82">
        <v>81.209999999999994</v>
      </c>
      <c r="H82">
        <v>1.45</v>
      </c>
      <c r="I82">
        <v>5</v>
      </c>
      <c r="J82">
        <v>257.86</v>
      </c>
      <c r="K82">
        <v>56.94</v>
      </c>
      <c r="L82">
        <v>21</v>
      </c>
      <c r="M82">
        <v>3</v>
      </c>
      <c r="N82">
        <v>64.92</v>
      </c>
      <c r="O82">
        <v>32037.22</v>
      </c>
      <c r="P82">
        <v>93.82</v>
      </c>
      <c r="Q82">
        <v>204.16</v>
      </c>
      <c r="R82">
        <v>24.25</v>
      </c>
      <c r="S82">
        <v>17.37</v>
      </c>
      <c r="T82">
        <v>1342.4</v>
      </c>
      <c r="U82">
        <v>0.72</v>
      </c>
      <c r="V82">
        <v>0.75</v>
      </c>
      <c r="W82">
        <v>1.1399999999999999</v>
      </c>
      <c r="X82">
        <v>0.08</v>
      </c>
      <c r="Y82">
        <v>1</v>
      </c>
      <c r="Z82">
        <v>10</v>
      </c>
    </row>
    <row r="83" spans="1:26" x14ac:dyDescent="0.3">
      <c r="A83">
        <v>81</v>
      </c>
      <c r="B83">
        <v>115</v>
      </c>
      <c r="C83" t="s">
        <v>26</v>
      </c>
      <c r="D83">
        <v>10.3651</v>
      </c>
      <c r="E83">
        <v>9.65</v>
      </c>
      <c r="F83">
        <v>6.77</v>
      </c>
      <c r="G83">
        <v>81.209999999999994</v>
      </c>
      <c r="H83">
        <v>1.46</v>
      </c>
      <c r="I83">
        <v>5</v>
      </c>
      <c r="J83">
        <v>258.32</v>
      </c>
      <c r="K83">
        <v>56.94</v>
      </c>
      <c r="L83">
        <v>21.25</v>
      </c>
      <c r="M83">
        <v>3</v>
      </c>
      <c r="N83">
        <v>65.13</v>
      </c>
      <c r="O83">
        <v>32093.94</v>
      </c>
      <c r="P83">
        <v>93.75</v>
      </c>
      <c r="Q83">
        <v>204.14</v>
      </c>
      <c r="R83">
        <v>24.27</v>
      </c>
      <c r="S83">
        <v>17.37</v>
      </c>
      <c r="T83">
        <v>1353.15</v>
      </c>
      <c r="U83">
        <v>0.72</v>
      </c>
      <c r="V83">
        <v>0.75</v>
      </c>
      <c r="W83">
        <v>1.1399999999999999</v>
      </c>
      <c r="X83">
        <v>0.08</v>
      </c>
      <c r="Y83">
        <v>1</v>
      </c>
      <c r="Z83">
        <v>10</v>
      </c>
    </row>
    <row r="84" spans="1:26" x14ac:dyDescent="0.3">
      <c r="A84">
        <v>82</v>
      </c>
      <c r="B84">
        <v>115</v>
      </c>
      <c r="C84" t="s">
        <v>26</v>
      </c>
      <c r="D84">
        <v>10.3567</v>
      </c>
      <c r="E84">
        <v>9.66</v>
      </c>
      <c r="F84">
        <v>6.78</v>
      </c>
      <c r="G84">
        <v>81.3</v>
      </c>
      <c r="H84">
        <v>1.48</v>
      </c>
      <c r="I84">
        <v>5</v>
      </c>
      <c r="J84">
        <v>258.77999999999997</v>
      </c>
      <c r="K84">
        <v>56.94</v>
      </c>
      <c r="L84">
        <v>21.5</v>
      </c>
      <c r="M84">
        <v>3</v>
      </c>
      <c r="N84">
        <v>65.34</v>
      </c>
      <c r="O84">
        <v>32150.720000000001</v>
      </c>
      <c r="P84">
        <v>93.7</v>
      </c>
      <c r="Q84">
        <v>204.14</v>
      </c>
      <c r="R84">
        <v>24.42</v>
      </c>
      <c r="S84">
        <v>17.37</v>
      </c>
      <c r="T84">
        <v>1427.84</v>
      </c>
      <c r="U84">
        <v>0.71</v>
      </c>
      <c r="V84">
        <v>0.75</v>
      </c>
      <c r="W84">
        <v>1.1499999999999999</v>
      </c>
      <c r="X84">
        <v>0.08</v>
      </c>
      <c r="Y84">
        <v>1</v>
      </c>
      <c r="Z84">
        <v>10</v>
      </c>
    </row>
    <row r="85" spans="1:26" x14ac:dyDescent="0.3">
      <c r="A85">
        <v>83</v>
      </c>
      <c r="B85">
        <v>115</v>
      </c>
      <c r="C85" t="s">
        <v>26</v>
      </c>
      <c r="D85">
        <v>10.3645</v>
      </c>
      <c r="E85">
        <v>9.65</v>
      </c>
      <c r="F85">
        <v>6.77</v>
      </c>
      <c r="G85">
        <v>81.22</v>
      </c>
      <c r="H85">
        <v>1.49</v>
      </c>
      <c r="I85">
        <v>5</v>
      </c>
      <c r="J85">
        <v>259.24</v>
      </c>
      <c r="K85">
        <v>56.94</v>
      </c>
      <c r="L85">
        <v>21.75</v>
      </c>
      <c r="M85">
        <v>3</v>
      </c>
      <c r="N85">
        <v>65.55</v>
      </c>
      <c r="O85">
        <v>32207.59</v>
      </c>
      <c r="P85">
        <v>93.21</v>
      </c>
      <c r="Q85">
        <v>204.14</v>
      </c>
      <c r="R85">
        <v>24.24</v>
      </c>
      <c r="S85">
        <v>17.37</v>
      </c>
      <c r="T85">
        <v>1337.64</v>
      </c>
      <c r="U85">
        <v>0.72</v>
      </c>
      <c r="V85">
        <v>0.75</v>
      </c>
      <c r="W85">
        <v>1.1399999999999999</v>
      </c>
      <c r="X85">
        <v>0.08</v>
      </c>
      <c r="Y85">
        <v>1</v>
      </c>
      <c r="Z85">
        <v>10</v>
      </c>
    </row>
    <row r="86" spans="1:26" x14ac:dyDescent="0.3">
      <c r="A86">
        <v>84</v>
      </c>
      <c r="B86">
        <v>115</v>
      </c>
      <c r="C86" t="s">
        <v>26</v>
      </c>
      <c r="D86">
        <v>10.3696</v>
      </c>
      <c r="E86">
        <v>9.64</v>
      </c>
      <c r="F86">
        <v>6.76</v>
      </c>
      <c r="G86">
        <v>81.16</v>
      </c>
      <c r="H86">
        <v>1.51</v>
      </c>
      <c r="I86">
        <v>5</v>
      </c>
      <c r="J86">
        <v>259.70999999999998</v>
      </c>
      <c r="K86">
        <v>56.94</v>
      </c>
      <c r="L86">
        <v>22</v>
      </c>
      <c r="M86">
        <v>3</v>
      </c>
      <c r="N86">
        <v>65.760000000000005</v>
      </c>
      <c r="O86">
        <v>32264.54</v>
      </c>
      <c r="P86">
        <v>92.76</v>
      </c>
      <c r="Q86">
        <v>204.14</v>
      </c>
      <c r="R86">
        <v>24.11</v>
      </c>
      <c r="S86">
        <v>17.37</v>
      </c>
      <c r="T86">
        <v>1270.51</v>
      </c>
      <c r="U86">
        <v>0.72</v>
      </c>
      <c r="V86">
        <v>0.76</v>
      </c>
      <c r="W86">
        <v>1.1399999999999999</v>
      </c>
      <c r="X86">
        <v>7.0000000000000007E-2</v>
      </c>
      <c r="Y86">
        <v>1</v>
      </c>
      <c r="Z86">
        <v>10</v>
      </c>
    </row>
    <row r="87" spans="1:26" x14ac:dyDescent="0.3">
      <c r="A87">
        <v>85</v>
      </c>
      <c r="B87">
        <v>115</v>
      </c>
      <c r="C87" t="s">
        <v>26</v>
      </c>
      <c r="D87">
        <v>10.4384</v>
      </c>
      <c r="E87">
        <v>9.58</v>
      </c>
      <c r="F87">
        <v>6.74</v>
      </c>
      <c r="G87">
        <v>101.15</v>
      </c>
      <c r="H87">
        <v>1.52</v>
      </c>
      <c r="I87">
        <v>4</v>
      </c>
      <c r="J87">
        <v>260.17</v>
      </c>
      <c r="K87">
        <v>56.94</v>
      </c>
      <c r="L87">
        <v>22.25</v>
      </c>
      <c r="M87">
        <v>2</v>
      </c>
      <c r="N87">
        <v>65.98</v>
      </c>
      <c r="O87">
        <v>32321.56</v>
      </c>
      <c r="P87">
        <v>92.33</v>
      </c>
      <c r="Q87">
        <v>204.14</v>
      </c>
      <c r="R87">
        <v>23.45</v>
      </c>
      <c r="S87">
        <v>17.37</v>
      </c>
      <c r="T87">
        <v>948.58</v>
      </c>
      <c r="U87">
        <v>0.74</v>
      </c>
      <c r="V87">
        <v>0.76</v>
      </c>
      <c r="W87">
        <v>1.1399999999999999</v>
      </c>
      <c r="X87">
        <v>0.05</v>
      </c>
      <c r="Y87">
        <v>1</v>
      </c>
      <c r="Z87">
        <v>10</v>
      </c>
    </row>
    <row r="88" spans="1:26" x14ac:dyDescent="0.3">
      <c r="A88">
        <v>86</v>
      </c>
      <c r="B88">
        <v>115</v>
      </c>
      <c r="C88" t="s">
        <v>26</v>
      </c>
      <c r="D88">
        <v>10.4384</v>
      </c>
      <c r="E88">
        <v>9.58</v>
      </c>
      <c r="F88">
        <v>6.74</v>
      </c>
      <c r="G88">
        <v>101.15</v>
      </c>
      <c r="H88">
        <v>1.54</v>
      </c>
      <c r="I88">
        <v>4</v>
      </c>
      <c r="J88">
        <v>260.63</v>
      </c>
      <c r="K88">
        <v>56.94</v>
      </c>
      <c r="L88">
        <v>22.5</v>
      </c>
      <c r="M88">
        <v>2</v>
      </c>
      <c r="N88">
        <v>66.19</v>
      </c>
      <c r="O88">
        <v>32378.67</v>
      </c>
      <c r="P88">
        <v>92.47</v>
      </c>
      <c r="Q88">
        <v>204.14</v>
      </c>
      <c r="R88">
        <v>23.47</v>
      </c>
      <c r="S88">
        <v>17.37</v>
      </c>
      <c r="T88">
        <v>954.96</v>
      </c>
      <c r="U88">
        <v>0.74</v>
      </c>
      <c r="V88">
        <v>0.76</v>
      </c>
      <c r="W88">
        <v>1.1399999999999999</v>
      </c>
      <c r="X88">
        <v>0.05</v>
      </c>
      <c r="Y88">
        <v>1</v>
      </c>
      <c r="Z88">
        <v>10</v>
      </c>
    </row>
    <row r="89" spans="1:26" x14ac:dyDescent="0.3">
      <c r="A89">
        <v>87</v>
      </c>
      <c r="B89">
        <v>115</v>
      </c>
      <c r="C89" t="s">
        <v>26</v>
      </c>
      <c r="D89">
        <v>10.432399999999999</v>
      </c>
      <c r="E89">
        <v>9.59</v>
      </c>
      <c r="F89">
        <v>6.75</v>
      </c>
      <c r="G89">
        <v>101.24</v>
      </c>
      <c r="H89">
        <v>1.55</v>
      </c>
      <c r="I89">
        <v>4</v>
      </c>
      <c r="J89">
        <v>261.08999999999997</v>
      </c>
      <c r="K89">
        <v>56.94</v>
      </c>
      <c r="L89">
        <v>22.75</v>
      </c>
      <c r="M89">
        <v>2</v>
      </c>
      <c r="N89">
        <v>66.400000000000006</v>
      </c>
      <c r="O89">
        <v>32435.86</v>
      </c>
      <c r="P89">
        <v>92.72</v>
      </c>
      <c r="Q89">
        <v>204.14</v>
      </c>
      <c r="R89">
        <v>23.64</v>
      </c>
      <c r="S89">
        <v>17.37</v>
      </c>
      <c r="T89">
        <v>1044.6600000000001</v>
      </c>
      <c r="U89">
        <v>0.73</v>
      </c>
      <c r="V89">
        <v>0.76</v>
      </c>
      <c r="W89">
        <v>1.1399999999999999</v>
      </c>
      <c r="X89">
        <v>0.06</v>
      </c>
      <c r="Y89">
        <v>1</v>
      </c>
      <c r="Z89">
        <v>10</v>
      </c>
    </row>
    <row r="90" spans="1:26" x14ac:dyDescent="0.3">
      <c r="A90">
        <v>88</v>
      </c>
      <c r="B90">
        <v>115</v>
      </c>
      <c r="C90" t="s">
        <v>26</v>
      </c>
      <c r="D90">
        <v>10.432700000000001</v>
      </c>
      <c r="E90">
        <v>9.59</v>
      </c>
      <c r="F90">
        <v>6.75</v>
      </c>
      <c r="G90">
        <v>101.23</v>
      </c>
      <c r="H90">
        <v>1.56</v>
      </c>
      <c r="I90">
        <v>4</v>
      </c>
      <c r="J90">
        <v>261.56</v>
      </c>
      <c r="K90">
        <v>56.94</v>
      </c>
      <c r="L90">
        <v>23</v>
      </c>
      <c r="M90">
        <v>2</v>
      </c>
      <c r="N90">
        <v>66.62</v>
      </c>
      <c r="O90">
        <v>32493.119999999999</v>
      </c>
      <c r="P90">
        <v>92.83</v>
      </c>
      <c r="Q90">
        <v>204.14</v>
      </c>
      <c r="R90">
        <v>23.66</v>
      </c>
      <c r="S90">
        <v>17.37</v>
      </c>
      <c r="T90">
        <v>1051.1199999999999</v>
      </c>
      <c r="U90">
        <v>0.73</v>
      </c>
      <c r="V90">
        <v>0.76</v>
      </c>
      <c r="W90">
        <v>1.1399999999999999</v>
      </c>
      <c r="X90">
        <v>0.06</v>
      </c>
      <c r="Y90">
        <v>1</v>
      </c>
      <c r="Z90">
        <v>10</v>
      </c>
    </row>
    <row r="91" spans="1:26" x14ac:dyDescent="0.3">
      <c r="A91">
        <v>89</v>
      </c>
      <c r="B91">
        <v>115</v>
      </c>
      <c r="C91" t="s">
        <v>26</v>
      </c>
      <c r="D91">
        <v>10.4312</v>
      </c>
      <c r="E91">
        <v>9.59</v>
      </c>
      <c r="F91">
        <v>6.75</v>
      </c>
      <c r="G91">
        <v>101.25</v>
      </c>
      <c r="H91">
        <v>1.58</v>
      </c>
      <c r="I91">
        <v>4</v>
      </c>
      <c r="J91">
        <v>262.02</v>
      </c>
      <c r="K91">
        <v>56.94</v>
      </c>
      <c r="L91">
        <v>23.25</v>
      </c>
      <c r="M91">
        <v>2</v>
      </c>
      <c r="N91">
        <v>66.83</v>
      </c>
      <c r="O91">
        <v>32550.47</v>
      </c>
      <c r="P91">
        <v>92.92</v>
      </c>
      <c r="Q91">
        <v>204.14</v>
      </c>
      <c r="R91">
        <v>23.69</v>
      </c>
      <c r="S91">
        <v>17.37</v>
      </c>
      <c r="T91">
        <v>1066.02</v>
      </c>
      <c r="U91">
        <v>0.73</v>
      </c>
      <c r="V91">
        <v>0.76</v>
      </c>
      <c r="W91">
        <v>1.1399999999999999</v>
      </c>
      <c r="X91">
        <v>0.06</v>
      </c>
      <c r="Y91">
        <v>1</v>
      </c>
      <c r="Z91">
        <v>10</v>
      </c>
    </row>
    <row r="92" spans="1:26" x14ac:dyDescent="0.3">
      <c r="A92">
        <v>90</v>
      </c>
      <c r="B92">
        <v>115</v>
      </c>
      <c r="C92" t="s">
        <v>26</v>
      </c>
      <c r="D92">
        <v>10.430899999999999</v>
      </c>
      <c r="E92">
        <v>9.59</v>
      </c>
      <c r="F92">
        <v>6.75</v>
      </c>
      <c r="G92">
        <v>101.26</v>
      </c>
      <c r="H92">
        <v>1.59</v>
      </c>
      <c r="I92">
        <v>4</v>
      </c>
      <c r="J92">
        <v>262.49</v>
      </c>
      <c r="K92">
        <v>56.94</v>
      </c>
      <c r="L92">
        <v>23.5</v>
      </c>
      <c r="M92">
        <v>2</v>
      </c>
      <c r="N92">
        <v>67.05</v>
      </c>
      <c r="O92">
        <v>32607.89</v>
      </c>
      <c r="P92">
        <v>93.09</v>
      </c>
      <c r="Q92">
        <v>204.14</v>
      </c>
      <c r="R92">
        <v>23.68</v>
      </c>
      <c r="S92">
        <v>17.37</v>
      </c>
      <c r="T92">
        <v>1060.08</v>
      </c>
      <c r="U92">
        <v>0.73</v>
      </c>
      <c r="V92">
        <v>0.76</v>
      </c>
      <c r="W92">
        <v>1.1399999999999999</v>
      </c>
      <c r="X92">
        <v>0.06</v>
      </c>
      <c r="Y92">
        <v>1</v>
      </c>
      <c r="Z92">
        <v>10</v>
      </c>
    </row>
    <row r="93" spans="1:26" x14ac:dyDescent="0.3">
      <c r="A93">
        <v>91</v>
      </c>
      <c r="B93">
        <v>115</v>
      </c>
      <c r="C93" t="s">
        <v>26</v>
      </c>
      <c r="D93">
        <v>10.432700000000001</v>
      </c>
      <c r="E93">
        <v>9.59</v>
      </c>
      <c r="F93">
        <v>6.75</v>
      </c>
      <c r="G93">
        <v>101.23</v>
      </c>
      <c r="H93">
        <v>1.61</v>
      </c>
      <c r="I93">
        <v>4</v>
      </c>
      <c r="J93">
        <v>262.95999999999998</v>
      </c>
      <c r="K93">
        <v>56.94</v>
      </c>
      <c r="L93">
        <v>23.75</v>
      </c>
      <c r="M93">
        <v>2</v>
      </c>
      <c r="N93">
        <v>67.260000000000005</v>
      </c>
      <c r="O93">
        <v>32665.4</v>
      </c>
      <c r="P93">
        <v>93.18</v>
      </c>
      <c r="Q93">
        <v>204.14</v>
      </c>
      <c r="R93">
        <v>23.59</v>
      </c>
      <c r="S93">
        <v>17.37</v>
      </c>
      <c r="T93">
        <v>1015.23</v>
      </c>
      <c r="U93">
        <v>0.74</v>
      </c>
      <c r="V93">
        <v>0.76</v>
      </c>
      <c r="W93">
        <v>1.1399999999999999</v>
      </c>
      <c r="X93">
        <v>0.06</v>
      </c>
      <c r="Y93">
        <v>1</v>
      </c>
      <c r="Z93">
        <v>10</v>
      </c>
    </row>
    <row r="94" spans="1:26" x14ac:dyDescent="0.3">
      <c r="A94">
        <v>92</v>
      </c>
      <c r="B94">
        <v>115</v>
      </c>
      <c r="C94" t="s">
        <v>26</v>
      </c>
      <c r="D94">
        <v>10.4399</v>
      </c>
      <c r="E94">
        <v>9.58</v>
      </c>
      <c r="F94">
        <v>6.74</v>
      </c>
      <c r="G94">
        <v>101.13</v>
      </c>
      <c r="H94">
        <v>1.62</v>
      </c>
      <c r="I94">
        <v>4</v>
      </c>
      <c r="J94">
        <v>263.42</v>
      </c>
      <c r="K94">
        <v>56.94</v>
      </c>
      <c r="L94">
        <v>24</v>
      </c>
      <c r="M94">
        <v>2</v>
      </c>
      <c r="N94">
        <v>67.48</v>
      </c>
      <c r="O94">
        <v>32722.99</v>
      </c>
      <c r="P94">
        <v>93.17</v>
      </c>
      <c r="Q94">
        <v>204.14</v>
      </c>
      <c r="R94">
        <v>23.41</v>
      </c>
      <c r="S94">
        <v>17.37</v>
      </c>
      <c r="T94">
        <v>928.04</v>
      </c>
      <c r="U94">
        <v>0.74</v>
      </c>
      <c r="V94">
        <v>0.76</v>
      </c>
      <c r="W94">
        <v>1.1399999999999999</v>
      </c>
      <c r="X94">
        <v>0.05</v>
      </c>
      <c r="Y94">
        <v>1</v>
      </c>
      <c r="Z94">
        <v>10</v>
      </c>
    </row>
    <row r="95" spans="1:26" x14ac:dyDescent="0.3">
      <c r="A95">
        <v>93</v>
      </c>
      <c r="B95">
        <v>115</v>
      </c>
      <c r="C95" t="s">
        <v>26</v>
      </c>
      <c r="D95">
        <v>10.436</v>
      </c>
      <c r="E95">
        <v>9.58</v>
      </c>
      <c r="F95">
        <v>6.75</v>
      </c>
      <c r="G95">
        <v>101.19</v>
      </c>
      <c r="H95">
        <v>1.64</v>
      </c>
      <c r="I95">
        <v>4</v>
      </c>
      <c r="J95">
        <v>263.89</v>
      </c>
      <c r="K95">
        <v>56.94</v>
      </c>
      <c r="L95">
        <v>24.25</v>
      </c>
      <c r="M95">
        <v>2</v>
      </c>
      <c r="N95">
        <v>67.7</v>
      </c>
      <c r="O95">
        <v>32780.660000000003</v>
      </c>
      <c r="P95">
        <v>93.2</v>
      </c>
      <c r="Q95">
        <v>204.14</v>
      </c>
      <c r="R95">
        <v>23.53</v>
      </c>
      <c r="S95">
        <v>17.37</v>
      </c>
      <c r="T95">
        <v>988.29</v>
      </c>
      <c r="U95">
        <v>0.74</v>
      </c>
      <c r="V95">
        <v>0.76</v>
      </c>
      <c r="W95">
        <v>1.1399999999999999</v>
      </c>
      <c r="X95">
        <v>0.05</v>
      </c>
      <c r="Y95">
        <v>1</v>
      </c>
      <c r="Z95">
        <v>10</v>
      </c>
    </row>
    <row r="96" spans="1:26" x14ac:dyDescent="0.3">
      <c r="A96">
        <v>94</v>
      </c>
      <c r="B96">
        <v>115</v>
      </c>
      <c r="C96" t="s">
        <v>26</v>
      </c>
      <c r="D96">
        <v>10.4351</v>
      </c>
      <c r="E96">
        <v>9.58</v>
      </c>
      <c r="F96">
        <v>6.75</v>
      </c>
      <c r="G96">
        <v>101.2</v>
      </c>
      <c r="H96">
        <v>1.65</v>
      </c>
      <c r="I96">
        <v>4</v>
      </c>
      <c r="J96">
        <v>264.36</v>
      </c>
      <c r="K96">
        <v>56.94</v>
      </c>
      <c r="L96">
        <v>24.5</v>
      </c>
      <c r="M96">
        <v>2</v>
      </c>
      <c r="N96">
        <v>67.92</v>
      </c>
      <c r="O96">
        <v>32838.42</v>
      </c>
      <c r="P96">
        <v>93.13</v>
      </c>
      <c r="Q96">
        <v>204.15</v>
      </c>
      <c r="R96">
        <v>23.56</v>
      </c>
      <c r="S96">
        <v>17.37</v>
      </c>
      <c r="T96">
        <v>1002.83</v>
      </c>
      <c r="U96">
        <v>0.74</v>
      </c>
      <c r="V96">
        <v>0.76</v>
      </c>
      <c r="W96">
        <v>1.1399999999999999</v>
      </c>
      <c r="X96">
        <v>0.06</v>
      </c>
      <c r="Y96">
        <v>1</v>
      </c>
      <c r="Z96">
        <v>10</v>
      </c>
    </row>
    <row r="97" spans="1:26" x14ac:dyDescent="0.3">
      <c r="A97">
        <v>95</v>
      </c>
      <c r="B97">
        <v>115</v>
      </c>
      <c r="C97" t="s">
        <v>26</v>
      </c>
      <c r="D97">
        <v>10.429</v>
      </c>
      <c r="E97">
        <v>9.59</v>
      </c>
      <c r="F97">
        <v>6.75</v>
      </c>
      <c r="G97">
        <v>101.28</v>
      </c>
      <c r="H97">
        <v>1.66</v>
      </c>
      <c r="I97">
        <v>4</v>
      </c>
      <c r="J97">
        <v>264.83</v>
      </c>
      <c r="K97">
        <v>56.94</v>
      </c>
      <c r="L97">
        <v>24.75</v>
      </c>
      <c r="M97">
        <v>2</v>
      </c>
      <c r="N97">
        <v>68.13</v>
      </c>
      <c r="O97">
        <v>32896.26</v>
      </c>
      <c r="P97">
        <v>93.18</v>
      </c>
      <c r="Q97">
        <v>204.15</v>
      </c>
      <c r="R97">
        <v>23.74</v>
      </c>
      <c r="S97">
        <v>17.37</v>
      </c>
      <c r="T97">
        <v>1094.0999999999999</v>
      </c>
      <c r="U97">
        <v>0.73</v>
      </c>
      <c r="V97">
        <v>0.76</v>
      </c>
      <c r="W97">
        <v>1.1399999999999999</v>
      </c>
      <c r="X97">
        <v>0.06</v>
      </c>
      <c r="Y97">
        <v>1</v>
      </c>
      <c r="Z97">
        <v>10</v>
      </c>
    </row>
    <row r="98" spans="1:26" x14ac:dyDescent="0.3">
      <c r="A98">
        <v>96</v>
      </c>
      <c r="B98">
        <v>115</v>
      </c>
      <c r="C98" t="s">
        <v>26</v>
      </c>
      <c r="D98">
        <v>10.4321</v>
      </c>
      <c r="E98">
        <v>9.59</v>
      </c>
      <c r="F98">
        <v>6.75</v>
      </c>
      <c r="G98">
        <v>101.24</v>
      </c>
      <c r="H98">
        <v>1.68</v>
      </c>
      <c r="I98">
        <v>4</v>
      </c>
      <c r="J98">
        <v>265.3</v>
      </c>
      <c r="K98">
        <v>56.94</v>
      </c>
      <c r="L98">
        <v>25</v>
      </c>
      <c r="M98">
        <v>2</v>
      </c>
      <c r="N98">
        <v>68.349999999999994</v>
      </c>
      <c r="O98">
        <v>32954.18</v>
      </c>
      <c r="P98">
        <v>93.06</v>
      </c>
      <c r="Q98">
        <v>204.14</v>
      </c>
      <c r="R98">
        <v>23.73</v>
      </c>
      <c r="S98">
        <v>17.37</v>
      </c>
      <c r="T98">
        <v>1085.3699999999999</v>
      </c>
      <c r="U98">
        <v>0.73</v>
      </c>
      <c r="V98">
        <v>0.76</v>
      </c>
      <c r="W98">
        <v>1.1399999999999999</v>
      </c>
      <c r="X98">
        <v>0.06</v>
      </c>
      <c r="Y98">
        <v>1</v>
      </c>
      <c r="Z98">
        <v>10</v>
      </c>
    </row>
    <row r="99" spans="1:26" x14ac:dyDescent="0.3">
      <c r="A99">
        <v>97</v>
      </c>
      <c r="B99">
        <v>115</v>
      </c>
      <c r="C99" t="s">
        <v>26</v>
      </c>
      <c r="D99">
        <v>10.432399999999999</v>
      </c>
      <c r="E99">
        <v>9.59</v>
      </c>
      <c r="F99">
        <v>6.75</v>
      </c>
      <c r="G99">
        <v>101.24</v>
      </c>
      <c r="H99">
        <v>1.69</v>
      </c>
      <c r="I99">
        <v>4</v>
      </c>
      <c r="J99">
        <v>265.77</v>
      </c>
      <c r="K99">
        <v>56.94</v>
      </c>
      <c r="L99">
        <v>25.25</v>
      </c>
      <c r="M99">
        <v>2</v>
      </c>
      <c r="N99">
        <v>68.569999999999993</v>
      </c>
      <c r="O99">
        <v>33012.18</v>
      </c>
      <c r="P99">
        <v>93.03</v>
      </c>
      <c r="Q99">
        <v>204.15</v>
      </c>
      <c r="R99">
        <v>23.66</v>
      </c>
      <c r="S99">
        <v>17.37</v>
      </c>
      <c r="T99">
        <v>1052.93</v>
      </c>
      <c r="U99">
        <v>0.73</v>
      </c>
      <c r="V99">
        <v>0.76</v>
      </c>
      <c r="W99">
        <v>1.1399999999999999</v>
      </c>
      <c r="X99">
        <v>0.06</v>
      </c>
      <c r="Y99">
        <v>1</v>
      </c>
      <c r="Z99">
        <v>10</v>
      </c>
    </row>
    <row r="100" spans="1:26" x14ac:dyDescent="0.3">
      <c r="A100">
        <v>98</v>
      </c>
      <c r="B100">
        <v>115</v>
      </c>
      <c r="C100" t="s">
        <v>26</v>
      </c>
      <c r="D100">
        <v>10.4354</v>
      </c>
      <c r="E100">
        <v>9.58</v>
      </c>
      <c r="F100">
        <v>6.75</v>
      </c>
      <c r="G100">
        <v>101.2</v>
      </c>
      <c r="H100">
        <v>1.7</v>
      </c>
      <c r="I100">
        <v>4</v>
      </c>
      <c r="J100">
        <v>266.24</v>
      </c>
      <c r="K100">
        <v>56.94</v>
      </c>
      <c r="L100">
        <v>25.5</v>
      </c>
      <c r="M100">
        <v>2</v>
      </c>
      <c r="N100">
        <v>68.8</v>
      </c>
      <c r="O100">
        <v>33070.26</v>
      </c>
      <c r="P100">
        <v>92.82</v>
      </c>
      <c r="Q100">
        <v>204.14</v>
      </c>
      <c r="R100">
        <v>23.55</v>
      </c>
      <c r="S100">
        <v>17.37</v>
      </c>
      <c r="T100">
        <v>997.44</v>
      </c>
      <c r="U100">
        <v>0.74</v>
      </c>
      <c r="V100">
        <v>0.76</v>
      </c>
      <c r="W100">
        <v>1.1399999999999999</v>
      </c>
      <c r="X100">
        <v>0.06</v>
      </c>
      <c r="Y100">
        <v>1</v>
      </c>
      <c r="Z100">
        <v>10</v>
      </c>
    </row>
    <row r="101" spans="1:26" x14ac:dyDescent="0.3">
      <c r="A101">
        <v>99</v>
      </c>
      <c r="B101">
        <v>115</v>
      </c>
      <c r="C101" t="s">
        <v>26</v>
      </c>
      <c r="D101">
        <v>10.436299999999999</v>
      </c>
      <c r="E101">
        <v>9.58</v>
      </c>
      <c r="F101">
        <v>6.75</v>
      </c>
      <c r="G101">
        <v>101.18</v>
      </c>
      <c r="H101">
        <v>1.72</v>
      </c>
      <c r="I101">
        <v>4</v>
      </c>
      <c r="J101">
        <v>266.70999999999998</v>
      </c>
      <c r="K101">
        <v>56.94</v>
      </c>
      <c r="L101">
        <v>25.75</v>
      </c>
      <c r="M101">
        <v>2</v>
      </c>
      <c r="N101">
        <v>69.02</v>
      </c>
      <c r="O101">
        <v>33128.44</v>
      </c>
      <c r="P101">
        <v>92.8</v>
      </c>
      <c r="Q101">
        <v>204.14</v>
      </c>
      <c r="R101">
        <v>23.54</v>
      </c>
      <c r="S101">
        <v>17.37</v>
      </c>
      <c r="T101">
        <v>990.16</v>
      </c>
      <c r="U101">
        <v>0.74</v>
      </c>
      <c r="V101">
        <v>0.76</v>
      </c>
      <c r="W101">
        <v>1.1399999999999999</v>
      </c>
      <c r="X101">
        <v>0.05</v>
      </c>
      <c r="Y101">
        <v>1</v>
      </c>
      <c r="Z101">
        <v>10</v>
      </c>
    </row>
    <row r="102" spans="1:26" x14ac:dyDescent="0.3">
      <c r="A102">
        <v>100</v>
      </c>
      <c r="B102">
        <v>115</v>
      </c>
      <c r="C102" t="s">
        <v>26</v>
      </c>
      <c r="D102">
        <v>10.439299999999999</v>
      </c>
      <c r="E102">
        <v>9.58</v>
      </c>
      <c r="F102">
        <v>6.74</v>
      </c>
      <c r="G102">
        <v>101.14</v>
      </c>
      <c r="H102">
        <v>1.73</v>
      </c>
      <c r="I102">
        <v>4</v>
      </c>
      <c r="J102">
        <v>267.18</v>
      </c>
      <c r="K102">
        <v>56.94</v>
      </c>
      <c r="L102">
        <v>26</v>
      </c>
      <c r="M102">
        <v>2</v>
      </c>
      <c r="N102">
        <v>69.239999999999995</v>
      </c>
      <c r="O102">
        <v>33186.69</v>
      </c>
      <c r="P102">
        <v>92.61</v>
      </c>
      <c r="Q102">
        <v>204.15</v>
      </c>
      <c r="R102">
        <v>23.43</v>
      </c>
      <c r="S102">
        <v>17.37</v>
      </c>
      <c r="T102">
        <v>935.09</v>
      </c>
      <c r="U102">
        <v>0.74</v>
      </c>
      <c r="V102">
        <v>0.76</v>
      </c>
      <c r="W102">
        <v>1.1399999999999999</v>
      </c>
      <c r="X102">
        <v>0.05</v>
      </c>
      <c r="Y102">
        <v>1</v>
      </c>
      <c r="Z102">
        <v>10</v>
      </c>
    </row>
    <row r="103" spans="1:26" x14ac:dyDescent="0.3">
      <c r="A103">
        <v>101</v>
      </c>
      <c r="B103">
        <v>115</v>
      </c>
      <c r="C103" t="s">
        <v>26</v>
      </c>
      <c r="D103">
        <v>10.440200000000001</v>
      </c>
      <c r="E103">
        <v>9.58</v>
      </c>
      <c r="F103">
        <v>6.74</v>
      </c>
      <c r="G103">
        <v>101.13</v>
      </c>
      <c r="H103">
        <v>1.75</v>
      </c>
      <c r="I103">
        <v>4</v>
      </c>
      <c r="J103">
        <v>267.66000000000003</v>
      </c>
      <c r="K103">
        <v>56.94</v>
      </c>
      <c r="L103">
        <v>26.25</v>
      </c>
      <c r="M103">
        <v>2</v>
      </c>
      <c r="N103">
        <v>69.459999999999994</v>
      </c>
      <c r="O103">
        <v>33245.03</v>
      </c>
      <c r="P103">
        <v>92.45</v>
      </c>
      <c r="Q103">
        <v>204.14</v>
      </c>
      <c r="R103">
        <v>23.38</v>
      </c>
      <c r="S103">
        <v>17.37</v>
      </c>
      <c r="T103">
        <v>910.24</v>
      </c>
      <c r="U103">
        <v>0.74</v>
      </c>
      <c r="V103">
        <v>0.76</v>
      </c>
      <c r="W103">
        <v>1.1399999999999999</v>
      </c>
      <c r="X103">
        <v>0.05</v>
      </c>
      <c r="Y103">
        <v>1</v>
      </c>
      <c r="Z103">
        <v>10</v>
      </c>
    </row>
    <row r="104" spans="1:26" x14ac:dyDescent="0.3">
      <c r="A104">
        <v>102</v>
      </c>
      <c r="B104">
        <v>115</v>
      </c>
      <c r="C104" t="s">
        <v>26</v>
      </c>
      <c r="D104">
        <v>10.436</v>
      </c>
      <c r="E104">
        <v>9.58</v>
      </c>
      <c r="F104">
        <v>6.75</v>
      </c>
      <c r="G104">
        <v>101.19</v>
      </c>
      <c r="H104">
        <v>1.76</v>
      </c>
      <c r="I104">
        <v>4</v>
      </c>
      <c r="J104">
        <v>268.13</v>
      </c>
      <c r="K104">
        <v>56.94</v>
      </c>
      <c r="L104">
        <v>26.5</v>
      </c>
      <c r="M104">
        <v>2</v>
      </c>
      <c r="N104">
        <v>69.69</v>
      </c>
      <c r="O104">
        <v>33303.46</v>
      </c>
      <c r="P104">
        <v>92.34</v>
      </c>
      <c r="Q104">
        <v>204.14</v>
      </c>
      <c r="R104">
        <v>23.45</v>
      </c>
      <c r="S104">
        <v>17.37</v>
      </c>
      <c r="T104">
        <v>948.55</v>
      </c>
      <c r="U104">
        <v>0.74</v>
      </c>
      <c r="V104">
        <v>0.76</v>
      </c>
      <c r="W104">
        <v>1.1399999999999999</v>
      </c>
      <c r="X104">
        <v>0.05</v>
      </c>
      <c r="Y104">
        <v>1</v>
      </c>
      <c r="Z104">
        <v>10</v>
      </c>
    </row>
    <row r="105" spans="1:26" x14ac:dyDescent="0.3">
      <c r="A105">
        <v>103</v>
      </c>
      <c r="B105">
        <v>115</v>
      </c>
      <c r="C105" t="s">
        <v>26</v>
      </c>
      <c r="D105">
        <v>10.440799999999999</v>
      </c>
      <c r="E105">
        <v>9.58</v>
      </c>
      <c r="F105">
        <v>6.74</v>
      </c>
      <c r="G105">
        <v>101.12</v>
      </c>
      <c r="H105">
        <v>1.77</v>
      </c>
      <c r="I105">
        <v>4</v>
      </c>
      <c r="J105">
        <v>268.60000000000002</v>
      </c>
      <c r="K105">
        <v>56.94</v>
      </c>
      <c r="L105">
        <v>26.75</v>
      </c>
      <c r="M105">
        <v>2</v>
      </c>
      <c r="N105">
        <v>69.91</v>
      </c>
      <c r="O105">
        <v>33361.97</v>
      </c>
      <c r="P105">
        <v>92.04</v>
      </c>
      <c r="Q105">
        <v>204.14</v>
      </c>
      <c r="R105">
        <v>23.37</v>
      </c>
      <c r="S105">
        <v>17.37</v>
      </c>
      <c r="T105">
        <v>906.62</v>
      </c>
      <c r="U105">
        <v>0.74</v>
      </c>
      <c r="V105">
        <v>0.76</v>
      </c>
      <c r="W105">
        <v>1.1399999999999999</v>
      </c>
      <c r="X105">
        <v>0.05</v>
      </c>
      <c r="Y105">
        <v>1</v>
      </c>
      <c r="Z105">
        <v>10</v>
      </c>
    </row>
    <row r="106" spans="1:26" x14ac:dyDescent="0.3">
      <c r="A106">
        <v>104</v>
      </c>
      <c r="B106">
        <v>115</v>
      </c>
      <c r="C106" t="s">
        <v>26</v>
      </c>
      <c r="D106">
        <v>10.438700000000001</v>
      </c>
      <c r="E106">
        <v>9.58</v>
      </c>
      <c r="F106">
        <v>6.74</v>
      </c>
      <c r="G106">
        <v>101.15</v>
      </c>
      <c r="H106">
        <v>1.79</v>
      </c>
      <c r="I106">
        <v>4</v>
      </c>
      <c r="J106">
        <v>269.08</v>
      </c>
      <c r="K106">
        <v>56.94</v>
      </c>
      <c r="L106">
        <v>27</v>
      </c>
      <c r="M106">
        <v>2</v>
      </c>
      <c r="N106">
        <v>70.14</v>
      </c>
      <c r="O106">
        <v>33420.559999999998</v>
      </c>
      <c r="P106">
        <v>91.94</v>
      </c>
      <c r="Q106">
        <v>204.14</v>
      </c>
      <c r="R106">
        <v>23.41</v>
      </c>
      <c r="S106">
        <v>17.37</v>
      </c>
      <c r="T106">
        <v>925.93</v>
      </c>
      <c r="U106">
        <v>0.74</v>
      </c>
      <c r="V106">
        <v>0.76</v>
      </c>
      <c r="W106">
        <v>1.1399999999999999</v>
      </c>
      <c r="X106">
        <v>0.05</v>
      </c>
      <c r="Y106">
        <v>1</v>
      </c>
      <c r="Z106">
        <v>10</v>
      </c>
    </row>
    <row r="107" spans="1:26" x14ac:dyDescent="0.3">
      <c r="A107">
        <v>105</v>
      </c>
      <c r="B107">
        <v>115</v>
      </c>
      <c r="C107" t="s">
        <v>26</v>
      </c>
      <c r="D107">
        <v>10.4411</v>
      </c>
      <c r="E107">
        <v>9.58</v>
      </c>
      <c r="F107">
        <v>6.74</v>
      </c>
      <c r="G107">
        <v>101.12</v>
      </c>
      <c r="H107">
        <v>1.8</v>
      </c>
      <c r="I107">
        <v>4</v>
      </c>
      <c r="J107">
        <v>269.55</v>
      </c>
      <c r="K107">
        <v>56.94</v>
      </c>
      <c r="L107">
        <v>27.25</v>
      </c>
      <c r="M107">
        <v>2</v>
      </c>
      <c r="N107">
        <v>70.36</v>
      </c>
      <c r="O107">
        <v>33479.25</v>
      </c>
      <c r="P107">
        <v>91.57</v>
      </c>
      <c r="Q107">
        <v>204.15</v>
      </c>
      <c r="R107">
        <v>23.4</v>
      </c>
      <c r="S107">
        <v>17.37</v>
      </c>
      <c r="T107">
        <v>921.75</v>
      </c>
      <c r="U107">
        <v>0.74</v>
      </c>
      <c r="V107">
        <v>0.76</v>
      </c>
      <c r="W107">
        <v>1.1399999999999999</v>
      </c>
      <c r="X107">
        <v>0.05</v>
      </c>
      <c r="Y107">
        <v>1</v>
      </c>
      <c r="Z107">
        <v>10</v>
      </c>
    </row>
    <row r="108" spans="1:26" x14ac:dyDescent="0.3">
      <c r="A108">
        <v>106</v>
      </c>
      <c r="B108">
        <v>115</v>
      </c>
      <c r="C108" t="s">
        <v>26</v>
      </c>
      <c r="D108">
        <v>10.4451</v>
      </c>
      <c r="E108">
        <v>9.57</v>
      </c>
      <c r="F108">
        <v>6.74</v>
      </c>
      <c r="G108">
        <v>101.06</v>
      </c>
      <c r="H108">
        <v>1.81</v>
      </c>
      <c r="I108">
        <v>4</v>
      </c>
      <c r="J108">
        <v>270.02999999999997</v>
      </c>
      <c r="K108">
        <v>56.94</v>
      </c>
      <c r="L108">
        <v>27.5</v>
      </c>
      <c r="M108">
        <v>2</v>
      </c>
      <c r="N108">
        <v>70.59</v>
      </c>
      <c r="O108">
        <v>33538.019999999997</v>
      </c>
      <c r="P108">
        <v>91.38</v>
      </c>
      <c r="Q108">
        <v>204.14</v>
      </c>
      <c r="R108">
        <v>23.28</v>
      </c>
      <c r="S108">
        <v>17.37</v>
      </c>
      <c r="T108">
        <v>864.09</v>
      </c>
      <c r="U108">
        <v>0.75</v>
      </c>
      <c r="V108">
        <v>0.76</v>
      </c>
      <c r="W108">
        <v>1.1399999999999999</v>
      </c>
      <c r="X108">
        <v>0.05</v>
      </c>
      <c r="Y108">
        <v>1</v>
      </c>
      <c r="Z108">
        <v>10</v>
      </c>
    </row>
    <row r="109" spans="1:26" x14ac:dyDescent="0.3">
      <c r="A109">
        <v>107</v>
      </c>
      <c r="B109">
        <v>115</v>
      </c>
      <c r="C109" t="s">
        <v>26</v>
      </c>
      <c r="D109">
        <v>10.4457</v>
      </c>
      <c r="E109">
        <v>9.57</v>
      </c>
      <c r="F109">
        <v>6.74</v>
      </c>
      <c r="G109">
        <v>101.05</v>
      </c>
      <c r="H109">
        <v>1.83</v>
      </c>
      <c r="I109">
        <v>4</v>
      </c>
      <c r="J109">
        <v>270.51</v>
      </c>
      <c r="K109">
        <v>56.94</v>
      </c>
      <c r="L109">
        <v>27.75</v>
      </c>
      <c r="M109">
        <v>2</v>
      </c>
      <c r="N109">
        <v>70.819999999999993</v>
      </c>
      <c r="O109">
        <v>33596.870000000003</v>
      </c>
      <c r="P109">
        <v>91.08</v>
      </c>
      <c r="Q109">
        <v>204.14</v>
      </c>
      <c r="R109">
        <v>23.17</v>
      </c>
      <c r="S109">
        <v>17.37</v>
      </c>
      <c r="T109">
        <v>807.62</v>
      </c>
      <c r="U109">
        <v>0.75</v>
      </c>
      <c r="V109">
        <v>0.76</v>
      </c>
      <c r="W109">
        <v>1.1399999999999999</v>
      </c>
      <c r="X109">
        <v>0.05</v>
      </c>
      <c r="Y109">
        <v>1</v>
      </c>
      <c r="Z109">
        <v>10</v>
      </c>
    </row>
    <row r="110" spans="1:26" x14ac:dyDescent="0.3">
      <c r="A110">
        <v>108</v>
      </c>
      <c r="B110">
        <v>115</v>
      </c>
      <c r="C110" t="s">
        <v>26</v>
      </c>
      <c r="D110">
        <v>10.449299999999999</v>
      </c>
      <c r="E110">
        <v>9.57</v>
      </c>
      <c r="F110">
        <v>6.73</v>
      </c>
      <c r="G110">
        <v>101</v>
      </c>
      <c r="H110">
        <v>1.84</v>
      </c>
      <c r="I110">
        <v>4</v>
      </c>
      <c r="J110">
        <v>270.99</v>
      </c>
      <c r="K110">
        <v>56.94</v>
      </c>
      <c r="L110">
        <v>28</v>
      </c>
      <c r="M110">
        <v>2</v>
      </c>
      <c r="N110">
        <v>71.040000000000006</v>
      </c>
      <c r="O110">
        <v>33655.82</v>
      </c>
      <c r="P110">
        <v>90.81</v>
      </c>
      <c r="Q110">
        <v>204.14</v>
      </c>
      <c r="R110">
        <v>23.1</v>
      </c>
      <c r="S110">
        <v>17.37</v>
      </c>
      <c r="T110">
        <v>770.75</v>
      </c>
      <c r="U110">
        <v>0.75</v>
      </c>
      <c r="V110">
        <v>0.76</v>
      </c>
      <c r="W110">
        <v>1.1399999999999999</v>
      </c>
      <c r="X110">
        <v>0.04</v>
      </c>
      <c r="Y110">
        <v>1</v>
      </c>
      <c r="Z110">
        <v>10</v>
      </c>
    </row>
    <row r="111" spans="1:26" x14ac:dyDescent="0.3">
      <c r="A111">
        <v>109</v>
      </c>
      <c r="B111">
        <v>115</v>
      </c>
      <c r="C111" t="s">
        <v>26</v>
      </c>
      <c r="D111">
        <v>10.4445</v>
      </c>
      <c r="E111">
        <v>9.57</v>
      </c>
      <c r="F111">
        <v>6.74</v>
      </c>
      <c r="G111">
        <v>101.07</v>
      </c>
      <c r="H111">
        <v>1.85</v>
      </c>
      <c r="I111">
        <v>4</v>
      </c>
      <c r="J111">
        <v>271.45999999999998</v>
      </c>
      <c r="K111">
        <v>56.94</v>
      </c>
      <c r="L111">
        <v>28.25</v>
      </c>
      <c r="M111">
        <v>2</v>
      </c>
      <c r="N111">
        <v>71.27</v>
      </c>
      <c r="O111">
        <v>33714.85</v>
      </c>
      <c r="P111">
        <v>90.6</v>
      </c>
      <c r="Q111">
        <v>204.14</v>
      </c>
      <c r="R111">
        <v>23.2</v>
      </c>
      <c r="S111">
        <v>17.37</v>
      </c>
      <c r="T111">
        <v>821.37</v>
      </c>
      <c r="U111">
        <v>0.75</v>
      </c>
      <c r="V111">
        <v>0.76</v>
      </c>
      <c r="W111">
        <v>1.1399999999999999</v>
      </c>
      <c r="X111">
        <v>0.05</v>
      </c>
      <c r="Y111">
        <v>1</v>
      </c>
      <c r="Z111">
        <v>10</v>
      </c>
    </row>
    <row r="112" spans="1:26" x14ac:dyDescent="0.3">
      <c r="A112">
        <v>110</v>
      </c>
      <c r="B112">
        <v>115</v>
      </c>
      <c r="C112" t="s">
        <v>26</v>
      </c>
      <c r="D112">
        <v>10.4451</v>
      </c>
      <c r="E112">
        <v>9.57</v>
      </c>
      <c r="F112">
        <v>6.74</v>
      </c>
      <c r="G112">
        <v>101.06</v>
      </c>
      <c r="H112">
        <v>1.87</v>
      </c>
      <c r="I112">
        <v>4</v>
      </c>
      <c r="J112">
        <v>271.94</v>
      </c>
      <c r="K112">
        <v>56.94</v>
      </c>
      <c r="L112">
        <v>28.5</v>
      </c>
      <c r="M112">
        <v>2</v>
      </c>
      <c r="N112">
        <v>71.5</v>
      </c>
      <c r="O112">
        <v>33773.97</v>
      </c>
      <c r="P112">
        <v>90.39</v>
      </c>
      <c r="Q112">
        <v>204.14</v>
      </c>
      <c r="R112">
        <v>23.23</v>
      </c>
      <c r="S112">
        <v>17.37</v>
      </c>
      <c r="T112">
        <v>837.17</v>
      </c>
      <c r="U112">
        <v>0.75</v>
      </c>
      <c r="V112">
        <v>0.76</v>
      </c>
      <c r="W112">
        <v>1.1399999999999999</v>
      </c>
      <c r="X112">
        <v>0.05</v>
      </c>
      <c r="Y112">
        <v>1</v>
      </c>
      <c r="Z112">
        <v>10</v>
      </c>
    </row>
    <row r="113" spans="1:26" x14ac:dyDescent="0.3">
      <c r="A113">
        <v>111</v>
      </c>
      <c r="B113">
        <v>115</v>
      </c>
      <c r="C113" t="s">
        <v>26</v>
      </c>
      <c r="D113">
        <v>10.4427</v>
      </c>
      <c r="E113">
        <v>9.58</v>
      </c>
      <c r="F113">
        <v>6.74</v>
      </c>
      <c r="G113">
        <v>101.1</v>
      </c>
      <c r="H113">
        <v>1.88</v>
      </c>
      <c r="I113">
        <v>4</v>
      </c>
      <c r="J113">
        <v>272.43</v>
      </c>
      <c r="K113">
        <v>56.94</v>
      </c>
      <c r="L113">
        <v>28.75</v>
      </c>
      <c r="M113">
        <v>2</v>
      </c>
      <c r="N113">
        <v>71.73</v>
      </c>
      <c r="O113">
        <v>33833.300000000003</v>
      </c>
      <c r="P113">
        <v>90.22</v>
      </c>
      <c r="Q113">
        <v>204.14</v>
      </c>
      <c r="R113">
        <v>23.26</v>
      </c>
      <c r="S113">
        <v>17.37</v>
      </c>
      <c r="T113">
        <v>852.03</v>
      </c>
      <c r="U113">
        <v>0.75</v>
      </c>
      <c r="V113">
        <v>0.76</v>
      </c>
      <c r="W113">
        <v>1.1399999999999999</v>
      </c>
      <c r="X113">
        <v>0.05</v>
      </c>
      <c r="Y113">
        <v>1</v>
      </c>
      <c r="Z113">
        <v>10</v>
      </c>
    </row>
    <row r="114" spans="1:26" x14ac:dyDescent="0.3">
      <c r="A114">
        <v>112</v>
      </c>
      <c r="B114">
        <v>115</v>
      </c>
      <c r="C114" t="s">
        <v>26</v>
      </c>
      <c r="D114">
        <v>10.439299999999999</v>
      </c>
      <c r="E114">
        <v>9.58</v>
      </c>
      <c r="F114">
        <v>6.74</v>
      </c>
      <c r="G114">
        <v>101.14</v>
      </c>
      <c r="H114">
        <v>1.89</v>
      </c>
      <c r="I114">
        <v>4</v>
      </c>
      <c r="J114">
        <v>272.91000000000003</v>
      </c>
      <c r="K114">
        <v>56.94</v>
      </c>
      <c r="L114">
        <v>29</v>
      </c>
      <c r="M114">
        <v>2</v>
      </c>
      <c r="N114">
        <v>71.959999999999994</v>
      </c>
      <c r="O114">
        <v>33892.61</v>
      </c>
      <c r="P114">
        <v>89.96</v>
      </c>
      <c r="Q114">
        <v>204.14</v>
      </c>
      <c r="R114">
        <v>23.42</v>
      </c>
      <c r="S114">
        <v>17.37</v>
      </c>
      <c r="T114">
        <v>934.28</v>
      </c>
      <c r="U114">
        <v>0.74</v>
      </c>
      <c r="V114">
        <v>0.76</v>
      </c>
      <c r="W114">
        <v>1.1399999999999999</v>
      </c>
      <c r="X114">
        <v>0.05</v>
      </c>
      <c r="Y114">
        <v>1</v>
      </c>
      <c r="Z114">
        <v>10</v>
      </c>
    </row>
    <row r="115" spans="1:26" x14ac:dyDescent="0.3">
      <c r="A115">
        <v>113</v>
      </c>
      <c r="B115">
        <v>115</v>
      </c>
      <c r="C115" t="s">
        <v>26</v>
      </c>
      <c r="D115">
        <v>10.440799999999999</v>
      </c>
      <c r="E115">
        <v>9.58</v>
      </c>
      <c r="F115">
        <v>6.74</v>
      </c>
      <c r="G115">
        <v>101.12</v>
      </c>
      <c r="H115">
        <v>1.9</v>
      </c>
      <c r="I115">
        <v>4</v>
      </c>
      <c r="J115">
        <v>273.39</v>
      </c>
      <c r="K115">
        <v>56.94</v>
      </c>
      <c r="L115">
        <v>29.25</v>
      </c>
      <c r="M115">
        <v>2</v>
      </c>
      <c r="N115">
        <v>72.19</v>
      </c>
      <c r="O115">
        <v>33952</v>
      </c>
      <c r="P115">
        <v>89.62</v>
      </c>
      <c r="Q115">
        <v>204.14</v>
      </c>
      <c r="R115">
        <v>23.39</v>
      </c>
      <c r="S115">
        <v>17.37</v>
      </c>
      <c r="T115">
        <v>916.08</v>
      </c>
      <c r="U115">
        <v>0.74</v>
      </c>
      <c r="V115">
        <v>0.76</v>
      </c>
      <c r="W115">
        <v>1.1399999999999999</v>
      </c>
      <c r="X115">
        <v>0.05</v>
      </c>
      <c r="Y115">
        <v>1</v>
      </c>
      <c r="Z115">
        <v>10</v>
      </c>
    </row>
    <row r="116" spans="1:26" x14ac:dyDescent="0.3">
      <c r="A116">
        <v>114</v>
      </c>
      <c r="B116">
        <v>115</v>
      </c>
      <c r="C116" t="s">
        <v>26</v>
      </c>
      <c r="D116">
        <v>10.4442</v>
      </c>
      <c r="E116">
        <v>9.57</v>
      </c>
      <c r="F116">
        <v>6.74</v>
      </c>
      <c r="G116">
        <v>101.08</v>
      </c>
      <c r="H116">
        <v>1.92</v>
      </c>
      <c r="I116">
        <v>4</v>
      </c>
      <c r="J116">
        <v>273.87</v>
      </c>
      <c r="K116">
        <v>56.94</v>
      </c>
      <c r="L116">
        <v>29.5</v>
      </c>
      <c r="M116">
        <v>2</v>
      </c>
      <c r="N116">
        <v>72.430000000000007</v>
      </c>
      <c r="O116">
        <v>34011.480000000003</v>
      </c>
      <c r="P116">
        <v>89.27</v>
      </c>
      <c r="Q116">
        <v>204.14</v>
      </c>
      <c r="R116">
        <v>23.24</v>
      </c>
      <c r="S116">
        <v>17.37</v>
      </c>
      <c r="T116">
        <v>842.59</v>
      </c>
      <c r="U116">
        <v>0.75</v>
      </c>
      <c r="V116">
        <v>0.76</v>
      </c>
      <c r="W116">
        <v>1.1399999999999999</v>
      </c>
      <c r="X116">
        <v>0.05</v>
      </c>
      <c r="Y116">
        <v>1</v>
      </c>
      <c r="Z116">
        <v>10</v>
      </c>
    </row>
    <row r="117" spans="1:26" x14ac:dyDescent="0.3">
      <c r="A117">
        <v>115</v>
      </c>
      <c r="B117">
        <v>115</v>
      </c>
      <c r="C117" t="s">
        <v>26</v>
      </c>
      <c r="D117">
        <v>10.4442</v>
      </c>
      <c r="E117">
        <v>9.57</v>
      </c>
      <c r="F117">
        <v>6.74</v>
      </c>
      <c r="G117">
        <v>101.08</v>
      </c>
      <c r="H117">
        <v>1.93</v>
      </c>
      <c r="I117">
        <v>4</v>
      </c>
      <c r="J117">
        <v>274.35000000000002</v>
      </c>
      <c r="K117">
        <v>56.94</v>
      </c>
      <c r="L117">
        <v>29.75</v>
      </c>
      <c r="M117">
        <v>2</v>
      </c>
      <c r="N117">
        <v>72.66</v>
      </c>
      <c r="O117">
        <v>34071.050000000003</v>
      </c>
      <c r="P117">
        <v>89.06</v>
      </c>
      <c r="Q117">
        <v>204.14</v>
      </c>
      <c r="R117">
        <v>23.27</v>
      </c>
      <c r="S117">
        <v>17.37</v>
      </c>
      <c r="T117">
        <v>856.66</v>
      </c>
      <c r="U117">
        <v>0.75</v>
      </c>
      <c r="V117">
        <v>0.76</v>
      </c>
      <c r="W117">
        <v>1.1399999999999999</v>
      </c>
      <c r="X117">
        <v>0.05</v>
      </c>
      <c r="Y117">
        <v>1</v>
      </c>
      <c r="Z117">
        <v>10</v>
      </c>
    </row>
    <row r="118" spans="1:26" x14ac:dyDescent="0.3">
      <c r="A118">
        <v>116</v>
      </c>
      <c r="B118">
        <v>115</v>
      </c>
      <c r="C118" t="s">
        <v>26</v>
      </c>
      <c r="D118">
        <v>10.4414</v>
      </c>
      <c r="E118">
        <v>9.58</v>
      </c>
      <c r="F118">
        <v>6.74</v>
      </c>
      <c r="G118">
        <v>101.11</v>
      </c>
      <c r="H118">
        <v>1.94</v>
      </c>
      <c r="I118">
        <v>4</v>
      </c>
      <c r="J118">
        <v>274.83999999999997</v>
      </c>
      <c r="K118">
        <v>56.94</v>
      </c>
      <c r="L118">
        <v>30</v>
      </c>
      <c r="M118">
        <v>2</v>
      </c>
      <c r="N118">
        <v>72.89</v>
      </c>
      <c r="O118">
        <v>34130.71</v>
      </c>
      <c r="P118">
        <v>88.96</v>
      </c>
      <c r="Q118">
        <v>204.14</v>
      </c>
      <c r="R118">
        <v>23.33</v>
      </c>
      <c r="S118">
        <v>17.37</v>
      </c>
      <c r="T118">
        <v>885.46</v>
      </c>
      <c r="U118">
        <v>0.74</v>
      </c>
      <c r="V118">
        <v>0.76</v>
      </c>
      <c r="W118">
        <v>1.1399999999999999</v>
      </c>
      <c r="X118">
        <v>0.05</v>
      </c>
      <c r="Y118">
        <v>1</v>
      </c>
      <c r="Z118">
        <v>10</v>
      </c>
    </row>
    <row r="119" spans="1:26" x14ac:dyDescent="0.3">
      <c r="A119">
        <v>117</v>
      </c>
      <c r="B119">
        <v>115</v>
      </c>
      <c r="C119" t="s">
        <v>26</v>
      </c>
      <c r="D119">
        <v>10.4436</v>
      </c>
      <c r="E119">
        <v>9.58</v>
      </c>
      <c r="F119">
        <v>6.74</v>
      </c>
      <c r="G119">
        <v>101.08</v>
      </c>
      <c r="H119">
        <v>1.96</v>
      </c>
      <c r="I119">
        <v>4</v>
      </c>
      <c r="J119">
        <v>275.32</v>
      </c>
      <c r="K119">
        <v>56.94</v>
      </c>
      <c r="L119">
        <v>30.25</v>
      </c>
      <c r="M119">
        <v>2</v>
      </c>
      <c r="N119">
        <v>73.13</v>
      </c>
      <c r="O119">
        <v>34190.46</v>
      </c>
      <c r="P119">
        <v>88.58</v>
      </c>
      <c r="Q119">
        <v>204.14</v>
      </c>
      <c r="R119">
        <v>23.34</v>
      </c>
      <c r="S119">
        <v>17.37</v>
      </c>
      <c r="T119">
        <v>890.01</v>
      </c>
      <c r="U119">
        <v>0.74</v>
      </c>
      <c r="V119">
        <v>0.76</v>
      </c>
      <c r="W119">
        <v>1.1399999999999999</v>
      </c>
      <c r="X119">
        <v>0.05</v>
      </c>
      <c r="Y119">
        <v>1</v>
      </c>
      <c r="Z119">
        <v>10</v>
      </c>
    </row>
    <row r="120" spans="1:26" x14ac:dyDescent="0.3">
      <c r="A120">
        <v>118</v>
      </c>
      <c r="B120">
        <v>115</v>
      </c>
      <c r="C120" t="s">
        <v>26</v>
      </c>
      <c r="D120">
        <v>10.4384</v>
      </c>
      <c r="E120">
        <v>9.58</v>
      </c>
      <c r="F120">
        <v>6.74</v>
      </c>
      <c r="G120">
        <v>101.15</v>
      </c>
      <c r="H120">
        <v>1.97</v>
      </c>
      <c r="I120">
        <v>4</v>
      </c>
      <c r="J120">
        <v>275.81</v>
      </c>
      <c r="K120">
        <v>56.94</v>
      </c>
      <c r="L120">
        <v>30.5</v>
      </c>
      <c r="M120">
        <v>2</v>
      </c>
      <c r="N120">
        <v>73.36</v>
      </c>
      <c r="O120">
        <v>34250.31</v>
      </c>
      <c r="P120">
        <v>88.25</v>
      </c>
      <c r="Q120">
        <v>204.14</v>
      </c>
      <c r="R120">
        <v>23.43</v>
      </c>
      <c r="S120">
        <v>17.37</v>
      </c>
      <c r="T120">
        <v>937.27</v>
      </c>
      <c r="U120">
        <v>0.74</v>
      </c>
      <c r="V120">
        <v>0.76</v>
      </c>
      <c r="W120">
        <v>1.1399999999999999</v>
      </c>
      <c r="X120">
        <v>0.05</v>
      </c>
      <c r="Y120">
        <v>1</v>
      </c>
      <c r="Z120">
        <v>10</v>
      </c>
    </row>
    <row r="121" spans="1:26" x14ac:dyDescent="0.3">
      <c r="A121">
        <v>119</v>
      </c>
      <c r="B121">
        <v>115</v>
      </c>
      <c r="C121" t="s">
        <v>26</v>
      </c>
      <c r="D121">
        <v>10.439299999999999</v>
      </c>
      <c r="E121">
        <v>9.58</v>
      </c>
      <c r="F121">
        <v>6.74</v>
      </c>
      <c r="G121">
        <v>101.14</v>
      </c>
      <c r="H121">
        <v>1.98</v>
      </c>
      <c r="I121">
        <v>4</v>
      </c>
      <c r="J121">
        <v>276.29000000000002</v>
      </c>
      <c r="K121">
        <v>56.94</v>
      </c>
      <c r="L121">
        <v>30.75</v>
      </c>
      <c r="M121">
        <v>2</v>
      </c>
      <c r="N121">
        <v>73.599999999999994</v>
      </c>
      <c r="O121">
        <v>34310.239999999998</v>
      </c>
      <c r="P121">
        <v>87.79</v>
      </c>
      <c r="Q121">
        <v>204.14</v>
      </c>
      <c r="R121">
        <v>23.4</v>
      </c>
      <c r="S121">
        <v>17.37</v>
      </c>
      <c r="T121">
        <v>923.99</v>
      </c>
      <c r="U121">
        <v>0.74</v>
      </c>
      <c r="V121">
        <v>0.76</v>
      </c>
      <c r="W121">
        <v>1.1399999999999999</v>
      </c>
      <c r="X121">
        <v>0.05</v>
      </c>
      <c r="Y121">
        <v>1</v>
      </c>
      <c r="Z121">
        <v>10</v>
      </c>
    </row>
    <row r="122" spans="1:26" x14ac:dyDescent="0.3">
      <c r="A122">
        <v>120</v>
      </c>
      <c r="B122">
        <v>115</v>
      </c>
      <c r="C122" t="s">
        <v>26</v>
      </c>
      <c r="D122">
        <v>10.444800000000001</v>
      </c>
      <c r="E122">
        <v>9.57</v>
      </c>
      <c r="F122">
        <v>6.74</v>
      </c>
      <c r="G122">
        <v>101.07</v>
      </c>
      <c r="H122">
        <v>1.99</v>
      </c>
      <c r="I122">
        <v>4</v>
      </c>
      <c r="J122">
        <v>276.77999999999997</v>
      </c>
      <c r="K122">
        <v>56.94</v>
      </c>
      <c r="L122">
        <v>31</v>
      </c>
      <c r="M122">
        <v>2</v>
      </c>
      <c r="N122">
        <v>73.84</v>
      </c>
      <c r="O122">
        <v>34370.269999999997</v>
      </c>
      <c r="P122">
        <v>87.13</v>
      </c>
      <c r="Q122">
        <v>204.14</v>
      </c>
      <c r="R122">
        <v>23.21</v>
      </c>
      <c r="S122">
        <v>17.37</v>
      </c>
      <c r="T122">
        <v>826.7</v>
      </c>
      <c r="U122">
        <v>0.75</v>
      </c>
      <c r="V122">
        <v>0.76</v>
      </c>
      <c r="W122">
        <v>1.1399999999999999</v>
      </c>
      <c r="X122">
        <v>0.05</v>
      </c>
      <c r="Y122">
        <v>1</v>
      </c>
      <c r="Z122">
        <v>10</v>
      </c>
    </row>
    <row r="123" spans="1:26" x14ac:dyDescent="0.3">
      <c r="A123">
        <v>121</v>
      </c>
      <c r="B123">
        <v>115</v>
      </c>
      <c r="C123" t="s">
        <v>26</v>
      </c>
      <c r="D123">
        <v>10.5159</v>
      </c>
      <c r="E123">
        <v>9.51</v>
      </c>
      <c r="F123">
        <v>6.72</v>
      </c>
      <c r="G123">
        <v>134.34</v>
      </c>
      <c r="H123">
        <v>2.0099999999999998</v>
      </c>
      <c r="I123">
        <v>3</v>
      </c>
      <c r="J123">
        <v>277.27</v>
      </c>
      <c r="K123">
        <v>56.94</v>
      </c>
      <c r="L123">
        <v>31.25</v>
      </c>
      <c r="M123">
        <v>1</v>
      </c>
      <c r="N123">
        <v>74.069999999999993</v>
      </c>
      <c r="O123">
        <v>34430.39</v>
      </c>
      <c r="P123">
        <v>87.02</v>
      </c>
      <c r="Q123">
        <v>204.14</v>
      </c>
      <c r="R123">
        <v>22.62</v>
      </c>
      <c r="S123">
        <v>17.37</v>
      </c>
      <c r="T123">
        <v>538.37</v>
      </c>
      <c r="U123">
        <v>0.77</v>
      </c>
      <c r="V123">
        <v>0.76</v>
      </c>
      <c r="W123">
        <v>1.1399999999999999</v>
      </c>
      <c r="X123">
        <v>0.03</v>
      </c>
      <c r="Y123">
        <v>1</v>
      </c>
      <c r="Z123">
        <v>10</v>
      </c>
    </row>
    <row r="124" spans="1:26" x14ac:dyDescent="0.3">
      <c r="A124">
        <v>122</v>
      </c>
      <c r="B124">
        <v>115</v>
      </c>
      <c r="C124" t="s">
        <v>26</v>
      </c>
      <c r="D124">
        <v>10.514900000000001</v>
      </c>
      <c r="E124">
        <v>9.51</v>
      </c>
      <c r="F124">
        <v>6.72</v>
      </c>
      <c r="G124">
        <v>134.36000000000001</v>
      </c>
      <c r="H124">
        <v>2.02</v>
      </c>
      <c r="I124">
        <v>3</v>
      </c>
      <c r="J124">
        <v>277.75</v>
      </c>
      <c r="K124">
        <v>56.94</v>
      </c>
      <c r="L124">
        <v>31.5</v>
      </c>
      <c r="M124">
        <v>1</v>
      </c>
      <c r="N124">
        <v>74.31</v>
      </c>
      <c r="O124">
        <v>34490.61</v>
      </c>
      <c r="P124">
        <v>87.21</v>
      </c>
      <c r="Q124">
        <v>204.14</v>
      </c>
      <c r="R124">
        <v>22.66</v>
      </c>
      <c r="S124">
        <v>17.37</v>
      </c>
      <c r="T124">
        <v>555.9</v>
      </c>
      <c r="U124">
        <v>0.77</v>
      </c>
      <c r="V124">
        <v>0.76</v>
      </c>
      <c r="W124">
        <v>1.1399999999999999</v>
      </c>
      <c r="X124">
        <v>0.03</v>
      </c>
      <c r="Y124">
        <v>1</v>
      </c>
      <c r="Z124">
        <v>10</v>
      </c>
    </row>
    <row r="125" spans="1:26" x14ac:dyDescent="0.3">
      <c r="A125">
        <v>123</v>
      </c>
      <c r="B125">
        <v>115</v>
      </c>
      <c r="C125" t="s">
        <v>26</v>
      </c>
      <c r="D125">
        <v>10.5137</v>
      </c>
      <c r="E125">
        <v>9.51</v>
      </c>
      <c r="F125">
        <v>6.72</v>
      </c>
      <c r="G125">
        <v>134.38</v>
      </c>
      <c r="H125">
        <v>2.0299999999999998</v>
      </c>
      <c r="I125">
        <v>3</v>
      </c>
      <c r="J125">
        <v>278.24</v>
      </c>
      <c r="K125">
        <v>56.94</v>
      </c>
      <c r="L125">
        <v>31.75</v>
      </c>
      <c r="M125">
        <v>1</v>
      </c>
      <c r="N125">
        <v>74.55</v>
      </c>
      <c r="O125">
        <v>34550.910000000003</v>
      </c>
      <c r="P125">
        <v>87.51</v>
      </c>
      <c r="Q125">
        <v>204.14</v>
      </c>
      <c r="R125">
        <v>22.66</v>
      </c>
      <c r="S125">
        <v>17.37</v>
      </c>
      <c r="T125">
        <v>555.53</v>
      </c>
      <c r="U125">
        <v>0.77</v>
      </c>
      <c r="V125">
        <v>0.76</v>
      </c>
      <c r="W125">
        <v>1.1399999999999999</v>
      </c>
      <c r="X125">
        <v>0.03</v>
      </c>
      <c r="Y125">
        <v>1</v>
      </c>
      <c r="Z125">
        <v>10</v>
      </c>
    </row>
    <row r="126" spans="1:26" x14ac:dyDescent="0.3">
      <c r="A126">
        <v>124</v>
      </c>
      <c r="B126">
        <v>115</v>
      </c>
      <c r="C126" t="s">
        <v>26</v>
      </c>
      <c r="D126">
        <v>10.5128</v>
      </c>
      <c r="E126">
        <v>9.51</v>
      </c>
      <c r="F126">
        <v>6.72</v>
      </c>
      <c r="G126">
        <v>134.38999999999999</v>
      </c>
      <c r="H126">
        <v>2.04</v>
      </c>
      <c r="I126">
        <v>3</v>
      </c>
      <c r="J126">
        <v>278.73</v>
      </c>
      <c r="K126">
        <v>56.94</v>
      </c>
      <c r="L126">
        <v>32</v>
      </c>
      <c r="M126">
        <v>1</v>
      </c>
      <c r="N126">
        <v>74.790000000000006</v>
      </c>
      <c r="O126">
        <v>34611.32</v>
      </c>
      <c r="P126">
        <v>87.56</v>
      </c>
      <c r="Q126">
        <v>204.14</v>
      </c>
      <c r="R126">
        <v>22.69</v>
      </c>
      <c r="S126">
        <v>17.37</v>
      </c>
      <c r="T126">
        <v>570.37</v>
      </c>
      <c r="U126">
        <v>0.77</v>
      </c>
      <c r="V126">
        <v>0.76</v>
      </c>
      <c r="W126">
        <v>1.1399999999999999</v>
      </c>
      <c r="X126">
        <v>0.03</v>
      </c>
      <c r="Y126">
        <v>1</v>
      </c>
      <c r="Z126">
        <v>10</v>
      </c>
    </row>
    <row r="127" spans="1:26" x14ac:dyDescent="0.3">
      <c r="A127">
        <v>125</v>
      </c>
      <c r="B127">
        <v>115</v>
      </c>
      <c r="C127" t="s">
        <v>26</v>
      </c>
      <c r="D127">
        <v>10.515599999999999</v>
      </c>
      <c r="E127">
        <v>9.51</v>
      </c>
      <c r="F127">
        <v>6.72</v>
      </c>
      <c r="G127">
        <v>134.34</v>
      </c>
      <c r="H127">
        <v>2.06</v>
      </c>
      <c r="I127">
        <v>3</v>
      </c>
      <c r="J127">
        <v>279.22000000000003</v>
      </c>
      <c r="K127">
        <v>56.94</v>
      </c>
      <c r="L127">
        <v>32.25</v>
      </c>
      <c r="M127">
        <v>1</v>
      </c>
      <c r="N127">
        <v>75.03</v>
      </c>
      <c r="O127">
        <v>34671.81</v>
      </c>
      <c r="P127">
        <v>87.79</v>
      </c>
      <c r="Q127">
        <v>204.14</v>
      </c>
      <c r="R127">
        <v>22.6</v>
      </c>
      <c r="S127">
        <v>17.37</v>
      </c>
      <c r="T127">
        <v>529.62</v>
      </c>
      <c r="U127">
        <v>0.77</v>
      </c>
      <c r="V127">
        <v>0.76</v>
      </c>
      <c r="W127">
        <v>1.1399999999999999</v>
      </c>
      <c r="X127">
        <v>0.03</v>
      </c>
      <c r="Y127">
        <v>1</v>
      </c>
      <c r="Z127">
        <v>10</v>
      </c>
    </row>
    <row r="128" spans="1:26" x14ac:dyDescent="0.3">
      <c r="A128">
        <v>126</v>
      </c>
      <c r="B128">
        <v>115</v>
      </c>
      <c r="C128" t="s">
        <v>26</v>
      </c>
      <c r="D128">
        <v>10.514900000000001</v>
      </c>
      <c r="E128">
        <v>9.51</v>
      </c>
      <c r="F128">
        <v>6.72</v>
      </c>
      <c r="G128">
        <v>134.36000000000001</v>
      </c>
      <c r="H128">
        <v>2.0699999999999998</v>
      </c>
      <c r="I128">
        <v>3</v>
      </c>
      <c r="J128">
        <v>279.72000000000003</v>
      </c>
      <c r="K128">
        <v>56.94</v>
      </c>
      <c r="L128">
        <v>32.5</v>
      </c>
      <c r="M128">
        <v>1</v>
      </c>
      <c r="N128">
        <v>75.27</v>
      </c>
      <c r="O128">
        <v>34732.410000000003</v>
      </c>
      <c r="P128">
        <v>87.92</v>
      </c>
      <c r="Q128">
        <v>204.14</v>
      </c>
      <c r="R128">
        <v>22.61</v>
      </c>
      <c r="S128">
        <v>17.37</v>
      </c>
      <c r="T128">
        <v>532.63</v>
      </c>
      <c r="U128">
        <v>0.77</v>
      </c>
      <c r="V128">
        <v>0.76</v>
      </c>
      <c r="W128">
        <v>1.1399999999999999</v>
      </c>
      <c r="X128">
        <v>0.03</v>
      </c>
      <c r="Y128">
        <v>1</v>
      </c>
      <c r="Z128">
        <v>10</v>
      </c>
    </row>
    <row r="129" spans="1:26" x14ac:dyDescent="0.3">
      <c r="A129">
        <v>127</v>
      </c>
      <c r="B129">
        <v>115</v>
      </c>
      <c r="C129" t="s">
        <v>26</v>
      </c>
      <c r="D129">
        <v>10.5128</v>
      </c>
      <c r="E129">
        <v>9.51</v>
      </c>
      <c r="F129">
        <v>6.72</v>
      </c>
      <c r="G129">
        <v>134.38999999999999</v>
      </c>
      <c r="H129">
        <v>2.08</v>
      </c>
      <c r="I129">
        <v>3</v>
      </c>
      <c r="J129">
        <v>280.20999999999998</v>
      </c>
      <c r="K129">
        <v>56.94</v>
      </c>
      <c r="L129">
        <v>32.75</v>
      </c>
      <c r="M129">
        <v>0</v>
      </c>
      <c r="N129">
        <v>75.510000000000005</v>
      </c>
      <c r="O129">
        <v>34793.089999999997</v>
      </c>
      <c r="P129">
        <v>88.06</v>
      </c>
      <c r="Q129">
        <v>204.14</v>
      </c>
      <c r="R129">
        <v>22.62</v>
      </c>
      <c r="S129">
        <v>17.37</v>
      </c>
      <c r="T129">
        <v>539.72</v>
      </c>
      <c r="U129">
        <v>0.77</v>
      </c>
      <c r="V129">
        <v>0.76</v>
      </c>
      <c r="W129">
        <v>1.1399999999999999</v>
      </c>
      <c r="X129">
        <v>0.03</v>
      </c>
      <c r="Y129">
        <v>1</v>
      </c>
      <c r="Z129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Planilha18"/>
  <dimension ref="A1:Z21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35</v>
      </c>
      <c r="C2" t="s">
        <v>26</v>
      </c>
      <c r="D2">
        <v>9.8376999999999999</v>
      </c>
      <c r="E2">
        <v>10.16</v>
      </c>
      <c r="F2">
        <v>7.53</v>
      </c>
      <c r="G2">
        <v>10.51</v>
      </c>
      <c r="H2">
        <v>0.22</v>
      </c>
      <c r="I2">
        <v>43</v>
      </c>
      <c r="J2">
        <v>80.84</v>
      </c>
      <c r="K2">
        <v>35.1</v>
      </c>
      <c r="L2">
        <v>1</v>
      </c>
      <c r="M2">
        <v>41</v>
      </c>
      <c r="N2">
        <v>9.74</v>
      </c>
      <c r="O2">
        <v>10204.209999999999</v>
      </c>
      <c r="P2">
        <v>57.91</v>
      </c>
      <c r="Q2">
        <v>204.16</v>
      </c>
      <c r="R2">
        <v>48.25</v>
      </c>
      <c r="S2">
        <v>17.37</v>
      </c>
      <c r="T2">
        <v>13154.31</v>
      </c>
      <c r="U2">
        <v>0.36</v>
      </c>
      <c r="V2">
        <v>0.68</v>
      </c>
      <c r="W2">
        <v>1.2</v>
      </c>
      <c r="X2">
        <v>0.84</v>
      </c>
      <c r="Y2">
        <v>1</v>
      </c>
      <c r="Z2">
        <v>10</v>
      </c>
    </row>
    <row r="3" spans="1:26" x14ac:dyDescent="0.3">
      <c r="A3">
        <v>1</v>
      </c>
      <c r="B3">
        <v>35</v>
      </c>
      <c r="C3" t="s">
        <v>26</v>
      </c>
      <c r="D3">
        <v>10.2102</v>
      </c>
      <c r="E3">
        <v>9.7899999999999991</v>
      </c>
      <c r="F3">
        <v>7.33</v>
      </c>
      <c r="G3">
        <v>13.33</v>
      </c>
      <c r="H3">
        <v>0.27</v>
      </c>
      <c r="I3">
        <v>33</v>
      </c>
      <c r="J3">
        <v>81.14</v>
      </c>
      <c r="K3">
        <v>35.1</v>
      </c>
      <c r="L3">
        <v>1.25</v>
      </c>
      <c r="M3">
        <v>31</v>
      </c>
      <c r="N3">
        <v>9.7899999999999991</v>
      </c>
      <c r="O3">
        <v>10241.25</v>
      </c>
      <c r="P3">
        <v>55.86</v>
      </c>
      <c r="Q3">
        <v>204.16</v>
      </c>
      <c r="R3">
        <v>41.63</v>
      </c>
      <c r="S3">
        <v>17.37</v>
      </c>
      <c r="T3">
        <v>9894.1299999999992</v>
      </c>
      <c r="U3">
        <v>0.42</v>
      </c>
      <c r="V3">
        <v>0.7</v>
      </c>
      <c r="W3">
        <v>1.2</v>
      </c>
      <c r="X3">
        <v>0.64</v>
      </c>
      <c r="Y3">
        <v>1</v>
      </c>
      <c r="Z3">
        <v>10</v>
      </c>
    </row>
    <row r="4" spans="1:26" x14ac:dyDescent="0.3">
      <c r="A4">
        <v>2</v>
      </c>
      <c r="B4">
        <v>35</v>
      </c>
      <c r="C4" t="s">
        <v>26</v>
      </c>
      <c r="D4">
        <v>10.449299999999999</v>
      </c>
      <c r="E4">
        <v>9.57</v>
      </c>
      <c r="F4">
        <v>7.21</v>
      </c>
      <c r="G4">
        <v>16.03</v>
      </c>
      <c r="H4">
        <v>0.32</v>
      </c>
      <c r="I4">
        <v>27</v>
      </c>
      <c r="J4">
        <v>81.44</v>
      </c>
      <c r="K4">
        <v>35.1</v>
      </c>
      <c r="L4">
        <v>1.5</v>
      </c>
      <c r="M4">
        <v>25</v>
      </c>
      <c r="N4">
        <v>9.84</v>
      </c>
      <c r="O4">
        <v>10278.32</v>
      </c>
      <c r="P4">
        <v>54.43</v>
      </c>
      <c r="Q4">
        <v>204.15</v>
      </c>
      <c r="R4">
        <v>38</v>
      </c>
      <c r="S4">
        <v>17.37</v>
      </c>
      <c r="T4">
        <v>8105.34</v>
      </c>
      <c r="U4">
        <v>0.46</v>
      </c>
      <c r="V4">
        <v>0.71</v>
      </c>
      <c r="W4">
        <v>1.18</v>
      </c>
      <c r="X4">
        <v>0.52</v>
      </c>
      <c r="Y4">
        <v>1</v>
      </c>
      <c r="Z4">
        <v>10</v>
      </c>
    </row>
    <row r="5" spans="1:26" x14ac:dyDescent="0.3">
      <c r="A5">
        <v>3</v>
      </c>
      <c r="B5">
        <v>35</v>
      </c>
      <c r="C5" t="s">
        <v>26</v>
      </c>
      <c r="D5">
        <v>10.6198</v>
      </c>
      <c r="E5">
        <v>9.42</v>
      </c>
      <c r="F5">
        <v>7.13</v>
      </c>
      <c r="G5">
        <v>18.600000000000001</v>
      </c>
      <c r="H5">
        <v>0.38</v>
      </c>
      <c r="I5">
        <v>23</v>
      </c>
      <c r="J5">
        <v>81.739999999999995</v>
      </c>
      <c r="K5">
        <v>35.1</v>
      </c>
      <c r="L5">
        <v>1.75</v>
      </c>
      <c r="M5">
        <v>21</v>
      </c>
      <c r="N5">
        <v>9.89</v>
      </c>
      <c r="O5">
        <v>10315.41</v>
      </c>
      <c r="P5">
        <v>53.34</v>
      </c>
      <c r="Q5">
        <v>204.19</v>
      </c>
      <c r="R5">
        <v>35.68</v>
      </c>
      <c r="S5">
        <v>17.37</v>
      </c>
      <c r="T5">
        <v>6965.96</v>
      </c>
      <c r="U5">
        <v>0.49</v>
      </c>
      <c r="V5">
        <v>0.72</v>
      </c>
      <c r="W5">
        <v>1.17</v>
      </c>
      <c r="X5">
        <v>0.44</v>
      </c>
      <c r="Y5">
        <v>1</v>
      </c>
      <c r="Z5">
        <v>10</v>
      </c>
    </row>
    <row r="6" spans="1:26" x14ac:dyDescent="0.3">
      <c r="A6">
        <v>4</v>
      </c>
      <c r="B6">
        <v>35</v>
      </c>
      <c r="C6" t="s">
        <v>26</v>
      </c>
      <c r="D6">
        <v>10.7386</v>
      </c>
      <c r="E6">
        <v>9.31</v>
      </c>
      <c r="F6">
        <v>7.08</v>
      </c>
      <c r="G6">
        <v>21.23</v>
      </c>
      <c r="H6">
        <v>0.43</v>
      </c>
      <c r="I6">
        <v>20</v>
      </c>
      <c r="J6">
        <v>82.04</v>
      </c>
      <c r="K6">
        <v>35.1</v>
      </c>
      <c r="L6">
        <v>2</v>
      </c>
      <c r="M6">
        <v>18</v>
      </c>
      <c r="N6">
        <v>9.94</v>
      </c>
      <c r="O6">
        <v>10352.530000000001</v>
      </c>
      <c r="P6">
        <v>52.56</v>
      </c>
      <c r="Q6">
        <v>204.18</v>
      </c>
      <c r="R6">
        <v>33.83</v>
      </c>
      <c r="S6">
        <v>17.37</v>
      </c>
      <c r="T6">
        <v>6059.5</v>
      </c>
      <c r="U6">
        <v>0.51</v>
      </c>
      <c r="V6">
        <v>0.72</v>
      </c>
      <c r="W6">
        <v>1.17</v>
      </c>
      <c r="X6">
        <v>0.38</v>
      </c>
      <c r="Y6">
        <v>1</v>
      </c>
      <c r="Z6">
        <v>10</v>
      </c>
    </row>
    <row r="7" spans="1:26" x14ac:dyDescent="0.3">
      <c r="A7">
        <v>5</v>
      </c>
      <c r="B7">
        <v>35</v>
      </c>
      <c r="C7" t="s">
        <v>26</v>
      </c>
      <c r="D7">
        <v>10.8316</v>
      </c>
      <c r="E7">
        <v>9.23</v>
      </c>
      <c r="F7">
        <v>7.03</v>
      </c>
      <c r="G7">
        <v>23.43</v>
      </c>
      <c r="H7">
        <v>0.48</v>
      </c>
      <c r="I7">
        <v>18</v>
      </c>
      <c r="J7">
        <v>82.34</v>
      </c>
      <c r="K7">
        <v>35.1</v>
      </c>
      <c r="L7">
        <v>2.25</v>
      </c>
      <c r="M7">
        <v>16</v>
      </c>
      <c r="N7">
        <v>9.99</v>
      </c>
      <c r="O7">
        <v>10389.66</v>
      </c>
      <c r="P7">
        <v>51.52</v>
      </c>
      <c r="Q7">
        <v>204.15</v>
      </c>
      <c r="R7">
        <v>32.51</v>
      </c>
      <c r="S7">
        <v>17.37</v>
      </c>
      <c r="T7">
        <v>5407.13</v>
      </c>
      <c r="U7">
        <v>0.53</v>
      </c>
      <c r="V7">
        <v>0.73</v>
      </c>
      <c r="W7">
        <v>1.1599999999999999</v>
      </c>
      <c r="X7">
        <v>0.34</v>
      </c>
      <c r="Y7">
        <v>1</v>
      </c>
      <c r="Z7">
        <v>10</v>
      </c>
    </row>
    <row r="8" spans="1:26" x14ac:dyDescent="0.3">
      <c r="A8">
        <v>6</v>
      </c>
      <c r="B8">
        <v>35</v>
      </c>
      <c r="C8" t="s">
        <v>26</v>
      </c>
      <c r="D8">
        <v>10.9055</v>
      </c>
      <c r="E8">
        <v>9.17</v>
      </c>
      <c r="F8">
        <v>7</v>
      </c>
      <c r="G8">
        <v>26.26</v>
      </c>
      <c r="H8">
        <v>0.53</v>
      </c>
      <c r="I8">
        <v>16</v>
      </c>
      <c r="J8">
        <v>82.65</v>
      </c>
      <c r="K8">
        <v>35.1</v>
      </c>
      <c r="L8">
        <v>2.5</v>
      </c>
      <c r="M8">
        <v>14</v>
      </c>
      <c r="N8">
        <v>10.039999999999999</v>
      </c>
      <c r="O8">
        <v>10426.82</v>
      </c>
      <c r="P8">
        <v>50.9</v>
      </c>
      <c r="Q8">
        <v>204.14</v>
      </c>
      <c r="R8">
        <v>31.43</v>
      </c>
      <c r="S8">
        <v>17.37</v>
      </c>
      <c r="T8">
        <v>4877.08</v>
      </c>
      <c r="U8">
        <v>0.55000000000000004</v>
      </c>
      <c r="V8">
        <v>0.73</v>
      </c>
      <c r="W8">
        <v>1.17</v>
      </c>
      <c r="X8">
        <v>0.31</v>
      </c>
      <c r="Y8">
        <v>1</v>
      </c>
      <c r="Z8">
        <v>10</v>
      </c>
    </row>
    <row r="9" spans="1:26" x14ac:dyDescent="0.3">
      <c r="A9">
        <v>7</v>
      </c>
      <c r="B9">
        <v>35</v>
      </c>
      <c r="C9" t="s">
        <v>26</v>
      </c>
      <c r="D9">
        <v>10.9519</v>
      </c>
      <c r="E9">
        <v>9.1300000000000008</v>
      </c>
      <c r="F9">
        <v>6.98</v>
      </c>
      <c r="G9">
        <v>27.92</v>
      </c>
      <c r="H9">
        <v>0.57999999999999996</v>
      </c>
      <c r="I9">
        <v>15</v>
      </c>
      <c r="J9">
        <v>82.95</v>
      </c>
      <c r="K9">
        <v>35.1</v>
      </c>
      <c r="L9">
        <v>2.75</v>
      </c>
      <c r="M9">
        <v>13</v>
      </c>
      <c r="N9">
        <v>10.1</v>
      </c>
      <c r="O9">
        <v>10463.99</v>
      </c>
      <c r="P9">
        <v>50.19</v>
      </c>
      <c r="Q9">
        <v>204.14</v>
      </c>
      <c r="R9">
        <v>30.87</v>
      </c>
      <c r="S9">
        <v>17.37</v>
      </c>
      <c r="T9">
        <v>4601.49</v>
      </c>
      <c r="U9">
        <v>0.56000000000000005</v>
      </c>
      <c r="V9">
        <v>0.73</v>
      </c>
      <c r="W9">
        <v>1.1599999999999999</v>
      </c>
      <c r="X9">
        <v>0.28999999999999998</v>
      </c>
      <c r="Y9">
        <v>1</v>
      </c>
      <c r="Z9">
        <v>10</v>
      </c>
    </row>
    <row r="10" spans="1:26" x14ac:dyDescent="0.3">
      <c r="A10">
        <v>8</v>
      </c>
      <c r="B10">
        <v>35</v>
      </c>
      <c r="C10" t="s">
        <v>26</v>
      </c>
      <c r="D10">
        <v>11.0579</v>
      </c>
      <c r="E10">
        <v>9.0399999999999991</v>
      </c>
      <c r="F10">
        <v>6.93</v>
      </c>
      <c r="G10">
        <v>31.97</v>
      </c>
      <c r="H10">
        <v>0.63</v>
      </c>
      <c r="I10">
        <v>13</v>
      </c>
      <c r="J10">
        <v>83.25</v>
      </c>
      <c r="K10">
        <v>35.1</v>
      </c>
      <c r="L10">
        <v>3</v>
      </c>
      <c r="M10">
        <v>11</v>
      </c>
      <c r="N10">
        <v>10.15</v>
      </c>
      <c r="O10">
        <v>10501.19</v>
      </c>
      <c r="P10">
        <v>49.4</v>
      </c>
      <c r="Q10">
        <v>204.14</v>
      </c>
      <c r="R10">
        <v>29.26</v>
      </c>
      <c r="S10">
        <v>17.37</v>
      </c>
      <c r="T10">
        <v>3804.89</v>
      </c>
      <c r="U10">
        <v>0.59</v>
      </c>
      <c r="V10">
        <v>0.74</v>
      </c>
      <c r="W10">
        <v>1.1499999999999999</v>
      </c>
      <c r="X10">
        <v>0.24</v>
      </c>
      <c r="Y10">
        <v>1</v>
      </c>
      <c r="Z10">
        <v>10</v>
      </c>
    </row>
    <row r="11" spans="1:26" x14ac:dyDescent="0.3">
      <c r="A11">
        <v>9</v>
      </c>
      <c r="B11">
        <v>35</v>
      </c>
      <c r="C11" t="s">
        <v>26</v>
      </c>
      <c r="D11">
        <v>11.0909</v>
      </c>
      <c r="E11">
        <v>9.02</v>
      </c>
      <c r="F11">
        <v>6.92</v>
      </c>
      <c r="G11">
        <v>34.590000000000003</v>
      </c>
      <c r="H11">
        <v>0.68</v>
      </c>
      <c r="I11">
        <v>12</v>
      </c>
      <c r="J11">
        <v>83.55</v>
      </c>
      <c r="K11">
        <v>35.1</v>
      </c>
      <c r="L11">
        <v>3.25</v>
      </c>
      <c r="M11">
        <v>10</v>
      </c>
      <c r="N11">
        <v>10.199999999999999</v>
      </c>
      <c r="O11">
        <v>10538.42</v>
      </c>
      <c r="P11">
        <v>48.92</v>
      </c>
      <c r="Q11">
        <v>204.16</v>
      </c>
      <c r="R11">
        <v>28.88</v>
      </c>
      <c r="S11">
        <v>17.37</v>
      </c>
      <c r="T11">
        <v>3620.27</v>
      </c>
      <c r="U11">
        <v>0.6</v>
      </c>
      <c r="V11">
        <v>0.74</v>
      </c>
      <c r="W11">
        <v>1.1599999999999999</v>
      </c>
      <c r="X11">
        <v>0.23</v>
      </c>
      <c r="Y11">
        <v>1</v>
      </c>
      <c r="Z11">
        <v>10</v>
      </c>
    </row>
    <row r="12" spans="1:26" x14ac:dyDescent="0.3">
      <c r="A12">
        <v>10</v>
      </c>
      <c r="B12">
        <v>35</v>
      </c>
      <c r="C12" t="s">
        <v>26</v>
      </c>
      <c r="D12">
        <v>11.1462</v>
      </c>
      <c r="E12">
        <v>8.9700000000000006</v>
      </c>
      <c r="F12">
        <v>6.89</v>
      </c>
      <c r="G12">
        <v>37.58</v>
      </c>
      <c r="H12">
        <v>0.73</v>
      </c>
      <c r="I12">
        <v>11</v>
      </c>
      <c r="J12">
        <v>83.85</v>
      </c>
      <c r="K12">
        <v>35.1</v>
      </c>
      <c r="L12">
        <v>3.5</v>
      </c>
      <c r="M12">
        <v>9</v>
      </c>
      <c r="N12">
        <v>10.25</v>
      </c>
      <c r="O12">
        <v>10575.66</v>
      </c>
      <c r="P12">
        <v>47.87</v>
      </c>
      <c r="Q12">
        <v>204.14</v>
      </c>
      <c r="R12">
        <v>27.89</v>
      </c>
      <c r="S12">
        <v>17.37</v>
      </c>
      <c r="T12">
        <v>3132.84</v>
      </c>
      <c r="U12">
        <v>0.62</v>
      </c>
      <c r="V12">
        <v>0.74</v>
      </c>
      <c r="W12">
        <v>1.1599999999999999</v>
      </c>
      <c r="X12">
        <v>0.2</v>
      </c>
      <c r="Y12">
        <v>1</v>
      </c>
      <c r="Z12">
        <v>10</v>
      </c>
    </row>
    <row r="13" spans="1:26" x14ac:dyDescent="0.3">
      <c r="A13">
        <v>11</v>
      </c>
      <c r="B13">
        <v>35</v>
      </c>
      <c r="C13" t="s">
        <v>26</v>
      </c>
      <c r="D13">
        <v>11.2027</v>
      </c>
      <c r="E13">
        <v>8.93</v>
      </c>
      <c r="F13">
        <v>6.86</v>
      </c>
      <c r="G13">
        <v>41.17</v>
      </c>
      <c r="H13">
        <v>0.78</v>
      </c>
      <c r="I13">
        <v>10</v>
      </c>
      <c r="J13">
        <v>84.15</v>
      </c>
      <c r="K13">
        <v>35.1</v>
      </c>
      <c r="L13">
        <v>3.75</v>
      </c>
      <c r="M13">
        <v>8</v>
      </c>
      <c r="N13">
        <v>10.3</v>
      </c>
      <c r="O13">
        <v>10612.93</v>
      </c>
      <c r="P13">
        <v>46.84</v>
      </c>
      <c r="Q13">
        <v>204.16</v>
      </c>
      <c r="R13">
        <v>27.15</v>
      </c>
      <c r="S13">
        <v>17.37</v>
      </c>
      <c r="T13">
        <v>2765.54</v>
      </c>
      <c r="U13">
        <v>0.64</v>
      </c>
      <c r="V13">
        <v>0.74</v>
      </c>
      <c r="W13">
        <v>1.1499999999999999</v>
      </c>
      <c r="X13">
        <v>0.17</v>
      </c>
      <c r="Y13">
        <v>1</v>
      </c>
      <c r="Z13">
        <v>10</v>
      </c>
    </row>
    <row r="14" spans="1:26" x14ac:dyDescent="0.3">
      <c r="A14">
        <v>12</v>
      </c>
      <c r="B14">
        <v>35</v>
      </c>
      <c r="C14" t="s">
        <v>26</v>
      </c>
      <c r="D14">
        <v>11.2013</v>
      </c>
      <c r="E14">
        <v>8.93</v>
      </c>
      <c r="F14">
        <v>6.86</v>
      </c>
      <c r="G14">
        <v>41.18</v>
      </c>
      <c r="H14">
        <v>0.83</v>
      </c>
      <c r="I14">
        <v>10</v>
      </c>
      <c r="J14">
        <v>84.46</v>
      </c>
      <c r="K14">
        <v>35.1</v>
      </c>
      <c r="L14">
        <v>4</v>
      </c>
      <c r="M14">
        <v>8</v>
      </c>
      <c r="N14">
        <v>10.36</v>
      </c>
      <c r="O14">
        <v>10650.22</v>
      </c>
      <c r="P14">
        <v>46.84</v>
      </c>
      <c r="Q14">
        <v>204.14</v>
      </c>
      <c r="R14">
        <v>27.15</v>
      </c>
      <c r="S14">
        <v>17.37</v>
      </c>
      <c r="T14">
        <v>2768.92</v>
      </c>
      <c r="U14">
        <v>0.64</v>
      </c>
      <c r="V14">
        <v>0.74</v>
      </c>
      <c r="W14">
        <v>1.1499999999999999</v>
      </c>
      <c r="X14">
        <v>0.17</v>
      </c>
      <c r="Y14">
        <v>1</v>
      </c>
      <c r="Z14">
        <v>10</v>
      </c>
    </row>
    <row r="15" spans="1:26" x14ac:dyDescent="0.3">
      <c r="A15">
        <v>13</v>
      </c>
      <c r="B15">
        <v>35</v>
      </c>
      <c r="C15" t="s">
        <v>26</v>
      </c>
      <c r="D15">
        <v>11.223000000000001</v>
      </c>
      <c r="E15">
        <v>8.91</v>
      </c>
      <c r="F15">
        <v>6.86</v>
      </c>
      <c r="G15">
        <v>45.76</v>
      </c>
      <c r="H15">
        <v>0.88</v>
      </c>
      <c r="I15">
        <v>9</v>
      </c>
      <c r="J15">
        <v>84.76</v>
      </c>
      <c r="K15">
        <v>35.1</v>
      </c>
      <c r="L15">
        <v>4.25</v>
      </c>
      <c r="M15">
        <v>7</v>
      </c>
      <c r="N15">
        <v>10.41</v>
      </c>
      <c r="O15">
        <v>10687.53</v>
      </c>
      <c r="P15">
        <v>46.4</v>
      </c>
      <c r="Q15">
        <v>204.17</v>
      </c>
      <c r="R15">
        <v>27.21</v>
      </c>
      <c r="S15">
        <v>17.37</v>
      </c>
      <c r="T15">
        <v>2804.44</v>
      </c>
      <c r="U15">
        <v>0.64</v>
      </c>
      <c r="V15">
        <v>0.74</v>
      </c>
      <c r="W15">
        <v>1.1499999999999999</v>
      </c>
      <c r="X15">
        <v>0.17</v>
      </c>
      <c r="Y15">
        <v>1</v>
      </c>
      <c r="Z15">
        <v>10</v>
      </c>
    </row>
    <row r="16" spans="1:26" x14ac:dyDescent="0.3">
      <c r="A16">
        <v>14</v>
      </c>
      <c r="B16">
        <v>35</v>
      </c>
      <c r="C16" t="s">
        <v>26</v>
      </c>
      <c r="D16">
        <v>11.2272</v>
      </c>
      <c r="E16">
        <v>8.91</v>
      </c>
      <c r="F16">
        <v>6.86</v>
      </c>
      <c r="G16">
        <v>45.73</v>
      </c>
      <c r="H16">
        <v>0.93</v>
      </c>
      <c r="I16">
        <v>9</v>
      </c>
      <c r="J16">
        <v>85.06</v>
      </c>
      <c r="K16">
        <v>35.1</v>
      </c>
      <c r="L16">
        <v>4.5</v>
      </c>
      <c r="M16">
        <v>7</v>
      </c>
      <c r="N16">
        <v>10.46</v>
      </c>
      <c r="O16">
        <v>10724.86</v>
      </c>
      <c r="P16">
        <v>45.64</v>
      </c>
      <c r="Q16">
        <v>204.15</v>
      </c>
      <c r="R16">
        <v>27.07</v>
      </c>
      <c r="S16">
        <v>17.37</v>
      </c>
      <c r="T16">
        <v>2734.58</v>
      </c>
      <c r="U16">
        <v>0.64</v>
      </c>
      <c r="V16">
        <v>0.74</v>
      </c>
      <c r="W16">
        <v>1.1499999999999999</v>
      </c>
      <c r="X16">
        <v>0.17</v>
      </c>
      <c r="Y16">
        <v>1</v>
      </c>
      <c r="Z16">
        <v>10</v>
      </c>
    </row>
    <row r="17" spans="1:26" x14ac:dyDescent="0.3">
      <c r="A17">
        <v>15</v>
      </c>
      <c r="B17">
        <v>35</v>
      </c>
      <c r="C17" t="s">
        <v>26</v>
      </c>
      <c r="D17">
        <v>11.292</v>
      </c>
      <c r="E17">
        <v>8.86</v>
      </c>
      <c r="F17">
        <v>6.83</v>
      </c>
      <c r="G17">
        <v>51.2</v>
      </c>
      <c r="H17">
        <v>0.98</v>
      </c>
      <c r="I17">
        <v>8</v>
      </c>
      <c r="J17">
        <v>85.36</v>
      </c>
      <c r="K17">
        <v>35.1</v>
      </c>
      <c r="L17">
        <v>4.75</v>
      </c>
      <c r="M17">
        <v>6</v>
      </c>
      <c r="N17">
        <v>10.51</v>
      </c>
      <c r="O17">
        <v>10762.22</v>
      </c>
      <c r="P17">
        <v>44.51</v>
      </c>
      <c r="Q17">
        <v>204.14</v>
      </c>
      <c r="R17">
        <v>25.92</v>
      </c>
      <c r="S17">
        <v>17.37</v>
      </c>
      <c r="T17">
        <v>2159.96</v>
      </c>
      <c r="U17">
        <v>0.67</v>
      </c>
      <c r="V17">
        <v>0.75</v>
      </c>
      <c r="W17">
        <v>1.1499999999999999</v>
      </c>
      <c r="X17">
        <v>0.14000000000000001</v>
      </c>
      <c r="Y17">
        <v>1</v>
      </c>
      <c r="Z17">
        <v>10</v>
      </c>
    </row>
    <row r="18" spans="1:26" x14ac:dyDescent="0.3">
      <c r="A18">
        <v>16</v>
      </c>
      <c r="B18">
        <v>35</v>
      </c>
      <c r="C18" t="s">
        <v>26</v>
      </c>
      <c r="D18">
        <v>11.286</v>
      </c>
      <c r="E18">
        <v>8.86</v>
      </c>
      <c r="F18">
        <v>6.83</v>
      </c>
      <c r="G18">
        <v>51.23</v>
      </c>
      <c r="H18">
        <v>1.02</v>
      </c>
      <c r="I18">
        <v>8</v>
      </c>
      <c r="J18">
        <v>85.67</v>
      </c>
      <c r="K18">
        <v>35.1</v>
      </c>
      <c r="L18">
        <v>5</v>
      </c>
      <c r="M18">
        <v>5</v>
      </c>
      <c r="N18">
        <v>10.57</v>
      </c>
      <c r="O18">
        <v>10799.59</v>
      </c>
      <c r="P18">
        <v>44.17</v>
      </c>
      <c r="Q18">
        <v>204.16</v>
      </c>
      <c r="R18">
        <v>26.12</v>
      </c>
      <c r="S18">
        <v>17.37</v>
      </c>
      <c r="T18">
        <v>2260.91</v>
      </c>
      <c r="U18">
        <v>0.67</v>
      </c>
      <c r="V18">
        <v>0.75</v>
      </c>
      <c r="W18">
        <v>1.1499999999999999</v>
      </c>
      <c r="X18">
        <v>0.14000000000000001</v>
      </c>
      <c r="Y18">
        <v>1</v>
      </c>
      <c r="Z18">
        <v>10</v>
      </c>
    </row>
    <row r="19" spans="1:26" x14ac:dyDescent="0.3">
      <c r="A19">
        <v>17</v>
      </c>
      <c r="B19">
        <v>35</v>
      </c>
      <c r="C19" t="s">
        <v>26</v>
      </c>
      <c r="D19">
        <v>11.283099999999999</v>
      </c>
      <c r="E19">
        <v>8.86</v>
      </c>
      <c r="F19">
        <v>6.83</v>
      </c>
      <c r="G19">
        <v>51.25</v>
      </c>
      <c r="H19">
        <v>1.07</v>
      </c>
      <c r="I19">
        <v>8</v>
      </c>
      <c r="J19">
        <v>85.97</v>
      </c>
      <c r="K19">
        <v>35.1</v>
      </c>
      <c r="L19">
        <v>5.25</v>
      </c>
      <c r="M19">
        <v>2</v>
      </c>
      <c r="N19">
        <v>10.62</v>
      </c>
      <c r="O19">
        <v>10836.99</v>
      </c>
      <c r="P19">
        <v>43.58</v>
      </c>
      <c r="Q19">
        <v>204.14</v>
      </c>
      <c r="R19">
        <v>26.24</v>
      </c>
      <c r="S19">
        <v>17.37</v>
      </c>
      <c r="T19">
        <v>2320.62</v>
      </c>
      <c r="U19">
        <v>0.66</v>
      </c>
      <c r="V19">
        <v>0.75</v>
      </c>
      <c r="W19">
        <v>1.1499999999999999</v>
      </c>
      <c r="X19">
        <v>0.14000000000000001</v>
      </c>
      <c r="Y19">
        <v>1</v>
      </c>
      <c r="Z19">
        <v>10</v>
      </c>
    </row>
    <row r="20" spans="1:26" x14ac:dyDescent="0.3">
      <c r="A20">
        <v>18</v>
      </c>
      <c r="B20">
        <v>35</v>
      </c>
      <c r="C20" t="s">
        <v>26</v>
      </c>
      <c r="D20">
        <v>11.325699999999999</v>
      </c>
      <c r="E20">
        <v>8.83</v>
      </c>
      <c r="F20">
        <v>6.82</v>
      </c>
      <c r="G20">
        <v>58.43</v>
      </c>
      <c r="H20">
        <v>1.1200000000000001</v>
      </c>
      <c r="I20">
        <v>7</v>
      </c>
      <c r="J20">
        <v>86.27</v>
      </c>
      <c r="K20">
        <v>35.1</v>
      </c>
      <c r="L20">
        <v>5.5</v>
      </c>
      <c r="M20">
        <v>1</v>
      </c>
      <c r="N20">
        <v>10.67</v>
      </c>
      <c r="O20">
        <v>10874.42</v>
      </c>
      <c r="P20">
        <v>43.41</v>
      </c>
      <c r="Q20">
        <v>204.15</v>
      </c>
      <c r="R20">
        <v>25.68</v>
      </c>
      <c r="S20">
        <v>17.37</v>
      </c>
      <c r="T20">
        <v>2046.7</v>
      </c>
      <c r="U20">
        <v>0.68</v>
      </c>
      <c r="V20">
        <v>0.75</v>
      </c>
      <c r="W20">
        <v>1.1499999999999999</v>
      </c>
      <c r="X20">
        <v>0.13</v>
      </c>
      <c r="Y20">
        <v>1</v>
      </c>
      <c r="Z20">
        <v>10</v>
      </c>
    </row>
    <row r="21" spans="1:26" x14ac:dyDescent="0.3">
      <c r="A21">
        <v>19</v>
      </c>
      <c r="B21">
        <v>35</v>
      </c>
      <c r="C21" t="s">
        <v>26</v>
      </c>
      <c r="D21">
        <v>11.325699999999999</v>
      </c>
      <c r="E21">
        <v>8.83</v>
      </c>
      <c r="F21">
        <v>6.82</v>
      </c>
      <c r="G21">
        <v>58.43</v>
      </c>
      <c r="H21">
        <v>1.1599999999999999</v>
      </c>
      <c r="I21">
        <v>7</v>
      </c>
      <c r="J21">
        <v>86.58</v>
      </c>
      <c r="K21">
        <v>35.1</v>
      </c>
      <c r="L21">
        <v>5.75</v>
      </c>
      <c r="M21">
        <v>0</v>
      </c>
      <c r="N21">
        <v>10.73</v>
      </c>
      <c r="O21">
        <v>10911.86</v>
      </c>
      <c r="P21">
        <v>43.6</v>
      </c>
      <c r="Q21">
        <v>204.14</v>
      </c>
      <c r="R21">
        <v>25.69</v>
      </c>
      <c r="S21">
        <v>17.37</v>
      </c>
      <c r="T21">
        <v>2050.3000000000002</v>
      </c>
      <c r="U21">
        <v>0.68</v>
      </c>
      <c r="V21">
        <v>0.75</v>
      </c>
      <c r="W21">
        <v>1.1499999999999999</v>
      </c>
      <c r="X21">
        <v>0.13</v>
      </c>
      <c r="Y21">
        <v>1</v>
      </c>
      <c r="Z21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Planilha19"/>
  <dimension ref="A1:Z38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50</v>
      </c>
      <c r="C2" t="s">
        <v>26</v>
      </c>
      <c r="D2">
        <v>9.0823999999999998</v>
      </c>
      <c r="E2">
        <v>11.01</v>
      </c>
      <c r="F2">
        <v>7.77</v>
      </c>
      <c r="G2">
        <v>8.64</v>
      </c>
      <c r="H2">
        <v>0.16</v>
      </c>
      <c r="I2">
        <v>54</v>
      </c>
      <c r="J2">
        <v>107.41</v>
      </c>
      <c r="K2">
        <v>41.65</v>
      </c>
      <c r="L2">
        <v>1</v>
      </c>
      <c r="M2">
        <v>52</v>
      </c>
      <c r="N2">
        <v>14.77</v>
      </c>
      <c r="O2">
        <v>13481.73</v>
      </c>
      <c r="P2">
        <v>73.150000000000006</v>
      </c>
      <c r="Q2">
        <v>204.22</v>
      </c>
      <c r="R2">
        <v>55.59</v>
      </c>
      <c r="S2">
        <v>17.37</v>
      </c>
      <c r="T2">
        <v>16767.77</v>
      </c>
      <c r="U2">
        <v>0.31</v>
      </c>
      <c r="V2">
        <v>0.66</v>
      </c>
      <c r="W2">
        <v>1.23</v>
      </c>
      <c r="X2">
        <v>1.08</v>
      </c>
      <c r="Y2">
        <v>1</v>
      </c>
      <c r="Z2">
        <v>10</v>
      </c>
    </row>
    <row r="3" spans="1:26" x14ac:dyDescent="0.3">
      <c r="A3">
        <v>1</v>
      </c>
      <c r="B3">
        <v>50</v>
      </c>
      <c r="C3" t="s">
        <v>26</v>
      </c>
      <c r="D3">
        <v>9.5305999999999997</v>
      </c>
      <c r="E3">
        <v>10.49</v>
      </c>
      <c r="F3">
        <v>7.52</v>
      </c>
      <c r="G3">
        <v>10.75</v>
      </c>
      <c r="H3">
        <v>0.2</v>
      </c>
      <c r="I3">
        <v>42</v>
      </c>
      <c r="J3">
        <v>107.73</v>
      </c>
      <c r="K3">
        <v>41.65</v>
      </c>
      <c r="L3">
        <v>1.25</v>
      </c>
      <c r="M3">
        <v>40</v>
      </c>
      <c r="N3">
        <v>14.83</v>
      </c>
      <c r="O3">
        <v>13520.81</v>
      </c>
      <c r="P3">
        <v>70.45</v>
      </c>
      <c r="Q3">
        <v>204.18</v>
      </c>
      <c r="R3">
        <v>47.65</v>
      </c>
      <c r="S3">
        <v>17.37</v>
      </c>
      <c r="T3">
        <v>12858.83</v>
      </c>
      <c r="U3">
        <v>0.36</v>
      </c>
      <c r="V3">
        <v>0.68</v>
      </c>
      <c r="W3">
        <v>1.21</v>
      </c>
      <c r="X3">
        <v>0.83</v>
      </c>
      <c r="Y3">
        <v>1</v>
      </c>
      <c r="Z3">
        <v>10</v>
      </c>
    </row>
    <row r="4" spans="1:26" x14ac:dyDescent="0.3">
      <c r="A4">
        <v>2</v>
      </c>
      <c r="B4">
        <v>50</v>
      </c>
      <c r="C4" t="s">
        <v>26</v>
      </c>
      <c r="D4">
        <v>9.8495000000000008</v>
      </c>
      <c r="E4">
        <v>10.15</v>
      </c>
      <c r="F4">
        <v>7.36</v>
      </c>
      <c r="G4">
        <v>12.99</v>
      </c>
      <c r="H4">
        <v>0.24</v>
      </c>
      <c r="I4">
        <v>34</v>
      </c>
      <c r="J4">
        <v>108.05</v>
      </c>
      <c r="K4">
        <v>41.65</v>
      </c>
      <c r="L4">
        <v>1.5</v>
      </c>
      <c r="M4">
        <v>32</v>
      </c>
      <c r="N4">
        <v>14.9</v>
      </c>
      <c r="O4">
        <v>13559.91</v>
      </c>
      <c r="P4">
        <v>68.58</v>
      </c>
      <c r="Q4">
        <v>204.15</v>
      </c>
      <c r="R4">
        <v>42.61</v>
      </c>
      <c r="S4">
        <v>17.37</v>
      </c>
      <c r="T4">
        <v>10375.82</v>
      </c>
      <c r="U4">
        <v>0.41</v>
      </c>
      <c r="V4">
        <v>0.69</v>
      </c>
      <c r="W4">
        <v>1.2</v>
      </c>
      <c r="X4">
        <v>0.67</v>
      </c>
      <c r="Y4">
        <v>1</v>
      </c>
      <c r="Z4">
        <v>10</v>
      </c>
    </row>
    <row r="5" spans="1:26" x14ac:dyDescent="0.3">
      <c r="A5">
        <v>3</v>
      </c>
      <c r="B5">
        <v>50</v>
      </c>
      <c r="C5" t="s">
        <v>26</v>
      </c>
      <c r="D5">
        <v>10.0632</v>
      </c>
      <c r="E5">
        <v>9.94</v>
      </c>
      <c r="F5">
        <v>7.26</v>
      </c>
      <c r="G5">
        <v>15.01</v>
      </c>
      <c r="H5">
        <v>0.28000000000000003</v>
      </c>
      <c r="I5">
        <v>29</v>
      </c>
      <c r="J5">
        <v>108.37</v>
      </c>
      <c r="K5">
        <v>41.65</v>
      </c>
      <c r="L5">
        <v>1.75</v>
      </c>
      <c r="M5">
        <v>27</v>
      </c>
      <c r="N5">
        <v>14.97</v>
      </c>
      <c r="O5">
        <v>13599.17</v>
      </c>
      <c r="P5">
        <v>67.31</v>
      </c>
      <c r="Q5">
        <v>204.21</v>
      </c>
      <c r="R5">
        <v>39.54</v>
      </c>
      <c r="S5">
        <v>17.37</v>
      </c>
      <c r="T5">
        <v>8864.83</v>
      </c>
      <c r="U5">
        <v>0.44</v>
      </c>
      <c r="V5">
        <v>0.7</v>
      </c>
      <c r="W5">
        <v>1.18</v>
      </c>
      <c r="X5">
        <v>0.56000000000000005</v>
      </c>
      <c r="Y5">
        <v>1</v>
      </c>
      <c r="Z5">
        <v>10</v>
      </c>
    </row>
    <row r="6" spans="1:26" x14ac:dyDescent="0.3">
      <c r="A6">
        <v>4</v>
      </c>
      <c r="B6">
        <v>50</v>
      </c>
      <c r="C6" t="s">
        <v>26</v>
      </c>
      <c r="D6">
        <v>10.2279</v>
      </c>
      <c r="E6">
        <v>9.7799999999999994</v>
      </c>
      <c r="F6">
        <v>7.19</v>
      </c>
      <c r="G6">
        <v>17.25</v>
      </c>
      <c r="H6">
        <v>0.32</v>
      </c>
      <c r="I6">
        <v>25</v>
      </c>
      <c r="J6">
        <v>108.68</v>
      </c>
      <c r="K6">
        <v>41.65</v>
      </c>
      <c r="L6">
        <v>2</v>
      </c>
      <c r="M6">
        <v>23</v>
      </c>
      <c r="N6">
        <v>15.03</v>
      </c>
      <c r="O6">
        <v>13638.32</v>
      </c>
      <c r="P6">
        <v>66.28</v>
      </c>
      <c r="Q6">
        <v>204.14</v>
      </c>
      <c r="R6">
        <v>37.17</v>
      </c>
      <c r="S6">
        <v>17.37</v>
      </c>
      <c r="T6">
        <v>7701.1</v>
      </c>
      <c r="U6">
        <v>0.47</v>
      </c>
      <c r="V6">
        <v>0.71</v>
      </c>
      <c r="W6">
        <v>1.18</v>
      </c>
      <c r="X6">
        <v>0.49</v>
      </c>
      <c r="Y6">
        <v>1</v>
      </c>
      <c r="Z6">
        <v>10</v>
      </c>
    </row>
    <row r="7" spans="1:26" x14ac:dyDescent="0.3">
      <c r="A7">
        <v>5</v>
      </c>
      <c r="B7">
        <v>50</v>
      </c>
      <c r="C7" t="s">
        <v>26</v>
      </c>
      <c r="D7">
        <v>10.3764</v>
      </c>
      <c r="E7">
        <v>9.64</v>
      </c>
      <c r="F7">
        <v>7.11</v>
      </c>
      <c r="G7">
        <v>19.399999999999999</v>
      </c>
      <c r="H7">
        <v>0.36</v>
      </c>
      <c r="I7">
        <v>22</v>
      </c>
      <c r="J7">
        <v>109</v>
      </c>
      <c r="K7">
        <v>41.65</v>
      </c>
      <c r="L7">
        <v>2.25</v>
      </c>
      <c r="M7">
        <v>20</v>
      </c>
      <c r="N7">
        <v>15.1</v>
      </c>
      <c r="O7">
        <v>13677.51</v>
      </c>
      <c r="P7">
        <v>65.23</v>
      </c>
      <c r="Q7">
        <v>204.15</v>
      </c>
      <c r="R7">
        <v>35.1</v>
      </c>
      <c r="S7">
        <v>17.37</v>
      </c>
      <c r="T7">
        <v>6680.64</v>
      </c>
      <c r="U7">
        <v>0.5</v>
      </c>
      <c r="V7">
        <v>0.72</v>
      </c>
      <c r="W7">
        <v>1.17</v>
      </c>
      <c r="X7">
        <v>0.42</v>
      </c>
      <c r="Y7">
        <v>1</v>
      </c>
      <c r="Z7">
        <v>10</v>
      </c>
    </row>
    <row r="8" spans="1:26" x14ac:dyDescent="0.3">
      <c r="A8">
        <v>6</v>
      </c>
      <c r="B8">
        <v>50</v>
      </c>
      <c r="C8" t="s">
        <v>26</v>
      </c>
      <c r="D8">
        <v>10.465999999999999</v>
      </c>
      <c r="E8">
        <v>9.5500000000000007</v>
      </c>
      <c r="F8">
        <v>7.07</v>
      </c>
      <c r="G8">
        <v>21.22</v>
      </c>
      <c r="H8">
        <v>0.4</v>
      </c>
      <c r="I8">
        <v>20</v>
      </c>
      <c r="J8">
        <v>109.32</v>
      </c>
      <c r="K8">
        <v>41.65</v>
      </c>
      <c r="L8">
        <v>2.5</v>
      </c>
      <c r="M8">
        <v>18</v>
      </c>
      <c r="N8">
        <v>15.17</v>
      </c>
      <c r="O8">
        <v>13716.72</v>
      </c>
      <c r="P8">
        <v>64.56</v>
      </c>
      <c r="Q8">
        <v>204.19</v>
      </c>
      <c r="R8">
        <v>33.76</v>
      </c>
      <c r="S8">
        <v>17.37</v>
      </c>
      <c r="T8">
        <v>6023.14</v>
      </c>
      <c r="U8">
        <v>0.51</v>
      </c>
      <c r="V8">
        <v>0.72</v>
      </c>
      <c r="W8">
        <v>1.17</v>
      </c>
      <c r="X8">
        <v>0.38</v>
      </c>
      <c r="Y8">
        <v>1</v>
      </c>
      <c r="Z8">
        <v>10</v>
      </c>
    </row>
    <row r="9" spans="1:26" x14ac:dyDescent="0.3">
      <c r="A9">
        <v>7</v>
      </c>
      <c r="B9">
        <v>50</v>
      </c>
      <c r="C9" t="s">
        <v>26</v>
      </c>
      <c r="D9">
        <v>10.575799999999999</v>
      </c>
      <c r="E9">
        <v>9.4600000000000009</v>
      </c>
      <c r="F9">
        <v>7.02</v>
      </c>
      <c r="G9">
        <v>23.4</v>
      </c>
      <c r="H9">
        <v>0.44</v>
      </c>
      <c r="I9">
        <v>18</v>
      </c>
      <c r="J9">
        <v>109.64</v>
      </c>
      <c r="K9">
        <v>41.65</v>
      </c>
      <c r="L9">
        <v>2.75</v>
      </c>
      <c r="M9">
        <v>16</v>
      </c>
      <c r="N9">
        <v>15.24</v>
      </c>
      <c r="O9">
        <v>13755.95</v>
      </c>
      <c r="P9">
        <v>63.72</v>
      </c>
      <c r="Q9">
        <v>204.16</v>
      </c>
      <c r="R9">
        <v>31.99</v>
      </c>
      <c r="S9">
        <v>17.37</v>
      </c>
      <c r="T9">
        <v>5146.01</v>
      </c>
      <c r="U9">
        <v>0.54</v>
      </c>
      <c r="V9">
        <v>0.73</v>
      </c>
      <c r="W9">
        <v>1.17</v>
      </c>
      <c r="X9">
        <v>0.33</v>
      </c>
      <c r="Y9">
        <v>1</v>
      </c>
      <c r="Z9">
        <v>10</v>
      </c>
    </row>
    <row r="10" spans="1:26" x14ac:dyDescent="0.3">
      <c r="A10">
        <v>8</v>
      </c>
      <c r="B10">
        <v>50</v>
      </c>
      <c r="C10" t="s">
        <v>26</v>
      </c>
      <c r="D10">
        <v>10.6051</v>
      </c>
      <c r="E10">
        <v>9.43</v>
      </c>
      <c r="F10">
        <v>7.02</v>
      </c>
      <c r="G10">
        <v>24.76</v>
      </c>
      <c r="H10">
        <v>0.48</v>
      </c>
      <c r="I10">
        <v>17</v>
      </c>
      <c r="J10">
        <v>109.96</v>
      </c>
      <c r="K10">
        <v>41.65</v>
      </c>
      <c r="L10">
        <v>3</v>
      </c>
      <c r="M10">
        <v>15</v>
      </c>
      <c r="N10">
        <v>15.31</v>
      </c>
      <c r="O10">
        <v>13795.21</v>
      </c>
      <c r="P10">
        <v>63.4</v>
      </c>
      <c r="Q10">
        <v>204.26</v>
      </c>
      <c r="R10">
        <v>31.94</v>
      </c>
      <c r="S10">
        <v>17.37</v>
      </c>
      <c r="T10">
        <v>5126.38</v>
      </c>
      <c r="U10">
        <v>0.54</v>
      </c>
      <c r="V10">
        <v>0.73</v>
      </c>
      <c r="W10">
        <v>1.1599999999999999</v>
      </c>
      <c r="X10">
        <v>0.32</v>
      </c>
      <c r="Y10">
        <v>1</v>
      </c>
      <c r="Z10">
        <v>10</v>
      </c>
    </row>
    <row r="11" spans="1:26" x14ac:dyDescent="0.3">
      <c r="A11">
        <v>9</v>
      </c>
      <c r="B11">
        <v>50</v>
      </c>
      <c r="C11" t="s">
        <v>26</v>
      </c>
      <c r="D11">
        <v>10.704700000000001</v>
      </c>
      <c r="E11">
        <v>9.34</v>
      </c>
      <c r="F11">
        <v>6.97</v>
      </c>
      <c r="G11">
        <v>27.89</v>
      </c>
      <c r="H11">
        <v>0.52</v>
      </c>
      <c r="I11">
        <v>15</v>
      </c>
      <c r="J11">
        <v>110.27</v>
      </c>
      <c r="K11">
        <v>41.65</v>
      </c>
      <c r="L11">
        <v>3.25</v>
      </c>
      <c r="M11">
        <v>13</v>
      </c>
      <c r="N11">
        <v>15.37</v>
      </c>
      <c r="O11">
        <v>13834.5</v>
      </c>
      <c r="P11">
        <v>62.68</v>
      </c>
      <c r="Q11">
        <v>204.16</v>
      </c>
      <c r="R11">
        <v>30.59</v>
      </c>
      <c r="S11">
        <v>17.37</v>
      </c>
      <c r="T11">
        <v>4463.66</v>
      </c>
      <c r="U11">
        <v>0.56999999999999995</v>
      </c>
      <c r="V11">
        <v>0.73</v>
      </c>
      <c r="W11">
        <v>1.1599999999999999</v>
      </c>
      <c r="X11">
        <v>0.28000000000000003</v>
      </c>
      <c r="Y11">
        <v>1</v>
      </c>
      <c r="Z11">
        <v>10</v>
      </c>
    </row>
    <row r="12" spans="1:26" x14ac:dyDescent="0.3">
      <c r="A12">
        <v>10</v>
      </c>
      <c r="B12">
        <v>50</v>
      </c>
      <c r="C12" t="s">
        <v>26</v>
      </c>
      <c r="D12">
        <v>10.7585</v>
      </c>
      <c r="E12">
        <v>9.3000000000000007</v>
      </c>
      <c r="F12">
        <v>6.95</v>
      </c>
      <c r="G12">
        <v>29.78</v>
      </c>
      <c r="H12">
        <v>0.56000000000000005</v>
      </c>
      <c r="I12">
        <v>14</v>
      </c>
      <c r="J12">
        <v>110.59</v>
      </c>
      <c r="K12">
        <v>41.65</v>
      </c>
      <c r="L12">
        <v>3.5</v>
      </c>
      <c r="M12">
        <v>12</v>
      </c>
      <c r="N12">
        <v>15.44</v>
      </c>
      <c r="O12">
        <v>13873.81</v>
      </c>
      <c r="P12">
        <v>62.02</v>
      </c>
      <c r="Q12">
        <v>204.15</v>
      </c>
      <c r="R12">
        <v>29.79</v>
      </c>
      <c r="S12">
        <v>17.37</v>
      </c>
      <c r="T12">
        <v>4069.45</v>
      </c>
      <c r="U12">
        <v>0.57999999999999996</v>
      </c>
      <c r="V12">
        <v>0.74</v>
      </c>
      <c r="W12">
        <v>1.1599999999999999</v>
      </c>
      <c r="X12">
        <v>0.26</v>
      </c>
      <c r="Y12">
        <v>1</v>
      </c>
      <c r="Z12">
        <v>10</v>
      </c>
    </row>
    <row r="13" spans="1:26" x14ac:dyDescent="0.3">
      <c r="A13">
        <v>11</v>
      </c>
      <c r="B13">
        <v>50</v>
      </c>
      <c r="C13" t="s">
        <v>26</v>
      </c>
      <c r="D13">
        <v>10.803699999999999</v>
      </c>
      <c r="E13">
        <v>9.26</v>
      </c>
      <c r="F13">
        <v>6.93</v>
      </c>
      <c r="G13">
        <v>31.99</v>
      </c>
      <c r="H13">
        <v>0.6</v>
      </c>
      <c r="I13">
        <v>13</v>
      </c>
      <c r="J13">
        <v>110.91</v>
      </c>
      <c r="K13">
        <v>41.65</v>
      </c>
      <c r="L13">
        <v>3.75</v>
      </c>
      <c r="M13">
        <v>11</v>
      </c>
      <c r="N13">
        <v>15.51</v>
      </c>
      <c r="O13">
        <v>13913.15</v>
      </c>
      <c r="P13">
        <v>61.53</v>
      </c>
      <c r="Q13">
        <v>204.16</v>
      </c>
      <c r="R13">
        <v>29.29</v>
      </c>
      <c r="S13">
        <v>17.37</v>
      </c>
      <c r="T13">
        <v>3819.96</v>
      </c>
      <c r="U13">
        <v>0.59</v>
      </c>
      <c r="V13">
        <v>0.74</v>
      </c>
      <c r="W13">
        <v>1.1599999999999999</v>
      </c>
      <c r="X13">
        <v>0.24</v>
      </c>
      <c r="Y13">
        <v>1</v>
      </c>
      <c r="Z13">
        <v>10</v>
      </c>
    </row>
    <row r="14" spans="1:26" x14ac:dyDescent="0.3">
      <c r="A14">
        <v>12</v>
      </c>
      <c r="B14">
        <v>50</v>
      </c>
      <c r="C14" t="s">
        <v>26</v>
      </c>
      <c r="D14">
        <v>10.8538</v>
      </c>
      <c r="E14">
        <v>9.2100000000000009</v>
      </c>
      <c r="F14">
        <v>6.91</v>
      </c>
      <c r="G14">
        <v>34.549999999999997</v>
      </c>
      <c r="H14">
        <v>0.63</v>
      </c>
      <c r="I14">
        <v>12</v>
      </c>
      <c r="J14">
        <v>111.23</v>
      </c>
      <c r="K14">
        <v>41.65</v>
      </c>
      <c r="L14">
        <v>4</v>
      </c>
      <c r="M14">
        <v>10</v>
      </c>
      <c r="N14">
        <v>15.58</v>
      </c>
      <c r="O14">
        <v>13952.52</v>
      </c>
      <c r="P14">
        <v>61.02</v>
      </c>
      <c r="Q14">
        <v>204.15</v>
      </c>
      <c r="R14">
        <v>28.71</v>
      </c>
      <c r="S14">
        <v>17.37</v>
      </c>
      <c r="T14">
        <v>3534.87</v>
      </c>
      <c r="U14">
        <v>0.61</v>
      </c>
      <c r="V14">
        <v>0.74</v>
      </c>
      <c r="W14">
        <v>1.1499999999999999</v>
      </c>
      <c r="X14">
        <v>0.22</v>
      </c>
      <c r="Y14">
        <v>1</v>
      </c>
      <c r="Z14">
        <v>10</v>
      </c>
    </row>
    <row r="15" spans="1:26" x14ac:dyDescent="0.3">
      <c r="A15">
        <v>13</v>
      </c>
      <c r="B15">
        <v>50</v>
      </c>
      <c r="C15" t="s">
        <v>26</v>
      </c>
      <c r="D15">
        <v>10.8561</v>
      </c>
      <c r="E15">
        <v>9.2100000000000009</v>
      </c>
      <c r="F15">
        <v>6.91</v>
      </c>
      <c r="G15">
        <v>34.54</v>
      </c>
      <c r="H15">
        <v>0.67</v>
      </c>
      <c r="I15">
        <v>12</v>
      </c>
      <c r="J15">
        <v>111.55</v>
      </c>
      <c r="K15">
        <v>41.65</v>
      </c>
      <c r="L15">
        <v>4.25</v>
      </c>
      <c r="M15">
        <v>10</v>
      </c>
      <c r="N15">
        <v>15.65</v>
      </c>
      <c r="O15">
        <v>13991.91</v>
      </c>
      <c r="P15">
        <v>60.54</v>
      </c>
      <c r="Q15">
        <v>204.14</v>
      </c>
      <c r="R15">
        <v>28.63</v>
      </c>
      <c r="S15">
        <v>17.37</v>
      </c>
      <c r="T15">
        <v>3498.47</v>
      </c>
      <c r="U15">
        <v>0.61</v>
      </c>
      <c r="V15">
        <v>0.74</v>
      </c>
      <c r="W15">
        <v>1.1499999999999999</v>
      </c>
      <c r="X15">
        <v>0.22</v>
      </c>
      <c r="Y15">
        <v>1</v>
      </c>
      <c r="Z15">
        <v>10</v>
      </c>
    </row>
    <row r="16" spans="1:26" x14ac:dyDescent="0.3">
      <c r="A16">
        <v>14</v>
      </c>
      <c r="B16">
        <v>50</v>
      </c>
      <c r="C16" t="s">
        <v>26</v>
      </c>
      <c r="D16">
        <v>10.9117</v>
      </c>
      <c r="E16">
        <v>9.16</v>
      </c>
      <c r="F16">
        <v>6.88</v>
      </c>
      <c r="G16">
        <v>37.549999999999997</v>
      </c>
      <c r="H16">
        <v>0.71</v>
      </c>
      <c r="I16">
        <v>11</v>
      </c>
      <c r="J16">
        <v>111.87</v>
      </c>
      <c r="K16">
        <v>41.65</v>
      </c>
      <c r="L16">
        <v>4.5</v>
      </c>
      <c r="M16">
        <v>9</v>
      </c>
      <c r="N16">
        <v>15.72</v>
      </c>
      <c r="O16">
        <v>14031.33</v>
      </c>
      <c r="P16">
        <v>60</v>
      </c>
      <c r="Q16">
        <v>204.14</v>
      </c>
      <c r="R16">
        <v>27.78</v>
      </c>
      <c r="S16">
        <v>17.37</v>
      </c>
      <c r="T16">
        <v>3078.84</v>
      </c>
      <c r="U16">
        <v>0.63</v>
      </c>
      <c r="V16">
        <v>0.74</v>
      </c>
      <c r="W16">
        <v>1.1499999999999999</v>
      </c>
      <c r="X16">
        <v>0.19</v>
      </c>
      <c r="Y16">
        <v>1</v>
      </c>
      <c r="Z16">
        <v>10</v>
      </c>
    </row>
    <row r="17" spans="1:26" x14ac:dyDescent="0.3">
      <c r="A17">
        <v>15</v>
      </c>
      <c r="B17">
        <v>50</v>
      </c>
      <c r="C17" t="s">
        <v>26</v>
      </c>
      <c r="D17">
        <v>10.9589</v>
      </c>
      <c r="E17">
        <v>9.1199999999999992</v>
      </c>
      <c r="F17">
        <v>6.87</v>
      </c>
      <c r="G17">
        <v>41.2</v>
      </c>
      <c r="H17">
        <v>0.75</v>
      </c>
      <c r="I17">
        <v>10</v>
      </c>
      <c r="J17">
        <v>112.19</v>
      </c>
      <c r="K17">
        <v>41.65</v>
      </c>
      <c r="L17">
        <v>4.75</v>
      </c>
      <c r="M17">
        <v>8</v>
      </c>
      <c r="N17">
        <v>15.79</v>
      </c>
      <c r="O17">
        <v>14070.77</v>
      </c>
      <c r="P17">
        <v>59.12</v>
      </c>
      <c r="Q17">
        <v>204.15</v>
      </c>
      <c r="R17">
        <v>27.24</v>
      </c>
      <c r="S17">
        <v>17.37</v>
      </c>
      <c r="T17">
        <v>2811.34</v>
      </c>
      <c r="U17">
        <v>0.64</v>
      </c>
      <c r="V17">
        <v>0.74</v>
      </c>
      <c r="W17">
        <v>1.1499999999999999</v>
      </c>
      <c r="X17">
        <v>0.17</v>
      </c>
      <c r="Y17">
        <v>1</v>
      </c>
      <c r="Z17">
        <v>10</v>
      </c>
    </row>
    <row r="18" spans="1:26" x14ac:dyDescent="0.3">
      <c r="A18">
        <v>16</v>
      </c>
      <c r="B18">
        <v>50</v>
      </c>
      <c r="C18" t="s">
        <v>26</v>
      </c>
      <c r="D18">
        <v>10.9526</v>
      </c>
      <c r="E18">
        <v>9.1300000000000008</v>
      </c>
      <c r="F18">
        <v>6.87</v>
      </c>
      <c r="G18">
        <v>41.23</v>
      </c>
      <c r="H18">
        <v>0.78</v>
      </c>
      <c r="I18">
        <v>10</v>
      </c>
      <c r="J18">
        <v>112.51</v>
      </c>
      <c r="K18">
        <v>41.65</v>
      </c>
      <c r="L18">
        <v>5</v>
      </c>
      <c r="M18">
        <v>8</v>
      </c>
      <c r="N18">
        <v>15.86</v>
      </c>
      <c r="O18">
        <v>14110.24</v>
      </c>
      <c r="P18">
        <v>59.09</v>
      </c>
      <c r="Q18">
        <v>204.17</v>
      </c>
      <c r="R18">
        <v>27.42</v>
      </c>
      <c r="S18">
        <v>17.37</v>
      </c>
      <c r="T18">
        <v>2901.6</v>
      </c>
      <c r="U18">
        <v>0.63</v>
      </c>
      <c r="V18">
        <v>0.74</v>
      </c>
      <c r="W18">
        <v>1.1499999999999999</v>
      </c>
      <c r="X18">
        <v>0.18</v>
      </c>
      <c r="Y18">
        <v>1</v>
      </c>
      <c r="Z18">
        <v>10</v>
      </c>
    </row>
    <row r="19" spans="1:26" x14ac:dyDescent="0.3">
      <c r="A19">
        <v>17</v>
      </c>
      <c r="B19">
        <v>50</v>
      </c>
      <c r="C19" t="s">
        <v>26</v>
      </c>
      <c r="D19">
        <v>11.005100000000001</v>
      </c>
      <c r="E19">
        <v>9.09</v>
      </c>
      <c r="F19">
        <v>6.85</v>
      </c>
      <c r="G19">
        <v>45.67</v>
      </c>
      <c r="H19">
        <v>0.82</v>
      </c>
      <c r="I19">
        <v>9</v>
      </c>
      <c r="J19">
        <v>112.83</v>
      </c>
      <c r="K19">
        <v>41.65</v>
      </c>
      <c r="L19">
        <v>5.25</v>
      </c>
      <c r="M19">
        <v>7</v>
      </c>
      <c r="N19">
        <v>15.93</v>
      </c>
      <c r="O19">
        <v>14149.74</v>
      </c>
      <c r="P19">
        <v>58.29</v>
      </c>
      <c r="Q19">
        <v>204.16</v>
      </c>
      <c r="R19">
        <v>26.76</v>
      </c>
      <c r="S19">
        <v>17.37</v>
      </c>
      <c r="T19">
        <v>2577.4699999999998</v>
      </c>
      <c r="U19">
        <v>0.65</v>
      </c>
      <c r="V19">
        <v>0.75</v>
      </c>
      <c r="W19">
        <v>1.1499999999999999</v>
      </c>
      <c r="X19">
        <v>0.16</v>
      </c>
      <c r="Y19">
        <v>1</v>
      </c>
      <c r="Z19">
        <v>10</v>
      </c>
    </row>
    <row r="20" spans="1:26" x14ac:dyDescent="0.3">
      <c r="A20">
        <v>18</v>
      </c>
      <c r="B20">
        <v>50</v>
      </c>
      <c r="C20" t="s">
        <v>26</v>
      </c>
      <c r="D20">
        <v>10.994400000000001</v>
      </c>
      <c r="E20">
        <v>9.1</v>
      </c>
      <c r="F20">
        <v>6.86</v>
      </c>
      <c r="G20">
        <v>45.73</v>
      </c>
      <c r="H20">
        <v>0.86</v>
      </c>
      <c r="I20">
        <v>9</v>
      </c>
      <c r="J20">
        <v>113.15</v>
      </c>
      <c r="K20">
        <v>41.65</v>
      </c>
      <c r="L20">
        <v>5.5</v>
      </c>
      <c r="M20">
        <v>7</v>
      </c>
      <c r="N20">
        <v>16</v>
      </c>
      <c r="O20">
        <v>14189.26</v>
      </c>
      <c r="P20">
        <v>58.69</v>
      </c>
      <c r="Q20">
        <v>204.14</v>
      </c>
      <c r="R20">
        <v>27.06</v>
      </c>
      <c r="S20">
        <v>17.37</v>
      </c>
      <c r="T20">
        <v>2728.1</v>
      </c>
      <c r="U20">
        <v>0.64</v>
      </c>
      <c r="V20">
        <v>0.74</v>
      </c>
      <c r="W20">
        <v>1.1499999999999999</v>
      </c>
      <c r="X20">
        <v>0.17</v>
      </c>
      <c r="Y20">
        <v>1</v>
      </c>
      <c r="Z20">
        <v>10</v>
      </c>
    </row>
    <row r="21" spans="1:26" x14ac:dyDescent="0.3">
      <c r="A21">
        <v>19</v>
      </c>
      <c r="B21">
        <v>50</v>
      </c>
      <c r="C21" t="s">
        <v>26</v>
      </c>
      <c r="D21">
        <v>10.9954</v>
      </c>
      <c r="E21">
        <v>9.09</v>
      </c>
      <c r="F21">
        <v>6.86</v>
      </c>
      <c r="G21">
        <v>45.72</v>
      </c>
      <c r="H21">
        <v>0.89</v>
      </c>
      <c r="I21">
        <v>9</v>
      </c>
      <c r="J21">
        <v>113.47</v>
      </c>
      <c r="K21">
        <v>41.65</v>
      </c>
      <c r="L21">
        <v>5.75</v>
      </c>
      <c r="M21">
        <v>7</v>
      </c>
      <c r="N21">
        <v>16.07</v>
      </c>
      <c r="O21">
        <v>14228.81</v>
      </c>
      <c r="P21">
        <v>57.91</v>
      </c>
      <c r="Q21">
        <v>204.14</v>
      </c>
      <c r="R21">
        <v>27.06</v>
      </c>
      <c r="S21">
        <v>17.37</v>
      </c>
      <c r="T21">
        <v>2726.3</v>
      </c>
      <c r="U21">
        <v>0.64</v>
      </c>
      <c r="V21">
        <v>0.74</v>
      </c>
      <c r="W21">
        <v>1.1499999999999999</v>
      </c>
      <c r="X21">
        <v>0.17</v>
      </c>
      <c r="Y21">
        <v>1</v>
      </c>
      <c r="Z21">
        <v>10</v>
      </c>
    </row>
    <row r="22" spans="1:26" x14ac:dyDescent="0.3">
      <c r="A22">
        <v>20</v>
      </c>
      <c r="B22">
        <v>50</v>
      </c>
      <c r="C22" t="s">
        <v>26</v>
      </c>
      <c r="D22">
        <v>11.069100000000001</v>
      </c>
      <c r="E22">
        <v>9.0299999999999994</v>
      </c>
      <c r="F22">
        <v>6.82</v>
      </c>
      <c r="G22">
        <v>51.15</v>
      </c>
      <c r="H22">
        <v>0.93</v>
      </c>
      <c r="I22">
        <v>8</v>
      </c>
      <c r="J22">
        <v>113.79</v>
      </c>
      <c r="K22">
        <v>41.65</v>
      </c>
      <c r="L22">
        <v>6</v>
      </c>
      <c r="M22">
        <v>6</v>
      </c>
      <c r="N22">
        <v>16.14</v>
      </c>
      <c r="O22">
        <v>14268.39</v>
      </c>
      <c r="P22">
        <v>57.14</v>
      </c>
      <c r="Q22">
        <v>204.14</v>
      </c>
      <c r="R22">
        <v>25.84</v>
      </c>
      <c r="S22">
        <v>17.37</v>
      </c>
      <c r="T22">
        <v>2124.2600000000002</v>
      </c>
      <c r="U22">
        <v>0.67</v>
      </c>
      <c r="V22">
        <v>0.75</v>
      </c>
      <c r="W22">
        <v>1.1499999999999999</v>
      </c>
      <c r="X22">
        <v>0.13</v>
      </c>
      <c r="Y22">
        <v>1</v>
      </c>
      <c r="Z22">
        <v>10</v>
      </c>
    </row>
    <row r="23" spans="1:26" x14ac:dyDescent="0.3">
      <c r="A23">
        <v>21</v>
      </c>
      <c r="B23">
        <v>50</v>
      </c>
      <c r="C23" t="s">
        <v>26</v>
      </c>
      <c r="D23">
        <v>11.0541</v>
      </c>
      <c r="E23">
        <v>9.0500000000000007</v>
      </c>
      <c r="F23">
        <v>6.83</v>
      </c>
      <c r="G23">
        <v>51.24</v>
      </c>
      <c r="H23">
        <v>0.97</v>
      </c>
      <c r="I23">
        <v>8</v>
      </c>
      <c r="J23">
        <v>114.11</v>
      </c>
      <c r="K23">
        <v>41.65</v>
      </c>
      <c r="L23">
        <v>6.25</v>
      </c>
      <c r="M23">
        <v>6</v>
      </c>
      <c r="N23">
        <v>16.21</v>
      </c>
      <c r="O23">
        <v>14307.99</v>
      </c>
      <c r="P23">
        <v>56.6</v>
      </c>
      <c r="Q23">
        <v>204.14</v>
      </c>
      <c r="R23">
        <v>26.3</v>
      </c>
      <c r="S23">
        <v>17.37</v>
      </c>
      <c r="T23">
        <v>2350.63</v>
      </c>
      <c r="U23">
        <v>0.66</v>
      </c>
      <c r="V23">
        <v>0.75</v>
      </c>
      <c r="W23">
        <v>1.1499999999999999</v>
      </c>
      <c r="X23">
        <v>0.14000000000000001</v>
      </c>
      <c r="Y23">
        <v>1</v>
      </c>
      <c r="Z23">
        <v>10</v>
      </c>
    </row>
    <row r="24" spans="1:26" x14ac:dyDescent="0.3">
      <c r="A24">
        <v>22</v>
      </c>
      <c r="B24">
        <v>50</v>
      </c>
      <c r="C24" t="s">
        <v>26</v>
      </c>
      <c r="D24">
        <v>11.0626</v>
      </c>
      <c r="E24">
        <v>9.0399999999999991</v>
      </c>
      <c r="F24">
        <v>6.83</v>
      </c>
      <c r="G24">
        <v>51.19</v>
      </c>
      <c r="H24">
        <v>1</v>
      </c>
      <c r="I24">
        <v>8</v>
      </c>
      <c r="J24">
        <v>114.44</v>
      </c>
      <c r="K24">
        <v>41.65</v>
      </c>
      <c r="L24">
        <v>6.5</v>
      </c>
      <c r="M24">
        <v>6</v>
      </c>
      <c r="N24">
        <v>16.29</v>
      </c>
      <c r="O24">
        <v>14347.62</v>
      </c>
      <c r="P24">
        <v>56.12</v>
      </c>
      <c r="Q24">
        <v>204.14</v>
      </c>
      <c r="R24">
        <v>26.09</v>
      </c>
      <c r="S24">
        <v>17.37</v>
      </c>
      <c r="T24">
        <v>2247.7199999999998</v>
      </c>
      <c r="U24">
        <v>0.67</v>
      </c>
      <c r="V24">
        <v>0.75</v>
      </c>
      <c r="W24">
        <v>1.1499999999999999</v>
      </c>
      <c r="X24">
        <v>0.13</v>
      </c>
      <c r="Y24">
        <v>1</v>
      </c>
      <c r="Z24">
        <v>10</v>
      </c>
    </row>
    <row r="25" spans="1:26" x14ac:dyDescent="0.3">
      <c r="A25">
        <v>23</v>
      </c>
      <c r="B25">
        <v>50</v>
      </c>
      <c r="C25" t="s">
        <v>26</v>
      </c>
      <c r="D25">
        <v>11.123100000000001</v>
      </c>
      <c r="E25">
        <v>8.99</v>
      </c>
      <c r="F25">
        <v>6.8</v>
      </c>
      <c r="G25">
        <v>58.27</v>
      </c>
      <c r="H25">
        <v>1.04</v>
      </c>
      <c r="I25">
        <v>7</v>
      </c>
      <c r="J25">
        <v>114.76</v>
      </c>
      <c r="K25">
        <v>41.65</v>
      </c>
      <c r="L25">
        <v>6.75</v>
      </c>
      <c r="M25">
        <v>5</v>
      </c>
      <c r="N25">
        <v>16.36</v>
      </c>
      <c r="O25">
        <v>14387.27</v>
      </c>
      <c r="P25">
        <v>55.71</v>
      </c>
      <c r="Q25">
        <v>204.14</v>
      </c>
      <c r="R25">
        <v>25.21</v>
      </c>
      <c r="S25">
        <v>17.37</v>
      </c>
      <c r="T25">
        <v>1811.29</v>
      </c>
      <c r="U25">
        <v>0.69</v>
      </c>
      <c r="V25">
        <v>0.75</v>
      </c>
      <c r="W25">
        <v>1.1499999999999999</v>
      </c>
      <c r="X25">
        <v>0.11</v>
      </c>
      <c r="Y25">
        <v>1</v>
      </c>
      <c r="Z25">
        <v>10</v>
      </c>
    </row>
    <row r="26" spans="1:26" x14ac:dyDescent="0.3">
      <c r="A26">
        <v>24</v>
      </c>
      <c r="B26">
        <v>50</v>
      </c>
      <c r="C26" t="s">
        <v>26</v>
      </c>
      <c r="D26">
        <v>11.1084</v>
      </c>
      <c r="E26">
        <v>9</v>
      </c>
      <c r="F26">
        <v>6.81</v>
      </c>
      <c r="G26">
        <v>58.38</v>
      </c>
      <c r="H26">
        <v>1.07</v>
      </c>
      <c r="I26">
        <v>7</v>
      </c>
      <c r="J26">
        <v>115.08</v>
      </c>
      <c r="K26">
        <v>41.65</v>
      </c>
      <c r="L26">
        <v>7</v>
      </c>
      <c r="M26">
        <v>5</v>
      </c>
      <c r="N26">
        <v>16.43</v>
      </c>
      <c r="O26">
        <v>14426.96</v>
      </c>
      <c r="P26">
        <v>55.78</v>
      </c>
      <c r="Q26">
        <v>204.15</v>
      </c>
      <c r="R26">
        <v>25.56</v>
      </c>
      <c r="S26">
        <v>17.37</v>
      </c>
      <c r="T26">
        <v>1989.41</v>
      </c>
      <c r="U26">
        <v>0.68</v>
      </c>
      <c r="V26">
        <v>0.75</v>
      </c>
      <c r="W26">
        <v>1.1499999999999999</v>
      </c>
      <c r="X26">
        <v>0.12</v>
      </c>
      <c r="Y26">
        <v>1</v>
      </c>
      <c r="Z26">
        <v>10</v>
      </c>
    </row>
    <row r="27" spans="1:26" x14ac:dyDescent="0.3">
      <c r="A27">
        <v>25</v>
      </c>
      <c r="B27">
        <v>50</v>
      </c>
      <c r="C27" t="s">
        <v>26</v>
      </c>
      <c r="D27">
        <v>11.106299999999999</v>
      </c>
      <c r="E27">
        <v>9</v>
      </c>
      <c r="F27">
        <v>6.81</v>
      </c>
      <c r="G27">
        <v>58.39</v>
      </c>
      <c r="H27">
        <v>1.1100000000000001</v>
      </c>
      <c r="I27">
        <v>7</v>
      </c>
      <c r="J27">
        <v>115.4</v>
      </c>
      <c r="K27">
        <v>41.65</v>
      </c>
      <c r="L27">
        <v>7.25</v>
      </c>
      <c r="M27">
        <v>5</v>
      </c>
      <c r="N27">
        <v>16.5</v>
      </c>
      <c r="O27">
        <v>14466.67</v>
      </c>
      <c r="P27">
        <v>55.34</v>
      </c>
      <c r="Q27">
        <v>204.14</v>
      </c>
      <c r="R27">
        <v>25.61</v>
      </c>
      <c r="S27">
        <v>17.37</v>
      </c>
      <c r="T27">
        <v>2013.96</v>
      </c>
      <c r="U27">
        <v>0.68</v>
      </c>
      <c r="V27">
        <v>0.75</v>
      </c>
      <c r="W27">
        <v>1.1499999999999999</v>
      </c>
      <c r="X27">
        <v>0.12</v>
      </c>
      <c r="Y27">
        <v>1</v>
      </c>
      <c r="Z27">
        <v>10</v>
      </c>
    </row>
    <row r="28" spans="1:26" x14ac:dyDescent="0.3">
      <c r="A28">
        <v>26</v>
      </c>
      <c r="B28">
        <v>50</v>
      </c>
      <c r="C28" t="s">
        <v>26</v>
      </c>
      <c r="D28">
        <v>11.0998</v>
      </c>
      <c r="E28">
        <v>9.01</v>
      </c>
      <c r="F28">
        <v>6.82</v>
      </c>
      <c r="G28">
        <v>58.44</v>
      </c>
      <c r="H28">
        <v>1.1399999999999999</v>
      </c>
      <c r="I28">
        <v>7</v>
      </c>
      <c r="J28">
        <v>115.72</v>
      </c>
      <c r="K28">
        <v>41.65</v>
      </c>
      <c r="L28">
        <v>7.5</v>
      </c>
      <c r="M28">
        <v>5</v>
      </c>
      <c r="N28">
        <v>16.57</v>
      </c>
      <c r="O28">
        <v>14506.4</v>
      </c>
      <c r="P28">
        <v>54.88</v>
      </c>
      <c r="Q28">
        <v>204.21</v>
      </c>
      <c r="R28">
        <v>25.83</v>
      </c>
      <c r="S28">
        <v>17.37</v>
      </c>
      <c r="T28">
        <v>2121.58</v>
      </c>
      <c r="U28">
        <v>0.67</v>
      </c>
      <c r="V28">
        <v>0.75</v>
      </c>
      <c r="W28">
        <v>1.1499999999999999</v>
      </c>
      <c r="X28">
        <v>0.13</v>
      </c>
      <c r="Y28">
        <v>1</v>
      </c>
      <c r="Z28">
        <v>10</v>
      </c>
    </row>
    <row r="29" spans="1:26" x14ac:dyDescent="0.3">
      <c r="A29">
        <v>27</v>
      </c>
      <c r="B29">
        <v>50</v>
      </c>
      <c r="C29" t="s">
        <v>26</v>
      </c>
      <c r="D29">
        <v>11.1676</v>
      </c>
      <c r="E29">
        <v>8.9499999999999993</v>
      </c>
      <c r="F29">
        <v>6.79</v>
      </c>
      <c r="G29">
        <v>67.849999999999994</v>
      </c>
      <c r="H29">
        <v>1.18</v>
      </c>
      <c r="I29">
        <v>6</v>
      </c>
      <c r="J29">
        <v>116.05</v>
      </c>
      <c r="K29">
        <v>41.65</v>
      </c>
      <c r="L29">
        <v>7.75</v>
      </c>
      <c r="M29">
        <v>4</v>
      </c>
      <c r="N29">
        <v>16.649999999999999</v>
      </c>
      <c r="O29">
        <v>14546.17</v>
      </c>
      <c r="P29">
        <v>53.73</v>
      </c>
      <c r="Q29">
        <v>204.15</v>
      </c>
      <c r="R29">
        <v>24.71</v>
      </c>
      <c r="S29">
        <v>17.37</v>
      </c>
      <c r="T29">
        <v>1567.4</v>
      </c>
      <c r="U29">
        <v>0.7</v>
      </c>
      <c r="V29">
        <v>0.75</v>
      </c>
      <c r="W29">
        <v>1.1499999999999999</v>
      </c>
      <c r="X29">
        <v>0.09</v>
      </c>
      <c r="Y29">
        <v>1</v>
      </c>
      <c r="Z29">
        <v>10</v>
      </c>
    </row>
    <row r="30" spans="1:26" x14ac:dyDescent="0.3">
      <c r="A30">
        <v>28</v>
      </c>
      <c r="B30">
        <v>50</v>
      </c>
      <c r="C30" t="s">
        <v>26</v>
      </c>
      <c r="D30">
        <v>11.162800000000001</v>
      </c>
      <c r="E30">
        <v>8.9600000000000009</v>
      </c>
      <c r="F30">
        <v>6.79</v>
      </c>
      <c r="G30">
        <v>67.89</v>
      </c>
      <c r="H30">
        <v>1.21</v>
      </c>
      <c r="I30">
        <v>6</v>
      </c>
      <c r="J30">
        <v>116.37</v>
      </c>
      <c r="K30">
        <v>41.65</v>
      </c>
      <c r="L30">
        <v>8</v>
      </c>
      <c r="M30">
        <v>4</v>
      </c>
      <c r="N30">
        <v>16.72</v>
      </c>
      <c r="O30">
        <v>14585.96</v>
      </c>
      <c r="P30">
        <v>53.76</v>
      </c>
      <c r="Q30">
        <v>204.14</v>
      </c>
      <c r="R30">
        <v>24.8</v>
      </c>
      <c r="S30">
        <v>17.37</v>
      </c>
      <c r="T30">
        <v>1614.09</v>
      </c>
      <c r="U30">
        <v>0.7</v>
      </c>
      <c r="V30">
        <v>0.75</v>
      </c>
      <c r="W30">
        <v>1.1499999999999999</v>
      </c>
      <c r="X30">
        <v>0.1</v>
      </c>
      <c r="Y30">
        <v>1</v>
      </c>
      <c r="Z30">
        <v>10</v>
      </c>
    </row>
    <row r="31" spans="1:26" x14ac:dyDescent="0.3">
      <c r="A31">
        <v>29</v>
      </c>
      <c r="B31">
        <v>50</v>
      </c>
      <c r="C31" t="s">
        <v>26</v>
      </c>
      <c r="D31">
        <v>11.1676</v>
      </c>
      <c r="E31">
        <v>8.9499999999999993</v>
      </c>
      <c r="F31">
        <v>6.79</v>
      </c>
      <c r="G31">
        <v>67.849999999999994</v>
      </c>
      <c r="H31">
        <v>1.25</v>
      </c>
      <c r="I31">
        <v>6</v>
      </c>
      <c r="J31">
        <v>116.69</v>
      </c>
      <c r="K31">
        <v>41.65</v>
      </c>
      <c r="L31">
        <v>8.25</v>
      </c>
      <c r="M31">
        <v>3</v>
      </c>
      <c r="N31">
        <v>16.79</v>
      </c>
      <c r="O31">
        <v>14625.77</v>
      </c>
      <c r="P31">
        <v>53.52</v>
      </c>
      <c r="Q31">
        <v>204.14</v>
      </c>
      <c r="R31">
        <v>24.68</v>
      </c>
      <c r="S31">
        <v>17.37</v>
      </c>
      <c r="T31">
        <v>1551.65</v>
      </c>
      <c r="U31">
        <v>0.7</v>
      </c>
      <c r="V31">
        <v>0.75</v>
      </c>
      <c r="W31">
        <v>1.1499999999999999</v>
      </c>
      <c r="X31">
        <v>0.09</v>
      </c>
      <c r="Y31">
        <v>1</v>
      </c>
      <c r="Z31">
        <v>10</v>
      </c>
    </row>
    <row r="32" spans="1:26" x14ac:dyDescent="0.3">
      <c r="A32">
        <v>30</v>
      </c>
      <c r="B32">
        <v>50</v>
      </c>
      <c r="C32" t="s">
        <v>26</v>
      </c>
      <c r="D32">
        <v>11.1663</v>
      </c>
      <c r="E32">
        <v>8.9600000000000009</v>
      </c>
      <c r="F32">
        <v>6.79</v>
      </c>
      <c r="G32">
        <v>67.86</v>
      </c>
      <c r="H32">
        <v>1.28</v>
      </c>
      <c r="I32">
        <v>6</v>
      </c>
      <c r="J32">
        <v>117.01</v>
      </c>
      <c r="K32">
        <v>41.65</v>
      </c>
      <c r="L32">
        <v>8.5</v>
      </c>
      <c r="M32">
        <v>3</v>
      </c>
      <c r="N32">
        <v>16.86</v>
      </c>
      <c r="O32">
        <v>14665.62</v>
      </c>
      <c r="P32">
        <v>52.97</v>
      </c>
      <c r="Q32">
        <v>204.14</v>
      </c>
      <c r="R32">
        <v>24.81</v>
      </c>
      <c r="S32">
        <v>17.37</v>
      </c>
      <c r="T32">
        <v>1617.19</v>
      </c>
      <c r="U32">
        <v>0.7</v>
      </c>
      <c r="V32">
        <v>0.75</v>
      </c>
      <c r="W32">
        <v>1.1499999999999999</v>
      </c>
      <c r="X32">
        <v>0.1</v>
      </c>
      <c r="Y32">
        <v>1</v>
      </c>
      <c r="Z32">
        <v>10</v>
      </c>
    </row>
    <row r="33" spans="1:26" x14ac:dyDescent="0.3">
      <c r="A33">
        <v>31</v>
      </c>
      <c r="B33">
        <v>50</v>
      </c>
      <c r="C33" t="s">
        <v>26</v>
      </c>
      <c r="D33">
        <v>11.155200000000001</v>
      </c>
      <c r="E33">
        <v>8.9600000000000009</v>
      </c>
      <c r="F33">
        <v>6.79</v>
      </c>
      <c r="G33">
        <v>67.95</v>
      </c>
      <c r="H33">
        <v>1.32</v>
      </c>
      <c r="I33">
        <v>6</v>
      </c>
      <c r="J33">
        <v>117.34</v>
      </c>
      <c r="K33">
        <v>41.65</v>
      </c>
      <c r="L33">
        <v>8.75</v>
      </c>
      <c r="M33">
        <v>2</v>
      </c>
      <c r="N33">
        <v>16.940000000000001</v>
      </c>
      <c r="O33">
        <v>14705.49</v>
      </c>
      <c r="P33">
        <v>52.95</v>
      </c>
      <c r="Q33">
        <v>204.14</v>
      </c>
      <c r="R33">
        <v>25.02</v>
      </c>
      <c r="S33">
        <v>17.37</v>
      </c>
      <c r="T33">
        <v>1724.78</v>
      </c>
      <c r="U33">
        <v>0.69</v>
      </c>
      <c r="V33">
        <v>0.75</v>
      </c>
      <c r="W33">
        <v>1.1499999999999999</v>
      </c>
      <c r="X33">
        <v>0.1</v>
      </c>
      <c r="Y33">
        <v>1</v>
      </c>
      <c r="Z33">
        <v>10</v>
      </c>
    </row>
    <row r="34" spans="1:26" x14ac:dyDescent="0.3">
      <c r="A34">
        <v>32</v>
      </c>
      <c r="B34">
        <v>50</v>
      </c>
      <c r="C34" t="s">
        <v>26</v>
      </c>
      <c r="D34">
        <v>11.1548</v>
      </c>
      <c r="E34">
        <v>8.9600000000000009</v>
      </c>
      <c r="F34">
        <v>6.8</v>
      </c>
      <c r="G34">
        <v>67.95</v>
      </c>
      <c r="H34">
        <v>1.35</v>
      </c>
      <c r="I34">
        <v>6</v>
      </c>
      <c r="J34">
        <v>117.66</v>
      </c>
      <c r="K34">
        <v>41.65</v>
      </c>
      <c r="L34">
        <v>9</v>
      </c>
      <c r="M34">
        <v>2</v>
      </c>
      <c r="N34">
        <v>17.010000000000002</v>
      </c>
      <c r="O34">
        <v>14745.39</v>
      </c>
      <c r="P34">
        <v>52.8</v>
      </c>
      <c r="Q34">
        <v>204.14</v>
      </c>
      <c r="R34">
        <v>25.1</v>
      </c>
      <c r="S34">
        <v>17.37</v>
      </c>
      <c r="T34">
        <v>1762.31</v>
      </c>
      <c r="U34">
        <v>0.69</v>
      </c>
      <c r="V34">
        <v>0.75</v>
      </c>
      <c r="W34">
        <v>1.1499999999999999</v>
      </c>
      <c r="X34">
        <v>0.1</v>
      </c>
      <c r="Y34">
        <v>1</v>
      </c>
      <c r="Z34">
        <v>10</v>
      </c>
    </row>
    <row r="35" spans="1:26" x14ac:dyDescent="0.3">
      <c r="A35">
        <v>33</v>
      </c>
      <c r="B35">
        <v>50</v>
      </c>
      <c r="C35" t="s">
        <v>26</v>
      </c>
      <c r="D35">
        <v>11.155200000000001</v>
      </c>
      <c r="E35">
        <v>8.9600000000000009</v>
      </c>
      <c r="F35">
        <v>6.79</v>
      </c>
      <c r="G35">
        <v>67.95</v>
      </c>
      <c r="H35">
        <v>1.38</v>
      </c>
      <c r="I35">
        <v>6</v>
      </c>
      <c r="J35">
        <v>117.98</v>
      </c>
      <c r="K35">
        <v>41.65</v>
      </c>
      <c r="L35">
        <v>9.25</v>
      </c>
      <c r="M35">
        <v>1</v>
      </c>
      <c r="N35">
        <v>17.079999999999998</v>
      </c>
      <c r="O35">
        <v>14785.31</v>
      </c>
      <c r="P35">
        <v>52.47</v>
      </c>
      <c r="Q35">
        <v>204.14</v>
      </c>
      <c r="R35">
        <v>25.02</v>
      </c>
      <c r="S35">
        <v>17.37</v>
      </c>
      <c r="T35">
        <v>1723.87</v>
      </c>
      <c r="U35">
        <v>0.69</v>
      </c>
      <c r="V35">
        <v>0.75</v>
      </c>
      <c r="W35">
        <v>1.1499999999999999</v>
      </c>
      <c r="X35">
        <v>0.1</v>
      </c>
      <c r="Y35">
        <v>1</v>
      </c>
      <c r="Z35">
        <v>10</v>
      </c>
    </row>
    <row r="36" spans="1:26" x14ac:dyDescent="0.3">
      <c r="A36">
        <v>34</v>
      </c>
      <c r="B36">
        <v>50</v>
      </c>
      <c r="C36" t="s">
        <v>26</v>
      </c>
      <c r="D36">
        <v>11.157299999999999</v>
      </c>
      <c r="E36">
        <v>8.9600000000000009</v>
      </c>
      <c r="F36">
        <v>6.79</v>
      </c>
      <c r="G36">
        <v>67.930000000000007</v>
      </c>
      <c r="H36">
        <v>1.42</v>
      </c>
      <c r="I36">
        <v>6</v>
      </c>
      <c r="J36">
        <v>118.31</v>
      </c>
      <c r="K36">
        <v>41.65</v>
      </c>
      <c r="L36">
        <v>9.5</v>
      </c>
      <c r="M36">
        <v>1</v>
      </c>
      <c r="N36">
        <v>17.16</v>
      </c>
      <c r="O36">
        <v>14825.26</v>
      </c>
      <c r="P36">
        <v>52.34</v>
      </c>
      <c r="Q36">
        <v>204.14</v>
      </c>
      <c r="R36">
        <v>25</v>
      </c>
      <c r="S36">
        <v>17.37</v>
      </c>
      <c r="T36">
        <v>1710.93</v>
      </c>
      <c r="U36">
        <v>0.7</v>
      </c>
      <c r="V36">
        <v>0.75</v>
      </c>
      <c r="W36">
        <v>1.1499999999999999</v>
      </c>
      <c r="X36">
        <v>0.1</v>
      </c>
      <c r="Y36">
        <v>1</v>
      </c>
      <c r="Z36">
        <v>10</v>
      </c>
    </row>
    <row r="37" spans="1:26" x14ac:dyDescent="0.3">
      <c r="A37">
        <v>35</v>
      </c>
      <c r="B37">
        <v>50</v>
      </c>
      <c r="C37" t="s">
        <v>26</v>
      </c>
      <c r="D37">
        <v>11.158300000000001</v>
      </c>
      <c r="E37">
        <v>8.9600000000000009</v>
      </c>
      <c r="F37">
        <v>6.79</v>
      </c>
      <c r="G37">
        <v>67.92</v>
      </c>
      <c r="H37">
        <v>1.45</v>
      </c>
      <c r="I37">
        <v>6</v>
      </c>
      <c r="J37">
        <v>118.63</v>
      </c>
      <c r="K37">
        <v>41.65</v>
      </c>
      <c r="L37">
        <v>9.75</v>
      </c>
      <c r="M37">
        <v>1</v>
      </c>
      <c r="N37">
        <v>17.23</v>
      </c>
      <c r="O37">
        <v>14865.24</v>
      </c>
      <c r="P37">
        <v>52.19</v>
      </c>
      <c r="Q37">
        <v>204.14</v>
      </c>
      <c r="R37">
        <v>24.9</v>
      </c>
      <c r="S37">
        <v>17.37</v>
      </c>
      <c r="T37">
        <v>1664.32</v>
      </c>
      <c r="U37">
        <v>0.7</v>
      </c>
      <c r="V37">
        <v>0.75</v>
      </c>
      <c r="W37">
        <v>1.1499999999999999</v>
      </c>
      <c r="X37">
        <v>0.1</v>
      </c>
      <c r="Y37">
        <v>1</v>
      </c>
      <c r="Z37">
        <v>10</v>
      </c>
    </row>
    <row r="38" spans="1:26" x14ac:dyDescent="0.3">
      <c r="A38">
        <v>36</v>
      </c>
      <c r="B38">
        <v>50</v>
      </c>
      <c r="C38" t="s">
        <v>26</v>
      </c>
      <c r="D38">
        <v>11.1586</v>
      </c>
      <c r="E38">
        <v>8.9600000000000009</v>
      </c>
      <c r="F38">
        <v>6.79</v>
      </c>
      <c r="G38">
        <v>67.92</v>
      </c>
      <c r="H38">
        <v>1.48</v>
      </c>
      <c r="I38">
        <v>6</v>
      </c>
      <c r="J38">
        <v>118.96</v>
      </c>
      <c r="K38">
        <v>41.65</v>
      </c>
      <c r="L38">
        <v>10</v>
      </c>
      <c r="M38">
        <v>0</v>
      </c>
      <c r="N38">
        <v>17.309999999999999</v>
      </c>
      <c r="O38">
        <v>14905.25</v>
      </c>
      <c r="P38">
        <v>52.21</v>
      </c>
      <c r="Q38">
        <v>204.14</v>
      </c>
      <c r="R38">
        <v>24.92</v>
      </c>
      <c r="S38">
        <v>17.37</v>
      </c>
      <c r="T38">
        <v>1672.37</v>
      </c>
      <c r="U38">
        <v>0.7</v>
      </c>
      <c r="V38">
        <v>0.75</v>
      </c>
      <c r="W38">
        <v>1.1499999999999999</v>
      </c>
      <c r="X38">
        <v>0.1</v>
      </c>
      <c r="Y38">
        <v>1</v>
      </c>
      <c r="Z3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Planilha20"/>
  <dimension ref="A1:Z13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25</v>
      </c>
      <c r="C2" t="s">
        <v>26</v>
      </c>
      <c r="D2">
        <v>10.404299999999999</v>
      </c>
      <c r="E2">
        <v>9.61</v>
      </c>
      <c r="F2">
        <v>7.34</v>
      </c>
      <c r="G2">
        <v>12.96</v>
      </c>
      <c r="H2">
        <v>0.28000000000000003</v>
      </c>
      <c r="I2">
        <v>34</v>
      </c>
      <c r="J2">
        <v>61.76</v>
      </c>
      <c r="K2">
        <v>28.92</v>
      </c>
      <c r="L2">
        <v>1</v>
      </c>
      <c r="M2">
        <v>32</v>
      </c>
      <c r="N2">
        <v>6.84</v>
      </c>
      <c r="O2">
        <v>7851.41</v>
      </c>
      <c r="P2">
        <v>45.91</v>
      </c>
      <c r="Q2">
        <v>204.15</v>
      </c>
      <c r="R2">
        <v>42.25</v>
      </c>
      <c r="S2">
        <v>17.37</v>
      </c>
      <c r="T2">
        <v>10197.17</v>
      </c>
      <c r="U2">
        <v>0.41</v>
      </c>
      <c r="V2">
        <v>0.7</v>
      </c>
      <c r="W2">
        <v>1.19</v>
      </c>
      <c r="X2">
        <v>0.65</v>
      </c>
      <c r="Y2">
        <v>1</v>
      </c>
      <c r="Z2">
        <v>10</v>
      </c>
    </row>
    <row r="3" spans="1:26" x14ac:dyDescent="0.3">
      <c r="A3">
        <v>1</v>
      </c>
      <c r="B3">
        <v>25</v>
      </c>
      <c r="C3" t="s">
        <v>26</v>
      </c>
      <c r="D3">
        <v>10.6553</v>
      </c>
      <c r="E3">
        <v>9.3800000000000008</v>
      </c>
      <c r="F3">
        <v>7.21</v>
      </c>
      <c r="G3">
        <v>16.03</v>
      </c>
      <c r="H3">
        <v>0.35</v>
      </c>
      <c r="I3">
        <v>27</v>
      </c>
      <c r="J3">
        <v>62.05</v>
      </c>
      <c r="K3">
        <v>28.92</v>
      </c>
      <c r="L3">
        <v>1.25</v>
      </c>
      <c r="M3">
        <v>25</v>
      </c>
      <c r="N3">
        <v>6.88</v>
      </c>
      <c r="O3">
        <v>7887.12</v>
      </c>
      <c r="P3">
        <v>44.45</v>
      </c>
      <c r="Q3">
        <v>204.19</v>
      </c>
      <c r="R3">
        <v>37.979999999999997</v>
      </c>
      <c r="S3">
        <v>17.37</v>
      </c>
      <c r="T3">
        <v>8095.35</v>
      </c>
      <c r="U3">
        <v>0.46</v>
      </c>
      <c r="V3">
        <v>0.71</v>
      </c>
      <c r="W3">
        <v>1.18</v>
      </c>
      <c r="X3">
        <v>0.52</v>
      </c>
      <c r="Y3">
        <v>1</v>
      </c>
      <c r="Z3">
        <v>10</v>
      </c>
    </row>
    <row r="4" spans="1:26" x14ac:dyDescent="0.3">
      <c r="A4">
        <v>2</v>
      </c>
      <c r="B4">
        <v>25</v>
      </c>
      <c r="C4" t="s">
        <v>26</v>
      </c>
      <c r="D4">
        <v>10.847300000000001</v>
      </c>
      <c r="E4">
        <v>9.2200000000000006</v>
      </c>
      <c r="F4">
        <v>7.12</v>
      </c>
      <c r="G4">
        <v>19.41</v>
      </c>
      <c r="H4">
        <v>0.42</v>
      </c>
      <c r="I4">
        <v>22</v>
      </c>
      <c r="J4">
        <v>62.34</v>
      </c>
      <c r="K4">
        <v>28.92</v>
      </c>
      <c r="L4">
        <v>1.5</v>
      </c>
      <c r="M4">
        <v>20</v>
      </c>
      <c r="N4">
        <v>6.92</v>
      </c>
      <c r="O4">
        <v>7922.85</v>
      </c>
      <c r="P4">
        <v>43.29</v>
      </c>
      <c r="Q4">
        <v>204.15</v>
      </c>
      <c r="R4">
        <v>35.090000000000003</v>
      </c>
      <c r="S4">
        <v>17.37</v>
      </c>
      <c r="T4">
        <v>6677.52</v>
      </c>
      <c r="U4">
        <v>0.5</v>
      </c>
      <c r="V4">
        <v>0.72</v>
      </c>
      <c r="W4">
        <v>1.17</v>
      </c>
      <c r="X4">
        <v>0.43</v>
      </c>
      <c r="Y4">
        <v>1</v>
      </c>
      <c r="Z4">
        <v>10</v>
      </c>
    </row>
    <row r="5" spans="1:26" x14ac:dyDescent="0.3">
      <c r="A5">
        <v>3</v>
      </c>
      <c r="B5">
        <v>25</v>
      </c>
      <c r="C5" t="s">
        <v>26</v>
      </c>
      <c r="D5">
        <v>10.98</v>
      </c>
      <c r="E5">
        <v>9.11</v>
      </c>
      <c r="F5">
        <v>7.05</v>
      </c>
      <c r="G5">
        <v>22.26</v>
      </c>
      <c r="H5">
        <v>0.49</v>
      </c>
      <c r="I5">
        <v>19</v>
      </c>
      <c r="J5">
        <v>62.63</v>
      </c>
      <c r="K5">
        <v>28.92</v>
      </c>
      <c r="L5">
        <v>1.75</v>
      </c>
      <c r="M5">
        <v>17</v>
      </c>
      <c r="N5">
        <v>6.96</v>
      </c>
      <c r="O5">
        <v>7958.6</v>
      </c>
      <c r="P5">
        <v>42.16</v>
      </c>
      <c r="Q5">
        <v>204.17</v>
      </c>
      <c r="R5">
        <v>32.97</v>
      </c>
      <c r="S5">
        <v>17.37</v>
      </c>
      <c r="T5">
        <v>5630.48</v>
      </c>
      <c r="U5">
        <v>0.53</v>
      </c>
      <c r="V5">
        <v>0.72</v>
      </c>
      <c r="W5">
        <v>1.1599999999999999</v>
      </c>
      <c r="X5">
        <v>0.36</v>
      </c>
      <c r="Y5">
        <v>1</v>
      </c>
      <c r="Z5">
        <v>10</v>
      </c>
    </row>
    <row r="6" spans="1:26" x14ac:dyDescent="0.3">
      <c r="A6">
        <v>4</v>
      </c>
      <c r="B6">
        <v>25</v>
      </c>
      <c r="C6" t="s">
        <v>26</v>
      </c>
      <c r="D6">
        <v>11.098100000000001</v>
      </c>
      <c r="E6">
        <v>9.01</v>
      </c>
      <c r="F6">
        <v>6.99</v>
      </c>
      <c r="G6">
        <v>26.22</v>
      </c>
      <c r="H6">
        <v>0.55000000000000004</v>
      </c>
      <c r="I6">
        <v>16</v>
      </c>
      <c r="J6">
        <v>62.92</v>
      </c>
      <c r="K6">
        <v>28.92</v>
      </c>
      <c r="L6">
        <v>2</v>
      </c>
      <c r="M6">
        <v>14</v>
      </c>
      <c r="N6">
        <v>7</v>
      </c>
      <c r="O6">
        <v>7994.37</v>
      </c>
      <c r="P6">
        <v>40.98</v>
      </c>
      <c r="Q6">
        <v>204.18</v>
      </c>
      <c r="R6">
        <v>31.38</v>
      </c>
      <c r="S6">
        <v>17.37</v>
      </c>
      <c r="T6">
        <v>4851.34</v>
      </c>
      <c r="U6">
        <v>0.55000000000000004</v>
      </c>
      <c r="V6">
        <v>0.73</v>
      </c>
      <c r="W6">
        <v>1.1599999999999999</v>
      </c>
      <c r="X6">
        <v>0.3</v>
      </c>
      <c r="Y6">
        <v>1</v>
      </c>
      <c r="Z6">
        <v>10</v>
      </c>
    </row>
    <row r="7" spans="1:26" x14ac:dyDescent="0.3">
      <c r="A7">
        <v>5</v>
      </c>
      <c r="B7">
        <v>25</v>
      </c>
      <c r="C7" t="s">
        <v>26</v>
      </c>
      <c r="D7">
        <v>11.187799999999999</v>
      </c>
      <c r="E7">
        <v>8.94</v>
      </c>
      <c r="F7">
        <v>6.95</v>
      </c>
      <c r="G7">
        <v>29.78</v>
      </c>
      <c r="H7">
        <v>0.62</v>
      </c>
      <c r="I7">
        <v>14</v>
      </c>
      <c r="J7">
        <v>63.21</v>
      </c>
      <c r="K7">
        <v>28.92</v>
      </c>
      <c r="L7">
        <v>2.25</v>
      </c>
      <c r="M7">
        <v>12</v>
      </c>
      <c r="N7">
        <v>7.04</v>
      </c>
      <c r="O7">
        <v>8030.17</v>
      </c>
      <c r="P7">
        <v>40.06</v>
      </c>
      <c r="Q7">
        <v>204.19</v>
      </c>
      <c r="R7">
        <v>29.78</v>
      </c>
      <c r="S7">
        <v>17.37</v>
      </c>
      <c r="T7">
        <v>4062.75</v>
      </c>
      <c r="U7">
        <v>0.57999999999999996</v>
      </c>
      <c r="V7">
        <v>0.74</v>
      </c>
      <c r="W7">
        <v>1.1599999999999999</v>
      </c>
      <c r="X7">
        <v>0.26</v>
      </c>
      <c r="Y7">
        <v>1</v>
      </c>
      <c r="Z7">
        <v>10</v>
      </c>
    </row>
    <row r="8" spans="1:26" x14ac:dyDescent="0.3">
      <c r="A8">
        <v>6</v>
      </c>
      <c r="B8">
        <v>25</v>
      </c>
      <c r="C8" t="s">
        <v>26</v>
      </c>
      <c r="D8">
        <v>11.2188</v>
      </c>
      <c r="E8">
        <v>8.91</v>
      </c>
      <c r="F8">
        <v>6.94</v>
      </c>
      <c r="G8">
        <v>32.020000000000003</v>
      </c>
      <c r="H8">
        <v>0.69</v>
      </c>
      <c r="I8">
        <v>13</v>
      </c>
      <c r="J8">
        <v>63.5</v>
      </c>
      <c r="K8">
        <v>28.92</v>
      </c>
      <c r="L8">
        <v>2.5</v>
      </c>
      <c r="M8">
        <v>11</v>
      </c>
      <c r="N8">
        <v>7.08</v>
      </c>
      <c r="O8">
        <v>8065.98</v>
      </c>
      <c r="P8">
        <v>39.17</v>
      </c>
      <c r="Q8">
        <v>204.15</v>
      </c>
      <c r="R8">
        <v>29.42</v>
      </c>
      <c r="S8">
        <v>17.37</v>
      </c>
      <c r="T8">
        <v>3885.61</v>
      </c>
      <c r="U8">
        <v>0.59</v>
      </c>
      <c r="V8">
        <v>0.74</v>
      </c>
      <c r="W8">
        <v>1.1599999999999999</v>
      </c>
      <c r="X8">
        <v>0.25</v>
      </c>
      <c r="Y8">
        <v>1</v>
      </c>
      <c r="Z8">
        <v>10</v>
      </c>
    </row>
    <row r="9" spans="1:26" x14ac:dyDescent="0.3">
      <c r="A9">
        <v>7</v>
      </c>
      <c r="B9">
        <v>25</v>
      </c>
      <c r="C9" t="s">
        <v>26</v>
      </c>
      <c r="D9">
        <v>11.3208</v>
      </c>
      <c r="E9">
        <v>8.83</v>
      </c>
      <c r="F9">
        <v>6.88</v>
      </c>
      <c r="G9">
        <v>37.549999999999997</v>
      </c>
      <c r="H9">
        <v>0.75</v>
      </c>
      <c r="I9">
        <v>11</v>
      </c>
      <c r="J9">
        <v>63.79</v>
      </c>
      <c r="K9">
        <v>28.92</v>
      </c>
      <c r="L9">
        <v>2.75</v>
      </c>
      <c r="M9">
        <v>8</v>
      </c>
      <c r="N9">
        <v>7.12</v>
      </c>
      <c r="O9">
        <v>8101.81</v>
      </c>
      <c r="P9">
        <v>37.93</v>
      </c>
      <c r="Q9">
        <v>204.15</v>
      </c>
      <c r="R9">
        <v>27.78</v>
      </c>
      <c r="S9">
        <v>17.37</v>
      </c>
      <c r="T9">
        <v>3075.92</v>
      </c>
      <c r="U9">
        <v>0.63</v>
      </c>
      <c r="V9">
        <v>0.74</v>
      </c>
      <c r="W9">
        <v>1.1599999999999999</v>
      </c>
      <c r="X9">
        <v>0.19</v>
      </c>
      <c r="Y9">
        <v>1</v>
      </c>
      <c r="Z9">
        <v>10</v>
      </c>
    </row>
    <row r="10" spans="1:26" x14ac:dyDescent="0.3">
      <c r="A10">
        <v>8</v>
      </c>
      <c r="B10">
        <v>25</v>
      </c>
      <c r="C10" t="s">
        <v>26</v>
      </c>
      <c r="D10">
        <v>11.3597</v>
      </c>
      <c r="E10">
        <v>8.8000000000000007</v>
      </c>
      <c r="F10">
        <v>6.87</v>
      </c>
      <c r="G10">
        <v>41.21</v>
      </c>
      <c r="H10">
        <v>0.81</v>
      </c>
      <c r="I10">
        <v>10</v>
      </c>
      <c r="J10">
        <v>64.08</v>
      </c>
      <c r="K10">
        <v>28.92</v>
      </c>
      <c r="L10">
        <v>3</v>
      </c>
      <c r="M10">
        <v>6</v>
      </c>
      <c r="N10">
        <v>7.16</v>
      </c>
      <c r="O10">
        <v>8137.65</v>
      </c>
      <c r="P10">
        <v>37.1</v>
      </c>
      <c r="Q10">
        <v>204.15</v>
      </c>
      <c r="R10">
        <v>27.24</v>
      </c>
      <c r="S10">
        <v>17.37</v>
      </c>
      <c r="T10">
        <v>2810.72</v>
      </c>
      <c r="U10">
        <v>0.64</v>
      </c>
      <c r="V10">
        <v>0.74</v>
      </c>
      <c r="W10">
        <v>1.1599999999999999</v>
      </c>
      <c r="X10">
        <v>0.18</v>
      </c>
      <c r="Y10">
        <v>1</v>
      </c>
      <c r="Z10">
        <v>10</v>
      </c>
    </row>
    <row r="11" spans="1:26" x14ac:dyDescent="0.3">
      <c r="A11">
        <v>9</v>
      </c>
      <c r="B11">
        <v>25</v>
      </c>
      <c r="C11" t="s">
        <v>26</v>
      </c>
      <c r="D11">
        <v>11.35</v>
      </c>
      <c r="E11">
        <v>8.81</v>
      </c>
      <c r="F11">
        <v>6.88</v>
      </c>
      <c r="G11">
        <v>41.26</v>
      </c>
      <c r="H11">
        <v>0.88</v>
      </c>
      <c r="I11">
        <v>10</v>
      </c>
      <c r="J11">
        <v>64.38</v>
      </c>
      <c r="K11">
        <v>28.92</v>
      </c>
      <c r="L11">
        <v>3.25</v>
      </c>
      <c r="M11">
        <v>3</v>
      </c>
      <c r="N11">
        <v>7.2</v>
      </c>
      <c r="O11">
        <v>8173.52</v>
      </c>
      <c r="P11">
        <v>36.85</v>
      </c>
      <c r="Q11">
        <v>204.17</v>
      </c>
      <c r="R11">
        <v>27.35</v>
      </c>
      <c r="S11">
        <v>17.37</v>
      </c>
      <c r="T11">
        <v>2864.99</v>
      </c>
      <c r="U11">
        <v>0.64</v>
      </c>
      <c r="V11">
        <v>0.74</v>
      </c>
      <c r="W11">
        <v>1.1599999999999999</v>
      </c>
      <c r="X11">
        <v>0.18</v>
      </c>
      <c r="Y11">
        <v>1</v>
      </c>
      <c r="Z11">
        <v>10</v>
      </c>
    </row>
    <row r="12" spans="1:26" x14ac:dyDescent="0.3">
      <c r="A12">
        <v>10</v>
      </c>
      <c r="B12">
        <v>25</v>
      </c>
      <c r="C12" t="s">
        <v>26</v>
      </c>
      <c r="D12">
        <v>11.348599999999999</v>
      </c>
      <c r="E12">
        <v>8.81</v>
      </c>
      <c r="F12">
        <v>6.88</v>
      </c>
      <c r="G12">
        <v>41.26</v>
      </c>
      <c r="H12">
        <v>0.94</v>
      </c>
      <c r="I12">
        <v>10</v>
      </c>
      <c r="J12">
        <v>64.67</v>
      </c>
      <c r="K12">
        <v>28.92</v>
      </c>
      <c r="L12">
        <v>3.5</v>
      </c>
      <c r="M12">
        <v>1</v>
      </c>
      <c r="N12">
        <v>7.24</v>
      </c>
      <c r="O12">
        <v>8209.41</v>
      </c>
      <c r="P12">
        <v>36.89</v>
      </c>
      <c r="Q12">
        <v>204.14</v>
      </c>
      <c r="R12">
        <v>27.4</v>
      </c>
      <c r="S12">
        <v>17.37</v>
      </c>
      <c r="T12">
        <v>2894.06</v>
      </c>
      <c r="U12">
        <v>0.63</v>
      </c>
      <c r="V12">
        <v>0.74</v>
      </c>
      <c r="W12">
        <v>1.1599999999999999</v>
      </c>
      <c r="X12">
        <v>0.19</v>
      </c>
      <c r="Y12">
        <v>1</v>
      </c>
      <c r="Z12">
        <v>10</v>
      </c>
    </row>
    <row r="13" spans="1:26" x14ac:dyDescent="0.3">
      <c r="A13">
        <v>11</v>
      </c>
      <c r="B13">
        <v>25</v>
      </c>
      <c r="C13" t="s">
        <v>26</v>
      </c>
      <c r="D13">
        <v>11.346399999999999</v>
      </c>
      <c r="E13">
        <v>8.81</v>
      </c>
      <c r="F13">
        <v>6.88</v>
      </c>
      <c r="G13">
        <v>41.27</v>
      </c>
      <c r="H13">
        <v>1.01</v>
      </c>
      <c r="I13">
        <v>10</v>
      </c>
      <c r="J13">
        <v>64.959999999999994</v>
      </c>
      <c r="K13">
        <v>28.92</v>
      </c>
      <c r="L13">
        <v>3.75</v>
      </c>
      <c r="M13">
        <v>0</v>
      </c>
      <c r="N13">
        <v>7.28</v>
      </c>
      <c r="O13">
        <v>8245.32</v>
      </c>
      <c r="P13">
        <v>36.9</v>
      </c>
      <c r="Q13">
        <v>204.14</v>
      </c>
      <c r="R13">
        <v>27.36</v>
      </c>
      <c r="S13">
        <v>17.37</v>
      </c>
      <c r="T13">
        <v>2872.54</v>
      </c>
      <c r="U13">
        <v>0.63</v>
      </c>
      <c r="V13">
        <v>0.74</v>
      </c>
      <c r="W13">
        <v>1.1599999999999999</v>
      </c>
      <c r="X13">
        <v>0.19</v>
      </c>
      <c r="Y13">
        <v>1</v>
      </c>
      <c r="Z13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Planilha21"/>
  <dimension ref="A1:Z81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85</v>
      </c>
      <c r="C2" t="s">
        <v>26</v>
      </c>
      <c r="D2">
        <v>7.5949</v>
      </c>
      <c r="E2">
        <v>13.17</v>
      </c>
      <c r="F2">
        <v>8.2200000000000006</v>
      </c>
      <c r="G2">
        <v>6.49</v>
      </c>
      <c r="H2">
        <v>0.11</v>
      </c>
      <c r="I2">
        <v>76</v>
      </c>
      <c r="J2">
        <v>167.88</v>
      </c>
      <c r="K2">
        <v>51.39</v>
      </c>
      <c r="L2">
        <v>1</v>
      </c>
      <c r="M2">
        <v>74</v>
      </c>
      <c r="N2">
        <v>30.49</v>
      </c>
      <c r="O2">
        <v>20939.59</v>
      </c>
      <c r="P2">
        <v>104.32</v>
      </c>
      <c r="Q2">
        <v>204.18</v>
      </c>
      <c r="R2">
        <v>69.459999999999994</v>
      </c>
      <c r="S2">
        <v>17.37</v>
      </c>
      <c r="T2">
        <v>23593.99</v>
      </c>
      <c r="U2">
        <v>0.25</v>
      </c>
      <c r="V2">
        <v>0.62</v>
      </c>
      <c r="W2">
        <v>1.26</v>
      </c>
      <c r="X2">
        <v>1.53</v>
      </c>
      <c r="Y2">
        <v>1</v>
      </c>
      <c r="Z2">
        <v>10</v>
      </c>
    </row>
    <row r="3" spans="1:26" x14ac:dyDescent="0.3">
      <c r="A3">
        <v>1</v>
      </c>
      <c r="B3">
        <v>85</v>
      </c>
      <c r="C3" t="s">
        <v>26</v>
      </c>
      <c r="D3">
        <v>8.1546000000000003</v>
      </c>
      <c r="E3">
        <v>12.26</v>
      </c>
      <c r="F3">
        <v>7.89</v>
      </c>
      <c r="G3">
        <v>8.02</v>
      </c>
      <c r="H3">
        <v>0.13</v>
      </c>
      <c r="I3">
        <v>59</v>
      </c>
      <c r="J3">
        <v>168.25</v>
      </c>
      <c r="K3">
        <v>51.39</v>
      </c>
      <c r="L3">
        <v>1.25</v>
      </c>
      <c r="M3">
        <v>57</v>
      </c>
      <c r="N3">
        <v>30.6</v>
      </c>
      <c r="O3">
        <v>20984.25</v>
      </c>
      <c r="P3">
        <v>99.96</v>
      </c>
      <c r="Q3">
        <v>204.19</v>
      </c>
      <c r="R3">
        <v>59.09</v>
      </c>
      <c r="S3">
        <v>17.37</v>
      </c>
      <c r="T3">
        <v>18493.22</v>
      </c>
      <c r="U3">
        <v>0.28999999999999998</v>
      </c>
      <c r="V3">
        <v>0.65</v>
      </c>
      <c r="W3">
        <v>1.24</v>
      </c>
      <c r="X3">
        <v>1.2</v>
      </c>
      <c r="Y3">
        <v>1</v>
      </c>
      <c r="Z3">
        <v>10</v>
      </c>
    </row>
    <row r="4" spans="1:26" x14ac:dyDescent="0.3">
      <c r="A4">
        <v>2</v>
      </c>
      <c r="B4">
        <v>85</v>
      </c>
      <c r="C4" t="s">
        <v>26</v>
      </c>
      <c r="D4">
        <v>8.5774000000000008</v>
      </c>
      <c r="E4">
        <v>11.66</v>
      </c>
      <c r="F4">
        <v>7.66</v>
      </c>
      <c r="G4">
        <v>9.57</v>
      </c>
      <c r="H4">
        <v>0.16</v>
      </c>
      <c r="I4">
        <v>48</v>
      </c>
      <c r="J4">
        <v>168.61</v>
      </c>
      <c r="K4">
        <v>51.39</v>
      </c>
      <c r="L4">
        <v>1.5</v>
      </c>
      <c r="M4">
        <v>46</v>
      </c>
      <c r="N4">
        <v>30.71</v>
      </c>
      <c r="O4">
        <v>21028.94</v>
      </c>
      <c r="P4">
        <v>96.82</v>
      </c>
      <c r="Q4">
        <v>204.17</v>
      </c>
      <c r="R4">
        <v>51.63</v>
      </c>
      <c r="S4">
        <v>17.37</v>
      </c>
      <c r="T4">
        <v>14816.87</v>
      </c>
      <c r="U4">
        <v>0.34</v>
      </c>
      <c r="V4">
        <v>0.67</v>
      </c>
      <c r="W4">
        <v>1.23</v>
      </c>
      <c r="X4">
        <v>0.97</v>
      </c>
      <c r="Y4">
        <v>1</v>
      </c>
      <c r="Z4">
        <v>10</v>
      </c>
    </row>
    <row r="5" spans="1:26" x14ac:dyDescent="0.3">
      <c r="A5">
        <v>3</v>
      </c>
      <c r="B5">
        <v>85</v>
      </c>
      <c r="C5" t="s">
        <v>26</v>
      </c>
      <c r="D5">
        <v>8.9268000000000001</v>
      </c>
      <c r="E5">
        <v>11.2</v>
      </c>
      <c r="F5">
        <v>7.47</v>
      </c>
      <c r="G5">
        <v>11.21</v>
      </c>
      <c r="H5">
        <v>0.18</v>
      </c>
      <c r="I5">
        <v>40</v>
      </c>
      <c r="J5">
        <v>168.97</v>
      </c>
      <c r="K5">
        <v>51.39</v>
      </c>
      <c r="L5">
        <v>1.75</v>
      </c>
      <c r="M5">
        <v>38</v>
      </c>
      <c r="N5">
        <v>30.83</v>
      </c>
      <c r="O5">
        <v>21073.68</v>
      </c>
      <c r="P5">
        <v>94.28</v>
      </c>
      <c r="Q5">
        <v>204.18</v>
      </c>
      <c r="R5">
        <v>45.93</v>
      </c>
      <c r="S5">
        <v>17.37</v>
      </c>
      <c r="T5">
        <v>12006.27</v>
      </c>
      <c r="U5">
        <v>0.38</v>
      </c>
      <c r="V5">
        <v>0.68</v>
      </c>
      <c r="W5">
        <v>1.21</v>
      </c>
      <c r="X5">
        <v>0.78</v>
      </c>
      <c r="Y5">
        <v>1</v>
      </c>
      <c r="Z5">
        <v>10</v>
      </c>
    </row>
    <row r="6" spans="1:26" x14ac:dyDescent="0.3">
      <c r="A6">
        <v>4</v>
      </c>
      <c r="B6">
        <v>85</v>
      </c>
      <c r="C6" t="s">
        <v>26</v>
      </c>
      <c r="D6">
        <v>9.1402999999999999</v>
      </c>
      <c r="E6">
        <v>10.94</v>
      </c>
      <c r="F6">
        <v>7.38</v>
      </c>
      <c r="G6">
        <v>12.65</v>
      </c>
      <c r="H6">
        <v>0.21</v>
      </c>
      <c r="I6">
        <v>35</v>
      </c>
      <c r="J6">
        <v>169.33</v>
      </c>
      <c r="K6">
        <v>51.39</v>
      </c>
      <c r="L6">
        <v>2</v>
      </c>
      <c r="M6">
        <v>33</v>
      </c>
      <c r="N6">
        <v>30.94</v>
      </c>
      <c r="O6">
        <v>21118.46</v>
      </c>
      <c r="P6">
        <v>92.91</v>
      </c>
      <c r="Q6">
        <v>204.17</v>
      </c>
      <c r="R6">
        <v>43.18</v>
      </c>
      <c r="S6">
        <v>17.37</v>
      </c>
      <c r="T6">
        <v>10659.18</v>
      </c>
      <c r="U6">
        <v>0.4</v>
      </c>
      <c r="V6">
        <v>0.69</v>
      </c>
      <c r="W6">
        <v>1.2</v>
      </c>
      <c r="X6">
        <v>0.69</v>
      </c>
      <c r="Y6">
        <v>1</v>
      </c>
      <c r="Z6">
        <v>10</v>
      </c>
    </row>
    <row r="7" spans="1:26" x14ac:dyDescent="0.3">
      <c r="A7">
        <v>5</v>
      </c>
      <c r="B7">
        <v>85</v>
      </c>
      <c r="C7" t="s">
        <v>26</v>
      </c>
      <c r="D7">
        <v>9.3313000000000006</v>
      </c>
      <c r="E7">
        <v>10.72</v>
      </c>
      <c r="F7">
        <v>7.29</v>
      </c>
      <c r="G7">
        <v>14.12</v>
      </c>
      <c r="H7">
        <v>0.24</v>
      </c>
      <c r="I7">
        <v>31</v>
      </c>
      <c r="J7">
        <v>169.7</v>
      </c>
      <c r="K7">
        <v>51.39</v>
      </c>
      <c r="L7">
        <v>2.25</v>
      </c>
      <c r="M7">
        <v>29</v>
      </c>
      <c r="N7">
        <v>31.05</v>
      </c>
      <c r="O7">
        <v>21163.27</v>
      </c>
      <c r="P7">
        <v>91.62</v>
      </c>
      <c r="Q7">
        <v>204.21</v>
      </c>
      <c r="R7">
        <v>40.68</v>
      </c>
      <c r="S7">
        <v>17.37</v>
      </c>
      <c r="T7">
        <v>9428.64</v>
      </c>
      <c r="U7">
        <v>0.43</v>
      </c>
      <c r="V7">
        <v>0.7</v>
      </c>
      <c r="W7">
        <v>1.18</v>
      </c>
      <c r="X7">
        <v>0.6</v>
      </c>
      <c r="Y7">
        <v>1</v>
      </c>
      <c r="Z7">
        <v>10</v>
      </c>
    </row>
    <row r="8" spans="1:26" x14ac:dyDescent="0.3">
      <c r="A8">
        <v>6</v>
      </c>
      <c r="B8">
        <v>85</v>
      </c>
      <c r="C8" t="s">
        <v>26</v>
      </c>
      <c r="D8">
        <v>9.5273000000000003</v>
      </c>
      <c r="E8">
        <v>10.5</v>
      </c>
      <c r="F8">
        <v>7.21</v>
      </c>
      <c r="G8">
        <v>16.02</v>
      </c>
      <c r="H8">
        <v>0.26</v>
      </c>
      <c r="I8">
        <v>27</v>
      </c>
      <c r="J8">
        <v>170.06</v>
      </c>
      <c r="K8">
        <v>51.39</v>
      </c>
      <c r="L8">
        <v>2.5</v>
      </c>
      <c r="M8">
        <v>25</v>
      </c>
      <c r="N8">
        <v>31.17</v>
      </c>
      <c r="O8">
        <v>21208.12</v>
      </c>
      <c r="P8">
        <v>90.33</v>
      </c>
      <c r="Q8">
        <v>204.3</v>
      </c>
      <c r="R8">
        <v>37.99</v>
      </c>
      <c r="S8">
        <v>17.37</v>
      </c>
      <c r="T8">
        <v>8102.47</v>
      </c>
      <c r="U8">
        <v>0.46</v>
      </c>
      <c r="V8">
        <v>0.71</v>
      </c>
      <c r="W8">
        <v>1.18</v>
      </c>
      <c r="X8">
        <v>0.52</v>
      </c>
      <c r="Y8">
        <v>1</v>
      </c>
      <c r="Z8">
        <v>10</v>
      </c>
    </row>
    <row r="9" spans="1:26" x14ac:dyDescent="0.3">
      <c r="A9">
        <v>7</v>
      </c>
      <c r="B9">
        <v>85</v>
      </c>
      <c r="C9" t="s">
        <v>26</v>
      </c>
      <c r="D9">
        <v>9.6336999999999993</v>
      </c>
      <c r="E9">
        <v>10.38</v>
      </c>
      <c r="F9">
        <v>7.16</v>
      </c>
      <c r="G9">
        <v>17.190000000000001</v>
      </c>
      <c r="H9">
        <v>0.28999999999999998</v>
      </c>
      <c r="I9">
        <v>25</v>
      </c>
      <c r="J9">
        <v>170.42</v>
      </c>
      <c r="K9">
        <v>51.39</v>
      </c>
      <c r="L9">
        <v>2.75</v>
      </c>
      <c r="M9">
        <v>23</v>
      </c>
      <c r="N9">
        <v>31.28</v>
      </c>
      <c r="O9">
        <v>21253.01</v>
      </c>
      <c r="P9">
        <v>89.55</v>
      </c>
      <c r="Q9">
        <v>204.14</v>
      </c>
      <c r="R9">
        <v>36.700000000000003</v>
      </c>
      <c r="S9">
        <v>17.37</v>
      </c>
      <c r="T9">
        <v>7469.29</v>
      </c>
      <c r="U9">
        <v>0.47</v>
      </c>
      <c r="V9">
        <v>0.71</v>
      </c>
      <c r="W9">
        <v>1.17</v>
      </c>
      <c r="X9">
        <v>0.47</v>
      </c>
      <c r="Y9">
        <v>1</v>
      </c>
      <c r="Z9">
        <v>10</v>
      </c>
    </row>
    <row r="10" spans="1:26" x14ac:dyDescent="0.3">
      <c r="A10">
        <v>8</v>
      </c>
      <c r="B10">
        <v>85</v>
      </c>
      <c r="C10" t="s">
        <v>26</v>
      </c>
      <c r="D10">
        <v>9.7260000000000009</v>
      </c>
      <c r="E10">
        <v>10.28</v>
      </c>
      <c r="F10">
        <v>7.13</v>
      </c>
      <c r="G10">
        <v>18.600000000000001</v>
      </c>
      <c r="H10">
        <v>0.31</v>
      </c>
      <c r="I10">
        <v>23</v>
      </c>
      <c r="J10">
        <v>170.79</v>
      </c>
      <c r="K10">
        <v>51.39</v>
      </c>
      <c r="L10">
        <v>3</v>
      </c>
      <c r="M10">
        <v>21</v>
      </c>
      <c r="N10">
        <v>31.4</v>
      </c>
      <c r="O10">
        <v>21297.94</v>
      </c>
      <c r="P10">
        <v>88.94</v>
      </c>
      <c r="Q10">
        <v>204.15</v>
      </c>
      <c r="R10">
        <v>35.46</v>
      </c>
      <c r="S10">
        <v>17.37</v>
      </c>
      <c r="T10">
        <v>6857.55</v>
      </c>
      <c r="U10">
        <v>0.49</v>
      </c>
      <c r="V10">
        <v>0.72</v>
      </c>
      <c r="W10">
        <v>1.17</v>
      </c>
      <c r="X10">
        <v>0.44</v>
      </c>
      <c r="Y10">
        <v>1</v>
      </c>
      <c r="Z10">
        <v>10</v>
      </c>
    </row>
    <row r="11" spans="1:26" x14ac:dyDescent="0.3">
      <c r="A11">
        <v>9</v>
      </c>
      <c r="B11">
        <v>85</v>
      </c>
      <c r="C11" t="s">
        <v>26</v>
      </c>
      <c r="D11">
        <v>9.8261000000000003</v>
      </c>
      <c r="E11">
        <v>10.18</v>
      </c>
      <c r="F11">
        <v>7.09</v>
      </c>
      <c r="G11">
        <v>20.27</v>
      </c>
      <c r="H11">
        <v>0.34</v>
      </c>
      <c r="I11">
        <v>21</v>
      </c>
      <c r="J11">
        <v>171.15</v>
      </c>
      <c r="K11">
        <v>51.39</v>
      </c>
      <c r="L11">
        <v>3.25</v>
      </c>
      <c r="M11">
        <v>19</v>
      </c>
      <c r="N11">
        <v>31.51</v>
      </c>
      <c r="O11">
        <v>21342.91</v>
      </c>
      <c r="P11">
        <v>88.29</v>
      </c>
      <c r="Q11">
        <v>204.17</v>
      </c>
      <c r="R11">
        <v>34.31</v>
      </c>
      <c r="S11">
        <v>17.37</v>
      </c>
      <c r="T11">
        <v>6293.72</v>
      </c>
      <c r="U11">
        <v>0.51</v>
      </c>
      <c r="V11">
        <v>0.72</v>
      </c>
      <c r="W11">
        <v>1.17</v>
      </c>
      <c r="X11">
        <v>0.4</v>
      </c>
      <c r="Y11">
        <v>1</v>
      </c>
      <c r="Z11">
        <v>10</v>
      </c>
    </row>
    <row r="12" spans="1:26" x14ac:dyDescent="0.3">
      <c r="A12">
        <v>10</v>
      </c>
      <c r="B12">
        <v>85</v>
      </c>
      <c r="C12" t="s">
        <v>26</v>
      </c>
      <c r="D12">
        <v>9.9353999999999996</v>
      </c>
      <c r="E12">
        <v>10.06</v>
      </c>
      <c r="F12">
        <v>7.05</v>
      </c>
      <c r="G12">
        <v>22.26</v>
      </c>
      <c r="H12">
        <v>0.36</v>
      </c>
      <c r="I12">
        <v>19</v>
      </c>
      <c r="J12">
        <v>171.52</v>
      </c>
      <c r="K12">
        <v>51.39</v>
      </c>
      <c r="L12">
        <v>3.5</v>
      </c>
      <c r="M12">
        <v>17</v>
      </c>
      <c r="N12">
        <v>31.63</v>
      </c>
      <c r="O12">
        <v>21387.919999999998</v>
      </c>
      <c r="P12">
        <v>87.53</v>
      </c>
      <c r="Q12">
        <v>204.14</v>
      </c>
      <c r="R12">
        <v>32.9</v>
      </c>
      <c r="S12">
        <v>17.37</v>
      </c>
      <c r="T12">
        <v>5597.8</v>
      </c>
      <c r="U12">
        <v>0.53</v>
      </c>
      <c r="V12">
        <v>0.72</v>
      </c>
      <c r="W12">
        <v>1.17</v>
      </c>
      <c r="X12">
        <v>0.36</v>
      </c>
      <c r="Y12">
        <v>1</v>
      </c>
      <c r="Z12">
        <v>10</v>
      </c>
    </row>
    <row r="13" spans="1:26" x14ac:dyDescent="0.3">
      <c r="A13">
        <v>11</v>
      </c>
      <c r="B13">
        <v>85</v>
      </c>
      <c r="C13" t="s">
        <v>26</v>
      </c>
      <c r="D13">
        <v>9.9997000000000007</v>
      </c>
      <c r="E13">
        <v>10</v>
      </c>
      <c r="F13">
        <v>7.02</v>
      </c>
      <c r="G13">
        <v>23.39</v>
      </c>
      <c r="H13">
        <v>0.39</v>
      </c>
      <c r="I13">
        <v>18</v>
      </c>
      <c r="J13">
        <v>171.88</v>
      </c>
      <c r="K13">
        <v>51.39</v>
      </c>
      <c r="L13">
        <v>3.75</v>
      </c>
      <c r="M13">
        <v>16</v>
      </c>
      <c r="N13">
        <v>31.74</v>
      </c>
      <c r="O13">
        <v>21432.959999999999</v>
      </c>
      <c r="P13">
        <v>87.08</v>
      </c>
      <c r="Q13">
        <v>204.15</v>
      </c>
      <c r="R13">
        <v>31.91</v>
      </c>
      <c r="S13">
        <v>17.37</v>
      </c>
      <c r="T13">
        <v>5107.55</v>
      </c>
      <c r="U13">
        <v>0.54</v>
      </c>
      <c r="V13">
        <v>0.73</v>
      </c>
      <c r="W13">
        <v>1.17</v>
      </c>
      <c r="X13">
        <v>0.33</v>
      </c>
      <c r="Y13">
        <v>1</v>
      </c>
      <c r="Z13">
        <v>10</v>
      </c>
    </row>
    <row r="14" spans="1:26" x14ac:dyDescent="0.3">
      <c r="A14">
        <v>12</v>
      </c>
      <c r="B14">
        <v>85</v>
      </c>
      <c r="C14" t="s">
        <v>26</v>
      </c>
      <c r="D14">
        <v>10.022600000000001</v>
      </c>
      <c r="E14">
        <v>9.98</v>
      </c>
      <c r="F14">
        <v>7.03</v>
      </c>
      <c r="G14">
        <v>24.81</v>
      </c>
      <c r="H14">
        <v>0.41</v>
      </c>
      <c r="I14">
        <v>17</v>
      </c>
      <c r="J14">
        <v>172.25</v>
      </c>
      <c r="K14">
        <v>51.39</v>
      </c>
      <c r="L14">
        <v>4</v>
      </c>
      <c r="M14">
        <v>15</v>
      </c>
      <c r="N14">
        <v>31.86</v>
      </c>
      <c r="O14">
        <v>21478.05</v>
      </c>
      <c r="P14">
        <v>87</v>
      </c>
      <c r="Q14">
        <v>204.14</v>
      </c>
      <c r="R14">
        <v>32.380000000000003</v>
      </c>
      <c r="S14">
        <v>17.37</v>
      </c>
      <c r="T14">
        <v>5347.62</v>
      </c>
      <c r="U14">
        <v>0.54</v>
      </c>
      <c r="V14">
        <v>0.73</v>
      </c>
      <c r="W14">
        <v>1.1599999999999999</v>
      </c>
      <c r="X14">
        <v>0.34</v>
      </c>
      <c r="Y14">
        <v>1</v>
      </c>
      <c r="Z14">
        <v>10</v>
      </c>
    </row>
    <row r="15" spans="1:26" x14ac:dyDescent="0.3">
      <c r="A15">
        <v>13</v>
      </c>
      <c r="B15">
        <v>85</v>
      </c>
      <c r="C15" t="s">
        <v>26</v>
      </c>
      <c r="D15">
        <v>10.084300000000001</v>
      </c>
      <c r="E15">
        <v>9.92</v>
      </c>
      <c r="F15">
        <v>7</v>
      </c>
      <c r="G15">
        <v>26.26</v>
      </c>
      <c r="H15">
        <v>0.44</v>
      </c>
      <c r="I15">
        <v>16</v>
      </c>
      <c r="J15">
        <v>172.61</v>
      </c>
      <c r="K15">
        <v>51.39</v>
      </c>
      <c r="L15">
        <v>4.25</v>
      </c>
      <c r="M15">
        <v>14</v>
      </c>
      <c r="N15">
        <v>31.97</v>
      </c>
      <c r="O15">
        <v>21523.17</v>
      </c>
      <c r="P15">
        <v>86.43</v>
      </c>
      <c r="Q15">
        <v>204.15</v>
      </c>
      <c r="R15">
        <v>31.42</v>
      </c>
      <c r="S15">
        <v>17.37</v>
      </c>
      <c r="T15">
        <v>4872.37</v>
      </c>
      <c r="U15">
        <v>0.55000000000000004</v>
      </c>
      <c r="V15">
        <v>0.73</v>
      </c>
      <c r="W15">
        <v>1.1599999999999999</v>
      </c>
      <c r="X15">
        <v>0.31</v>
      </c>
      <c r="Y15">
        <v>1</v>
      </c>
      <c r="Z15">
        <v>10</v>
      </c>
    </row>
    <row r="16" spans="1:26" x14ac:dyDescent="0.3">
      <c r="A16">
        <v>14</v>
      </c>
      <c r="B16">
        <v>85</v>
      </c>
      <c r="C16" t="s">
        <v>26</v>
      </c>
      <c r="D16">
        <v>10.160299999999999</v>
      </c>
      <c r="E16">
        <v>9.84</v>
      </c>
      <c r="F16">
        <v>6.96</v>
      </c>
      <c r="G16">
        <v>27.85</v>
      </c>
      <c r="H16">
        <v>0.46</v>
      </c>
      <c r="I16">
        <v>15</v>
      </c>
      <c r="J16">
        <v>172.98</v>
      </c>
      <c r="K16">
        <v>51.39</v>
      </c>
      <c r="L16">
        <v>4.5</v>
      </c>
      <c r="M16">
        <v>13</v>
      </c>
      <c r="N16">
        <v>32.090000000000003</v>
      </c>
      <c r="O16">
        <v>21568.34</v>
      </c>
      <c r="P16">
        <v>85.88</v>
      </c>
      <c r="Q16">
        <v>204.17</v>
      </c>
      <c r="R16">
        <v>30.27</v>
      </c>
      <c r="S16">
        <v>17.37</v>
      </c>
      <c r="T16">
        <v>4302.8100000000004</v>
      </c>
      <c r="U16">
        <v>0.56999999999999995</v>
      </c>
      <c r="V16">
        <v>0.73</v>
      </c>
      <c r="W16">
        <v>1.1599999999999999</v>
      </c>
      <c r="X16">
        <v>0.27</v>
      </c>
      <c r="Y16">
        <v>1</v>
      </c>
      <c r="Z16">
        <v>10</v>
      </c>
    </row>
    <row r="17" spans="1:26" x14ac:dyDescent="0.3">
      <c r="A17">
        <v>15</v>
      </c>
      <c r="B17">
        <v>85</v>
      </c>
      <c r="C17" t="s">
        <v>26</v>
      </c>
      <c r="D17">
        <v>10.2035</v>
      </c>
      <c r="E17">
        <v>9.8000000000000007</v>
      </c>
      <c r="F17">
        <v>6.95</v>
      </c>
      <c r="G17">
        <v>29.8</v>
      </c>
      <c r="H17">
        <v>0.49</v>
      </c>
      <c r="I17">
        <v>14</v>
      </c>
      <c r="J17">
        <v>173.35</v>
      </c>
      <c r="K17">
        <v>51.39</v>
      </c>
      <c r="L17">
        <v>4.75</v>
      </c>
      <c r="M17">
        <v>12</v>
      </c>
      <c r="N17">
        <v>32.200000000000003</v>
      </c>
      <c r="O17">
        <v>21613.54</v>
      </c>
      <c r="P17">
        <v>85.43</v>
      </c>
      <c r="Q17">
        <v>204.16</v>
      </c>
      <c r="R17">
        <v>30.08</v>
      </c>
      <c r="S17">
        <v>17.37</v>
      </c>
      <c r="T17">
        <v>4212.3</v>
      </c>
      <c r="U17">
        <v>0.57999999999999996</v>
      </c>
      <c r="V17">
        <v>0.73</v>
      </c>
      <c r="W17">
        <v>1.1599999999999999</v>
      </c>
      <c r="X17">
        <v>0.26</v>
      </c>
      <c r="Y17">
        <v>1</v>
      </c>
      <c r="Z17">
        <v>10</v>
      </c>
    </row>
    <row r="18" spans="1:26" x14ac:dyDescent="0.3">
      <c r="A18">
        <v>16</v>
      </c>
      <c r="B18">
        <v>85</v>
      </c>
      <c r="C18" t="s">
        <v>26</v>
      </c>
      <c r="D18">
        <v>10.2029</v>
      </c>
      <c r="E18">
        <v>9.8000000000000007</v>
      </c>
      <c r="F18">
        <v>6.95</v>
      </c>
      <c r="G18">
        <v>29.8</v>
      </c>
      <c r="H18">
        <v>0.51</v>
      </c>
      <c r="I18">
        <v>14</v>
      </c>
      <c r="J18">
        <v>173.71</v>
      </c>
      <c r="K18">
        <v>51.39</v>
      </c>
      <c r="L18">
        <v>5</v>
      </c>
      <c r="M18">
        <v>12</v>
      </c>
      <c r="N18">
        <v>32.32</v>
      </c>
      <c r="O18">
        <v>21658.78</v>
      </c>
      <c r="P18">
        <v>85.29</v>
      </c>
      <c r="Q18">
        <v>204.15</v>
      </c>
      <c r="R18">
        <v>29.99</v>
      </c>
      <c r="S18">
        <v>17.37</v>
      </c>
      <c r="T18">
        <v>4167.18</v>
      </c>
      <c r="U18">
        <v>0.57999999999999996</v>
      </c>
      <c r="V18">
        <v>0.73</v>
      </c>
      <c r="W18">
        <v>1.1599999999999999</v>
      </c>
      <c r="X18">
        <v>0.26</v>
      </c>
      <c r="Y18">
        <v>1</v>
      </c>
      <c r="Z18">
        <v>10</v>
      </c>
    </row>
    <row r="19" spans="1:26" x14ac:dyDescent="0.3">
      <c r="A19">
        <v>17</v>
      </c>
      <c r="B19">
        <v>85</v>
      </c>
      <c r="C19" t="s">
        <v>26</v>
      </c>
      <c r="D19">
        <v>10.269299999999999</v>
      </c>
      <c r="E19">
        <v>9.74</v>
      </c>
      <c r="F19">
        <v>6.92</v>
      </c>
      <c r="G19">
        <v>31.96</v>
      </c>
      <c r="H19">
        <v>0.53</v>
      </c>
      <c r="I19">
        <v>13</v>
      </c>
      <c r="J19">
        <v>174.08</v>
      </c>
      <c r="K19">
        <v>51.39</v>
      </c>
      <c r="L19">
        <v>5.25</v>
      </c>
      <c r="M19">
        <v>11</v>
      </c>
      <c r="N19">
        <v>32.44</v>
      </c>
      <c r="O19">
        <v>21704.07</v>
      </c>
      <c r="P19">
        <v>84.79</v>
      </c>
      <c r="Q19">
        <v>204.14</v>
      </c>
      <c r="R19">
        <v>29.2</v>
      </c>
      <c r="S19">
        <v>17.37</v>
      </c>
      <c r="T19">
        <v>3778.15</v>
      </c>
      <c r="U19">
        <v>0.59</v>
      </c>
      <c r="V19">
        <v>0.74</v>
      </c>
      <c r="W19">
        <v>1.1499999999999999</v>
      </c>
      <c r="X19">
        <v>0.23</v>
      </c>
      <c r="Y19">
        <v>1</v>
      </c>
      <c r="Z19">
        <v>10</v>
      </c>
    </row>
    <row r="20" spans="1:26" x14ac:dyDescent="0.3">
      <c r="A20">
        <v>18</v>
      </c>
      <c r="B20">
        <v>85</v>
      </c>
      <c r="C20" t="s">
        <v>26</v>
      </c>
      <c r="D20">
        <v>10.323499999999999</v>
      </c>
      <c r="E20">
        <v>9.69</v>
      </c>
      <c r="F20">
        <v>6.91</v>
      </c>
      <c r="G20">
        <v>34.54</v>
      </c>
      <c r="H20">
        <v>0.56000000000000005</v>
      </c>
      <c r="I20">
        <v>12</v>
      </c>
      <c r="J20">
        <v>174.45</v>
      </c>
      <c r="K20">
        <v>51.39</v>
      </c>
      <c r="L20">
        <v>5.5</v>
      </c>
      <c r="M20">
        <v>10</v>
      </c>
      <c r="N20">
        <v>32.56</v>
      </c>
      <c r="O20">
        <v>21749.39</v>
      </c>
      <c r="P20">
        <v>84.33</v>
      </c>
      <c r="Q20">
        <v>204.16</v>
      </c>
      <c r="R20">
        <v>28.66</v>
      </c>
      <c r="S20">
        <v>17.37</v>
      </c>
      <c r="T20">
        <v>3510.05</v>
      </c>
      <c r="U20">
        <v>0.61</v>
      </c>
      <c r="V20">
        <v>0.74</v>
      </c>
      <c r="W20">
        <v>1.1499999999999999</v>
      </c>
      <c r="X20">
        <v>0.22</v>
      </c>
      <c r="Y20">
        <v>1</v>
      </c>
      <c r="Z20">
        <v>10</v>
      </c>
    </row>
    <row r="21" spans="1:26" x14ac:dyDescent="0.3">
      <c r="A21">
        <v>19</v>
      </c>
      <c r="B21">
        <v>85</v>
      </c>
      <c r="C21" t="s">
        <v>26</v>
      </c>
      <c r="D21">
        <v>10.3164</v>
      </c>
      <c r="E21">
        <v>9.69</v>
      </c>
      <c r="F21">
        <v>6.91</v>
      </c>
      <c r="G21">
        <v>34.57</v>
      </c>
      <c r="H21">
        <v>0.57999999999999996</v>
      </c>
      <c r="I21">
        <v>12</v>
      </c>
      <c r="J21">
        <v>174.82</v>
      </c>
      <c r="K21">
        <v>51.39</v>
      </c>
      <c r="L21">
        <v>5.75</v>
      </c>
      <c r="M21">
        <v>10</v>
      </c>
      <c r="N21">
        <v>32.67</v>
      </c>
      <c r="O21">
        <v>21794.75</v>
      </c>
      <c r="P21">
        <v>84.35</v>
      </c>
      <c r="Q21">
        <v>204.18</v>
      </c>
      <c r="R21">
        <v>28.83</v>
      </c>
      <c r="S21">
        <v>17.37</v>
      </c>
      <c r="T21">
        <v>3595.9</v>
      </c>
      <c r="U21">
        <v>0.6</v>
      </c>
      <c r="V21">
        <v>0.74</v>
      </c>
      <c r="W21">
        <v>1.1499999999999999</v>
      </c>
      <c r="X21">
        <v>0.22</v>
      </c>
      <c r="Y21">
        <v>1</v>
      </c>
      <c r="Z21">
        <v>10</v>
      </c>
    </row>
    <row r="22" spans="1:26" x14ac:dyDescent="0.3">
      <c r="A22">
        <v>20</v>
      </c>
      <c r="B22">
        <v>85</v>
      </c>
      <c r="C22" t="s">
        <v>26</v>
      </c>
      <c r="D22">
        <v>10.3896</v>
      </c>
      <c r="E22">
        <v>9.6199999999999992</v>
      </c>
      <c r="F22">
        <v>6.88</v>
      </c>
      <c r="G22">
        <v>37.53</v>
      </c>
      <c r="H22">
        <v>0.61</v>
      </c>
      <c r="I22">
        <v>11</v>
      </c>
      <c r="J22">
        <v>175.18</v>
      </c>
      <c r="K22">
        <v>51.39</v>
      </c>
      <c r="L22">
        <v>6</v>
      </c>
      <c r="M22">
        <v>9</v>
      </c>
      <c r="N22">
        <v>32.79</v>
      </c>
      <c r="O22">
        <v>21840.16</v>
      </c>
      <c r="P22">
        <v>83.41</v>
      </c>
      <c r="Q22">
        <v>204.14</v>
      </c>
      <c r="R22">
        <v>27.71</v>
      </c>
      <c r="S22">
        <v>17.37</v>
      </c>
      <c r="T22">
        <v>3043.75</v>
      </c>
      <c r="U22">
        <v>0.63</v>
      </c>
      <c r="V22">
        <v>0.74</v>
      </c>
      <c r="W22">
        <v>1.1499999999999999</v>
      </c>
      <c r="X22">
        <v>0.19</v>
      </c>
      <c r="Y22">
        <v>1</v>
      </c>
      <c r="Z22">
        <v>10</v>
      </c>
    </row>
    <row r="23" spans="1:26" x14ac:dyDescent="0.3">
      <c r="A23">
        <v>21</v>
      </c>
      <c r="B23">
        <v>85</v>
      </c>
      <c r="C23" t="s">
        <v>26</v>
      </c>
      <c r="D23">
        <v>10.389900000000001</v>
      </c>
      <c r="E23">
        <v>9.6199999999999992</v>
      </c>
      <c r="F23">
        <v>6.88</v>
      </c>
      <c r="G23">
        <v>37.520000000000003</v>
      </c>
      <c r="H23">
        <v>0.63</v>
      </c>
      <c r="I23">
        <v>11</v>
      </c>
      <c r="J23">
        <v>175.55</v>
      </c>
      <c r="K23">
        <v>51.39</v>
      </c>
      <c r="L23">
        <v>6.25</v>
      </c>
      <c r="M23">
        <v>9</v>
      </c>
      <c r="N23">
        <v>32.909999999999997</v>
      </c>
      <c r="O23">
        <v>21885.599999999999</v>
      </c>
      <c r="P23">
        <v>83.43</v>
      </c>
      <c r="Q23">
        <v>204.17</v>
      </c>
      <c r="R23">
        <v>27.73</v>
      </c>
      <c r="S23">
        <v>17.37</v>
      </c>
      <c r="T23">
        <v>3051.99</v>
      </c>
      <c r="U23">
        <v>0.63</v>
      </c>
      <c r="V23">
        <v>0.74</v>
      </c>
      <c r="W23">
        <v>1.1499999999999999</v>
      </c>
      <c r="X23">
        <v>0.19</v>
      </c>
      <c r="Y23">
        <v>1</v>
      </c>
      <c r="Z23">
        <v>10</v>
      </c>
    </row>
    <row r="24" spans="1:26" x14ac:dyDescent="0.3">
      <c r="A24">
        <v>22</v>
      </c>
      <c r="B24">
        <v>85</v>
      </c>
      <c r="C24" t="s">
        <v>26</v>
      </c>
      <c r="D24">
        <v>10.3794</v>
      </c>
      <c r="E24">
        <v>9.6300000000000008</v>
      </c>
      <c r="F24">
        <v>6.89</v>
      </c>
      <c r="G24">
        <v>37.58</v>
      </c>
      <c r="H24">
        <v>0.66</v>
      </c>
      <c r="I24">
        <v>11</v>
      </c>
      <c r="J24">
        <v>175.92</v>
      </c>
      <c r="K24">
        <v>51.39</v>
      </c>
      <c r="L24">
        <v>6.5</v>
      </c>
      <c r="M24">
        <v>9</v>
      </c>
      <c r="N24">
        <v>33.03</v>
      </c>
      <c r="O24">
        <v>21931.08</v>
      </c>
      <c r="P24">
        <v>83.23</v>
      </c>
      <c r="Q24">
        <v>204.14</v>
      </c>
      <c r="R24">
        <v>27.93</v>
      </c>
      <c r="S24">
        <v>17.37</v>
      </c>
      <c r="T24">
        <v>3154.65</v>
      </c>
      <c r="U24">
        <v>0.62</v>
      </c>
      <c r="V24">
        <v>0.74</v>
      </c>
      <c r="W24">
        <v>1.1599999999999999</v>
      </c>
      <c r="X24">
        <v>0.2</v>
      </c>
      <c r="Y24">
        <v>1</v>
      </c>
      <c r="Z24">
        <v>10</v>
      </c>
    </row>
    <row r="25" spans="1:26" x14ac:dyDescent="0.3">
      <c r="A25">
        <v>23</v>
      </c>
      <c r="B25">
        <v>85</v>
      </c>
      <c r="C25" t="s">
        <v>26</v>
      </c>
      <c r="D25">
        <v>10.4384</v>
      </c>
      <c r="E25">
        <v>9.58</v>
      </c>
      <c r="F25">
        <v>6.87</v>
      </c>
      <c r="G25">
        <v>41.21</v>
      </c>
      <c r="H25">
        <v>0.68</v>
      </c>
      <c r="I25">
        <v>10</v>
      </c>
      <c r="J25">
        <v>176.29</v>
      </c>
      <c r="K25">
        <v>51.39</v>
      </c>
      <c r="L25">
        <v>6.75</v>
      </c>
      <c r="M25">
        <v>8</v>
      </c>
      <c r="N25">
        <v>33.15</v>
      </c>
      <c r="O25">
        <v>21976.61</v>
      </c>
      <c r="P25">
        <v>82.68</v>
      </c>
      <c r="Q25">
        <v>204.14</v>
      </c>
      <c r="R25">
        <v>27.32</v>
      </c>
      <c r="S25">
        <v>17.37</v>
      </c>
      <c r="T25">
        <v>2850.97</v>
      </c>
      <c r="U25">
        <v>0.64</v>
      </c>
      <c r="V25">
        <v>0.74</v>
      </c>
      <c r="W25">
        <v>1.1499999999999999</v>
      </c>
      <c r="X25">
        <v>0.18</v>
      </c>
      <c r="Y25">
        <v>1</v>
      </c>
      <c r="Z25">
        <v>10</v>
      </c>
    </row>
    <row r="26" spans="1:26" x14ac:dyDescent="0.3">
      <c r="A26">
        <v>24</v>
      </c>
      <c r="B26">
        <v>85</v>
      </c>
      <c r="C26" t="s">
        <v>26</v>
      </c>
      <c r="D26">
        <v>10.436</v>
      </c>
      <c r="E26">
        <v>9.58</v>
      </c>
      <c r="F26">
        <v>6.87</v>
      </c>
      <c r="G26">
        <v>41.23</v>
      </c>
      <c r="H26">
        <v>0.7</v>
      </c>
      <c r="I26">
        <v>10</v>
      </c>
      <c r="J26">
        <v>176.66</v>
      </c>
      <c r="K26">
        <v>51.39</v>
      </c>
      <c r="L26">
        <v>7</v>
      </c>
      <c r="M26">
        <v>8</v>
      </c>
      <c r="N26">
        <v>33.270000000000003</v>
      </c>
      <c r="O26">
        <v>22022.17</v>
      </c>
      <c r="P26">
        <v>82.64</v>
      </c>
      <c r="Q26">
        <v>204.14</v>
      </c>
      <c r="R26">
        <v>27.44</v>
      </c>
      <c r="S26">
        <v>17.37</v>
      </c>
      <c r="T26">
        <v>2912.92</v>
      </c>
      <c r="U26">
        <v>0.63</v>
      </c>
      <c r="V26">
        <v>0.74</v>
      </c>
      <c r="W26">
        <v>1.1499999999999999</v>
      </c>
      <c r="X26">
        <v>0.18</v>
      </c>
      <c r="Y26">
        <v>1</v>
      </c>
      <c r="Z26">
        <v>10</v>
      </c>
    </row>
    <row r="27" spans="1:26" x14ac:dyDescent="0.3">
      <c r="A27">
        <v>25</v>
      </c>
      <c r="B27">
        <v>85</v>
      </c>
      <c r="C27" t="s">
        <v>26</v>
      </c>
      <c r="D27">
        <v>10.434200000000001</v>
      </c>
      <c r="E27">
        <v>9.58</v>
      </c>
      <c r="F27">
        <v>6.87</v>
      </c>
      <c r="G27">
        <v>41.23</v>
      </c>
      <c r="H27">
        <v>0.73</v>
      </c>
      <c r="I27">
        <v>10</v>
      </c>
      <c r="J27">
        <v>177.03</v>
      </c>
      <c r="K27">
        <v>51.39</v>
      </c>
      <c r="L27">
        <v>7.25</v>
      </c>
      <c r="M27">
        <v>8</v>
      </c>
      <c r="N27">
        <v>33.39</v>
      </c>
      <c r="O27">
        <v>22067.77</v>
      </c>
      <c r="P27">
        <v>82.47</v>
      </c>
      <c r="Q27">
        <v>204.15</v>
      </c>
      <c r="R27">
        <v>27.52</v>
      </c>
      <c r="S27">
        <v>17.37</v>
      </c>
      <c r="T27">
        <v>2951.63</v>
      </c>
      <c r="U27">
        <v>0.63</v>
      </c>
      <c r="V27">
        <v>0.74</v>
      </c>
      <c r="W27">
        <v>1.1499999999999999</v>
      </c>
      <c r="X27">
        <v>0.18</v>
      </c>
      <c r="Y27">
        <v>1</v>
      </c>
      <c r="Z27">
        <v>10</v>
      </c>
    </row>
    <row r="28" spans="1:26" x14ac:dyDescent="0.3">
      <c r="A28">
        <v>26</v>
      </c>
      <c r="B28">
        <v>85</v>
      </c>
      <c r="C28" t="s">
        <v>26</v>
      </c>
      <c r="D28">
        <v>10.489800000000001</v>
      </c>
      <c r="E28">
        <v>9.5299999999999994</v>
      </c>
      <c r="F28">
        <v>6.86</v>
      </c>
      <c r="G28">
        <v>45.7</v>
      </c>
      <c r="H28">
        <v>0.75</v>
      </c>
      <c r="I28">
        <v>9</v>
      </c>
      <c r="J28">
        <v>177.4</v>
      </c>
      <c r="K28">
        <v>51.39</v>
      </c>
      <c r="L28">
        <v>7.5</v>
      </c>
      <c r="M28">
        <v>7</v>
      </c>
      <c r="N28">
        <v>33.51</v>
      </c>
      <c r="O28">
        <v>22113.42</v>
      </c>
      <c r="P28">
        <v>82.22</v>
      </c>
      <c r="Q28">
        <v>204.22</v>
      </c>
      <c r="R28">
        <v>26.97</v>
      </c>
      <c r="S28">
        <v>17.37</v>
      </c>
      <c r="T28">
        <v>2680.04</v>
      </c>
      <c r="U28">
        <v>0.64</v>
      </c>
      <c r="V28">
        <v>0.74</v>
      </c>
      <c r="W28">
        <v>1.1499999999999999</v>
      </c>
      <c r="X28">
        <v>0.16</v>
      </c>
      <c r="Y28">
        <v>1</v>
      </c>
      <c r="Z28">
        <v>10</v>
      </c>
    </row>
    <row r="29" spans="1:26" x14ac:dyDescent="0.3">
      <c r="A29">
        <v>27</v>
      </c>
      <c r="B29">
        <v>85</v>
      </c>
      <c r="C29" t="s">
        <v>26</v>
      </c>
      <c r="D29">
        <v>10.4855</v>
      </c>
      <c r="E29">
        <v>9.5399999999999991</v>
      </c>
      <c r="F29">
        <v>6.86</v>
      </c>
      <c r="G29">
        <v>45.73</v>
      </c>
      <c r="H29">
        <v>0.77</v>
      </c>
      <c r="I29">
        <v>9</v>
      </c>
      <c r="J29">
        <v>177.77</v>
      </c>
      <c r="K29">
        <v>51.39</v>
      </c>
      <c r="L29">
        <v>7.75</v>
      </c>
      <c r="M29">
        <v>7</v>
      </c>
      <c r="N29">
        <v>33.630000000000003</v>
      </c>
      <c r="O29">
        <v>22159.1</v>
      </c>
      <c r="P29">
        <v>82.34</v>
      </c>
      <c r="Q29">
        <v>204.14</v>
      </c>
      <c r="R29">
        <v>26.98</v>
      </c>
      <c r="S29">
        <v>17.37</v>
      </c>
      <c r="T29">
        <v>2686.15</v>
      </c>
      <c r="U29">
        <v>0.64</v>
      </c>
      <c r="V29">
        <v>0.74</v>
      </c>
      <c r="W29">
        <v>1.1499999999999999</v>
      </c>
      <c r="X29">
        <v>0.17</v>
      </c>
      <c r="Y29">
        <v>1</v>
      </c>
      <c r="Z29">
        <v>10</v>
      </c>
    </row>
    <row r="30" spans="1:26" x14ac:dyDescent="0.3">
      <c r="A30">
        <v>28</v>
      </c>
      <c r="B30">
        <v>85</v>
      </c>
      <c r="C30" t="s">
        <v>26</v>
      </c>
      <c r="D30">
        <v>10.488300000000001</v>
      </c>
      <c r="E30">
        <v>9.5299999999999994</v>
      </c>
      <c r="F30">
        <v>6.86</v>
      </c>
      <c r="G30">
        <v>45.71</v>
      </c>
      <c r="H30">
        <v>0.8</v>
      </c>
      <c r="I30">
        <v>9</v>
      </c>
      <c r="J30">
        <v>178.14</v>
      </c>
      <c r="K30">
        <v>51.39</v>
      </c>
      <c r="L30">
        <v>8</v>
      </c>
      <c r="M30">
        <v>7</v>
      </c>
      <c r="N30">
        <v>33.75</v>
      </c>
      <c r="O30">
        <v>22204.83</v>
      </c>
      <c r="P30">
        <v>81.92</v>
      </c>
      <c r="Q30">
        <v>204.15</v>
      </c>
      <c r="R30">
        <v>27.08</v>
      </c>
      <c r="S30">
        <v>17.37</v>
      </c>
      <c r="T30">
        <v>2737.47</v>
      </c>
      <c r="U30">
        <v>0.64</v>
      </c>
      <c r="V30">
        <v>0.74</v>
      </c>
      <c r="W30">
        <v>1.1499999999999999</v>
      </c>
      <c r="X30">
        <v>0.17</v>
      </c>
      <c r="Y30">
        <v>1</v>
      </c>
      <c r="Z30">
        <v>10</v>
      </c>
    </row>
    <row r="31" spans="1:26" x14ac:dyDescent="0.3">
      <c r="A31">
        <v>29</v>
      </c>
      <c r="B31">
        <v>85</v>
      </c>
      <c r="C31" t="s">
        <v>26</v>
      </c>
      <c r="D31">
        <v>10.4947</v>
      </c>
      <c r="E31">
        <v>9.5299999999999994</v>
      </c>
      <c r="F31">
        <v>6.85</v>
      </c>
      <c r="G31">
        <v>45.67</v>
      </c>
      <c r="H31">
        <v>0.82</v>
      </c>
      <c r="I31">
        <v>9</v>
      </c>
      <c r="J31">
        <v>178.51</v>
      </c>
      <c r="K31">
        <v>51.39</v>
      </c>
      <c r="L31">
        <v>8.25</v>
      </c>
      <c r="M31">
        <v>7</v>
      </c>
      <c r="N31">
        <v>33.869999999999997</v>
      </c>
      <c r="O31">
        <v>22250.6</v>
      </c>
      <c r="P31">
        <v>81.45</v>
      </c>
      <c r="Q31">
        <v>204.14</v>
      </c>
      <c r="R31">
        <v>26.86</v>
      </c>
      <c r="S31">
        <v>17.37</v>
      </c>
      <c r="T31">
        <v>2627.21</v>
      </c>
      <c r="U31">
        <v>0.65</v>
      </c>
      <c r="V31">
        <v>0.75</v>
      </c>
      <c r="W31">
        <v>1.1499999999999999</v>
      </c>
      <c r="X31">
        <v>0.16</v>
      </c>
      <c r="Y31">
        <v>1</v>
      </c>
      <c r="Z31">
        <v>10</v>
      </c>
    </row>
    <row r="32" spans="1:26" x14ac:dyDescent="0.3">
      <c r="A32">
        <v>30</v>
      </c>
      <c r="B32">
        <v>85</v>
      </c>
      <c r="C32" t="s">
        <v>26</v>
      </c>
      <c r="D32">
        <v>10.5671</v>
      </c>
      <c r="E32">
        <v>9.4600000000000009</v>
      </c>
      <c r="F32">
        <v>6.82</v>
      </c>
      <c r="G32">
        <v>51.15</v>
      </c>
      <c r="H32">
        <v>0.84</v>
      </c>
      <c r="I32">
        <v>8</v>
      </c>
      <c r="J32">
        <v>178.88</v>
      </c>
      <c r="K32">
        <v>51.39</v>
      </c>
      <c r="L32">
        <v>8.5</v>
      </c>
      <c r="M32">
        <v>6</v>
      </c>
      <c r="N32">
        <v>33.99</v>
      </c>
      <c r="O32">
        <v>22296.41</v>
      </c>
      <c r="P32">
        <v>81.02</v>
      </c>
      <c r="Q32">
        <v>204.14</v>
      </c>
      <c r="R32">
        <v>25.74</v>
      </c>
      <c r="S32">
        <v>17.37</v>
      </c>
      <c r="T32">
        <v>2072.42</v>
      </c>
      <c r="U32">
        <v>0.67</v>
      </c>
      <c r="V32">
        <v>0.75</v>
      </c>
      <c r="W32">
        <v>1.1499999999999999</v>
      </c>
      <c r="X32">
        <v>0.13</v>
      </c>
      <c r="Y32">
        <v>1</v>
      </c>
      <c r="Z32">
        <v>10</v>
      </c>
    </row>
    <row r="33" spans="1:26" x14ac:dyDescent="0.3">
      <c r="A33">
        <v>31</v>
      </c>
      <c r="B33">
        <v>85</v>
      </c>
      <c r="C33" t="s">
        <v>26</v>
      </c>
      <c r="D33">
        <v>10.561199999999999</v>
      </c>
      <c r="E33">
        <v>9.4700000000000006</v>
      </c>
      <c r="F33">
        <v>6.83</v>
      </c>
      <c r="G33">
        <v>51.19</v>
      </c>
      <c r="H33">
        <v>0.87</v>
      </c>
      <c r="I33">
        <v>8</v>
      </c>
      <c r="J33">
        <v>179.26</v>
      </c>
      <c r="K33">
        <v>51.39</v>
      </c>
      <c r="L33">
        <v>8.75</v>
      </c>
      <c r="M33">
        <v>6</v>
      </c>
      <c r="N33">
        <v>34.11</v>
      </c>
      <c r="O33">
        <v>22342.26</v>
      </c>
      <c r="P33">
        <v>80.72</v>
      </c>
      <c r="Q33">
        <v>204.14</v>
      </c>
      <c r="R33">
        <v>25.94</v>
      </c>
      <c r="S33">
        <v>17.37</v>
      </c>
      <c r="T33">
        <v>2173.5100000000002</v>
      </c>
      <c r="U33">
        <v>0.67</v>
      </c>
      <c r="V33">
        <v>0.75</v>
      </c>
      <c r="W33">
        <v>1.1499999999999999</v>
      </c>
      <c r="X33">
        <v>0.13</v>
      </c>
      <c r="Y33">
        <v>1</v>
      </c>
      <c r="Z33">
        <v>10</v>
      </c>
    </row>
    <row r="34" spans="1:26" x14ac:dyDescent="0.3">
      <c r="A34">
        <v>32</v>
      </c>
      <c r="B34">
        <v>85</v>
      </c>
      <c r="C34" t="s">
        <v>26</v>
      </c>
      <c r="D34">
        <v>10.5547</v>
      </c>
      <c r="E34">
        <v>9.4700000000000006</v>
      </c>
      <c r="F34">
        <v>6.83</v>
      </c>
      <c r="G34">
        <v>51.23</v>
      </c>
      <c r="H34">
        <v>0.89</v>
      </c>
      <c r="I34">
        <v>8</v>
      </c>
      <c r="J34">
        <v>179.63</v>
      </c>
      <c r="K34">
        <v>51.39</v>
      </c>
      <c r="L34">
        <v>9</v>
      </c>
      <c r="M34">
        <v>6</v>
      </c>
      <c r="N34">
        <v>34.24</v>
      </c>
      <c r="O34">
        <v>22388.15</v>
      </c>
      <c r="P34">
        <v>80.5</v>
      </c>
      <c r="Q34">
        <v>204.16</v>
      </c>
      <c r="R34">
        <v>26.13</v>
      </c>
      <c r="S34">
        <v>17.37</v>
      </c>
      <c r="T34">
        <v>2268.83</v>
      </c>
      <c r="U34">
        <v>0.66</v>
      </c>
      <c r="V34">
        <v>0.75</v>
      </c>
      <c r="W34">
        <v>1.1499999999999999</v>
      </c>
      <c r="X34">
        <v>0.14000000000000001</v>
      </c>
      <c r="Y34">
        <v>1</v>
      </c>
      <c r="Z34">
        <v>10</v>
      </c>
    </row>
    <row r="35" spans="1:26" x14ac:dyDescent="0.3">
      <c r="A35">
        <v>33</v>
      </c>
      <c r="B35">
        <v>85</v>
      </c>
      <c r="C35" t="s">
        <v>26</v>
      </c>
      <c r="D35">
        <v>10.557499999999999</v>
      </c>
      <c r="E35">
        <v>9.4700000000000006</v>
      </c>
      <c r="F35">
        <v>6.83</v>
      </c>
      <c r="G35">
        <v>51.21</v>
      </c>
      <c r="H35">
        <v>0.91</v>
      </c>
      <c r="I35">
        <v>8</v>
      </c>
      <c r="J35">
        <v>180</v>
      </c>
      <c r="K35">
        <v>51.39</v>
      </c>
      <c r="L35">
        <v>9.25</v>
      </c>
      <c r="M35">
        <v>6</v>
      </c>
      <c r="N35">
        <v>34.36</v>
      </c>
      <c r="O35">
        <v>22434.080000000002</v>
      </c>
      <c r="P35">
        <v>80.319999999999993</v>
      </c>
      <c r="Q35">
        <v>204.14</v>
      </c>
      <c r="R35">
        <v>26.08</v>
      </c>
      <c r="S35">
        <v>17.37</v>
      </c>
      <c r="T35">
        <v>2244.39</v>
      </c>
      <c r="U35">
        <v>0.67</v>
      </c>
      <c r="V35">
        <v>0.75</v>
      </c>
      <c r="W35">
        <v>1.1499999999999999</v>
      </c>
      <c r="X35">
        <v>0.14000000000000001</v>
      </c>
      <c r="Y35">
        <v>1</v>
      </c>
      <c r="Z35">
        <v>10</v>
      </c>
    </row>
    <row r="36" spans="1:26" x14ac:dyDescent="0.3">
      <c r="A36">
        <v>34</v>
      </c>
      <c r="B36">
        <v>85</v>
      </c>
      <c r="C36" t="s">
        <v>26</v>
      </c>
      <c r="D36">
        <v>10.6289</v>
      </c>
      <c r="E36">
        <v>9.41</v>
      </c>
      <c r="F36">
        <v>6.8</v>
      </c>
      <c r="G36">
        <v>58.27</v>
      </c>
      <c r="H36">
        <v>0.93</v>
      </c>
      <c r="I36">
        <v>7</v>
      </c>
      <c r="J36">
        <v>180.37</v>
      </c>
      <c r="K36">
        <v>51.39</v>
      </c>
      <c r="L36">
        <v>9.5</v>
      </c>
      <c r="M36">
        <v>5</v>
      </c>
      <c r="N36">
        <v>34.479999999999997</v>
      </c>
      <c r="O36">
        <v>22480.05</v>
      </c>
      <c r="P36">
        <v>79.53</v>
      </c>
      <c r="Q36">
        <v>204.14</v>
      </c>
      <c r="R36">
        <v>25.26</v>
      </c>
      <c r="S36">
        <v>17.37</v>
      </c>
      <c r="T36">
        <v>1836.46</v>
      </c>
      <c r="U36">
        <v>0.69</v>
      </c>
      <c r="V36">
        <v>0.75</v>
      </c>
      <c r="W36">
        <v>1.1399999999999999</v>
      </c>
      <c r="X36">
        <v>0.11</v>
      </c>
      <c r="Y36">
        <v>1</v>
      </c>
      <c r="Z36">
        <v>10</v>
      </c>
    </row>
    <row r="37" spans="1:26" x14ac:dyDescent="0.3">
      <c r="A37">
        <v>35</v>
      </c>
      <c r="B37">
        <v>85</v>
      </c>
      <c r="C37" t="s">
        <v>26</v>
      </c>
      <c r="D37">
        <v>10.617599999999999</v>
      </c>
      <c r="E37">
        <v>9.42</v>
      </c>
      <c r="F37">
        <v>6.81</v>
      </c>
      <c r="G37">
        <v>58.36</v>
      </c>
      <c r="H37">
        <v>0.96</v>
      </c>
      <c r="I37">
        <v>7</v>
      </c>
      <c r="J37">
        <v>180.75</v>
      </c>
      <c r="K37">
        <v>51.39</v>
      </c>
      <c r="L37">
        <v>9.75</v>
      </c>
      <c r="M37">
        <v>5</v>
      </c>
      <c r="N37">
        <v>34.6</v>
      </c>
      <c r="O37">
        <v>22526.07</v>
      </c>
      <c r="P37">
        <v>79.78</v>
      </c>
      <c r="Q37">
        <v>204.17</v>
      </c>
      <c r="R37">
        <v>25.31</v>
      </c>
      <c r="S37">
        <v>17.37</v>
      </c>
      <c r="T37">
        <v>1861.59</v>
      </c>
      <c r="U37">
        <v>0.69</v>
      </c>
      <c r="V37">
        <v>0.75</v>
      </c>
      <c r="W37">
        <v>1.1499999999999999</v>
      </c>
      <c r="X37">
        <v>0.12</v>
      </c>
      <c r="Y37">
        <v>1</v>
      </c>
      <c r="Z37">
        <v>10</v>
      </c>
    </row>
    <row r="38" spans="1:26" x14ac:dyDescent="0.3">
      <c r="A38">
        <v>36</v>
      </c>
      <c r="B38">
        <v>85</v>
      </c>
      <c r="C38" t="s">
        <v>26</v>
      </c>
      <c r="D38">
        <v>10.621700000000001</v>
      </c>
      <c r="E38">
        <v>9.41</v>
      </c>
      <c r="F38">
        <v>6.8</v>
      </c>
      <c r="G38">
        <v>58.33</v>
      </c>
      <c r="H38">
        <v>0.98</v>
      </c>
      <c r="I38">
        <v>7</v>
      </c>
      <c r="J38">
        <v>181.12</v>
      </c>
      <c r="K38">
        <v>51.39</v>
      </c>
      <c r="L38">
        <v>10</v>
      </c>
      <c r="M38">
        <v>5</v>
      </c>
      <c r="N38">
        <v>34.729999999999997</v>
      </c>
      <c r="O38">
        <v>22572.13</v>
      </c>
      <c r="P38">
        <v>79.95</v>
      </c>
      <c r="Q38">
        <v>204.15</v>
      </c>
      <c r="R38">
        <v>25.28</v>
      </c>
      <c r="S38">
        <v>17.37</v>
      </c>
      <c r="T38">
        <v>1847.51</v>
      </c>
      <c r="U38">
        <v>0.69</v>
      </c>
      <c r="V38">
        <v>0.75</v>
      </c>
      <c r="W38">
        <v>1.1499999999999999</v>
      </c>
      <c r="X38">
        <v>0.11</v>
      </c>
      <c r="Y38">
        <v>1</v>
      </c>
      <c r="Z38">
        <v>10</v>
      </c>
    </row>
    <row r="39" spans="1:26" x14ac:dyDescent="0.3">
      <c r="A39">
        <v>37</v>
      </c>
      <c r="B39">
        <v>85</v>
      </c>
      <c r="C39" t="s">
        <v>26</v>
      </c>
      <c r="D39">
        <v>10.613200000000001</v>
      </c>
      <c r="E39">
        <v>9.42</v>
      </c>
      <c r="F39">
        <v>6.81</v>
      </c>
      <c r="G39">
        <v>58.39</v>
      </c>
      <c r="H39">
        <v>1</v>
      </c>
      <c r="I39">
        <v>7</v>
      </c>
      <c r="J39">
        <v>181.49</v>
      </c>
      <c r="K39">
        <v>51.39</v>
      </c>
      <c r="L39">
        <v>10.25</v>
      </c>
      <c r="M39">
        <v>5</v>
      </c>
      <c r="N39">
        <v>34.85</v>
      </c>
      <c r="O39">
        <v>22618.23</v>
      </c>
      <c r="P39">
        <v>79.849999999999994</v>
      </c>
      <c r="Q39">
        <v>204.16</v>
      </c>
      <c r="R39">
        <v>25.58</v>
      </c>
      <c r="S39">
        <v>17.37</v>
      </c>
      <c r="T39">
        <v>1997.26</v>
      </c>
      <c r="U39">
        <v>0.68</v>
      </c>
      <c r="V39">
        <v>0.75</v>
      </c>
      <c r="W39">
        <v>1.1499999999999999</v>
      </c>
      <c r="X39">
        <v>0.12</v>
      </c>
      <c r="Y39">
        <v>1</v>
      </c>
      <c r="Z39">
        <v>10</v>
      </c>
    </row>
    <row r="40" spans="1:26" x14ac:dyDescent="0.3">
      <c r="A40">
        <v>38</v>
      </c>
      <c r="B40">
        <v>85</v>
      </c>
      <c r="C40" t="s">
        <v>26</v>
      </c>
      <c r="D40">
        <v>10.609500000000001</v>
      </c>
      <c r="E40">
        <v>9.43</v>
      </c>
      <c r="F40">
        <v>6.82</v>
      </c>
      <c r="G40">
        <v>58.42</v>
      </c>
      <c r="H40">
        <v>1.02</v>
      </c>
      <c r="I40">
        <v>7</v>
      </c>
      <c r="J40">
        <v>181.87</v>
      </c>
      <c r="K40">
        <v>51.39</v>
      </c>
      <c r="L40">
        <v>10.5</v>
      </c>
      <c r="M40">
        <v>5</v>
      </c>
      <c r="N40">
        <v>34.979999999999997</v>
      </c>
      <c r="O40">
        <v>22664.49</v>
      </c>
      <c r="P40">
        <v>79.569999999999993</v>
      </c>
      <c r="Q40">
        <v>204.14</v>
      </c>
      <c r="R40">
        <v>25.64</v>
      </c>
      <c r="S40">
        <v>17.37</v>
      </c>
      <c r="T40">
        <v>2027.55</v>
      </c>
      <c r="U40">
        <v>0.68</v>
      </c>
      <c r="V40">
        <v>0.75</v>
      </c>
      <c r="W40">
        <v>1.1499999999999999</v>
      </c>
      <c r="X40">
        <v>0.12</v>
      </c>
      <c r="Y40">
        <v>1</v>
      </c>
      <c r="Z40">
        <v>10</v>
      </c>
    </row>
    <row r="41" spans="1:26" x14ac:dyDescent="0.3">
      <c r="A41">
        <v>39</v>
      </c>
      <c r="B41">
        <v>85</v>
      </c>
      <c r="C41" t="s">
        <v>26</v>
      </c>
      <c r="D41">
        <v>10.606999999999999</v>
      </c>
      <c r="E41">
        <v>9.43</v>
      </c>
      <c r="F41">
        <v>6.82</v>
      </c>
      <c r="G41">
        <v>58.44</v>
      </c>
      <c r="H41">
        <v>1.05</v>
      </c>
      <c r="I41">
        <v>7</v>
      </c>
      <c r="J41">
        <v>182.24</v>
      </c>
      <c r="K41">
        <v>51.39</v>
      </c>
      <c r="L41">
        <v>10.75</v>
      </c>
      <c r="M41">
        <v>5</v>
      </c>
      <c r="N41">
        <v>35.1</v>
      </c>
      <c r="O41">
        <v>22710.68</v>
      </c>
      <c r="P41">
        <v>79.25</v>
      </c>
      <c r="Q41">
        <v>204.15</v>
      </c>
      <c r="R41">
        <v>25.77</v>
      </c>
      <c r="S41">
        <v>17.37</v>
      </c>
      <c r="T41">
        <v>2094.0500000000002</v>
      </c>
      <c r="U41">
        <v>0.67</v>
      </c>
      <c r="V41">
        <v>0.75</v>
      </c>
      <c r="W41">
        <v>1.1499999999999999</v>
      </c>
      <c r="X41">
        <v>0.13</v>
      </c>
      <c r="Y41">
        <v>1</v>
      </c>
      <c r="Z41">
        <v>10</v>
      </c>
    </row>
    <row r="42" spans="1:26" x14ac:dyDescent="0.3">
      <c r="A42">
        <v>40</v>
      </c>
      <c r="B42">
        <v>85</v>
      </c>
      <c r="C42" t="s">
        <v>26</v>
      </c>
      <c r="D42">
        <v>10.612299999999999</v>
      </c>
      <c r="E42">
        <v>9.42</v>
      </c>
      <c r="F42">
        <v>6.81</v>
      </c>
      <c r="G42">
        <v>58.4</v>
      </c>
      <c r="H42">
        <v>1.07</v>
      </c>
      <c r="I42">
        <v>7</v>
      </c>
      <c r="J42">
        <v>182.62</v>
      </c>
      <c r="K42">
        <v>51.39</v>
      </c>
      <c r="L42">
        <v>11</v>
      </c>
      <c r="M42">
        <v>5</v>
      </c>
      <c r="N42">
        <v>35.22</v>
      </c>
      <c r="O42">
        <v>22756.91</v>
      </c>
      <c r="P42">
        <v>78.87</v>
      </c>
      <c r="Q42">
        <v>204.15</v>
      </c>
      <c r="R42">
        <v>25.63</v>
      </c>
      <c r="S42">
        <v>17.37</v>
      </c>
      <c r="T42">
        <v>2021.32</v>
      </c>
      <c r="U42">
        <v>0.68</v>
      </c>
      <c r="V42">
        <v>0.75</v>
      </c>
      <c r="W42">
        <v>1.1499999999999999</v>
      </c>
      <c r="X42">
        <v>0.12</v>
      </c>
      <c r="Y42">
        <v>1</v>
      </c>
      <c r="Z42">
        <v>10</v>
      </c>
    </row>
    <row r="43" spans="1:26" x14ac:dyDescent="0.3">
      <c r="A43">
        <v>41</v>
      </c>
      <c r="B43">
        <v>85</v>
      </c>
      <c r="C43" t="s">
        <v>26</v>
      </c>
      <c r="D43">
        <v>10.6828</v>
      </c>
      <c r="E43">
        <v>9.36</v>
      </c>
      <c r="F43">
        <v>6.79</v>
      </c>
      <c r="G43">
        <v>67.849999999999994</v>
      </c>
      <c r="H43">
        <v>1.0900000000000001</v>
      </c>
      <c r="I43">
        <v>6</v>
      </c>
      <c r="J43">
        <v>182.99</v>
      </c>
      <c r="K43">
        <v>51.39</v>
      </c>
      <c r="L43">
        <v>11.25</v>
      </c>
      <c r="M43">
        <v>4</v>
      </c>
      <c r="N43">
        <v>35.35</v>
      </c>
      <c r="O43">
        <v>22803.18</v>
      </c>
      <c r="P43">
        <v>78.11</v>
      </c>
      <c r="Q43">
        <v>204.14</v>
      </c>
      <c r="R43">
        <v>24.73</v>
      </c>
      <c r="S43">
        <v>17.37</v>
      </c>
      <c r="T43">
        <v>1575.66</v>
      </c>
      <c r="U43">
        <v>0.7</v>
      </c>
      <c r="V43">
        <v>0.75</v>
      </c>
      <c r="W43">
        <v>1.1499999999999999</v>
      </c>
      <c r="X43">
        <v>0.09</v>
      </c>
      <c r="Y43">
        <v>1</v>
      </c>
      <c r="Z43">
        <v>10</v>
      </c>
    </row>
    <row r="44" spans="1:26" x14ac:dyDescent="0.3">
      <c r="A44">
        <v>42</v>
      </c>
      <c r="B44">
        <v>85</v>
      </c>
      <c r="C44" t="s">
        <v>26</v>
      </c>
      <c r="D44">
        <v>10.677099999999999</v>
      </c>
      <c r="E44">
        <v>9.3699999999999992</v>
      </c>
      <c r="F44">
        <v>6.79</v>
      </c>
      <c r="G44">
        <v>67.900000000000006</v>
      </c>
      <c r="H44">
        <v>1.1100000000000001</v>
      </c>
      <c r="I44">
        <v>6</v>
      </c>
      <c r="J44">
        <v>183.37</v>
      </c>
      <c r="K44">
        <v>51.39</v>
      </c>
      <c r="L44">
        <v>11.5</v>
      </c>
      <c r="M44">
        <v>4</v>
      </c>
      <c r="N44">
        <v>35.479999999999997</v>
      </c>
      <c r="O44">
        <v>22849.49</v>
      </c>
      <c r="P44">
        <v>78.17</v>
      </c>
      <c r="Q44">
        <v>204.15</v>
      </c>
      <c r="R44">
        <v>24.89</v>
      </c>
      <c r="S44">
        <v>17.37</v>
      </c>
      <c r="T44">
        <v>1655.5</v>
      </c>
      <c r="U44">
        <v>0.7</v>
      </c>
      <c r="V44">
        <v>0.75</v>
      </c>
      <c r="W44">
        <v>1.1499999999999999</v>
      </c>
      <c r="X44">
        <v>0.1</v>
      </c>
      <c r="Y44">
        <v>1</v>
      </c>
      <c r="Z44">
        <v>10</v>
      </c>
    </row>
    <row r="45" spans="1:26" x14ac:dyDescent="0.3">
      <c r="A45">
        <v>43</v>
      </c>
      <c r="B45">
        <v>85</v>
      </c>
      <c r="C45" t="s">
        <v>26</v>
      </c>
      <c r="D45">
        <v>10.679600000000001</v>
      </c>
      <c r="E45">
        <v>9.36</v>
      </c>
      <c r="F45">
        <v>6.79</v>
      </c>
      <c r="G45">
        <v>67.88</v>
      </c>
      <c r="H45">
        <v>1.1299999999999999</v>
      </c>
      <c r="I45">
        <v>6</v>
      </c>
      <c r="J45">
        <v>183.74</v>
      </c>
      <c r="K45">
        <v>51.39</v>
      </c>
      <c r="L45">
        <v>11.75</v>
      </c>
      <c r="M45">
        <v>4</v>
      </c>
      <c r="N45">
        <v>35.6</v>
      </c>
      <c r="O45">
        <v>22895.85</v>
      </c>
      <c r="P45">
        <v>78.239999999999995</v>
      </c>
      <c r="Q45">
        <v>204.14</v>
      </c>
      <c r="R45">
        <v>24.8</v>
      </c>
      <c r="S45">
        <v>17.37</v>
      </c>
      <c r="T45">
        <v>1611.27</v>
      </c>
      <c r="U45">
        <v>0.7</v>
      </c>
      <c r="V45">
        <v>0.75</v>
      </c>
      <c r="W45">
        <v>1.1499999999999999</v>
      </c>
      <c r="X45">
        <v>0.1</v>
      </c>
      <c r="Y45">
        <v>1</v>
      </c>
      <c r="Z45">
        <v>10</v>
      </c>
    </row>
    <row r="46" spans="1:26" x14ac:dyDescent="0.3">
      <c r="A46">
        <v>44</v>
      </c>
      <c r="B46">
        <v>85</v>
      </c>
      <c r="C46" t="s">
        <v>26</v>
      </c>
      <c r="D46">
        <v>10.6806</v>
      </c>
      <c r="E46">
        <v>9.36</v>
      </c>
      <c r="F46">
        <v>6.79</v>
      </c>
      <c r="G46">
        <v>67.87</v>
      </c>
      <c r="H46">
        <v>1.1599999999999999</v>
      </c>
      <c r="I46">
        <v>6</v>
      </c>
      <c r="J46">
        <v>184.12</v>
      </c>
      <c r="K46">
        <v>51.39</v>
      </c>
      <c r="L46">
        <v>12</v>
      </c>
      <c r="M46">
        <v>4</v>
      </c>
      <c r="N46">
        <v>35.729999999999997</v>
      </c>
      <c r="O46">
        <v>22942.240000000002</v>
      </c>
      <c r="P46">
        <v>78.180000000000007</v>
      </c>
      <c r="Q46">
        <v>204.14</v>
      </c>
      <c r="R46">
        <v>24.86</v>
      </c>
      <c r="S46">
        <v>17.37</v>
      </c>
      <c r="T46">
        <v>1644.13</v>
      </c>
      <c r="U46">
        <v>0.7</v>
      </c>
      <c r="V46">
        <v>0.75</v>
      </c>
      <c r="W46">
        <v>1.1399999999999999</v>
      </c>
      <c r="X46">
        <v>0.1</v>
      </c>
      <c r="Y46">
        <v>1</v>
      </c>
      <c r="Z46">
        <v>10</v>
      </c>
    </row>
    <row r="47" spans="1:26" x14ac:dyDescent="0.3">
      <c r="A47">
        <v>45</v>
      </c>
      <c r="B47">
        <v>85</v>
      </c>
      <c r="C47" t="s">
        <v>26</v>
      </c>
      <c r="D47">
        <v>10.687900000000001</v>
      </c>
      <c r="E47">
        <v>9.36</v>
      </c>
      <c r="F47">
        <v>6.78</v>
      </c>
      <c r="G47">
        <v>67.81</v>
      </c>
      <c r="H47">
        <v>1.18</v>
      </c>
      <c r="I47">
        <v>6</v>
      </c>
      <c r="J47">
        <v>184.5</v>
      </c>
      <c r="K47">
        <v>51.39</v>
      </c>
      <c r="L47">
        <v>12.25</v>
      </c>
      <c r="M47">
        <v>4</v>
      </c>
      <c r="N47">
        <v>35.85</v>
      </c>
      <c r="O47">
        <v>22988.69</v>
      </c>
      <c r="P47">
        <v>77.8</v>
      </c>
      <c r="Q47">
        <v>204.14</v>
      </c>
      <c r="R47">
        <v>24.61</v>
      </c>
      <c r="S47">
        <v>17.37</v>
      </c>
      <c r="T47">
        <v>1517.22</v>
      </c>
      <c r="U47">
        <v>0.71</v>
      </c>
      <c r="V47">
        <v>0.75</v>
      </c>
      <c r="W47">
        <v>1.1499999999999999</v>
      </c>
      <c r="X47">
        <v>0.09</v>
      </c>
      <c r="Y47">
        <v>1</v>
      </c>
      <c r="Z47">
        <v>10</v>
      </c>
    </row>
    <row r="48" spans="1:26" x14ac:dyDescent="0.3">
      <c r="A48">
        <v>46</v>
      </c>
      <c r="B48">
        <v>85</v>
      </c>
      <c r="C48" t="s">
        <v>26</v>
      </c>
      <c r="D48">
        <v>10.680300000000001</v>
      </c>
      <c r="E48">
        <v>9.36</v>
      </c>
      <c r="F48">
        <v>6.79</v>
      </c>
      <c r="G48">
        <v>67.87</v>
      </c>
      <c r="H48">
        <v>1.2</v>
      </c>
      <c r="I48">
        <v>6</v>
      </c>
      <c r="J48">
        <v>184.87</v>
      </c>
      <c r="K48">
        <v>51.39</v>
      </c>
      <c r="L48">
        <v>12.5</v>
      </c>
      <c r="M48">
        <v>4</v>
      </c>
      <c r="N48">
        <v>35.979999999999997</v>
      </c>
      <c r="O48">
        <v>23035.17</v>
      </c>
      <c r="P48">
        <v>77.55</v>
      </c>
      <c r="Q48">
        <v>204.14</v>
      </c>
      <c r="R48">
        <v>24.82</v>
      </c>
      <c r="S48">
        <v>17.37</v>
      </c>
      <c r="T48">
        <v>1621.86</v>
      </c>
      <c r="U48">
        <v>0.7</v>
      </c>
      <c r="V48">
        <v>0.75</v>
      </c>
      <c r="W48">
        <v>1.1499999999999999</v>
      </c>
      <c r="X48">
        <v>0.1</v>
      </c>
      <c r="Y48">
        <v>1</v>
      </c>
      <c r="Z48">
        <v>10</v>
      </c>
    </row>
    <row r="49" spans="1:26" x14ac:dyDescent="0.3">
      <c r="A49">
        <v>47</v>
      </c>
      <c r="B49">
        <v>85</v>
      </c>
      <c r="C49" t="s">
        <v>26</v>
      </c>
      <c r="D49">
        <v>10.673299999999999</v>
      </c>
      <c r="E49">
        <v>9.3699999999999992</v>
      </c>
      <c r="F49">
        <v>6.79</v>
      </c>
      <c r="G49">
        <v>67.930000000000007</v>
      </c>
      <c r="H49">
        <v>1.22</v>
      </c>
      <c r="I49">
        <v>6</v>
      </c>
      <c r="J49">
        <v>185.25</v>
      </c>
      <c r="K49">
        <v>51.39</v>
      </c>
      <c r="L49">
        <v>12.75</v>
      </c>
      <c r="M49">
        <v>4</v>
      </c>
      <c r="N49">
        <v>36.11</v>
      </c>
      <c r="O49">
        <v>23081.7</v>
      </c>
      <c r="P49">
        <v>77.430000000000007</v>
      </c>
      <c r="Q49">
        <v>204.14</v>
      </c>
      <c r="R49">
        <v>25.04</v>
      </c>
      <c r="S49">
        <v>17.37</v>
      </c>
      <c r="T49">
        <v>1733.55</v>
      </c>
      <c r="U49">
        <v>0.69</v>
      </c>
      <c r="V49">
        <v>0.75</v>
      </c>
      <c r="W49">
        <v>1.1499999999999999</v>
      </c>
      <c r="X49">
        <v>0.1</v>
      </c>
      <c r="Y49">
        <v>1</v>
      </c>
      <c r="Z49">
        <v>10</v>
      </c>
    </row>
    <row r="50" spans="1:26" x14ac:dyDescent="0.3">
      <c r="A50">
        <v>48</v>
      </c>
      <c r="B50">
        <v>85</v>
      </c>
      <c r="C50" t="s">
        <v>26</v>
      </c>
      <c r="D50">
        <v>10.6777</v>
      </c>
      <c r="E50">
        <v>9.3699999999999992</v>
      </c>
      <c r="F50">
        <v>6.79</v>
      </c>
      <c r="G50">
        <v>67.89</v>
      </c>
      <c r="H50">
        <v>1.24</v>
      </c>
      <c r="I50">
        <v>6</v>
      </c>
      <c r="J50">
        <v>185.63</v>
      </c>
      <c r="K50">
        <v>51.39</v>
      </c>
      <c r="L50">
        <v>13</v>
      </c>
      <c r="M50">
        <v>4</v>
      </c>
      <c r="N50">
        <v>36.24</v>
      </c>
      <c r="O50">
        <v>23128.27</v>
      </c>
      <c r="P50">
        <v>77.010000000000005</v>
      </c>
      <c r="Q50">
        <v>204.18</v>
      </c>
      <c r="R50">
        <v>24.89</v>
      </c>
      <c r="S50">
        <v>17.37</v>
      </c>
      <c r="T50">
        <v>1655.28</v>
      </c>
      <c r="U50">
        <v>0.7</v>
      </c>
      <c r="V50">
        <v>0.75</v>
      </c>
      <c r="W50">
        <v>1.1499999999999999</v>
      </c>
      <c r="X50">
        <v>0.1</v>
      </c>
      <c r="Y50">
        <v>1</v>
      </c>
      <c r="Z50">
        <v>10</v>
      </c>
    </row>
    <row r="51" spans="1:26" x14ac:dyDescent="0.3">
      <c r="A51">
        <v>49</v>
      </c>
      <c r="B51">
        <v>85</v>
      </c>
      <c r="C51" t="s">
        <v>26</v>
      </c>
      <c r="D51">
        <v>10.6793</v>
      </c>
      <c r="E51">
        <v>9.36</v>
      </c>
      <c r="F51">
        <v>6.79</v>
      </c>
      <c r="G51">
        <v>67.88</v>
      </c>
      <c r="H51">
        <v>1.26</v>
      </c>
      <c r="I51">
        <v>6</v>
      </c>
      <c r="J51">
        <v>186.01</v>
      </c>
      <c r="K51">
        <v>51.39</v>
      </c>
      <c r="L51">
        <v>13.25</v>
      </c>
      <c r="M51">
        <v>4</v>
      </c>
      <c r="N51">
        <v>36.36</v>
      </c>
      <c r="O51">
        <v>23174.880000000001</v>
      </c>
      <c r="P51">
        <v>76.83</v>
      </c>
      <c r="Q51">
        <v>204.15</v>
      </c>
      <c r="R51">
        <v>24.79</v>
      </c>
      <c r="S51">
        <v>17.37</v>
      </c>
      <c r="T51">
        <v>1609.24</v>
      </c>
      <c r="U51">
        <v>0.7</v>
      </c>
      <c r="V51">
        <v>0.75</v>
      </c>
      <c r="W51">
        <v>1.1499999999999999</v>
      </c>
      <c r="X51">
        <v>0.1</v>
      </c>
      <c r="Y51">
        <v>1</v>
      </c>
      <c r="Z51">
        <v>10</v>
      </c>
    </row>
    <row r="52" spans="1:26" x14ac:dyDescent="0.3">
      <c r="A52">
        <v>50</v>
      </c>
      <c r="B52">
        <v>85</v>
      </c>
      <c r="C52" t="s">
        <v>26</v>
      </c>
      <c r="D52">
        <v>10.6739</v>
      </c>
      <c r="E52">
        <v>9.3699999999999992</v>
      </c>
      <c r="F52">
        <v>6.79</v>
      </c>
      <c r="G52">
        <v>67.930000000000007</v>
      </c>
      <c r="H52">
        <v>1.29</v>
      </c>
      <c r="I52">
        <v>6</v>
      </c>
      <c r="J52">
        <v>186.38</v>
      </c>
      <c r="K52">
        <v>51.39</v>
      </c>
      <c r="L52">
        <v>13.5</v>
      </c>
      <c r="M52">
        <v>4</v>
      </c>
      <c r="N52">
        <v>36.49</v>
      </c>
      <c r="O52">
        <v>23221.54</v>
      </c>
      <c r="P52">
        <v>76.239999999999995</v>
      </c>
      <c r="Q52">
        <v>204.14</v>
      </c>
      <c r="R52">
        <v>24.97</v>
      </c>
      <c r="S52">
        <v>17.37</v>
      </c>
      <c r="T52">
        <v>1696.91</v>
      </c>
      <c r="U52">
        <v>0.7</v>
      </c>
      <c r="V52">
        <v>0.75</v>
      </c>
      <c r="W52">
        <v>1.1499999999999999</v>
      </c>
      <c r="X52">
        <v>0.1</v>
      </c>
      <c r="Y52">
        <v>1</v>
      </c>
      <c r="Z52">
        <v>10</v>
      </c>
    </row>
    <row r="53" spans="1:26" x14ac:dyDescent="0.3">
      <c r="A53">
        <v>51</v>
      </c>
      <c r="B53">
        <v>85</v>
      </c>
      <c r="C53" t="s">
        <v>26</v>
      </c>
      <c r="D53">
        <v>10.735099999999999</v>
      </c>
      <c r="E53">
        <v>9.32</v>
      </c>
      <c r="F53">
        <v>6.77</v>
      </c>
      <c r="G53">
        <v>81.28</v>
      </c>
      <c r="H53">
        <v>1.31</v>
      </c>
      <c r="I53">
        <v>5</v>
      </c>
      <c r="J53">
        <v>186.76</v>
      </c>
      <c r="K53">
        <v>51.39</v>
      </c>
      <c r="L53">
        <v>13.75</v>
      </c>
      <c r="M53">
        <v>3</v>
      </c>
      <c r="N53">
        <v>36.619999999999997</v>
      </c>
      <c r="O53">
        <v>23268.240000000002</v>
      </c>
      <c r="P53">
        <v>76.010000000000005</v>
      </c>
      <c r="Q53">
        <v>204.14</v>
      </c>
      <c r="R53">
        <v>24.45</v>
      </c>
      <c r="S53">
        <v>17.37</v>
      </c>
      <c r="T53">
        <v>1442.87</v>
      </c>
      <c r="U53">
        <v>0.71</v>
      </c>
      <c r="V53">
        <v>0.75</v>
      </c>
      <c r="W53">
        <v>1.1399999999999999</v>
      </c>
      <c r="X53">
        <v>0.08</v>
      </c>
      <c r="Y53">
        <v>1</v>
      </c>
      <c r="Z53">
        <v>10</v>
      </c>
    </row>
    <row r="54" spans="1:26" x14ac:dyDescent="0.3">
      <c r="A54">
        <v>52</v>
      </c>
      <c r="B54">
        <v>85</v>
      </c>
      <c r="C54" t="s">
        <v>26</v>
      </c>
      <c r="D54">
        <v>10.7319</v>
      </c>
      <c r="E54">
        <v>9.32</v>
      </c>
      <c r="F54">
        <v>6.78</v>
      </c>
      <c r="G54">
        <v>81.31</v>
      </c>
      <c r="H54">
        <v>1.33</v>
      </c>
      <c r="I54">
        <v>5</v>
      </c>
      <c r="J54">
        <v>187.14</v>
      </c>
      <c r="K54">
        <v>51.39</v>
      </c>
      <c r="L54">
        <v>14</v>
      </c>
      <c r="M54">
        <v>3</v>
      </c>
      <c r="N54">
        <v>36.75</v>
      </c>
      <c r="O54">
        <v>23314.98</v>
      </c>
      <c r="P54">
        <v>76.25</v>
      </c>
      <c r="Q54">
        <v>204.14</v>
      </c>
      <c r="R54">
        <v>24.5</v>
      </c>
      <c r="S54">
        <v>17.37</v>
      </c>
      <c r="T54">
        <v>1467.2</v>
      </c>
      <c r="U54">
        <v>0.71</v>
      </c>
      <c r="V54">
        <v>0.75</v>
      </c>
      <c r="W54">
        <v>1.1399999999999999</v>
      </c>
      <c r="X54">
        <v>0.09</v>
      </c>
      <c r="Y54">
        <v>1</v>
      </c>
      <c r="Z54">
        <v>10</v>
      </c>
    </row>
    <row r="55" spans="1:26" x14ac:dyDescent="0.3">
      <c r="A55">
        <v>53</v>
      </c>
      <c r="B55">
        <v>85</v>
      </c>
      <c r="C55" t="s">
        <v>26</v>
      </c>
      <c r="D55">
        <v>10.7363</v>
      </c>
      <c r="E55">
        <v>9.31</v>
      </c>
      <c r="F55">
        <v>6.77</v>
      </c>
      <c r="G55">
        <v>81.27</v>
      </c>
      <c r="H55">
        <v>1.35</v>
      </c>
      <c r="I55">
        <v>5</v>
      </c>
      <c r="J55">
        <v>187.52</v>
      </c>
      <c r="K55">
        <v>51.39</v>
      </c>
      <c r="L55">
        <v>14.25</v>
      </c>
      <c r="M55">
        <v>3</v>
      </c>
      <c r="N55">
        <v>36.880000000000003</v>
      </c>
      <c r="O55">
        <v>23361.77</v>
      </c>
      <c r="P55">
        <v>76.31</v>
      </c>
      <c r="Q55">
        <v>204.14</v>
      </c>
      <c r="R55">
        <v>24.38</v>
      </c>
      <c r="S55">
        <v>17.37</v>
      </c>
      <c r="T55">
        <v>1408.88</v>
      </c>
      <c r="U55">
        <v>0.71</v>
      </c>
      <c r="V55">
        <v>0.75</v>
      </c>
      <c r="W55">
        <v>1.1399999999999999</v>
      </c>
      <c r="X55">
        <v>0.08</v>
      </c>
      <c r="Y55">
        <v>1</v>
      </c>
      <c r="Z55">
        <v>10</v>
      </c>
    </row>
    <row r="56" spans="1:26" x14ac:dyDescent="0.3">
      <c r="A56">
        <v>54</v>
      </c>
      <c r="B56">
        <v>85</v>
      </c>
      <c r="C56" t="s">
        <v>26</v>
      </c>
      <c r="D56">
        <v>10.737</v>
      </c>
      <c r="E56">
        <v>9.31</v>
      </c>
      <c r="F56">
        <v>6.77</v>
      </c>
      <c r="G56">
        <v>81.260000000000005</v>
      </c>
      <c r="H56">
        <v>1.37</v>
      </c>
      <c r="I56">
        <v>5</v>
      </c>
      <c r="J56">
        <v>187.9</v>
      </c>
      <c r="K56">
        <v>51.39</v>
      </c>
      <c r="L56">
        <v>14.5</v>
      </c>
      <c r="M56">
        <v>3</v>
      </c>
      <c r="N56">
        <v>37.01</v>
      </c>
      <c r="O56">
        <v>23408.6</v>
      </c>
      <c r="P56">
        <v>76.13</v>
      </c>
      <c r="Q56">
        <v>204.14</v>
      </c>
      <c r="R56">
        <v>24.44</v>
      </c>
      <c r="S56">
        <v>17.37</v>
      </c>
      <c r="T56">
        <v>1437.98</v>
      </c>
      <c r="U56">
        <v>0.71</v>
      </c>
      <c r="V56">
        <v>0.75</v>
      </c>
      <c r="W56">
        <v>1.1399999999999999</v>
      </c>
      <c r="X56">
        <v>0.08</v>
      </c>
      <c r="Y56">
        <v>1</v>
      </c>
      <c r="Z56">
        <v>10</v>
      </c>
    </row>
    <row r="57" spans="1:26" x14ac:dyDescent="0.3">
      <c r="A57">
        <v>55</v>
      </c>
      <c r="B57">
        <v>85</v>
      </c>
      <c r="C57" t="s">
        <v>26</v>
      </c>
      <c r="D57">
        <v>10.7347</v>
      </c>
      <c r="E57">
        <v>9.32</v>
      </c>
      <c r="F57">
        <v>6.77</v>
      </c>
      <c r="G57">
        <v>81.28</v>
      </c>
      <c r="H57">
        <v>1.39</v>
      </c>
      <c r="I57">
        <v>5</v>
      </c>
      <c r="J57">
        <v>188.28</v>
      </c>
      <c r="K57">
        <v>51.39</v>
      </c>
      <c r="L57">
        <v>14.75</v>
      </c>
      <c r="M57">
        <v>3</v>
      </c>
      <c r="N57">
        <v>37.14</v>
      </c>
      <c r="O57">
        <v>23455.48</v>
      </c>
      <c r="P57">
        <v>75.959999999999994</v>
      </c>
      <c r="Q57">
        <v>204.14</v>
      </c>
      <c r="R57">
        <v>24.45</v>
      </c>
      <c r="S57">
        <v>17.37</v>
      </c>
      <c r="T57">
        <v>1443.11</v>
      </c>
      <c r="U57">
        <v>0.71</v>
      </c>
      <c r="V57">
        <v>0.75</v>
      </c>
      <c r="W57">
        <v>1.1399999999999999</v>
      </c>
      <c r="X57">
        <v>0.08</v>
      </c>
      <c r="Y57">
        <v>1</v>
      </c>
      <c r="Z57">
        <v>10</v>
      </c>
    </row>
    <row r="58" spans="1:26" x14ac:dyDescent="0.3">
      <c r="A58">
        <v>56</v>
      </c>
      <c r="B58">
        <v>85</v>
      </c>
      <c r="C58" t="s">
        <v>26</v>
      </c>
      <c r="D58">
        <v>10.7296</v>
      </c>
      <c r="E58">
        <v>9.32</v>
      </c>
      <c r="F58">
        <v>6.78</v>
      </c>
      <c r="G58">
        <v>81.34</v>
      </c>
      <c r="H58">
        <v>1.41</v>
      </c>
      <c r="I58">
        <v>5</v>
      </c>
      <c r="J58">
        <v>188.66</v>
      </c>
      <c r="K58">
        <v>51.39</v>
      </c>
      <c r="L58">
        <v>15</v>
      </c>
      <c r="M58">
        <v>3</v>
      </c>
      <c r="N58">
        <v>37.270000000000003</v>
      </c>
      <c r="O58">
        <v>23502.400000000001</v>
      </c>
      <c r="P58">
        <v>75.87</v>
      </c>
      <c r="Q58">
        <v>204.14</v>
      </c>
      <c r="R58">
        <v>24.53</v>
      </c>
      <c r="S58">
        <v>17.37</v>
      </c>
      <c r="T58">
        <v>1484.62</v>
      </c>
      <c r="U58">
        <v>0.71</v>
      </c>
      <c r="V58">
        <v>0.75</v>
      </c>
      <c r="W58">
        <v>1.1499999999999999</v>
      </c>
      <c r="X58">
        <v>0.09</v>
      </c>
      <c r="Y58">
        <v>1</v>
      </c>
      <c r="Z58">
        <v>10</v>
      </c>
    </row>
    <row r="59" spans="1:26" x14ac:dyDescent="0.3">
      <c r="A59">
        <v>57</v>
      </c>
      <c r="B59">
        <v>85</v>
      </c>
      <c r="C59" t="s">
        <v>26</v>
      </c>
      <c r="D59">
        <v>10.732200000000001</v>
      </c>
      <c r="E59">
        <v>9.32</v>
      </c>
      <c r="F59">
        <v>6.78</v>
      </c>
      <c r="G59">
        <v>81.31</v>
      </c>
      <c r="H59">
        <v>1.43</v>
      </c>
      <c r="I59">
        <v>5</v>
      </c>
      <c r="J59">
        <v>189.04</v>
      </c>
      <c r="K59">
        <v>51.39</v>
      </c>
      <c r="L59">
        <v>15.25</v>
      </c>
      <c r="M59">
        <v>3</v>
      </c>
      <c r="N59">
        <v>37.4</v>
      </c>
      <c r="O59">
        <v>23549.360000000001</v>
      </c>
      <c r="P59">
        <v>75.52</v>
      </c>
      <c r="Q59">
        <v>204.18</v>
      </c>
      <c r="R59">
        <v>24.46</v>
      </c>
      <c r="S59">
        <v>17.37</v>
      </c>
      <c r="T59">
        <v>1449.82</v>
      </c>
      <c r="U59">
        <v>0.71</v>
      </c>
      <c r="V59">
        <v>0.75</v>
      </c>
      <c r="W59">
        <v>1.1499999999999999</v>
      </c>
      <c r="X59">
        <v>0.08</v>
      </c>
      <c r="Y59">
        <v>1</v>
      </c>
      <c r="Z59">
        <v>10</v>
      </c>
    </row>
    <row r="60" spans="1:26" x14ac:dyDescent="0.3">
      <c r="A60">
        <v>58</v>
      </c>
      <c r="B60">
        <v>85</v>
      </c>
      <c r="C60" t="s">
        <v>26</v>
      </c>
      <c r="D60">
        <v>10.744300000000001</v>
      </c>
      <c r="E60">
        <v>9.31</v>
      </c>
      <c r="F60">
        <v>6.77</v>
      </c>
      <c r="G60">
        <v>81.180000000000007</v>
      </c>
      <c r="H60">
        <v>1.45</v>
      </c>
      <c r="I60">
        <v>5</v>
      </c>
      <c r="J60">
        <v>189.42</v>
      </c>
      <c r="K60">
        <v>51.39</v>
      </c>
      <c r="L60">
        <v>15.5</v>
      </c>
      <c r="M60">
        <v>3</v>
      </c>
      <c r="N60">
        <v>37.53</v>
      </c>
      <c r="O60">
        <v>23596.37</v>
      </c>
      <c r="P60">
        <v>75.03</v>
      </c>
      <c r="Q60">
        <v>204.14</v>
      </c>
      <c r="R60">
        <v>24.13</v>
      </c>
      <c r="S60">
        <v>17.37</v>
      </c>
      <c r="T60">
        <v>1280.83</v>
      </c>
      <c r="U60">
        <v>0.72</v>
      </c>
      <c r="V60">
        <v>0.75</v>
      </c>
      <c r="W60">
        <v>1.1399999999999999</v>
      </c>
      <c r="X60">
        <v>7.0000000000000007E-2</v>
      </c>
      <c r="Y60">
        <v>1</v>
      </c>
      <c r="Z60">
        <v>10</v>
      </c>
    </row>
    <row r="61" spans="1:26" x14ac:dyDescent="0.3">
      <c r="A61">
        <v>59</v>
      </c>
      <c r="B61">
        <v>85</v>
      </c>
      <c r="C61" t="s">
        <v>26</v>
      </c>
      <c r="D61">
        <v>10.7456</v>
      </c>
      <c r="E61">
        <v>9.31</v>
      </c>
      <c r="F61">
        <v>6.76</v>
      </c>
      <c r="G61">
        <v>81.17</v>
      </c>
      <c r="H61">
        <v>1.47</v>
      </c>
      <c r="I61">
        <v>5</v>
      </c>
      <c r="J61">
        <v>189.81</v>
      </c>
      <c r="K61">
        <v>51.39</v>
      </c>
      <c r="L61">
        <v>15.75</v>
      </c>
      <c r="M61">
        <v>3</v>
      </c>
      <c r="N61">
        <v>37.659999999999997</v>
      </c>
      <c r="O61">
        <v>23643.43</v>
      </c>
      <c r="P61">
        <v>74.42</v>
      </c>
      <c r="Q61">
        <v>204.16</v>
      </c>
      <c r="R61">
        <v>24.04</v>
      </c>
      <c r="S61">
        <v>17.37</v>
      </c>
      <c r="T61">
        <v>1235.76</v>
      </c>
      <c r="U61">
        <v>0.72</v>
      </c>
      <c r="V61">
        <v>0.76</v>
      </c>
      <c r="W61">
        <v>1.1499999999999999</v>
      </c>
      <c r="X61">
        <v>7.0000000000000007E-2</v>
      </c>
      <c r="Y61">
        <v>1</v>
      </c>
      <c r="Z61">
        <v>10</v>
      </c>
    </row>
    <row r="62" spans="1:26" x14ac:dyDescent="0.3">
      <c r="A62">
        <v>60</v>
      </c>
      <c r="B62">
        <v>85</v>
      </c>
      <c r="C62" t="s">
        <v>26</v>
      </c>
      <c r="D62">
        <v>10.7376</v>
      </c>
      <c r="E62">
        <v>9.31</v>
      </c>
      <c r="F62">
        <v>6.77</v>
      </c>
      <c r="G62">
        <v>81.25</v>
      </c>
      <c r="H62">
        <v>1.49</v>
      </c>
      <c r="I62">
        <v>5</v>
      </c>
      <c r="J62">
        <v>190.19</v>
      </c>
      <c r="K62">
        <v>51.39</v>
      </c>
      <c r="L62">
        <v>16</v>
      </c>
      <c r="M62">
        <v>3</v>
      </c>
      <c r="N62">
        <v>37.79</v>
      </c>
      <c r="O62">
        <v>23690.52</v>
      </c>
      <c r="P62">
        <v>73.88</v>
      </c>
      <c r="Q62">
        <v>204.14</v>
      </c>
      <c r="R62">
        <v>24.22</v>
      </c>
      <c r="S62">
        <v>17.37</v>
      </c>
      <c r="T62">
        <v>1327.61</v>
      </c>
      <c r="U62">
        <v>0.72</v>
      </c>
      <c r="V62">
        <v>0.75</v>
      </c>
      <c r="W62">
        <v>1.1499999999999999</v>
      </c>
      <c r="X62">
        <v>0.08</v>
      </c>
      <c r="Y62">
        <v>1</v>
      </c>
      <c r="Z62">
        <v>10</v>
      </c>
    </row>
    <row r="63" spans="1:26" x14ac:dyDescent="0.3">
      <c r="A63">
        <v>61</v>
      </c>
      <c r="B63">
        <v>85</v>
      </c>
      <c r="C63" t="s">
        <v>26</v>
      </c>
      <c r="D63">
        <v>10.742100000000001</v>
      </c>
      <c r="E63">
        <v>9.31</v>
      </c>
      <c r="F63">
        <v>6.77</v>
      </c>
      <c r="G63">
        <v>81.209999999999994</v>
      </c>
      <c r="H63">
        <v>1.51</v>
      </c>
      <c r="I63">
        <v>5</v>
      </c>
      <c r="J63">
        <v>190.57</v>
      </c>
      <c r="K63">
        <v>51.39</v>
      </c>
      <c r="L63">
        <v>16.25</v>
      </c>
      <c r="M63">
        <v>3</v>
      </c>
      <c r="N63">
        <v>37.93</v>
      </c>
      <c r="O63">
        <v>23737.67</v>
      </c>
      <c r="P63">
        <v>73.47</v>
      </c>
      <c r="Q63">
        <v>204.14</v>
      </c>
      <c r="R63">
        <v>24.19</v>
      </c>
      <c r="S63">
        <v>17.37</v>
      </c>
      <c r="T63">
        <v>1314.52</v>
      </c>
      <c r="U63">
        <v>0.72</v>
      </c>
      <c r="V63">
        <v>0.75</v>
      </c>
      <c r="W63">
        <v>1.1399999999999999</v>
      </c>
      <c r="X63">
        <v>0.08</v>
      </c>
      <c r="Y63">
        <v>1</v>
      </c>
      <c r="Z63">
        <v>10</v>
      </c>
    </row>
    <row r="64" spans="1:26" x14ac:dyDescent="0.3">
      <c r="A64">
        <v>62</v>
      </c>
      <c r="B64">
        <v>85</v>
      </c>
      <c r="C64" t="s">
        <v>26</v>
      </c>
      <c r="D64">
        <v>10.738300000000001</v>
      </c>
      <c r="E64">
        <v>9.31</v>
      </c>
      <c r="F64">
        <v>6.77</v>
      </c>
      <c r="G64">
        <v>81.25</v>
      </c>
      <c r="H64">
        <v>1.53</v>
      </c>
      <c r="I64">
        <v>5</v>
      </c>
      <c r="J64">
        <v>190.95</v>
      </c>
      <c r="K64">
        <v>51.39</v>
      </c>
      <c r="L64">
        <v>16.5</v>
      </c>
      <c r="M64">
        <v>3</v>
      </c>
      <c r="N64">
        <v>38.06</v>
      </c>
      <c r="O64">
        <v>23784.85</v>
      </c>
      <c r="P64">
        <v>73.33</v>
      </c>
      <c r="Q64">
        <v>204.16</v>
      </c>
      <c r="R64">
        <v>24.33</v>
      </c>
      <c r="S64">
        <v>17.37</v>
      </c>
      <c r="T64">
        <v>1381.92</v>
      </c>
      <c r="U64">
        <v>0.71</v>
      </c>
      <c r="V64">
        <v>0.75</v>
      </c>
      <c r="W64">
        <v>1.1399999999999999</v>
      </c>
      <c r="X64">
        <v>0.08</v>
      </c>
      <c r="Y64">
        <v>1</v>
      </c>
      <c r="Z64">
        <v>10</v>
      </c>
    </row>
    <row r="65" spans="1:26" x14ac:dyDescent="0.3">
      <c r="A65">
        <v>63</v>
      </c>
      <c r="B65">
        <v>85</v>
      </c>
      <c r="C65" t="s">
        <v>26</v>
      </c>
      <c r="D65">
        <v>10.7354</v>
      </c>
      <c r="E65">
        <v>9.32</v>
      </c>
      <c r="F65">
        <v>6.77</v>
      </c>
      <c r="G65">
        <v>81.28</v>
      </c>
      <c r="H65">
        <v>1.55</v>
      </c>
      <c r="I65">
        <v>5</v>
      </c>
      <c r="J65">
        <v>191.34</v>
      </c>
      <c r="K65">
        <v>51.39</v>
      </c>
      <c r="L65">
        <v>16.75</v>
      </c>
      <c r="M65">
        <v>3</v>
      </c>
      <c r="N65">
        <v>38.19</v>
      </c>
      <c r="O65">
        <v>23832.09</v>
      </c>
      <c r="P65">
        <v>73</v>
      </c>
      <c r="Q65">
        <v>204.16</v>
      </c>
      <c r="R65">
        <v>24.36</v>
      </c>
      <c r="S65">
        <v>17.37</v>
      </c>
      <c r="T65">
        <v>1395.14</v>
      </c>
      <c r="U65">
        <v>0.71</v>
      </c>
      <c r="V65">
        <v>0.75</v>
      </c>
      <c r="W65">
        <v>1.1399999999999999</v>
      </c>
      <c r="X65">
        <v>0.08</v>
      </c>
      <c r="Y65">
        <v>1</v>
      </c>
      <c r="Z65">
        <v>10</v>
      </c>
    </row>
    <row r="66" spans="1:26" x14ac:dyDescent="0.3">
      <c r="A66">
        <v>64</v>
      </c>
      <c r="B66">
        <v>85</v>
      </c>
      <c r="C66" t="s">
        <v>26</v>
      </c>
      <c r="D66">
        <v>10.7453</v>
      </c>
      <c r="E66">
        <v>9.31</v>
      </c>
      <c r="F66">
        <v>6.76</v>
      </c>
      <c r="G66">
        <v>81.17</v>
      </c>
      <c r="H66">
        <v>1.57</v>
      </c>
      <c r="I66">
        <v>5</v>
      </c>
      <c r="J66">
        <v>191.72</v>
      </c>
      <c r="K66">
        <v>51.39</v>
      </c>
      <c r="L66">
        <v>17</v>
      </c>
      <c r="M66">
        <v>3</v>
      </c>
      <c r="N66">
        <v>38.33</v>
      </c>
      <c r="O66">
        <v>23879.37</v>
      </c>
      <c r="P66">
        <v>72.31</v>
      </c>
      <c r="Q66">
        <v>204.15</v>
      </c>
      <c r="R66">
        <v>24.17</v>
      </c>
      <c r="S66">
        <v>17.37</v>
      </c>
      <c r="T66">
        <v>1302.54</v>
      </c>
      <c r="U66">
        <v>0.72</v>
      </c>
      <c r="V66">
        <v>0.75</v>
      </c>
      <c r="W66">
        <v>1.1399999999999999</v>
      </c>
      <c r="X66">
        <v>7.0000000000000007E-2</v>
      </c>
      <c r="Y66">
        <v>1</v>
      </c>
      <c r="Z66">
        <v>10</v>
      </c>
    </row>
    <row r="67" spans="1:26" x14ac:dyDescent="0.3">
      <c r="A67">
        <v>65</v>
      </c>
      <c r="B67">
        <v>85</v>
      </c>
      <c r="C67" t="s">
        <v>26</v>
      </c>
      <c r="D67">
        <v>10.8063</v>
      </c>
      <c r="E67">
        <v>9.25</v>
      </c>
      <c r="F67">
        <v>6.75</v>
      </c>
      <c r="G67">
        <v>101.19</v>
      </c>
      <c r="H67">
        <v>1.59</v>
      </c>
      <c r="I67">
        <v>4</v>
      </c>
      <c r="J67">
        <v>192.1</v>
      </c>
      <c r="K67">
        <v>51.39</v>
      </c>
      <c r="L67">
        <v>17.25</v>
      </c>
      <c r="M67">
        <v>2</v>
      </c>
      <c r="N67">
        <v>38.46</v>
      </c>
      <c r="O67">
        <v>23926.69</v>
      </c>
      <c r="P67">
        <v>71.7</v>
      </c>
      <c r="Q67">
        <v>204.14</v>
      </c>
      <c r="R67">
        <v>23.48</v>
      </c>
      <c r="S67">
        <v>17.37</v>
      </c>
      <c r="T67">
        <v>962.66</v>
      </c>
      <c r="U67">
        <v>0.74</v>
      </c>
      <c r="V67">
        <v>0.76</v>
      </c>
      <c r="W67">
        <v>1.1399999999999999</v>
      </c>
      <c r="X67">
        <v>0.05</v>
      </c>
      <c r="Y67">
        <v>1</v>
      </c>
      <c r="Z67">
        <v>10</v>
      </c>
    </row>
    <row r="68" spans="1:26" x14ac:dyDescent="0.3">
      <c r="A68">
        <v>66</v>
      </c>
      <c r="B68">
        <v>85</v>
      </c>
      <c r="C68" t="s">
        <v>26</v>
      </c>
      <c r="D68">
        <v>10.8024</v>
      </c>
      <c r="E68">
        <v>9.26</v>
      </c>
      <c r="F68">
        <v>6.75</v>
      </c>
      <c r="G68">
        <v>101.24</v>
      </c>
      <c r="H68">
        <v>1.61</v>
      </c>
      <c r="I68">
        <v>4</v>
      </c>
      <c r="J68">
        <v>192.49</v>
      </c>
      <c r="K68">
        <v>51.39</v>
      </c>
      <c r="L68">
        <v>17.5</v>
      </c>
      <c r="M68">
        <v>2</v>
      </c>
      <c r="N68">
        <v>38.590000000000003</v>
      </c>
      <c r="O68">
        <v>23974.06</v>
      </c>
      <c r="P68">
        <v>71.84</v>
      </c>
      <c r="Q68">
        <v>204.19</v>
      </c>
      <c r="R68">
        <v>23.61</v>
      </c>
      <c r="S68">
        <v>17.37</v>
      </c>
      <c r="T68">
        <v>1028.29</v>
      </c>
      <c r="U68">
        <v>0.74</v>
      </c>
      <c r="V68">
        <v>0.76</v>
      </c>
      <c r="W68">
        <v>1.1399999999999999</v>
      </c>
      <c r="X68">
        <v>0.06</v>
      </c>
      <c r="Y68">
        <v>1</v>
      </c>
      <c r="Z68">
        <v>10</v>
      </c>
    </row>
    <row r="69" spans="1:26" x14ac:dyDescent="0.3">
      <c r="A69">
        <v>67</v>
      </c>
      <c r="B69">
        <v>85</v>
      </c>
      <c r="C69" t="s">
        <v>26</v>
      </c>
      <c r="D69">
        <v>10.801399999999999</v>
      </c>
      <c r="E69">
        <v>9.26</v>
      </c>
      <c r="F69">
        <v>6.75</v>
      </c>
      <c r="G69">
        <v>101.25</v>
      </c>
      <c r="H69">
        <v>1.63</v>
      </c>
      <c r="I69">
        <v>4</v>
      </c>
      <c r="J69">
        <v>192.87</v>
      </c>
      <c r="K69">
        <v>51.39</v>
      </c>
      <c r="L69">
        <v>17.75</v>
      </c>
      <c r="M69">
        <v>2</v>
      </c>
      <c r="N69">
        <v>38.729999999999997</v>
      </c>
      <c r="O69">
        <v>24021.47</v>
      </c>
      <c r="P69">
        <v>72.03</v>
      </c>
      <c r="Q69">
        <v>204.14</v>
      </c>
      <c r="R69">
        <v>23.66</v>
      </c>
      <c r="S69">
        <v>17.37</v>
      </c>
      <c r="T69">
        <v>1051.03</v>
      </c>
      <c r="U69">
        <v>0.73</v>
      </c>
      <c r="V69">
        <v>0.76</v>
      </c>
      <c r="W69">
        <v>1.1399999999999999</v>
      </c>
      <c r="X69">
        <v>0.06</v>
      </c>
      <c r="Y69">
        <v>1</v>
      </c>
      <c r="Z69">
        <v>10</v>
      </c>
    </row>
    <row r="70" spans="1:26" x14ac:dyDescent="0.3">
      <c r="A70">
        <v>68</v>
      </c>
      <c r="B70">
        <v>85</v>
      </c>
      <c r="C70" t="s">
        <v>26</v>
      </c>
      <c r="D70">
        <v>10.8017</v>
      </c>
      <c r="E70">
        <v>9.26</v>
      </c>
      <c r="F70">
        <v>6.75</v>
      </c>
      <c r="G70">
        <v>101.25</v>
      </c>
      <c r="H70">
        <v>1.65</v>
      </c>
      <c r="I70">
        <v>4</v>
      </c>
      <c r="J70">
        <v>193.26</v>
      </c>
      <c r="K70">
        <v>51.39</v>
      </c>
      <c r="L70">
        <v>18</v>
      </c>
      <c r="M70">
        <v>2</v>
      </c>
      <c r="N70">
        <v>38.86</v>
      </c>
      <c r="O70">
        <v>24068.93</v>
      </c>
      <c r="P70">
        <v>72.09</v>
      </c>
      <c r="Q70">
        <v>204.14</v>
      </c>
      <c r="R70">
        <v>23.68</v>
      </c>
      <c r="S70">
        <v>17.37</v>
      </c>
      <c r="T70">
        <v>1062.07</v>
      </c>
      <c r="U70">
        <v>0.73</v>
      </c>
      <c r="V70">
        <v>0.76</v>
      </c>
      <c r="W70">
        <v>1.1399999999999999</v>
      </c>
      <c r="X70">
        <v>0.06</v>
      </c>
      <c r="Y70">
        <v>1</v>
      </c>
      <c r="Z70">
        <v>10</v>
      </c>
    </row>
    <row r="71" spans="1:26" x14ac:dyDescent="0.3">
      <c r="A71">
        <v>69</v>
      </c>
      <c r="B71">
        <v>85</v>
      </c>
      <c r="C71" t="s">
        <v>26</v>
      </c>
      <c r="D71">
        <v>10.8066</v>
      </c>
      <c r="E71">
        <v>9.25</v>
      </c>
      <c r="F71">
        <v>6.75</v>
      </c>
      <c r="G71">
        <v>101.18</v>
      </c>
      <c r="H71">
        <v>1.67</v>
      </c>
      <c r="I71">
        <v>4</v>
      </c>
      <c r="J71">
        <v>193.64</v>
      </c>
      <c r="K71">
        <v>51.39</v>
      </c>
      <c r="L71">
        <v>18.25</v>
      </c>
      <c r="M71">
        <v>2</v>
      </c>
      <c r="N71">
        <v>39</v>
      </c>
      <c r="O71">
        <v>24116.44</v>
      </c>
      <c r="P71">
        <v>72.11</v>
      </c>
      <c r="Q71">
        <v>204.14</v>
      </c>
      <c r="R71">
        <v>23.59</v>
      </c>
      <c r="S71">
        <v>17.37</v>
      </c>
      <c r="T71">
        <v>1015.7</v>
      </c>
      <c r="U71">
        <v>0.74</v>
      </c>
      <c r="V71">
        <v>0.76</v>
      </c>
      <c r="W71">
        <v>1.1399999999999999</v>
      </c>
      <c r="X71">
        <v>0.05</v>
      </c>
      <c r="Y71">
        <v>1</v>
      </c>
      <c r="Z71">
        <v>10</v>
      </c>
    </row>
    <row r="72" spans="1:26" x14ac:dyDescent="0.3">
      <c r="A72">
        <v>70</v>
      </c>
      <c r="B72">
        <v>85</v>
      </c>
      <c r="C72" t="s">
        <v>26</v>
      </c>
      <c r="D72">
        <v>10.809799999999999</v>
      </c>
      <c r="E72">
        <v>9.25</v>
      </c>
      <c r="F72">
        <v>6.74</v>
      </c>
      <c r="G72">
        <v>101.14</v>
      </c>
      <c r="H72">
        <v>1.69</v>
      </c>
      <c r="I72">
        <v>4</v>
      </c>
      <c r="J72">
        <v>194.03</v>
      </c>
      <c r="K72">
        <v>51.39</v>
      </c>
      <c r="L72">
        <v>18.5</v>
      </c>
      <c r="M72">
        <v>2</v>
      </c>
      <c r="N72">
        <v>39.130000000000003</v>
      </c>
      <c r="O72">
        <v>24163.99</v>
      </c>
      <c r="P72">
        <v>72.069999999999993</v>
      </c>
      <c r="Q72">
        <v>204.16</v>
      </c>
      <c r="R72">
        <v>23.44</v>
      </c>
      <c r="S72">
        <v>17.37</v>
      </c>
      <c r="T72">
        <v>944.44</v>
      </c>
      <c r="U72">
        <v>0.74</v>
      </c>
      <c r="V72">
        <v>0.76</v>
      </c>
      <c r="W72">
        <v>1.1399999999999999</v>
      </c>
      <c r="X72">
        <v>0.05</v>
      </c>
      <c r="Y72">
        <v>1</v>
      </c>
      <c r="Z72">
        <v>10</v>
      </c>
    </row>
    <row r="73" spans="1:26" x14ac:dyDescent="0.3">
      <c r="A73">
        <v>71</v>
      </c>
      <c r="B73">
        <v>85</v>
      </c>
      <c r="C73" t="s">
        <v>26</v>
      </c>
      <c r="D73">
        <v>10.804600000000001</v>
      </c>
      <c r="E73">
        <v>9.26</v>
      </c>
      <c r="F73">
        <v>6.75</v>
      </c>
      <c r="G73">
        <v>101.21</v>
      </c>
      <c r="H73">
        <v>1.71</v>
      </c>
      <c r="I73">
        <v>4</v>
      </c>
      <c r="J73">
        <v>194.41</v>
      </c>
      <c r="K73">
        <v>51.39</v>
      </c>
      <c r="L73">
        <v>18.75</v>
      </c>
      <c r="M73">
        <v>2</v>
      </c>
      <c r="N73">
        <v>39.270000000000003</v>
      </c>
      <c r="O73">
        <v>24211.59</v>
      </c>
      <c r="P73">
        <v>72</v>
      </c>
      <c r="Q73">
        <v>204.14</v>
      </c>
      <c r="R73">
        <v>23.58</v>
      </c>
      <c r="S73">
        <v>17.37</v>
      </c>
      <c r="T73">
        <v>1009.91</v>
      </c>
      <c r="U73">
        <v>0.74</v>
      </c>
      <c r="V73">
        <v>0.76</v>
      </c>
      <c r="W73">
        <v>1.1399999999999999</v>
      </c>
      <c r="X73">
        <v>0.06</v>
      </c>
      <c r="Y73">
        <v>1</v>
      </c>
      <c r="Z73">
        <v>10</v>
      </c>
    </row>
    <row r="74" spans="1:26" x14ac:dyDescent="0.3">
      <c r="A74">
        <v>72</v>
      </c>
      <c r="B74">
        <v>85</v>
      </c>
      <c r="C74" t="s">
        <v>26</v>
      </c>
      <c r="D74">
        <v>10.8024</v>
      </c>
      <c r="E74">
        <v>9.26</v>
      </c>
      <c r="F74">
        <v>6.75</v>
      </c>
      <c r="G74">
        <v>101.24</v>
      </c>
      <c r="H74">
        <v>1.73</v>
      </c>
      <c r="I74">
        <v>4</v>
      </c>
      <c r="J74">
        <v>194.8</v>
      </c>
      <c r="K74">
        <v>51.39</v>
      </c>
      <c r="L74">
        <v>19</v>
      </c>
      <c r="M74">
        <v>2</v>
      </c>
      <c r="N74">
        <v>39.409999999999997</v>
      </c>
      <c r="O74">
        <v>24259.23</v>
      </c>
      <c r="P74">
        <v>71.89</v>
      </c>
      <c r="Q74">
        <v>204.14</v>
      </c>
      <c r="R74">
        <v>23.64</v>
      </c>
      <c r="S74">
        <v>17.37</v>
      </c>
      <c r="T74">
        <v>1042.8499999999999</v>
      </c>
      <c r="U74">
        <v>0.73</v>
      </c>
      <c r="V74">
        <v>0.76</v>
      </c>
      <c r="W74">
        <v>1.1399999999999999</v>
      </c>
      <c r="X74">
        <v>0.06</v>
      </c>
      <c r="Y74">
        <v>1</v>
      </c>
      <c r="Z74">
        <v>10</v>
      </c>
    </row>
    <row r="75" spans="1:26" x14ac:dyDescent="0.3">
      <c r="A75">
        <v>73</v>
      </c>
      <c r="B75">
        <v>85</v>
      </c>
      <c r="C75" t="s">
        <v>26</v>
      </c>
      <c r="D75">
        <v>10.798500000000001</v>
      </c>
      <c r="E75">
        <v>9.26</v>
      </c>
      <c r="F75">
        <v>6.75</v>
      </c>
      <c r="G75">
        <v>101.29</v>
      </c>
      <c r="H75">
        <v>1.75</v>
      </c>
      <c r="I75">
        <v>4</v>
      </c>
      <c r="J75">
        <v>195.19</v>
      </c>
      <c r="K75">
        <v>51.39</v>
      </c>
      <c r="L75">
        <v>19.25</v>
      </c>
      <c r="M75">
        <v>1</v>
      </c>
      <c r="N75">
        <v>39.54</v>
      </c>
      <c r="O75">
        <v>24306.92</v>
      </c>
      <c r="P75">
        <v>71.84</v>
      </c>
      <c r="Q75">
        <v>204.14</v>
      </c>
      <c r="R75">
        <v>23.72</v>
      </c>
      <c r="S75">
        <v>17.37</v>
      </c>
      <c r="T75">
        <v>1083.28</v>
      </c>
      <c r="U75">
        <v>0.73</v>
      </c>
      <c r="V75">
        <v>0.76</v>
      </c>
      <c r="W75">
        <v>1.1399999999999999</v>
      </c>
      <c r="X75">
        <v>0.06</v>
      </c>
      <c r="Y75">
        <v>1</v>
      </c>
      <c r="Z75">
        <v>10</v>
      </c>
    </row>
    <row r="76" spans="1:26" x14ac:dyDescent="0.3">
      <c r="A76">
        <v>74</v>
      </c>
      <c r="B76">
        <v>85</v>
      </c>
      <c r="C76" t="s">
        <v>26</v>
      </c>
      <c r="D76">
        <v>10.8027</v>
      </c>
      <c r="E76">
        <v>9.26</v>
      </c>
      <c r="F76">
        <v>6.75</v>
      </c>
      <c r="G76">
        <v>101.23</v>
      </c>
      <c r="H76">
        <v>1.77</v>
      </c>
      <c r="I76">
        <v>4</v>
      </c>
      <c r="J76">
        <v>195.57</v>
      </c>
      <c r="K76">
        <v>51.39</v>
      </c>
      <c r="L76">
        <v>19.5</v>
      </c>
      <c r="M76">
        <v>1</v>
      </c>
      <c r="N76">
        <v>39.68</v>
      </c>
      <c r="O76">
        <v>24354.66</v>
      </c>
      <c r="P76">
        <v>71.75</v>
      </c>
      <c r="Q76">
        <v>204.14</v>
      </c>
      <c r="R76">
        <v>23.66</v>
      </c>
      <c r="S76">
        <v>17.37</v>
      </c>
      <c r="T76">
        <v>1053.71</v>
      </c>
      <c r="U76">
        <v>0.73</v>
      </c>
      <c r="V76">
        <v>0.76</v>
      </c>
      <c r="W76">
        <v>1.1399999999999999</v>
      </c>
      <c r="X76">
        <v>0.06</v>
      </c>
      <c r="Y76">
        <v>1</v>
      </c>
      <c r="Z76">
        <v>10</v>
      </c>
    </row>
    <row r="77" spans="1:26" x14ac:dyDescent="0.3">
      <c r="A77">
        <v>75</v>
      </c>
      <c r="B77">
        <v>85</v>
      </c>
      <c r="C77" t="s">
        <v>26</v>
      </c>
      <c r="D77">
        <v>10.8043</v>
      </c>
      <c r="E77">
        <v>9.26</v>
      </c>
      <c r="F77">
        <v>6.75</v>
      </c>
      <c r="G77">
        <v>101.21</v>
      </c>
      <c r="H77">
        <v>1.79</v>
      </c>
      <c r="I77">
        <v>4</v>
      </c>
      <c r="J77">
        <v>195.96</v>
      </c>
      <c r="K77">
        <v>51.39</v>
      </c>
      <c r="L77">
        <v>19.75</v>
      </c>
      <c r="M77">
        <v>1</v>
      </c>
      <c r="N77">
        <v>39.82</v>
      </c>
      <c r="O77">
        <v>24402.44</v>
      </c>
      <c r="P77">
        <v>71.709999999999994</v>
      </c>
      <c r="Q77">
        <v>204.14</v>
      </c>
      <c r="R77">
        <v>23.62</v>
      </c>
      <c r="S77">
        <v>17.37</v>
      </c>
      <c r="T77">
        <v>1032.2</v>
      </c>
      <c r="U77">
        <v>0.74</v>
      </c>
      <c r="V77">
        <v>0.76</v>
      </c>
      <c r="W77">
        <v>1.1399999999999999</v>
      </c>
      <c r="X77">
        <v>0.06</v>
      </c>
      <c r="Y77">
        <v>1</v>
      </c>
      <c r="Z77">
        <v>10</v>
      </c>
    </row>
    <row r="78" spans="1:26" x14ac:dyDescent="0.3">
      <c r="A78">
        <v>76</v>
      </c>
      <c r="B78">
        <v>85</v>
      </c>
      <c r="C78" t="s">
        <v>26</v>
      </c>
      <c r="D78">
        <v>10.804600000000001</v>
      </c>
      <c r="E78">
        <v>9.26</v>
      </c>
      <c r="F78">
        <v>6.75</v>
      </c>
      <c r="G78">
        <v>101.21</v>
      </c>
      <c r="H78">
        <v>1.81</v>
      </c>
      <c r="I78">
        <v>4</v>
      </c>
      <c r="J78">
        <v>196.35</v>
      </c>
      <c r="K78">
        <v>51.39</v>
      </c>
      <c r="L78">
        <v>20</v>
      </c>
      <c r="M78">
        <v>1</v>
      </c>
      <c r="N78">
        <v>39.96</v>
      </c>
      <c r="O78">
        <v>24450.27</v>
      </c>
      <c r="P78">
        <v>71.67</v>
      </c>
      <c r="Q78">
        <v>204.14</v>
      </c>
      <c r="R78">
        <v>23.6</v>
      </c>
      <c r="S78">
        <v>17.37</v>
      </c>
      <c r="T78">
        <v>1019.86</v>
      </c>
      <c r="U78">
        <v>0.74</v>
      </c>
      <c r="V78">
        <v>0.76</v>
      </c>
      <c r="W78">
        <v>1.1399999999999999</v>
      </c>
      <c r="X78">
        <v>0.06</v>
      </c>
      <c r="Y78">
        <v>1</v>
      </c>
      <c r="Z78">
        <v>10</v>
      </c>
    </row>
    <row r="79" spans="1:26" x14ac:dyDescent="0.3">
      <c r="A79">
        <v>77</v>
      </c>
      <c r="B79">
        <v>85</v>
      </c>
      <c r="C79" t="s">
        <v>26</v>
      </c>
      <c r="D79">
        <v>10.8072</v>
      </c>
      <c r="E79">
        <v>9.25</v>
      </c>
      <c r="F79">
        <v>6.75</v>
      </c>
      <c r="G79">
        <v>101.17</v>
      </c>
      <c r="H79">
        <v>1.83</v>
      </c>
      <c r="I79">
        <v>4</v>
      </c>
      <c r="J79">
        <v>196.74</v>
      </c>
      <c r="K79">
        <v>51.39</v>
      </c>
      <c r="L79">
        <v>20.25</v>
      </c>
      <c r="M79">
        <v>1</v>
      </c>
      <c r="N79">
        <v>40.090000000000003</v>
      </c>
      <c r="O79">
        <v>24498.15</v>
      </c>
      <c r="P79">
        <v>71.55</v>
      </c>
      <c r="Q79">
        <v>204.14</v>
      </c>
      <c r="R79">
        <v>23.54</v>
      </c>
      <c r="S79">
        <v>17.37</v>
      </c>
      <c r="T79">
        <v>992.02</v>
      </c>
      <c r="U79">
        <v>0.74</v>
      </c>
      <c r="V79">
        <v>0.76</v>
      </c>
      <c r="W79">
        <v>1.1399999999999999</v>
      </c>
      <c r="X79">
        <v>0.05</v>
      </c>
      <c r="Y79">
        <v>1</v>
      </c>
      <c r="Z79">
        <v>10</v>
      </c>
    </row>
    <row r="80" spans="1:26" x14ac:dyDescent="0.3">
      <c r="A80">
        <v>78</v>
      </c>
      <c r="B80">
        <v>85</v>
      </c>
      <c r="C80" t="s">
        <v>26</v>
      </c>
      <c r="D80">
        <v>10.809799999999999</v>
      </c>
      <c r="E80">
        <v>9.25</v>
      </c>
      <c r="F80">
        <v>6.74</v>
      </c>
      <c r="G80">
        <v>101.14</v>
      </c>
      <c r="H80">
        <v>1.85</v>
      </c>
      <c r="I80">
        <v>4</v>
      </c>
      <c r="J80">
        <v>197.12</v>
      </c>
      <c r="K80">
        <v>51.39</v>
      </c>
      <c r="L80">
        <v>20.5</v>
      </c>
      <c r="M80">
        <v>1</v>
      </c>
      <c r="N80">
        <v>40.229999999999997</v>
      </c>
      <c r="O80">
        <v>24546.080000000002</v>
      </c>
      <c r="P80">
        <v>71.41</v>
      </c>
      <c r="Q80">
        <v>204.15</v>
      </c>
      <c r="R80">
        <v>23.44</v>
      </c>
      <c r="S80">
        <v>17.37</v>
      </c>
      <c r="T80">
        <v>942.46</v>
      </c>
      <c r="U80">
        <v>0.74</v>
      </c>
      <c r="V80">
        <v>0.76</v>
      </c>
      <c r="W80">
        <v>1.1399999999999999</v>
      </c>
      <c r="X80">
        <v>0.05</v>
      </c>
      <c r="Y80">
        <v>1</v>
      </c>
      <c r="Z80">
        <v>10</v>
      </c>
    </row>
    <row r="81" spans="1:26" x14ac:dyDescent="0.3">
      <c r="A81">
        <v>79</v>
      </c>
      <c r="B81">
        <v>85</v>
      </c>
      <c r="C81" t="s">
        <v>26</v>
      </c>
      <c r="D81">
        <v>10.807600000000001</v>
      </c>
      <c r="E81">
        <v>9.25</v>
      </c>
      <c r="F81">
        <v>6.74</v>
      </c>
      <c r="G81">
        <v>101.17</v>
      </c>
      <c r="H81">
        <v>1.87</v>
      </c>
      <c r="I81">
        <v>4</v>
      </c>
      <c r="J81">
        <v>197.51</v>
      </c>
      <c r="K81">
        <v>51.39</v>
      </c>
      <c r="L81">
        <v>20.75</v>
      </c>
      <c r="M81">
        <v>0</v>
      </c>
      <c r="N81">
        <v>40.369999999999997</v>
      </c>
      <c r="O81">
        <v>24594.05</v>
      </c>
      <c r="P81">
        <v>71.459999999999994</v>
      </c>
      <c r="Q81">
        <v>204.14</v>
      </c>
      <c r="R81">
        <v>23.43</v>
      </c>
      <c r="S81">
        <v>17.37</v>
      </c>
      <c r="T81">
        <v>935.16</v>
      </c>
      <c r="U81">
        <v>0.74</v>
      </c>
      <c r="V81">
        <v>0.76</v>
      </c>
      <c r="W81">
        <v>1.1399999999999999</v>
      </c>
      <c r="X81">
        <v>0.05</v>
      </c>
      <c r="Y81">
        <v>1</v>
      </c>
      <c r="Z81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Planilha22"/>
  <dimension ref="A1:Z10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20</v>
      </c>
      <c r="C2" t="s">
        <v>26</v>
      </c>
      <c r="D2">
        <v>10.663500000000001</v>
      </c>
      <c r="E2">
        <v>9.3800000000000008</v>
      </c>
      <c r="F2">
        <v>7.28</v>
      </c>
      <c r="G2">
        <v>15.05</v>
      </c>
      <c r="H2">
        <v>0.34</v>
      </c>
      <c r="I2">
        <v>29</v>
      </c>
      <c r="J2">
        <v>51.33</v>
      </c>
      <c r="K2">
        <v>24.83</v>
      </c>
      <c r="L2">
        <v>1</v>
      </c>
      <c r="M2">
        <v>27</v>
      </c>
      <c r="N2">
        <v>5.51</v>
      </c>
      <c r="O2">
        <v>6564.78</v>
      </c>
      <c r="P2">
        <v>39.04</v>
      </c>
      <c r="Q2">
        <v>204.16</v>
      </c>
      <c r="R2">
        <v>39.869999999999997</v>
      </c>
      <c r="S2">
        <v>17.37</v>
      </c>
      <c r="T2">
        <v>9030.73</v>
      </c>
      <c r="U2">
        <v>0.44</v>
      </c>
      <c r="V2">
        <v>0.7</v>
      </c>
      <c r="W2">
        <v>1.19</v>
      </c>
      <c r="X2">
        <v>0.57999999999999996</v>
      </c>
      <c r="Y2">
        <v>1</v>
      </c>
      <c r="Z2">
        <v>10</v>
      </c>
    </row>
    <row r="3" spans="1:26" x14ac:dyDescent="0.3">
      <c r="A3">
        <v>1</v>
      </c>
      <c r="B3">
        <v>20</v>
      </c>
      <c r="C3" t="s">
        <v>26</v>
      </c>
      <c r="D3">
        <v>10.9117</v>
      </c>
      <c r="E3">
        <v>9.16</v>
      </c>
      <c r="F3">
        <v>7.14</v>
      </c>
      <c r="G3">
        <v>18.61</v>
      </c>
      <c r="H3">
        <v>0.42</v>
      </c>
      <c r="I3">
        <v>23</v>
      </c>
      <c r="J3">
        <v>51.62</v>
      </c>
      <c r="K3">
        <v>24.83</v>
      </c>
      <c r="L3">
        <v>1.25</v>
      </c>
      <c r="M3">
        <v>21</v>
      </c>
      <c r="N3">
        <v>5.54</v>
      </c>
      <c r="O3">
        <v>6599.8</v>
      </c>
      <c r="P3">
        <v>37.58</v>
      </c>
      <c r="Q3">
        <v>204.16</v>
      </c>
      <c r="R3">
        <v>35.58</v>
      </c>
      <c r="S3">
        <v>17.37</v>
      </c>
      <c r="T3">
        <v>6917.2</v>
      </c>
      <c r="U3">
        <v>0.49</v>
      </c>
      <c r="V3">
        <v>0.72</v>
      </c>
      <c r="W3">
        <v>1.18</v>
      </c>
      <c r="X3">
        <v>0.44</v>
      </c>
      <c r="Y3">
        <v>1</v>
      </c>
      <c r="Z3">
        <v>10</v>
      </c>
    </row>
    <row r="4" spans="1:26" x14ac:dyDescent="0.3">
      <c r="A4">
        <v>2</v>
      </c>
      <c r="B4">
        <v>20</v>
      </c>
      <c r="C4" t="s">
        <v>26</v>
      </c>
      <c r="D4">
        <v>11.0762</v>
      </c>
      <c r="E4">
        <v>9.0299999999999994</v>
      </c>
      <c r="F4">
        <v>7.05</v>
      </c>
      <c r="G4">
        <v>22.26</v>
      </c>
      <c r="H4">
        <v>0.5</v>
      </c>
      <c r="I4">
        <v>19</v>
      </c>
      <c r="J4">
        <v>51.9</v>
      </c>
      <c r="K4">
        <v>24.83</v>
      </c>
      <c r="L4">
        <v>1.5</v>
      </c>
      <c r="M4">
        <v>17</v>
      </c>
      <c r="N4">
        <v>5.57</v>
      </c>
      <c r="O4">
        <v>6634.84</v>
      </c>
      <c r="P4">
        <v>36.200000000000003</v>
      </c>
      <c r="Q4">
        <v>204.17</v>
      </c>
      <c r="R4">
        <v>32.950000000000003</v>
      </c>
      <c r="S4">
        <v>17.37</v>
      </c>
      <c r="T4">
        <v>5621.77</v>
      </c>
      <c r="U4">
        <v>0.53</v>
      </c>
      <c r="V4">
        <v>0.72</v>
      </c>
      <c r="W4">
        <v>1.17</v>
      </c>
      <c r="X4">
        <v>0.36</v>
      </c>
      <c r="Y4">
        <v>1</v>
      </c>
      <c r="Z4">
        <v>10</v>
      </c>
    </row>
    <row r="5" spans="1:26" x14ac:dyDescent="0.3">
      <c r="A5">
        <v>3</v>
      </c>
      <c r="B5">
        <v>20</v>
      </c>
      <c r="C5" t="s">
        <v>26</v>
      </c>
      <c r="D5">
        <v>11.1732</v>
      </c>
      <c r="E5">
        <v>8.9499999999999993</v>
      </c>
      <c r="F5">
        <v>7.01</v>
      </c>
      <c r="G5">
        <v>26.27</v>
      </c>
      <c r="H5">
        <v>0.57999999999999996</v>
      </c>
      <c r="I5">
        <v>16</v>
      </c>
      <c r="J5">
        <v>52.19</v>
      </c>
      <c r="K5">
        <v>24.83</v>
      </c>
      <c r="L5">
        <v>1.75</v>
      </c>
      <c r="M5">
        <v>14</v>
      </c>
      <c r="N5">
        <v>5.61</v>
      </c>
      <c r="O5">
        <v>6670.02</v>
      </c>
      <c r="P5">
        <v>35.11</v>
      </c>
      <c r="Q5">
        <v>204.15</v>
      </c>
      <c r="R5">
        <v>31.8</v>
      </c>
      <c r="S5">
        <v>17.37</v>
      </c>
      <c r="T5">
        <v>5062.0600000000004</v>
      </c>
      <c r="U5">
        <v>0.55000000000000004</v>
      </c>
      <c r="V5">
        <v>0.73</v>
      </c>
      <c r="W5">
        <v>1.1599999999999999</v>
      </c>
      <c r="X5">
        <v>0.32</v>
      </c>
      <c r="Y5">
        <v>1</v>
      </c>
      <c r="Z5">
        <v>10</v>
      </c>
    </row>
    <row r="6" spans="1:26" x14ac:dyDescent="0.3">
      <c r="A6">
        <v>4</v>
      </c>
      <c r="B6">
        <v>20</v>
      </c>
      <c r="C6" t="s">
        <v>26</v>
      </c>
      <c r="D6">
        <v>11.313599999999999</v>
      </c>
      <c r="E6">
        <v>8.84</v>
      </c>
      <c r="F6">
        <v>6.93</v>
      </c>
      <c r="G6">
        <v>31.99</v>
      </c>
      <c r="H6">
        <v>0.66</v>
      </c>
      <c r="I6">
        <v>13</v>
      </c>
      <c r="J6">
        <v>52.47</v>
      </c>
      <c r="K6">
        <v>24.83</v>
      </c>
      <c r="L6">
        <v>2</v>
      </c>
      <c r="M6">
        <v>11</v>
      </c>
      <c r="N6">
        <v>5.64</v>
      </c>
      <c r="O6">
        <v>6705.1</v>
      </c>
      <c r="P6">
        <v>33.51</v>
      </c>
      <c r="Q6">
        <v>204.15</v>
      </c>
      <c r="R6">
        <v>29.27</v>
      </c>
      <c r="S6">
        <v>17.37</v>
      </c>
      <c r="T6">
        <v>3811.67</v>
      </c>
      <c r="U6">
        <v>0.59</v>
      </c>
      <c r="V6">
        <v>0.74</v>
      </c>
      <c r="W6">
        <v>1.1599999999999999</v>
      </c>
      <c r="X6">
        <v>0.24</v>
      </c>
      <c r="Y6">
        <v>1</v>
      </c>
      <c r="Z6">
        <v>10</v>
      </c>
    </row>
    <row r="7" spans="1:26" x14ac:dyDescent="0.3">
      <c r="A7">
        <v>5</v>
      </c>
      <c r="B7">
        <v>20</v>
      </c>
      <c r="C7" t="s">
        <v>26</v>
      </c>
      <c r="D7">
        <v>11.3543</v>
      </c>
      <c r="E7">
        <v>8.81</v>
      </c>
      <c r="F7">
        <v>6.91</v>
      </c>
      <c r="G7">
        <v>34.56</v>
      </c>
      <c r="H7">
        <v>0.74</v>
      </c>
      <c r="I7">
        <v>12</v>
      </c>
      <c r="J7">
        <v>52.75</v>
      </c>
      <c r="K7">
        <v>24.83</v>
      </c>
      <c r="L7">
        <v>2.25</v>
      </c>
      <c r="M7">
        <v>4</v>
      </c>
      <c r="N7">
        <v>5.68</v>
      </c>
      <c r="O7">
        <v>6740.19</v>
      </c>
      <c r="P7">
        <v>33.159999999999997</v>
      </c>
      <c r="Q7">
        <v>204.14</v>
      </c>
      <c r="R7">
        <v>28.58</v>
      </c>
      <c r="S7">
        <v>17.37</v>
      </c>
      <c r="T7">
        <v>3470.51</v>
      </c>
      <c r="U7">
        <v>0.61</v>
      </c>
      <c r="V7">
        <v>0.74</v>
      </c>
      <c r="W7">
        <v>1.1599999999999999</v>
      </c>
      <c r="X7">
        <v>0.22</v>
      </c>
      <c r="Y7">
        <v>1</v>
      </c>
      <c r="Z7">
        <v>10</v>
      </c>
    </row>
    <row r="8" spans="1:26" x14ac:dyDescent="0.3">
      <c r="A8">
        <v>6</v>
      </c>
      <c r="B8">
        <v>20</v>
      </c>
      <c r="C8" t="s">
        <v>26</v>
      </c>
      <c r="D8">
        <v>11.3393</v>
      </c>
      <c r="E8">
        <v>8.82</v>
      </c>
      <c r="F8">
        <v>6.92</v>
      </c>
      <c r="G8">
        <v>34.619999999999997</v>
      </c>
      <c r="H8">
        <v>0.82</v>
      </c>
      <c r="I8">
        <v>12</v>
      </c>
      <c r="J8">
        <v>53.04</v>
      </c>
      <c r="K8">
        <v>24.83</v>
      </c>
      <c r="L8">
        <v>2.5</v>
      </c>
      <c r="M8">
        <v>1</v>
      </c>
      <c r="N8">
        <v>5.71</v>
      </c>
      <c r="O8">
        <v>6775.31</v>
      </c>
      <c r="P8">
        <v>33.18</v>
      </c>
      <c r="Q8">
        <v>204.18</v>
      </c>
      <c r="R8">
        <v>28.75</v>
      </c>
      <c r="S8">
        <v>17.37</v>
      </c>
      <c r="T8">
        <v>3558.77</v>
      </c>
      <c r="U8">
        <v>0.6</v>
      </c>
      <c r="V8">
        <v>0.74</v>
      </c>
      <c r="W8">
        <v>1.17</v>
      </c>
      <c r="X8">
        <v>0.23</v>
      </c>
      <c r="Y8">
        <v>1</v>
      </c>
      <c r="Z8">
        <v>10</v>
      </c>
    </row>
    <row r="9" spans="1:26" x14ac:dyDescent="0.3">
      <c r="A9">
        <v>7</v>
      </c>
      <c r="B9">
        <v>20</v>
      </c>
      <c r="C9" t="s">
        <v>26</v>
      </c>
      <c r="D9">
        <v>11.3407</v>
      </c>
      <c r="E9">
        <v>8.82</v>
      </c>
      <c r="F9">
        <v>6.92</v>
      </c>
      <c r="G9">
        <v>34.619999999999997</v>
      </c>
      <c r="H9">
        <v>0.89</v>
      </c>
      <c r="I9">
        <v>12</v>
      </c>
      <c r="J9">
        <v>53.32</v>
      </c>
      <c r="K9">
        <v>24.83</v>
      </c>
      <c r="L9">
        <v>2.75</v>
      </c>
      <c r="M9">
        <v>1</v>
      </c>
      <c r="N9">
        <v>5.75</v>
      </c>
      <c r="O9">
        <v>6810.44</v>
      </c>
      <c r="P9">
        <v>33.21</v>
      </c>
      <c r="Q9">
        <v>204.18</v>
      </c>
      <c r="R9">
        <v>28.7</v>
      </c>
      <c r="S9">
        <v>17.37</v>
      </c>
      <c r="T9">
        <v>3530.31</v>
      </c>
      <c r="U9">
        <v>0.61</v>
      </c>
      <c r="V9">
        <v>0.74</v>
      </c>
      <c r="W9">
        <v>1.17</v>
      </c>
      <c r="X9">
        <v>0.23</v>
      </c>
      <c r="Y9">
        <v>1</v>
      </c>
      <c r="Z9">
        <v>10</v>
      </c>
    </row>
    <row r="10" spans="1:26" x14ac:dyDescent="0.3">
      <c r="A10">
        <v>8</v>
      </c>
      <c r="B10">
        <v>20</v>
      </c>
      <c r="C10" t="s">
        <v>26</v>
      </c>
      <c r="D10">
        <v>11.338900000000001</v>
      </c>
      <c r="E10">
        <v>8.82</v>
      </c>
      <c r="F10">
        <v>6.92</v>
      </c>
      <c r="G10">
        <v>34.619999999999997</v>
      </c>
      <c r="H10">
        <v>0.97</v>
      </c>
      <c r="I10">
        <v>12</v>
      </c>
      <c r="J10">
        <v>53.61</v>
      </c>
      <c r="K10">
        <v>24.83</v>
      </c>
      <c r="L10">
        <v>3</v>
      </c>
      <c r="M10">
        <v>0</v>
      </c>
      <c r="N10">
        <v>5.78</v>
      </c>
      <c r="O10">
        <v>6845.59</v>
      </c>
      <c r="P10">
        <v>33.340000000000003</v>
      </c>
      <c r="Q10">
        <v>204.18</v>
      </c>
      <c r="R10">
        <v>28.73</v>
      </c>
      <c r="S10">
        <v>17.37</v>
      </c>
      <c r="T10">
        <v>3546.19</v>
      </c>
      <c r="U10">
        <v>0.6</v>
      </c>
      <c r="V10">
        <v>0.74</v>
      </c>
      <c r="W10">
        <v>1.17</v>
      </c>
      <c r="X10">
        <v>0.23</v>
      </c>
      <c r="Y10">
        <v>1</v>
      </c>
      <c r="Z10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Planilha23"/>
  <dimension ref="A1:Z142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120</v>
      </c>
      <c r="C2" t="s">
        <v>26</v>
      </c>
      <c r="D2">
        <v>6.2744999999999997</v>
      </c>
      <c r="E2">
        <v>15.94</v>
      </c>
      <c r="F2">
        <v>8.7200000000000006</v>
      </c>
      <c r="G2">
        <v>5.28</v>
      </c>
      <c r="H2">
        <v>0.08</v>
      </c>
      <c r="I2">
        <v>99</v>
      </c>
      <c r="J2">
        <v>232.68</v>
      </c>
      <c r="K2">
        <v>57.72</v>
      </c>
      <c r="L2">
        <v>1</v>
      </c>
      <c r="M2">
        <v>97</v>
      </c>
      <c r="N2">
        <v>53.95</v>
      </c>
      <c r="O2">
        <v>28931.02</v>
      </c>
      <c r="P2">
        <v>136.51</v>
      </c>
      <c r="Q2">
        <v>204.22</v>
      </c>
      <c r="R2">
        <v>84.7</v>
      </c>
      <c r="S2">
        <v>17.37</v>
      </c>
      <c r="T2">
        <v>31099.119999999999</v>
      </c>
      <c r="U2">
        <v>0.21</v>
      </c>
      <c r="V2">
        <v>0.59</v>
      </c>
      <c r="W2">
        <v>1.31</v>
      </c>
      <c r="X2">
        <v>2.02</v>
      </c>
      <c r="Y2">
        <v>1</v>
      </c>
      <c r="Z2">
        <v>10</v>
      </c>
    </row>
    <row r="3" spans="1:26" x14ac:dyDescent="0.3">
      <c r="A3">
        <v>1</v>
      </c>
      <c r="B3">
        <v>120</v>
      </c>
      <c r="C3" t="s">
        <v>26</v>
      </c>
      <c r="D3">
        <v>6.9678000000000004</v>
      </c>
      <c r="E3">
        <v>14.35</v>
      </c>
      <c r="F3">
        <v>8.23</v>
      </c>
      <c r="G3">
        <v>6.58</v>
      </c>
      <c r="H3">
        <v>0.1</v>
      </c>
      <c r="I3">
        <v>75</v>
      </c>
      <c r="J3">
        <v>233.1</v>
      </c>
      <c r="K3">
        <v>57.72</v>
      </c>
      <c r="L3">
        <v>1.25</v>
      </c>
      <c r="M3">
        <v>73</v>
      </c>
      <c r="N3">
        <v>54.13</v>
      </c>
      <c r="O3">
        <v>28983.75</v>
      </c>
      <c r="P3">
        <v>128.66</v>
      </c>
      <c r="Q3">
        <v>204.25</v>
      </c>
      <c r="R3">
        <v>69.19</v>
      </c>
      <c r="S3">
        <v>17.37</v>
      </c>
      <c r="T3">
        <v>23461.31</v>
      </c>
      <c r="U3">
        <v>0.25</v>
      </c>
      <c r="V3">
        <v>0.62</v>
      </c>
      <c r="W3">
        <v>1.27</v>
      </c>
      <c r="X3">
        <v>1.53</v>
      </c>
      <c r="Y3">
        <v>1</v>
      </c>
      <c r="Z3">
        <v>10</v>
      </c>
    </row>
    <row r="4" spans="1:26" x14ac:dyDescent="0.3">
      <c r="A4">
        <v>2</v>
      </c>
      <c r="B4">
        <v>120</v>
      </c>
      <c r="C4" t="s">
        <v>26</v>
      </c>
      <c r="D4">
        <v>7.4988000000000001</v>
      </c>
      <c r="E4">
        <v>13.34</v>
      </c>
      <c r="F4">
        <v>7.89</v>
      </c>
      <c r="G4">
        <v>7.89</v>
      </c>
      <c r="H4">
        <v>0.11</v>
      </c>
      <c r="I4">
        <v>60</v>
      </c>
      <c r="J4">
        <v>233.53</v>
      </c>
      <c r="K4">
        <v>57.72</v>
      </c>
      <c r="L4">
        <v>1.5</v>
      </c>
      <c r="M4">
        <v>58</v>
      </c>
      <c r="N4">
        <v>54.31</v>
      </c>
      <c r="O4">
        <v>29036.54</v>
      </c>
      <c r="P4">
        <v>123.3</v>
      </c>
      <c r="Q4">
        <v>204.21</v>
      </c>
      <c r="R4">
        <v>59.54</v>
      </c>
      <c r="S4">
        <v>17.37</v>
      </c>
      <c r="T4">
        <v>18712.57</v>
      </c>
      <c r="U4">
        <v>0.28999999999999998</v>
      </c>
      <c r="V4">
        <v>0.65</v>
      </c>
      <c r="W4">
        <v>1.22</v>
      </c>
      <c r="X4">
        <v>1.2</v>
      </c>
      <c r="Y4">
        <v>1</v>
      </c>
      <c r="Z4">
        <v>10</v>
      </c>
    </row>
    <row r="5" spans="1:26" x14ac:dyDescent="0.3">
      <c r="A5">
        <v>3</v>
      </c>
      <c r="B5">
        <v>120</v>
      </c>
      <c r="C5" t="s">
        <v>26</v>
      </c>
      <c r="D5">
        <v>7.8421000000000003</v>
      </c>
      <c r="E5">
        <v>12.75</v>
      </c>
      <c r="F5">
        <v>7.72</v>
      </c>
      <c r="G5">
        <v>9.08</v>
      </c>
      <c r="H5">
        <v>0.13</v>
      </c>
      <c r="I5">
        <v>51</v>
      </c>
      <c r="J5">
        <v>233.96</v>
      </c>
      <c r="K5">
        <v>57.72</v>
      </c>
      <c r="L5">
        <v>1.75</v>
      </c>
      <c r="M5">
        <v>49</v>
      </c>
      <c r="N5">
        <v>54.49</v>
      </c>
      <c r="O5">
        <v>29089.39</v>
      </c>
      <c r="P5">
        <v>120.48</v>
      </c>
      <c r="Q5">
        <v>204.16</v>
      </c>
      <c r="R5">
        <v>53.38</v>
      </c>
      <c r="S5">
        <v>17.37</v>
      </c>
      <c r="T5">
        <v>15674.96</v>
      </c>
      <c r="U5">
        <v>0.33</v>
      </c>
      <c r="V5">
        <v>0.66</v>
      </c>
      <c r="W5">
        <v>1.23</v>
      </c>
      <c r="X5">
        <v>1.03</v>
      </c>
      <c r="Y5">
        <v>1</v>
      </c>
      <c r="Z5">
        <v>10</v>
      </c>
    </row>
    <row r="6" spans="1:26" x14ac:dyDescent="0.3">
      <c r="A6">
        <v>4</v>
      </c>
      <c r="B6">
        <v>120</v>
      </c>
      <c r="C6" t="s">
        <v>26</v>
      </c>
      <c r="D6">
        <v>8.1526999999999994</v>
      </c>
      <c r="E6">
        <v>12.27</v>
      </c>
      <c r="F6">
        <v>7.55</v>
      </c>
      <c r="G6">
        <v>10.3</v>
      </c>
      <c r="H6">
        <v>0.15</v>
      </c>
      <c r="I6">
        <v>44</v>
      </c>
      <c r="J6">
        <v>234.39</v>
      </c>
      <c r="K6">
        <v>57.72</v>
      </c>
      <c r="L6">
        <v>2</v>
      </c>
      <c r="M6">
        <v>42</v>
      </c>
      <c r="N6">
        <v>54.67</v>
      </c>
      <c r="O6">
        <v>29142.31</v>
      </c>
      <c r="P6">
        <v>117.77</v>
      </c>
      <c r="Q6">
        <v>204.2</v>
      </c>
      <c r="R6">
        <v>48.75</v>
      </c>
      <c r="S6">
        <v>17.37</v>
      </c>
      <c r="T6">
        <v>13395.76</v>
      </c>
      <c r="U6">
        <v>0.36</v>
      </c>
      <c r="V6">
        <v>0.68</v>
      </c>
      <c r="W6">
        <v>1.2</v>
      </c>
      <c r="X6">
        <v>0.86</v>
      </c>
      <c r="Y6">
        <v>1</v>
      </c>
      <c r="Z6">
        <v>10</v>
      </c>
    </row>
    <row r="7" spans="1:26" x14ac:dyDescent="0.3">
      <c r="A7">
        <v>5</v>
      </c>
      <c r="B7">
        <v>120</v>
      </c>
      <c r="C7" t="s">
        <v>26</v>
      </c>
      <c r="D7">
        <v>8.4093999999999998</v>
      </c>
      <c r="E7">
        <v>11.89</v>
      </c>
      <c r="F7">
        <v>7.45</v>
      </c>
      <c r="G7">
        <v>11.77</v>
      </c>
      <c r="H7">
        <v>0.17</v>
      </c>
      <c r="I7">
        <v>38</v>
      </c>
      <c r="J7">
        <v>234.82</v>
      </c>
      <c r="K7">
        <v>57.72</v>
      </c>
      <c r="L7">
        <v>2.25</v>
      </c>
      <c r="M7">
        <v>36</v>
      </c>
      <c r="N7">
        <v>54.85</v>
      </c>
      <c r="O7">
        <v>29195.29</v>
      </c>
      <c r="P7">
        <v>116.06</v>
      </c>
      <c r="Q7">
        <v>204.19</v>
      </c>
      <c r="R7">
        <v>45.35</v>
      </c>
      <c r="S7">
        <v>17.37</v>
      </c>
      <c r="T7">
        <v>11728.06</v>
      </c>
      <c r="U7">
        <v>0.38</v>
      </c>
      <c r="V7">
        <v>0.69</v>
      </c>
      <c r="W7">
        <v>1.2</v>
      </c>
      <c r="X7">
        <v>0.76</v>
      </c>
      <c r="Y7">
        <v>1</v>
      </c>
      <c r="Z7">
        <v>10</v>
      </c>
    </row>
    <row r="8" spans="1:26" x14ac:dyDescent="0.3">
      <c r="A8">
        <v>6</v>
      </c>
      <c r="B8">
        <v>120</v>
      </c>
      <c r="C8" t="s">
        <v>26</v>
      </c>
      <c r="D8">
        <v>8.6173999999999999</v>
      </c>
      <c r="E8">
        <v>11.6</v>
      </c>
      <c r="F8">
        <v>7.35</v>
      </c>
      <c r="G8">
        <v>12.96</v>
      </c>
      <c r="H8">
        <v>0.19</v>
      </c>
      <c r="I8">
        <v>34</v>
      </c>
      <c r="J8">
        <v>235.25</v>
      </c>
      <c r="K8">
        <v>57.72</v>
      </c>
      <c r="L8">
        <v>2.5</v>
      </c>
      <c r="M8">
        <v>32</v>
      </c>
      <c r="N8">
        <v>55.03</v>
      </c>
      <c r="O8">
        <v>29248.33</v>
      </c>
      <c r="P8">
        <v>114.32</v>
      </c>
      <c r="Q8">
        <v>204.2</v>
      </c>
      <c r="R8">
        <v>42.46</v>
      </c>
      <c r="S8">
        <v>17.37</v>
      </c>
      <c r="T8">
        <v>10301.36</v>
      </c>
      <c r="U8">
        <v>0.41</v>
      </c>
      <c r="V8">
        <v>0.7</v>
      </c>
      <c r="W8">
        <v>1.18</v>
      </c>
      <c r="X8">
        <v>0.66</v>
      </c>
      <c r="Y8">
        <v>1</v>
      </c>
      <c r="Z8">
        <v>10</v>
      </c>
    </row>
    <row r="9" spans="1:26" x14ac:dyDescent="0.3">
      <c r="A9">
        <v>7</v>
      </c>
      <c r="B9">
        <v>120</v>
      </c>
      <c r="C9" t="s">
        <v>26</v>
      </c>
      <c r="D9">
        <v>8.7731999999999992</v>
      </c>
      <c r="E9">
        <v>11.4</v>
      </c>
      <c r="F9">
        <v>7.28</v>
      </c>
      <c r="G9">
        <v>14.08</v>
      </c>
      <c r="H9">
        <v>0.21</v>
      </c>
      <c r="I9">
        <v>31</v>
      </c>
      <c r="J9">
        <v>235.68</v>
      </c>
      <c r="K9">
        <v>57.72</v>
      </c>
      <c r="L9">
        <v>2.75</v>
      </c>
      <c r="M9">
        <v>29</v>
      </c>
      <c r="N9">
        <v>55.21</v>
      </c>
      <c r="O9">
        <v>29301.439999999999</v>
      </c>
      <c r="P9">
        <v>113.13</v>
      </c>
      <c r="Q9">
        <v>204.15</v>
      </c>
      <c r="R9">
        <v>40.090000000000003</v>
      </c>
      <c r="S9">
        <v>17.37</v>
      </c>
      <c r="T9">
        <v>9132.2800000000007</v>
      </c>
      <c r="U9">
        <v>0.43</v>
      </c>
      <c r="V9">
        <v>0.7</v>
      </c>
      <c r="W9">
        <v>1.18</v>
      </c>
      <c r="X9">
        <v>0.57999999999999996</v>
      </c>
      <c r="Y9">
        <v>1</v>
      </c>
      <c r="Z9">
        <v>10</v>
      </c>
    </row>
    <row r="10" spans="1:26" x14ac:dyDescent="0.3">
      <c r="A10">
        <v>8</v>
      </c>
      <c r="B10">
        <v>120</v>
      </c>
      <c r="C10" t="s">
        <v>26</v>
      </c>
      <c r="D10">
        <v>8.9163999999999994</v>
      </c>
      <c r="E10">
        <v>11.22</v>
      </c>
      <c r="F10">
        <v>7.23</v>
      </c>
      <c r="G10">
        <v>15.49</v>
      </c>
      <c r="H10">
        <v>0.23</v>
      </c>
      <c r="I10">
        <v>28</v>
      </c>
      <c r="J10">
        <v>236.11</v>
      </c>
      <c r="K10">
        <v>57.72</v>
      </c>
      <c r="L10">
        <v>3</v>
      </c>
      <c r="M10">
        <v>26</v>
      </c>
      <c r="N10">
        <v>55.39</v>
      </c>
      <c r="O10">
        <v>29354.61</v>
      </c>
      <c r="P10">
        <v>112.27</v>
      </c>
      <c r="Q10">
        <v>204.15</v>
      </c>
      <c r="R10">
        <v>38.69</v>
      </c>
      <c r="S10">
        <v>17.37</v>
      </c>
      <c r="T10">
        <v>8449.2800000000007</v>
      </c>
      <c r="U10">
        <v>0.45</v>
      </c>
      <c r="V10">
        <v>0.71</v>
      </c>
      <c r="W10">
        <v>1.18</v>
      </c>
      <c r="X10">
        <v>0.54</v>
      </c>
      <c r="Y10">
        <v>1</v>
      </c>
      <c r="Z10">
        <v>10</v>
      </c>
    </row>
    <row r="11" spans="1:26" x14ac:dyDescent="0.3">
      <c r="A11">
        <v>9</v>
      </c>
      <c r="B11">
        <v>120</v>
      </c>
      <c r="C11" t="s">
        <v>26</v>
      </c>
      <c r="D11">
        <v>9.0191999999999997</v>
      </c>
      <c r="E11">
        <v>11.09</v>
      </c>
      <c r="F11">
        <v>7.19</v>
      </c>
      <c r="G11">
        <v>16.600000000000001</v>
      </c>
      <c r="H11">
        <v>0.24</v>
      </c>
      <c r="I11">
        <v>26</v>
      </c>
      <c r="J11">
        <v>236.54</v>
      </c>
      <c r="K11">
        <v>57.72</v>
      </c>
      <c r="L11">
        <v>3.25</v>
      </c>
      <c r="M11">
        <v>24</v>
      </c>
      <c r="N11">
        <v>55.57</v>
      </c>
      <c r="O11">
        <v>29407.85</v>
      </c>
      <c r="P11">
        <v>111.66</v>
      </c>
      <c r="Q11">
        <v>204.14</v>
      </c>
      <c r="R11">
        <v>37.590000000000003</v>
      </c>
      <c r="S11">
        <v>17.37</v>
      </c>
      <c r="T11">
        <v>7907.9</v>
      </c>
      <c r="U11">
        <v>0.46</v>
      </c>
      <c r="V11">
        <v>0.71</v>
      </c>
      <c r="W11">
        <v>1.18</v>
      </c>
      <c r="X11">
        <v>0.5</v>
      </c>
      <c r="Y11">
        <v>1</v>
      </c>
      <c r="Z11">
        <v>10</v>
      </c>
    </row>
    <row r="12" spans="1:26" x14ac:dyDescent="0.3">
      <c r="A12">
        <v>10</v>
      </c>
      <c r="B12">
        <v>120</v>
      </c>
      <c r="C12" t="s">
        <v>26</v>
      </c>
      <c r="D12">
        <v>9.1155000000000008</v>
      </c>
      <c r="E12">
        <v>10.97</v>
      </c>
      <c r="F12">
        <v>7.17</v>
      </c>
      <c r="G12">
        <v>17.920000000000002</v>
      </c>
      <c r="H12">
        <v>0.26</v>
      </c>
      <c r="I12">
        <v>24</v>
      </c>
      <c r="J12">
        <v>236.98</v>
      </c>
      <c r="K12">
        <v>57.72</v>
      </c>
      <c r="L12">
        <v>3.5</v>
      </c>
      <c r="M12">
        <v>22</v>
      </c>
      <c r="N12">
        <v>55.75</v>
      </c>
      <c r="O12">
        <v>29461.15</v>
      </c>
      <c r="P12">
        <v>111.13</v>
      </c>
      <c r="Q12">
        <v>204.16</v>
      </c>
      <c r="R12">
        <v>36.520000000000003</v>
      </c>
      <c r="S12">
        <v>17.37</v>
      </c>
      <c r="T12">
        <v>7382.18</v>
      </c>
      <c r="U12">
        <v>0.48</v>
      </c>
      <c r="V12">
        <v>0.71</v>
      </c>
      <c r="W12">
        <v>1.18</v>
      </c>
      <c r="X12">
        <v>0.48</v>
      </c>
      <c r="Y12">
        <v>1</v>
      </c>
      <c r="Z12">
        <v>10</v>
      </c>
    </row>
    <row r="13" spans="1:26" x14ac:dyDescent="0.3">
      <c r="A13">
        <v>11</v>
      </c>
      <c r="B13">
        <v>120</v>
      </c>
      <c r="C13" t="s">
        <v>26</v>
      </c>
      <c r="D13">
        <v>9.24</v>
      </c>
      <c r="E13">
        <v>10.82</v>
      </c>
      <c r="F13">
        <v>7.11</v>
      </c>
      <c r="G13">
        <v>19.39</v>
      </c>
      <c r="H13">
        <v>0.28000000000000003</v>
      </c>
      <c r="I13">
        <v>22</v>
      </c>
      <c r="J13">
        <v>237.41</v>
      </c>
      <c r="K13">
        <v>57.72</v>
      </c>
      <c r="L13">
        <v>3.75</v>
      </c>
      <c r="M13">
        <v>20</v>
      </c>
      <c r="N13">
        <v>55.93</v>
      </c>
      <c r="O13">
        <v>29514.51</v>
      </c>
      <c r="P13">
        <v>110.1</v>
      </c>
      <c r="Q13">
        <v>204.2</v>
      </c>
      <c r="R13">
        <v>34.909999999999997</v>
      </c>
      <c r="S13">
        <v>17.37</v>
      </c>
      <c r="T13">
        <v>6588.02</v>
      </c>
      <c r="U13">
        <v>0.5</v>
      </c>
      <c r="V13">
        <v>0.72</v>
      </c>
      <c r="W13">
        <v>1.17</v>
      </c>
      <c r="X13">
        <v>0.42</v>
      </c>
      <c r="Y13">
        <v>1</v>
      </c>
      <c r="Z13">
        <v>10</v>
      </c>
    </row>
    <row r="14" spans="1:26" x14ac:dyDescent="0.3">
      <c r="A14">
        <v>12</v>
      </c>
      <c r="B14">
        <v>120</v>
      </c>
      <c r="C14" t="s">
        <v>26</v>
      </c>
      <c r="D14">
        <v>9.2960999999999991</v>
      </c>
      <c r="E14">
        <v>10.76</v>
      </c>
      <c r="F14">
        <v>7.09</v>
      </c>
      <c r="G14">
        <v>20.260000000000002</v>
      </c>
      <c r="H14">
        <v>0.3</v>
      </c>
      <c r="I14">
        <v>21</v>
      </c>
      <c r="J14">
        <v>237.84</v>
      </c>
      <c r="K14">
        <v>57.72</v>
      </c>
      <c r="L14">
        <v>4</v>
      </c>
      <c r="M14">
        <v>19</v>
      </c>
      <c r="N14">
        <v>56.12</v>
      </c>
      <c r="O14">
        <v>29567.95</v>
      </c>
      <c r="P14">
        <v>109.7</v>
      </c>
      <c r="Q14">
        <v>204.15</v>
      </c>
      <c r="R14">
        <v>34.29</v>
      </c>
      <c r="S14">
        <v>17.37</v>
      </c>
      <c r="T14">
        <v>6281.34</v>
      </c>
      <c r="U14">
        <v>0.51</v>
      </c>
      <c r="V14">
        <v>0.72</v>
      </c>
      <c r="W14">
        <v>1.17</v>
      </c>
      <c r="X14">
        <v>0.4</v>
      </c>
      <c r="Y14">
        <v>1</v>
      </c>
      <c r="Z14">
        <v>10</v>
      </c>
    </row>
    <row r="15" spans="1:26" x14ac:dyDescent="0.3">
      <c r="A15">
        <v>13</v>
      </c>
      <c r="B15">
        <v>120</v>
      </c>
      <c r="C15" t="s">
        <v>26</v>
      </c>
      <c r="D15">
        <v>9.3497000000000003</v>
      </c>
      <c r="E15">
        <v>10.7</v>
      </c>
      <c r="F15">
        <v>7.08</v>
      </c>
      <c r="G15">
        <v>21.23</v>
      </c>
      <c r="H15">
        <v>0.32</v>
      </c>
      <c r="I15">
        <v>20</v>
      </c>
      <c r="J15">
        <v>238.28</v>
      </c>
      <c r="K15">
        <v>57.72</v>
      </c>
      <c r="L15">
        <v>4.25</v>
      </c>
      <c r="M15">
        <v>18</v>
      </c>
      <c r="N15">
        <v>56.3</v>
      </c>
      <c r="O15">
        <v>29621.439999999999</v>
      </c>
      <c r="P15">
        <v>109.35</v>
      </c>
      <c r="Q15">
        <v>204.15</v>
      </c>
      <c r="R15">
        <v>33.770000000000003</v>
      </c>
      <c r="S15">
        <v>17.37</v>
      </c>
      <c r="T15">
        <v>6027.91</v>
      </c>
      <c r="U15">
        <v>0.51</v>
      </c>
      <c r="V15">
        <v>0.72</v>
      </c>
      <c r="W15">
        <v>1.17</v>
      </c>
      <c r="X15">
        <v>0.38</v>
      </c>
      <c r="Y15">
        <v>1</v>
      </c>
      <c r="Z15">
        <v>10</v>
      </c>
    </row>
    <row r="16" spans="1:26" x14ac:dyDescent="0.3">
      <c r="A16">
        <v>14</v>
      </c>
      <c r="B16">
        <v>120</v>
      </c>
      <c r="C16" t="s">
        <v>26</v>
      </c>
      <c r="D16">
        <v>9.4026999999999994</v>
      </c>
      <c r="E16">
        <v>10.64</v>
      </c>
      <c r="F16">
        <v>7.06</v>
      </c>
      <c r="G16">
        <v>22.3</v>
      </c>
      <c r="H16">
        <v>0.34</v>
      </c>
      <c r="I16">
        <v>19</v>
      </c>
      <c r="J16">
        <v>238.71</v>
      </c>
      <c r="K16">
        <v>57.72</v>
      </c>
      <c r="L16">
        <v>4.5</v>
      </c>
      <c r="M16">
        <v>17</v>
      </c>
      <c r="N16">
        <v>56.49</v>
      </c>
      <c r="O16">
        <v>29675.01</v>
      </c>
      <c r="P16">
        <v>109.03</v>
      </c>
      <c r="Q16">
        <v>204.15</v>
      </c>
      <c r="R16">
        <v>33.25</v>
      </c>
      <c r="S16">
        <v>17.37</v>
      </c>
      <c r="T16">
        <v>5774.07</v>
      </c>
      <c r="U16">
        <v>0.52</v>
      </c>
      <c r="V16">
        <v>0.72</v>
      </c>
      <c r="W16">
        <v>1.17</v>
      </c>
      <c r="X16">
        <v>0.37</v>
      </c>
      <c r="Y16">
        <v>1</v>
      </c>
      <c r="Z16">
        <v>10</v>
      </c>
    </row>
    <row r="17" spans="1:26" x14ac:dyDescent="0.3">
      <c r="A17">
        <v>15</v>
      </c>
      <c r="B17">
        <v>120</v>
      </c>
      <c r="C17" t="s">
        <v>26</v>
      </c>
      <c r="D17">
        <v>9.4641999999999999</v>
      </c>
      <c r="E17">
        <v>10.57</v>
      </c>
      <c r="F17">
        <v>7.04</v>
      </c>
      <c r="G17">
        <v>23.46</v>
      </c>
      <c r="H17">
        <v>0.35</v>
      </c>
      <c r="I17">
        <v>18</v>
      </c>
      <c r="J17">
        <v>239.14</v>
      </c>
      <c r="K17">
        <v>57.72</v>
      </c>
      <c r="L17">
        <v>4.75</v>
      </c>
      <c r="M17">
        <v>16</v>
      </c>
      <c r="N17">
        <v>56.67</v>
      </c>
      <c r="O17">
        <v>29728.63</v>
      </c>
      <c r="P17">
        <v>108.48</v>
      </c>
      <c r="Q17">
        <v>204.21</v>
      </c>
      <c r="R17">
        <v>32.43</v>
      </c>
      <c r="S17">
        <v>17.37</v>
      </c>
      <c r="T17">
        <v>5368.9</v>
      </c>
      <c r="U17">
        <v>0.54</v>
      </c>
      <c r="V17">
        <v>0.73</v>
      </c>
      <c r="W17">
        <v>1.17</v>
      </c>
      <c r="X17">
        <v>0.34</v>
      </c>
      <c r="Y17">
        <v>1</v>
      </c>
      <c r="Z17">
        <v>10</v>
      </c>
    </row>
    <row r="18" spans="1:26" x14ac:dyDescent="0.3">
      <c r="A18">
        <v>16</v>
      </c>
      <c r="B18">
        <v>120</v>
      </c>
      <c r="C18" t="s">
        <v>26</v>
      </c>
      <c r="D18">
        <v>9.5105000000000004</v>
      </c>
      <c r="E18">
        <v>10.51</v>
      </c>
      <c r="F18">
        <v>7.03</v>
      </c>
      <c r="G18">
        <v>24.82</v>
      </c>
      <c r="H18">
        <v>0.37</v>
      </c>
      <c r="I18">
        <v>17</v>
      </c>
      <c r="J18">
        <v>239.58</v>
      </c>
      <c r="K18">
        <v>57.72</v>
      </c>
      <c r="L18">
        <v>5</v>
      </c>
      <c r="M18">
        <v>15</v>
      </c>
      <c r="N18">
        <v>56.86</v>
      </c>
      <c r="O18">
        <v>29782.33</v>
      </c>
      <c r="P18">
        <v>108.4</v>
      </c>
      <c r="Q18">
        <v>204.17</v>
      </c>
      <c r="R18">
        <v>32.340000000000003</v>
      </c>
      <c r="S18">
        <v>17.37</v>
      </c>
      <c r="T18">
        <v>5327.82</v>
      </c>
      <c r="U18">
        <v>0.54</v>
      </c>
      <c r="V18">
        <v>0.73</v>
      </c>
      <c r="W18">
        <v>1.17</v>
      </c>
      <c r="X18">
        <v>0.34</v>
      </c>
      <c r="Y18">
        <v>1</v>
      </c>
      <c r="Z18">
        <v>10</v>
      </c>
    </row>
    <row r="19" spans="1:26" x14ac:dyDescent="0.3">
      <c r="A19">
        <v>17</v>
      </c>
      <c r="B19">
        <v>120</v>
      </c>
      <c r="C19" t="s">
        <v>26</v>
      </c>
      <c r="D19">
        <v>9.59</v>
      </c>
      <c r="E19">
        <v>10.43</v>
      </c>
      <c r="F19">
        <v>6.99</v>
      </c>
      <c r="G19">
        <v>26.21</v>
      </c>
      <c r="H19">
        <v>0.39</v>
      </c>
      <c r="I19">
        <v>16</v>
      </c>
      <c r="J19">
        <v>240.02</v>
      </c>
      <c r="K19">
        <v>57.72</v>
      </c>
      <c r="L19">
        <v>5.25</v>
      </c>
      <c r="M19">
        <v>14</v>
      </c>
      <c r="N19">
        <v>57.04</v>
      </c>
      <c r="O19">
        <v>29836.09</v>
      </c>
      <c r="P19">
        <v>107.6</v>
      </c>
      <c r="Q19">
        <v>204.14</v>
      </c>
      <c r="R19">
        <v>31.15</v>
      </c>
      <c r="S19">
        <v>17.37</v>
      </c>
      <c r="T19">
        <v>4738.6099999999997</v>
      </c>
      <c r="U19">
        <v>0.56000000000000005</v>
      </c>
      <c r="V19">
        <v>0.73</v>
      </c>
      <c r="W19">
        <v>1.1599999999999999</v>
      </c>
      <c r="X19">
        <v>0.3</v>
      </c>
      <c r="Y19">
        <v>1</v>
      </c>
      <c r="Z19">
        <v>10</v>
      </c>
    </row>
    <row r="20" spans="1:26" x14ac:dyDescent="0.3">
      <c r="A20">
        <v>18</v>
      </c>
      <c r="B20">
        <v>120</v>
      </c>
      <c r="C20" t="s">
        <v>26</v>
      </c>
      <c r="D20">
        <v>9.6343999999999994</v>
      </c>
      <c r="E20">
        <v>10.38</v>
      </c>
      <c r="F20">
        <v>6.99</v>
      </c>
      <c r="G20">
        <v>27.95</v>
      </c>
      <c r="H20">
        <v>0.41</v>
      </c>
      <c r="I20">
        <v>15</v>
      </c>
      <c r="J20">
        <v>240.45</v>
      </c>
      <c r="K20">
        <v>57.72</v>
      </c>
      <c r="L20">
        <v>5.5</v>
      </c>
      <c r="M20">
        <v>13</v>
      </c>
      <c r="N20">
        <v>57.23</v>
      </c>
      <c r="O20">
        <v>29890.04</v>
      </c>
      <c r="P20">
        <v>107.39</v>
      </c>
      <c r="Q20">
        <v>204.17</v>
      </c>
      <c r="R20">
        <v>31.21</v>
      </c>
      <c r="S20">
        <v>17.37</v>
      </c>
      <c r="T20">
        <v>4773.4399999999996</v>
      </c>
      <c r="U20">
        <v>0.56000000000000005</v>
      </c>
      <c r="V20">
        <v>0.73</v>
      </c>
      <c r="W20">
        <v>1.1599999999999999</v>
      </c>
      <c r="X20">
        <v>0.3</v>
      </c>
      <c r="Y20">
        <v>1</v>
      </c>
      <c r="Z20">
        <v>10</v>
      </c>
    </row>
    <row r="21" spans="1:26" x14ac:dyDescent="0.3">
      <c r="A21">
        <v>19</v>
      </c>
      <c r="B21">
        <v>120</v>
      </c>
      <c r="C21" t="s">
        <v>26</v>
      </c>
      <c r="D21">
        <v>9.6550999999999991</v>
      </c>
      <c r="E21">
        <v>10.36</v>
      </c>
      <c r="F21">
        <v>6.96</v>
      </c>
      <c r="G21">
        <v>27.86</v>
      </c>
      <c r="H21">
        <v>0.42</v>
      </c>
      <c r="I21">
        <v>15</v>
      </c>
      <c r="J21">
        <v>240.89</v>
      </c>
      <c r="K21">
        <v>57.72</v>
      </c>
      <c r="L21">
        <v>5.75</v>
      </c>
      <c r="M21">
        <v>13</v>
      </c>
      <c r="N21">
        <v>57.42</v>
      </c>
      <c r="O21">
        <v>29943.94</v>
      </c>
      <c r="P21">
        <v>107.01</v>
      </c>
      <c r="Q21">
        <v>204.15</v>
      </c>
      <c r="R21">
        <v>30.35</v>
      </c>
      <c r="S21">
        <v>17.37</v>
      </c>
      <c r="T21">
        <v>4344.58</v>
      </c>
      <c r="U21">
        <v>0.56999999999999995</v>
      </c>
      <c r="V21">
        <v>0.73</v>
      </c>
      <c r="W21">
        <v>1.1599999999999999</v>
      </c>
      <c r="X21">
        <v>0.27</v>
      </c>
      <c r="Y21">
        <v>1</v>
      </c>
      <c r="Z21">
        <v>10</v>
      </c>
    </row>
    <row r="22" spans="1:26" x14ac:dyDescent="0.3">
      <c r="A22">
        <v>20</v>
      </c>
      <c r="B22">
        <v>120</v>
      </c>
      <c r="C22" t="s">
        <v>26</v>
      </c>
      <c r="D22">
        <v>9.7068999999999992</v>
      </c>
      <c r="E22">
        <v>10.3</v>
      </c>
      <c r="F22">
        <v>6.96</v>
      </c>
      <c r="G22">
        <v>29.81</v>
      </c>
      <c r="H22">
        <v>0.44</v>
      </c>
      <c r="I22">
        <v>14</v>
      </c>
      <c r="J22">
        <v>241.33</v>
      </c>
      <c r="K22">
        <v>57.72</v>
      </c>
      <c r="L22">
        <v>6</v>
      </c>
      <c r="M22">
        <v>12</v>
      </c>
      <c r="N22">
        <v>57.6</v>
      </c>
      <c r="O22">
        <v>29997.9</v>
      </c>
      <c r="P22">
        <v>106.76</v>
      </c>
      <c r="Q22">
        <v>204.14</v>
      </c>
      <c r="R22">
        <v>29.97</v>
      </c>
      <c r="S22">
        <v>17.37</v>
      </c>
      <c r="T22">
        <v>4155.58</v>
      </c>
      <c r="U22">
        <v>0.57999999999999996</v>
      </c>
      <c r="V22">
        <v>0.73</v>
      </c>
      <c r="W22">
        <v>1.1599999999999999</v>
      </c>
      <c r="X22">
        <v>0.26</v>
      </c>
      <c r="Y22">
        <v>1</v>
      </c>
      <c r="Z22">
        <v>10</v>
      </c>
    </row>
    <row r="23" spans="1:26" x14ac:dyDescent="0.3">
      <c r="A23">
        <v>21</v>
      </c>
      <c r="B23">
        <v>120</v>
      </c>
      <c r="C23" t="s">
        <v>26</v>
      </c>
      <c r="D23">
        <v>9.7081999999999997</v>
      </c>
      <c r="E23">
        <v>10.3</v>
      </c>
      <c r="F23">
        <v>6.95</v>
      </c>
      <c r="G23">
        <v>29.8</v>
      </c>
      <c r="H23">
        <v>0.46</v>
      </c>
      <c r="I23">
        <v>14</v>
      </c>
      <c r="J23">
        <v>241.77</v>
      </c>
      <c r="K23">
        <v>57.72</v>
      </c>
      <c r="L23">
        <v>6.25</v>
      </c>
      <c r="M23">
        <v>12</v>
      </c>
      <c r="N23">
        <v>57.79</v>
      </c>
      <c r="O23">
        <v>30051.93</v>
      </c>
      <c r="P23">
        <v>106.64</v>
      </c>
      <c r="Q23">
        <v>204.15</v>
      </c>
      <c r="R23">
        <v>29.94</v>
      </c>
      <c r="S23">
        <v>17.37</v>
      </c>
      <c r="T23">
        <v>4140.74</v>
      </c>
      <c r="U23">
        <v>0.57999999999999996</v>
      </c>
      <c r="V23">
        <v>0.73</v>
      </c>
      <c r="W23">
        <v>1.1599999999999999</v>
      </c>
      <c r="X23">
        <v>0.26</v>
      </c>
      <c r="Y23">
        <v>1</v>
      </c>
      <c r="Z23">
        <v>10</v>
      </c>
    </row>
    <row r="24" spans="1:26" x14ac:dyDescent="0.3">
      <c r="A24">
        <v>22</v>
      </c>
      <c r="B24">
        <v>120</v>
      </c>
      <c r="C24" t="s">
        <v>26</v>
      </c>
      <c r="D24">
        <v>9.7749000000000006</v>
      </c>
      <c r="E24">
        <v>10.23</v>
      </c>
      <c r="F24">
        <v>6.93</v>
      </c>
      <c r="G24">
        <v>31.98</v>
      </c>
      <c r="H24">
        <v>0.48</v>
      </c>
      <c r="I24">
        <v>13</v>
      </c>
      <c r="J24">
        <v>242.2</v>
      </c>
      <c r="K24">
        <v>57.72</v>
      </c>
      <c r="L24">
        <v>6.5</v>
      </c>
      <c r="M24">
        <v>11</v>
      </c>
      <c r="N24">
        <v>57.98</v>
      </c>
      <c r="O24">
        <v>30106.03</v>
      </c>
      <c r="P24">
        <v>106.16</v>
      </c>
      <c r="Q24">
        <v>204.16</v>
      </c>
      <c r="R24">
        <v>29.29</v>
      </c>
      <c r="S24">
        <v>17.37</v>
      </c>
      <c r="T24">
        <v>3823.89</v>
      </c>
      <c r="U24">
        <v>0.59</v>
      </c>
      <c r="V24">
        <v>0.74</v>
      </c>
      <c r="W24">
        <v>1.1599999999999999</v>
      </c>
      <c r="X24">
        <v>0.24</v>
      </c>
      <c r="Y24">
        <v>1</v>
      </c>
      <c r="Z24">
        <v>10</v>
      </c>
    </row>
    <row r="25" spans="1:26" x14ac:dyDescent="0.3">
      <c r="A25">
        <v>23</v>
      </c>
      <c r="B25">
        <v>120</v>
      </c>
      <c r="C25" t="s">
        <v>26</v>
      </c>
      <c r="D25">
        <v>9.7661999999999995</v>
      </c>
      <c r="E25">
        <v>10.24</v>
      </c>
      <c r="F25">
        <v>6.94</v>
      </c>
      <c r="G25">
        <v>32.020000000000003</v>
      </c>
      <c r="H25">
        <v>0.49</v>
      </c>
      <c r="I25">
        <v>13</v>
      </c>
      <c r="J25">
        <v>242.64</v>
      </c>
      <c r="K25">
        <v>57.72</v>
      </c>
      <c r="L25">
        <v>6.75</v>
      </c>
      <c r="M25">
        <v>11</v>
      </c>
      <c r="N25">
        <v>58.17</v>
      </c>
      <c r="O25">
        <v>30160.2</v>
      </c>
      <c r="P25">
        <v>106.23</v>
      </c>
      <c r="Q25">
        <v>204.16</v>
      </c>
      <c r="R25">
        <v>29.39</v>
      </c>
      <c r="S25">
        <v>17.37</v>
      </c>
      <c r="T25">
        <v>3872.8</v>
      </c>
      <c r="U25">
        <v>0.59</v>
      </c>
      <c r="V25">
        <v>0.74</v>
      </c>
      <c r="W25">
        <v>1.1599999999999999</v>
      </c>
      <c r="X25">
        <v>0.25</v>
      </c>
      <c r="Y25">
        <v>1</v>
      </c>
      <c r="Z25">
        <v>10</v>
      </c>
    </row>
    <row r="26" spans="1:26" x14ac:dyDescent="0.3">
      <c r="A26">
        <v>24</v>
      </c>
      <c r="B26">
        <v>120</v>
      </c>
      <c r="C26" t="s">
        <v>26</v>
      </c>
      <c r="D26">
        <v>9.8303999999999991</v>
      </c>
      <c r="E26">
        <v>10.17</v>
      </c>
      <c r="F26">
        <v>6.92</v>
      </c>
      <c r="G26">
        <v>34.58</v>
      </c>
      <c r="H26">
        <v>0.51</v>
      </c>
      <c r="I26">
        <v>12</v>
      </c>
      <c r="J26">
        <v>243.08</v>
      </c>
      <c r="K26">
        <v>57.72</v>
      </c>
      <c r="L26">
        <v>7</v>
      </c>
      <c r="M26">
        <v>10</v>
      </c>
      <c r="N26">
        <v>58.36</v>
      </c>
      <c r="O26">
        <v>30214.44</v>
      </c>
      <c r="P26">
        <v>105.8</v>
      </c>
      <c r="Q26">
        <v>204.14</v>
      </c>
      <c r="R26">
        <v>28.93</v>
      </c>
      <c r="S26">
        <v>17.37</v>
      </c>
      <c r="T26">
        <v>3648.61</v>
      </c>
      <c r="U26">
        <v>0.6</v>
      </c>
      <c r="V26">
        <v>0.74</v>
      </c>
      <c r="W26">
        <v>1.1499999999999999</v>
      </c>
      <c r="X26">
        <v>0.23</v>
      </c>
      <c r="Y26">
        <v>1</v>
      </c>
      <c r="Z26">
        <v>10</v>
      </c>
    </row>
    <row r="27" spans="1:26" x14ac:dyDescent="0.3">
      <c r="A27">
        <v>25</v>
      </c>
      <c r="B27">
        <v>120</v>
      </c>
      <c r="C27" t="s">
        <v>26</v>
      </c>
      <c r="D27">
        <v>9.8303999999999991</v>
      </c>
      <c r="E27">
        <v>10.17</v>
      </c>
      <c r="F27">
        <v>6.92</v>
      </c>
      <c r="G27">
        <v>34.58</v>
      </c>
      <c r="H27">
        <v>0.53</v>
      </c>
      <c r="I27">
        <v>12</v>
      </c>
      <c r="J27">
        <v>243.52</v>
      </c>
      <c r="K27">
        <v>57.72</v>
      </c>
      <c r="L27">
        <v>7.25</v>
      </c>
      <c r="M27">
        <v>10</v>
      </c>
      <c r="N27">
        <v>58.55</v>
      </c>
      <c r="O27">
        <v>30268.74</v>
      </c>
      <c r="P27">
        <v>105.75</v>
      </c>
      <c r="Q27">
        <v>204.15</v>
      </c>
      <c r="R27">
        <v>28.86</v>
      </c>
      <c r="S27">
        <v>17.37</v>
      </c>
      <c r="T27">
        <v>3611.27</v>
      </c>
      <c r="U27">
        <v>0.6</v>
      </c>
      <c r="V27">
        <v>0.74</v>
      </c>
      <c r="W27">
        <v>1.1599999999999999</v>
      </c>
      <c r="X27">
        <v>0.23</v>
      </c>
      <c r="Y27">
        <v>1</v>
      </c>
      <c r="Z27">
        <v>10</v>
      </c>
    </row>
    <row r="28" spans="1:26" x14ac:dyDescent="0.3">
      <c r="A28">
        <v>26</v>
      </c>
      <c r="B28">
        <v>120</v>
      </c>
      <c r="C28" t="s">
        <v>26</v>
      </c>
      <c r="D28">
        <v>9.9067000000000007</v>
      </c>
      <c r="E28">
        <v>10.09</v>
      </c>
      <c r="F28">
        <v>6.88</v>
      </c>
      <c r="G28">
        <v>37.549999999999997</v>
      </c>
      <c r="H28">
        <v>0.55000000000000004</v>
      </c>
      <c r="I28">
        <v>11</v>
      </c>
      <c r="J28">
        <v>243.96</v>
      </c>
      <c r="K28">
        <v>57.72</v>
      </c>
      <c r="L28">
        <v>7.5</v>
      </c>
      <c r="M28">
        <v>9</v>
      </c>
      <c r="N28">
        <v>58.74</v>
      </c>
      <c r="O28">
        <v>30323.11</v>
      </c>
      <c r="P28">
        <v>104.89</v>
      </c>
      <c r="Q28">
        <v>204.15</v>
      </c>
      <c r="R28">
        <v>27.78</v>
      </c>
      <c r="S28">
        <v>17.37</v>
      </c>
      <c r="T28">
        <v>3079.73</v>
      </c>
      <c r="U28">
        <v>0.63</v>
      </c>
      <c r="V28">
        <v>0.74</v>
      </c>
      <c r="W28">
        <v>1.1499999999999999</v>
      </c>
      <c r="X28">
        <v>0.19</v>
      </c>
      <c r="Y28">
        <v>1</v>
      </c>
      <c r="Z28">
        <v>10</v>
      </c>
    </row>
    <row r="29" spans="1:26" x14ac:dyDescent="0.3">
      <c r="A29">
        <v>27</v>
      </c>
      <c r="B29">
        <v>120</v>
      </c>
      <c r="C29" t="s">
        <v>26</v>
      </c>
      <c r="D29">
        <v>9.8999000000000006</v>
      </c>
      <c r="E29">
        <v>10.1</v>
      </c>
      <c r="F29">
        <v>6.89</v>
      </c>
      <c r="G29">
        <v>37.590000000000003</v>
      </c>
      <c r="H29">
        <v>0.56000000000000005</v>
      </c>
      <c r="I29">
        <v>11</v>
      </c>
      <c r="J29">
        <v>244.41</v>
      </c>
      <c r="K29">
        <v>57.72</v>
      </c>
      <c r="L29">
        <v>7.75</v>
      </c>
      <c r="M29">
        <v>9</v>
      </c>
      <c r="N29">
        <v>58.93</v>
      </c>
      <c r="O29">
        <v>30377.55</v>
      </c>
      <c r="P29">
        <v>105</v>
      </c>
      <c r="Q29">
        <v>204.14</v>
      </c>
      <c r="R29">
        <v>27.93</v>
      </c>
      <c r="S29">
        <v>17.37</v>
      </c>
      <c r="T29">
        <v>3152.67</v>
      </c>
      <c r="U29">
        <v>0.62</v>
      </c>
      <c r="V29">
        <v>0.74</v>
      </c>
      <c r="W29">
        <v>1.1599999999999999</v>
      </c>
      <c r="X29">
        <v>0.2</v>
      </c>
      <c r="Y29">
        <v>1</v>
      </c>
      <c r="Z29">
        <v>10</v>
      </c>
    </row>
    <row r="30" spans="1:26" x14ac:dyDescent="0.3">
      <c r="A30">
        <v>28</v>
      </c>
      <c r="B30">
        <v>120</v>
      </c>
      <c r="C30" t="s">
        <v>26</v>
      </c>
      <c r="D30">
        <v>9.9033999999999995</v>
      </c>
      <c r="E30">
        <v>10.1</v>
      </c>
      <c r="F30">
        <v>6.89</v>
      </c>
      <c r="G30">
        <v>37.57</v>
      </c>
      <c r="H30">
        <v>0.57999999999999996</v>
      </c>
      <c r="I30">
        <v>11</v>
      </c>
      <c r="J30">
        <v>244.85</v>
      </c>
      <c r="K30">
        <v>57.72</v>
      </c>
      <c r="L30">
        <v>8</v>
      </c>
      <c r="M30">
        <v>9</v>
      </c>
      <c r="N30">
        <v>59.12</v>
      </c>
      <c r="O30">
        <v>30432.06</v>
      </c>
      <c r="P30">
        <v>104.91</v>
      </c>
      <c r="Q30">
        <v>204.14</v>
      </c>
      <c r="R30">
        <v>28.03</v>
      </c>
      <c r="S30">
        <v>17.37</v>
      </c>
      <c r="T30">
        <v>3201.47</v>
      </c>
      <c r="U30">
        <v>0.62</v>
      </c>
      <c r="V30">
        <v>0.74</v>
      </c>
      <c r="W30">
        <v>1.1499999999999999</v>
      </c>
      <c r="X30">
        <v>0.2</v>
      </c>
      <c r="Y30">
        <v>1</v>
      </c>
      <c r="Z30">
        <v>10</v>
      </c>
    </row>
    <row r="31" spans="1:26" x14ac:dyDescent="0.3">
      <c r="A31">
        <v>29</v>
      </c>
      <c r="B31">
        <v>120</v>
      </c>
      <c r="C31" t="s">
        <v>26</v>
      </c>
      <c r="D31">
        <v>9.9029000000000007</v>
      </c>
      <c r="E31">
        <v>10.1</v>
      </c>
      <c r="F31">
        <v>6.89</v>
      </c>
      <c r="G31">
        <v>37.57</v>
      </c>
      <c r="H31">
        <v>0.6</v>
      </c>
      <c r="I31">
        <v>11</v>
      </c>
      <c r="J31">
        <v>245.29</v>
      </c>
      <c r="K31">
        <v>57.72</v>
      </c>
      <c r="L31">
        <v>8.25</v>
      </c>
      <c r="M31">
        <v>9</v>
      </c>
      <c r="N31">
        <v>59.32</v>
      </c>
      <c r="O31">
        <v>30486.639999999999</v>
      </c>
      <c r="P31">
        <v>104.66</v>
      </c>
      <c r="Q31">
        <v>204.17</v>
      </c>
      <c r="R31">
        <v>27.91</v>
      </c>
      <c r="S31">
        <v>17.37</v>
      </c>
      <c r="T31">
        <v>3140.05</v>
      </c>
      <c r="U31">
        <v>0.62</v>
      </c>
      <c r="V31">
        <v>0.74</v>
      </c>
      <c r="W31">
        <v>1.1599999999999999</v>
      </c>
      <c r="X31">
        <v>0.2</v>
      </c>
      <c r="Y31">
        <v>1</v>
      </c>
      <c r="Z31">
        <v>10</v>
      </c>
    </row>
    <row r="32" spans="1:26" x14ac:dyDescent="0.3">
      <c r="A32">
        <v>30</v>
      </c>
      <c r="B32">
        <v>120</v>
      </c>
      <c r="C32" t="s">
        <v>26</v>
      </c>
      <c r="D32">
        <v>9.9703999999999997</v>
      </c>
      <c r="E32">
        <v>10.029999999999999</v>
      </c>
      <c r="F32">
        <v>6.87</v>
      </c>
      <c r="G32">
        <v>41.19</v>
      </c>
      <c r="H32">
        <v>0.62</v>
      </c>
      <c r="I32">
        <v>10</v>
      </c>
      <c r="J32">
        <v>245.73</v>
      </c>
      <c r="K32">
        <v>57.72</v>
      </c>
      <c r="L32">
        <v>8.5</v>
      </c>
      <c r="M32">
        <v>8</v>
      </c>
      <c r="N32">
        <v>59.51</v>
      </c>
      <c r="O32">
        <v>30541.29</v>
      </c>
      <c r="P32">
        <v>104.17</v>
      </c>
      <c r="Q32">
        <v>204.16</v>
      </c>
      <c r="R32">
        <v>27.29</v>
      </c>
      <c r="S32">
        <v>17.37</v>
      </c>
      <c r="T32">
        <v>2835.28</v>
      </c>
      <c r="U32">
        <v>0.64</v>
      </c>
      <c r="V32">
        <v>0.74</v>
      </c>
      <c r="W32">
        <v>1.1499999999999999</v>
      </c>
      <c r="X32">
        <v>0.17</v>
      </c>
      <c r="Y32">
        <v>1</v>
      </c>
      <c r="Z32">
        <v>10</v>
      </c>
    </row>
    <row r="33" spans="1:26" x14ac:dyDescent="0.3">
      <c r="A33">
        <v>31</v>
      </c>
      <c r="B33">
        <v>120</v>
      </c>
      <c r="C33" t="s">
        <v>26</v>
      </c>
      <c r="D33">
        <v>9.9687000000000001</v>
      </c>
      <c r="E33">
        <v>10.029999999999999</v>
      </c>
      <c r="F33">
        <v>6.87</v>
      </c>
      <c r="G33">
        <v>41.2</v>
      </c>
      <c r="H33">
        <v>0.63</v>
      </c>
      <c r="I33">
        <v>10</v>
      </c>
      <c r="J33">
        <v>246.18</v>
      </c>
      <c r="K33">
        <v>57.72</v>
      </c>
      <c r="L33">
        <v>8.75</v>
      </c>
      <c r="M33">
        <v>8</v>
      </c>
      <c r="N33">
        <v>59.7</v>
      </c>
      <c r="O33">
        <v>30596.01</v>
      </c>
      <c r="P33">
        <v>104.21</v>
      </c>
      <c r="Q33">
        <v>204.14</v>
      </c>
      <c r="R33">
        <v>27.21</v>
      </c>
      <c r="S33">
        <v>17.37</v>
      </c>
      <c r="T33">
        <v>2795.29</v>
      </c>
      <c r="U33">
        <v>0.64</v>
      </c>
      <c r="V33">
        <v>0.74</v>
      </c>
      <c r="W33">
        <v>1.1499999999999999</v>
      </c>
      <c r="X33">
        <v>0.18</v>
      </c>
      <c r="Y33">
        <v>1</v>
      </c>
      <c r="Z33">
        <v>10</v>
      </c>
    </row>
    <row r="34" spans="1:26" x14ac:dyDescent="0.3">
      <c r="A34">
        <v>32</v>
      </c>
      <c r="B34">
        <v>120</v>
      </c>
      <c r="C34" t="s">
        <v>26</v>
      </c>
      <c r="D34">
        <v>9.9784000000000006</v>
      </c>
      <c r="E34">
        <v>10.02</v>
      </c>
      <c r="F34">
        <v>6.86</v>
      </c>
      <c r="G34">
        <v>41.14</v>
      </c>
      <c r="H34">
        <v>0.65</v>
      </c>
      <c r="I34">
        <v>10</v>
      </c>
      <c r="J34">
        <v>246.62</v>
      </c>
      <c r="K34">
        <v>57.72</v>
      </c>
      <c r="L34">
        <v>9</v>
      </c>
      <c r="M34">
        <v>8</v>
      </c>
      <c r="N34">
        <v>59.9</v>
      </c>
      <c r="O34">
        <v>30650.799999999999</v>
      </c>
      <c r="P34">
        <v>104.1</v>
      </c>
      <c r="Q34">
        <v>204.14</v>
      </c>
      <c r="R34">
        <v>27.02</v>
      </c>
      <c r="S34">
        <v>17.37</v>
      </c>
      <c r="T34">
        <v>2701.04</v>
      </c>
      <c r="U34">
        <v>0.64</v>
      </c>
      <c r="V34">
        <v>0.74</v>
      </c>
      <c r="W34">
        <v>1.1499999999999999</v>
      </c>
      <c r="X34">
        <v>0.17</v>
      </c>
      <c r="Y34">
        <v>1</v>
      </c>
      <c r="Z34">
        <v>10</v>
      </c>
    </row>
    <row r="35" spans="1:26" x14ac:dyDescent="0.3">
      <c r="A35">
        <v>33</v>
      </c>
      <c r="B35">
        <v>120</v>
      </c>
      <c r="C35" t="s">
        <v>26</v>
      </c>
      <c r="D35">
        <v>10.0382</v>
      </c>
      <c r="E35">
        <v>9.9600000000000009</v>
      </c>
      <c r="F35">
        <v>6.84</v>
      </c>
      <c r="G35">
        <v>45.62</v>
      </c>
      <c r="H35">
        <v>0.67</v>
      </c>
      <c r="I35">
        <v>9</v>
      </c>
      <c r="J35">
        <v>247.07</v>
      </c>
      <c r="K35">
        <v>57.72</v>
      </c>
      <c r="L35">
        <v>9.25</v>
      </c>
      <c r="M35">
        <v>7</v>
      </c>
      <c r="N35">
        <v>60.09</v>
      </c>
      <c r="O35">
        <v>30705.66</v>
      </c>
      <c r="P35">
        <v>103.44</v>
      </c>
      <c r="Q35">
        <v>204.17</v>
      </c>
      <c r="R35">
        <v>26.56</v>
      </c>
      <c r="S35">
        <v>17.37</v>
      </c>
      <c r="T35">
        <v>2476.75</v>
      </c>
      <c r="U35">
        <v>0.65</v>
      </c>
      <c r="V35">
        <v>0.75</v>
      </c>
      <c r="W35">
        <v>1.1499999999999999</v>
      </c>
      <c r="X35">
        <v>0.15</v>
      </c>
      <c r="Y35">
        <v>1</v>
      </c>
      <c r="Z35">
        <v>10</v>
      </c>
    </row>
    <row r="36" spans="1:26" x14ac:dyDescent="0.3">
      <c r="A36">
        <v>34</v>
      </c>
      <c r="B36">
        <v>120</v>
      </c>
      <c r="C36" t="s">
        <v>26</v>
      </c>
      <c r="D36">
        <v>10.0237</v>
      </c>
      <c r="E36">
        <v>9.98</v>
      </c>
      <c r="F36">
        <v>6.86</v>
      </c>
      <c r="G36">
        <v>45.72</v>
      </c>
      <c r="H36">
        <v>0.68</v>
      </c>
      <c r="I36">
        <v>9</v>
      </c>
      <c r="J36">
        <v>247.51</v>
      </c>
      <c r="K36">
        <v>57.72</v>
      </c>
      <c r="L36">
        <v>9.5</v>
      </c>
      <c r="M36">
        <v>7</v>
      </c>
      <c r="N36">
        <v>60.29</v>
      </c>
      <c r="O36">
        <v>30760.6</v>
      </c>
      <c r="P36">
        <v>103.89</v>
      </c>
      <c r="Q36">
        <v>204.14</v>
      </c>
      <c r="R36">
        <v>27.02</v>
      </c>
      <c r="S36">
        <v>17.37</v>
      </c>
      <c r="T36">
        <v>2708.09</v>
      </c>
      <c r="U36">
        <v>0.64</v>
      </c>
      <c r="V36">
        <v>0.74</v>
      </c>
      <c r="W36">
        <v>1.1499999999999999</v>
      </c>
      <c r="X36">
        <v>0.17</v>
      </c>
      <c r="Y36">
        <v>1</v>
      </c>
      <c r="Z36">
        <v>10</v>
      </c>
    </row>
    <row r="37" spans="1:26" x14ac:dyDescent="0.3">
      <c r="A37">
        <v>35</v>
      </c>
      <c r="B37">
        <v>120</v>
      </c>
      <c r="C37" t="s">
        <v>26</v>
      </c>
      <c r="D37">
        <v>10.026999999999999</v>
      </c>
      <c r="E37">
        <v>9.9700000000000006</v>
      </c>
      <c r="F37">
        <v>6.85</v>
      </c>
      <c r="G37">
        <v>45.69</v>
      </c>
      <c r="H37">
        <v>0.7</v>
      </c>
      <c r="I37">
        <v>9</v>
      </c>
      <c r="J37">
        <v>247.96</v>
      </c>
      <c r="K37">
        <v>57.72</v>
      </c>
      <c r="L37">
        <v>9.75</v>
      </c>
      <c r="M37">
        <v>7</v>
      </c>
      <c r="N37">
        <v>60.48</v>
      </c>
      <c r="O37">
        <v>30815.599999999999</v>
      </c>
      <c r="P37">
        <v>103.95</v>
      </c>
      <c r="Q37">
        <v>204.18</v>
      </c>
      <c r="R37">
        <v>26.9</v>
      </c>
      <c r="S37">
        <v>17.37</v>
      </c>
      <c r="T37">
        <v>2647.48</v>
      </c>
      <c r="U37">
        <v>0.65</v>
      </c>
      <c r="V37">
        <v>0.75</v>
      </c>
      <c r="W37">
        <v>1.1499999999999999</v>
      </c>
      <c r="X37">
        <v>0.16</v>
      </c>
      <c r="Y37">
        <v>1</v>
      </c>
      <c r="Z37">
        <v>10</v>
      </c>
    </row>
    <row r="38" spans="1:26" x14ac:dyDescent="0.3">
      <c r="A38">
        <v>36</v>
      </c>
      <c r="B38">
        <v>120</v>
      </c>
      <c r="C38" t="s">
        <v>26</v>
      </c>
      <c r="D38">
        <v>10.023400000000001</v>
      </c>
      <c r="E38">
        <v>9.98</v>
      </c>
      <c r="F38">
        <v>6.86</v>
      </c>
      <c r="G38">
        <v>45.72</v>
      </c>
      <c r="H38">
        <v>0.72</v>
      </c>
      <c r="I38">
        <v>9</v>
      </c>
      <c r="J38">
        <v>248.4</v>
      </c>
      <c r="K38">
        <v>57.72</v>
      </c>
      <c r="L38">
        <v>10</v>
      </c>
      <c r="M38">
        <v>7</v>
      </c>
      <c r="N38">
        <v>60.68</v>
      </c>
      <c r="O38">
        <v>30870.67</v>
      </c>
      <c r="P38">
        <v>103.76</v>
      </c>
      <c r="Q38">
        <v>204.15</v>
      </c>
      <c r="R38">
        <v>27</v>
      </c>
      <c r="S38">
        <v>17.37</v>
      </c>
      <c r="T38">
        <v>2696.04</v>
      </c>
      <c r="U38">
        <v>0.64</v>
      </c>
      <c r="V38">
        <v>0.74</v>
      </c>
      <c r="W38">
        <v>1.1499999999999999</v>
      </c>
      <c r="X38">
        <v>0.17</v>
      </c>
      <c r="Y38">
        <v>1</v>
      </c>
      <c r="Z38">
        <v>10</v>
      </c>
    </row>
    <row r="39" spans="1:26" x14ac:dyDescent="0.3">
      <c r="A39">
        <v>37</v>
      </c>
      <c r="B39">
        <v>120</v>
      </c>
      <c r="C39" t="s">
        <v>26</v>
      </c>
      <c r="D39">
        <v>10.0214</v>
      </c>
      <c r="E39">
        <v>9.98</v>
      </c>
      <c r="F39">
        <v>6.86</v>
      </c>
      <c r="G39">
        <v>45.73</v>
      </c>
      <c r="H39">
        <v>0.73</v>
      </c>
      <c r="I39">
        <v>9</v>
      </c>
      <c r="J39">
        <v>248.85</v>
      </c>
      <c r="K39">
        <v>57.72</v>
      </c>
      <c r="L39">
        <v>10.25</v>
      </c>
      <c r="M39">
        <v>7</v>
      </c>
      <c r="N39">
        <v>60.88</v>
      </c>
      <c r="O39">
        <v>30925.82</v>
      </c>
      <c r="P39">
        <v>103.62</v>
      </c>
      <c r="Q39">
        <v>204.14</v>
      </c>
      <c r="R39">
        <v>27.15</v>
      </c>
      <c r="S39">
        <v>17.37</v>
      </c>
      <c r="T39">
        <v>2774.12</v>
      </c>
      <c r="U39">
        <v>0.64</v>
      </c>
      <c r="V39">
        <v>0.74</v>
      </c>
      <c r="W39">
        <v>1.1499999999999999</v>
      </c>
      <c r="X39">
        <v>0.17</v>
      </c>
      <c r="Y39">
        <v>1</v>
      </c>
      <c r="Z39">
        <v>10</v>
      </c>
    </row>
    <row r="40" spans="1:26" x14ac:dyDescent="0.3">
      <c r="A40">
        <v>38</v>
      </c>
      <c r="B40">
        <v>120</v>
      </c>
      <c r="C40" t="s">
        <v>26</v>
      </c>
      <c r="D40">
        <v>10.028700000000001</v>
      </c>
      <c r="E40">
        <v>9.9700000000000006</v>
      </c>
      <c r="F40">
        <v>6.85</v>
      </c>
      <c r="G40">
        <v>45.68</v>
      </c>
      <c r="H40">
        <v>0.75</v>
      </c>
      <c r="I40">
        <v>9</v>
      </c>
      <c r="J40">
        <v>249.3</v>
      </c>
      <c r="K40">
        <v>57.72</v>
      </c>
      <c r="L40">
        <v>10.5</v>
      </c>
      <c r="M40">
        <v>7</v>
      </c>
      <c r="N40">
        <v>61.07</v>
      </c>
      <c r="O40">
        <v>30981.040000000001</v>
      </c>
      <c r="P40">
        <v>103.23</v>
      </c>
      <c r="Q40">
        <v>204.14</v>
      </c>
      <c r="R40">
        <v>26.83</v>
      </c>
      <c r="S40">
        <v>17.37</v>
      </c>
      <c r="T40">
        <v>2613.2399999999998</v>
      </c>
      <c r="U40">
        <v>0.65</v>
      </c>
      <c r="V40">
        <v>0.75</v>
      </c>
      <c r="W40">
        <v>1.1499999999999999</v>
      </c>
      <c r="X40">
        <v>0.16</v>
      </c>
      <c r="Y40">
        <v>1</v>
      </c>
      <c r="Z40">
        <v>10</v>
      </c>
    </row>
    <row r="41" spans="1:26" x14ac:dyDescent="0.3">
      <c r="A41">
        <v>39</v>
      </c>
      <c r="B41">
        <v>120</v>
      </c>
      <c r="C41" t="s">
        <v>26</v>
      </c>
      <c r="D41">
        <v>10.106400000000001</v>
      </c>
      <c r="E41">
        <v>9.89</v>
      </c>
      <c r="F41">
        <v>6.82</v>
      </c>
      <c r="G41">
        <v>51.16</v>
      </c>
      <c r="H41">
        <v>0.77</v>
      </c>
      <c r="I41">
        <v>8</v>
      </c>
      <c r="J41">
        <v>249.75</v>
      </c>
      <c r="K41">
        <v>57.72</v>
      </c>
      <c r="L41">
        <v>10.75</v>
      </c>
      <c r="M41">
        <v>6</v>
      </c>
      <c r="N41">
        <v>61.27</v>
      </c>
      <c r="O41">
        <v>31036.33</v>
      </c>
      <c r="P41">
        <v>102.82</v>
      </c>
      <c r="Q41">
        <v>204.19</v>
      </c>
      <c r="R41">
        <v>25.87</v>
      </c>
      <c r="S41">
        <v>17.37</v>
      </c>
      <c r="T41">
        <v>2137.0700000000002</v>
      </c>
      <c r="U41">
        <v>0.67</v>
      </c>
      <c r="V41">
        <v>0.75</v>
      </c>
      <c r="W41">
        <v>1.1499999999999999</v>
      </c>
      <c r="X41">
        <v>0.13</v>
      </c>
      <c r="Y41">
        <v>1</v>
      </c>
      <c r="Z41">
        <v>10</v>
      </c>
    </row>
    <row r="42" spans="1:26" x14ac:dyDescent="0.3">
      <c r="A42">
        <v>40</v>
      </c>
      <c r="B42">
        <v>120</v>
      </c>
      <c r="C42" t="s">
        <v>26</v>
      </c>
      <c r="D42">
        <v>10.109500000000001</v>
      </c>
      <c r="E42">
        <v>9.89</v>
      </c>
      <c r="F42">
        <v>6.82</v>
      </c>
      <c r="G42">
        <v>51.14</v>
      </c>
      <c r="H42">
        <v>0.78</v>
      </c>
      <c r="I42">
        <v>8</v>
      </c>
      <c r="J42">
        <v>250.2</v>
      </c>
      <c r="K42">
        <v>57.72</v>
      </c>
      <c r="L42">
        <v>11</v>
      </c>
      <c r="M42">
        <v>6</v>
      </c>
      <c r="N42">
        <v>61.47</v>
      </c>
      <c r="O42">
        <v>31091.69</v>
      </c>
      <c r="P42">
        <v>102.53</v>
      </c>
      <c r="Q42">
        <v>204.14</v>
      </c>
      <c r="R42">
        <v>25.85</v>
      </c>
      <c r="S42">
        <v>17.37</v>
      </c>
      <c r="T42">
        <v>2126.9</v>
      </c>
      <c r="U42">
        <v>0.67</v>
      </c>
      <c r="V42">
        <v>0.75</v>
      </c>
      <c r="W42">
        <v>1.1499999999999999</v>
      </c>
      <c r="X42">
        <v>0.13</v>
      </c>
      <c r="Y42">
        <v>1</v>
      </c>
      <c r="Z42">
        <v>10</v>
      </c>
    </row>
    <row r="43" spans="1:26" x14ac:dyDescent="0.3">
      <c r="A43">
        <v>41</v>
      </c>
      <c r="B43">
        <v>120</v>
      </c>
      <c r="C43" t="s">
        <v>26</v>
      </c>
      <c r="D43">
        <v>10.093400000000001</v>
      </c>
      <c r="E43">
        <v>9.91</v>
      </c>
      <c r="F43">
        <v>6.83</v>
      </c>
      <c r="G43">
        <v>51.26</v>
      </c>
      <c r="H43">
        <v>0.8</v>
      </c>
      <c r="I43">
        <v>8</v>
      </c>
      <c r="J43">
        <v>250.65</v>
      </c>
      <c r="K43">
        <v>57.72</v>
      </c>
      <c r="L43">
        <v>11.25</v>
      </c>
      <c r="M43">
        <v>6</v>
      </c>
      <c r="N43">
        <v>61.67</v>
      </c>
      <c r="O43">
        <v>31147.119999999999</v>
      </c>
      <c r="P43">
        <v>102.66</v>
      </c>
      <c r="Q43">
        <v>204.14</v>
      </c>
      <c r="R43">
        <v>26.23</v>
      </c>
      <c r="S43">
        <v>17.37</v>
      </c>
      <c r="T43">
        <v>2318.4499999999998</v>
      </c>
      <c r="U43">
        <v>0.66</v>
      </c>
      <c r="V43">
        <v>0.75</v>
      </c>
      <c r="W43">
        <v>1.1499999999999999</v>
      </c>
      <c r="X43">
        <v>0.14000000000000001</v>
      </c>
      <c r="Y43">
        <v>1</v>
      </c>
      <c r="Z43">
        <v>10</v>
      </c>
    </row>
    <row r="44" spans="1:26" x14ac:dyDescent="0.3">
      <c r="A44">
        <v>42</v>
      </c>
      <c r="B44">
        <v>120</v>
      </c>
      <c r="C44" t="s">
        <v>26</v>
      </c>
      <c r="D44">
        <v>10.0953</v>
      </c>
      <c r="E44">
        <v>9.91</v>
      </c>
      <c r="F44">
        <v>6.83</v>
      </c>
      <c r="G44">
        <v>51.24</v>
      </c>
      <c r="H44">
        <v>0.81</v>
      </c>
      <c r="I44">
        <v>8</v>
      </c>
      <c r="J44">
        <v>251.1</v>
      </c>
      <c r="K44">
        <v>57.72</v>
      </c>
      <c r="L44">
        <v>11.5</v>
      </c>
      <c r="M44">
        <v>6</v>
      </c>
      <c r="N44">
        <v>61.87</v>
      </c>
      <c r="O44">
        <v>31202.63</v>
      </c>
      <c r="P44">
        <v>102.49</v>
      </c>
      <c r="Q44">
        <v>204.14</v>
      </c>
      <c r="R44">
        <v>26.16</v>
      </c>
      <c r="S44">
        <v>17.37</v>
      </c>
      <c r="T44">
        <v>2284.66</v>
      </c>
      <c r="U44">
        <v>0.66</v>
      </c>
      <c r="V44">
        <v>0.75</v>
      </c>
      <c r="W44">
        <v>1.1499999999999999</v>
      </c>
      <c r="X44">
        <v>0.14000000000000001</v>
      </c>
      <c r="Y44">
        <v>1</v>
      </c>
      <c r="Z44">
        <v>10</v>
      </c>
    </row>
    <row r="45" spans="1:26" x14ac:dyDescent="0.3">
      <c r="A45">
        <v>43</v>
      </c>
      <c r="B45">
        <v>120</v>
      </c>
      <c r="C45" t="s">
        <v>26</v>
      </c>
      <c r="D45">
        <v>10.103300000000001</v>
      </c>
      <c r="E45">
        <v>9.9</v>
      </c>
      <c r="F45">
        <v>6.82</v>
      </c>
      <c r="G45">
        <v>51.18</v>
      </c>
      <c r="H45">
        <v>0.83</v>
      </c>
      <c r="I45">
        <v>8</v>
      </c>
      <c r="J45">
        <v>251.55</v>
      </c>
      <c r="K45">
        <v>57.72</v>
      </c>
      <c r="L45">
        <v>11.75</v>
      </c>
      <c r="M45">
        <v>6</v>
      </c>
      <c r="N45">
        <v>62.07</v>
      </c>
      <c r="O45">
        <v>31258.21</v>
      </c>
      <c r="P45">
        <v>102.33</v>
      </c>
      <c r="Q45">
        <v>204.14</v>
      </c>
      <c r="R45">
        <v>25.99</v>
      </c>
      <c r="S45">
        <v>17.37</v>
      </c>
      <c r="T45">
        <v>2199.41</v>
      </c>
      <c r="U45">
        <v>0.67</v>
      </c>
      <c r="V45">
        <v>0.75</v>
      </c>
      <c r="W45">
        <v>1.1499999999999999</v>
      </c>
      <c r="X45">
        <v>0.13</v>
      </c>
      <c r="Y45">
        <v>1</v>
      </c>
      <c r="Z45">
        <v>10</v>
      </c>
    </row>
    <row r="46" spans="1:26" x14ac:dyDescent="0.3">
      <c r="A46">
        <v>44</v>
      </c>
      <c r="B46">
        <v>120</v>
      </c>
      <c r="C46" t="s">
        <v>26</v>
      </c>
      <c r="D46">
        <v>10.0982</v>
      </c>
      <c r="E46">
        <v>9.9</v>
      </c>
      <c r="F46">
        <v>6.83</v>
      </c>
      <c r="G46">
        <v>51.22</v>
      </c>
      <c r="H46">
        <v>0.85</v>
      </c>
      <c r="I46">
        <v>8</v>
      </c>
      <c r="J46">
        <v>252</v>
      </c>
      <c r="K46">
        <v>57.72</v>
      </c>
      <c r="L46">
        <v>12</v>
      </c>
      <c r="M46">
        <v>6</v>
      </c>
      <c r="N46">
        <v>62.27</v>
      </c>
      <c r="O46">
        <v>31313.87</v>
      </c>
      <c r="P46">
        <v>102.12</v>
      </c>
      <c r="Q46">
        <v>204.15</v>
      </c>
      <c r="R46">
        <v>26.08</v>
      </c>
      <c r="S46">
        <v>17.37</v>
      </c>
      <c r="T46">
        <v>2244.11</v>
      </c>
      <c r="U46">
        <v>0.67</v>
      </c>
      <c r="V46">
        <v>0.75</v>
      </c>
      <c r="W46">
        <v>1.1499999999999999</v>
      </c>
      <c r="X46">
        <v>0.14000000000000001</v>
      </c>
      <c r="Y46">
        <v>1</v>
      </c>
      <c r="Z46">
        <v>10</v>
      </c>
    </row>
    <row r="47" spans="1:26" x14ac:dyDescent="0.3">
      <c r="A47">
        <v>45</v>
      </c>
      <c r="B47">
        <v>120</v>
      </c>
      <c r="C47" t="s">
        <v>26</v>
      </c>
      <c r="D47">
        <v>10.1744</v>
      </c>
      <c r="E47">
        <v>9.83</v>
      </c>
      <c r="F47">
        <v>6.8</v>
      </c>
      <c r="G47">
        <v>58.29</v>
      </c>
      <c r="H47">
        <v>0.86</v>
      </c>
      <c r="I47">
        <v>7</v>
      </c>
      <c r="J47">
        <v>252.45</v>
      </c>
      <c r="K47">
        <v>57.72</v>
      </c>
      <c r="L47">
        <v>12.25</v>
      </c>
      <c r="M47">
        <v>5</v>
      </c>
      <c r="N47">
        <v>62.48</v>
      </c>
      <c r="O47">
        <v>31369.599999999999</v>
      </c>
      <c r="P47">
        <v>101.63</v>
      </c>
      <c r="Q47">
        <v>204.14</v>
      </c>
      <c r="R47">
        <v>25.25</v>
      </c>
      <c r="S47">
        <v>17.37</v>
      </c>
      <c r="T47">
        <v>1830.3</v>
      </c>
      <c r="U47">
        <v>0.69</v>
      </c>
      <c r="V47">
        <v>0.75</v>
      </c>
      <c r="W47">
        <v>1.1499999999999999</v>
      </c>
      <c r="X47">
        <v>0.11</v>
      </c>
      <c r="Y47">
        <v>1</v>
      </c>
      <c r="Z47">
        <v>10</v>
      </c>
    </row>
    <row r="48" spans="1:26" x14ac:dyDescent="0.3">
      <c r="A48">
        <v>46</v>
      </c>
      <c r="B48">
        <v>120</v>
      </c>
      <c r="C48" t="s">
        <v>26</v>
      </c>
      <c r="D48">
        <v>10.1675</v>
      </c>
      <c r="E48">
        <v>9.84</v>
      </c>
      <c r="F48">
        <v>6.81</v>
      </c>
      <c r="G48">
        <v>58.35</v>
      </c>
      <c r="H48">
        <v>0.88</v>
      </c>
      <c r="I48">
        <v>7</v>
      </c>
      <c r="J48">
        <v>252.9</v>
      </c>
      <c r="K48">
        <v>57.72</v>
      </c>
      <c r="L48">
        <v>12.5</v>
      </c>
      <c r="M48">
        <v>5</v>
      </c>
      <c r="N48">
        <v>62.68</v>
      </c>
      <c r="O48">
        <v>31425.4</v>
      </c>
      <c r="P48">
        <v>101.87</v>
      </c>
      <c r="Q48">
        <v>204.14</v>
      </c>
      <c r="R48">
        <v>25.38</v>
      </c>
      <c r="S48">
        <v>17.37</v>
      </c>
      <c r="T48">
        <v>1895.96</v>
      </c>
      <c r="U48">
        <v>0.68</v>
      </c>
      <c r="V48">
        <v>0.75</v>
      </c>
      <c r="W48">
        <v>1.1499999999999999</v>
      </c>
      <c r="X48">
        <v>0.12</v>
      </c>
      <c r="Y48">
        <v>1</v>
      </c>
      <c r="Z48">
        <v>10</v>
      </c>
    </row>
    <row r="49" spans="1:26" x14ac:dyDescent="0.3">
      <c r="A49">
        <v>47</v>
      </c>
      <c r="B49">
        <v>120</v>
      </c>
      <c r="C49" t="s">
        <v>26</v>
      </c>
      <c r="D49">
        <v>10.1701</v>
      </c>
      <c r="E49">
        <v>9.83</v>
      </c>
      <c r="F49">
        <v>6.8</v>
      </c>
      <c r="G49">
        <v>58.33</v>
      </c>
      <c r="H49">
        <v>0.9</v>
      </c>
      <c r="I49">
        <v>7</v>
      </c>
      <c r="J49">
        <v>253.35</v>
      </c>
      <c r="K49">
        <v>57.72</v>
      </c>
      <c r="L49">
        <v>12.75</v>
      </c>
      <c r="M49">
        <v>5</v>
      </c>
      <c r="N49">
        <v>62.88</v>
      </c>
      <c r="O49">
        <v>31481.279999999999</v>
      </c>
      <c r="P49">
        <v>102.01</v>
      </c>
      <c r="Q49">
        <v>204.14</v>
      </c>
      <c r="R49">
        <v>25.31</v>
      </c>
      <c r="S49">
        <v>17.37</v>
      </c>
      <c r="T49">
        <v>1860.08</v>
      </c>
      <c r="U49">
        <v>0.69</v>
      </c>
      <c r="V49">
        <v>0.75</v>
      </c>
      <c r="W49">
        <v>1.1499999999999999</v>
      </c>
      <c r="X49">
        <v>0.11</v>
      </c>
      <c r="Y49">
        <v>1</v>
      </c>
      <c r="Z49">
        <v>10</v>
      </c>
    </row>
    <row r="50" spans="1:26" x14ac:dyDescent="0.3">
      <c r="A50">
        <v>48</v>
      </c>
      <c r="B50">
        <v>120</v>
      </c>
      <c r="C50" t="s">
        <v>26</v>
      </c>
      <c r="D50">
        <v>10.160600000000001</v>
      </c>
      <c r="E50">
        <v>9.84</v>
      </c>
      <c r="F50">
        <v>6.81</v>
      </c>
      <c r="G50">
        <v>58.41</v>
      </c>
      <c r="H50">
        <v>0.91</v>
      </c>
      <c r="I50">
        <v>7</v>
      </c>
      <c r="J50">
        <v>253.81</v>
      </c>
      <c r="K50">
        <v>57.72</v>
      </c>
      <c r="L50">
        <v>13</v>
      </c>
      <c r="M50">
        <v>5</v>
      </c>
      <c r="N50">
        <v>63.08</v>
      </c>
      <c r="O50">
        <v>31537.23</v>
      </c>
      <c r="P50">
        <v>102.04</v>
      </c>
      <c r="Q50">
        <v>204.14</v>
      </c>
      <c r="R50">
        <v>25.69</v>
      </c>
      <c r="S50">
        <v>17.37</v>
      </c>
      <c r="T50">
        <v>2050.94</v>
      </c>
      <c r="U50">
        <v>0.68</v>
      </c>
      <c r="V50">
        <v>0.75</v>
      </c>
      <c r="W50">
        <v>1.1499999999999999</v>
      </c>
      <c r="X50">
        <v>0.12</v>
      </c>
      <c r="Y50">
        <v>1</v>
      </c>
      <c r="Z50">
        <v>10</v>
      </c>
    </row>
    <row r="51" spans="1:26" x14ac:dyDescent="0.3">
      <c r="A51">
        <v>49</v>
      </c>
      <c r="B51">
        <v>120</v>
      </c>
      <c r="C51" t="s">
        <v>26</v>
      </c>
      <c r="D51">
        <v>10.1652</v>
      </c>
      <c r="E51">
        <v>9.84</v>
      </c>
      <c r="F51">
        <v>6.81</v>
      </c>
      <c r="G51">
        <v>58.37</v>
      </c>
      <c r="H51">
        <v>0.93</v>
      </c>
      <c r="I51">
        <v>7</v>
      </c>
      <c r="J51">
        <v>254.26</v>
      </c>
      <c r="K51">
        <v>57.72</v>
      </c>
      <c r="L51">
        <v>13.25</v>
      </c>
      <c r="M51">
        <v>5</v>
      </c>
      <c r="N51">
        <v>63.29</v>
      </c>
      <c r="O51">
        <v>31593.26</v>
      </c>
      <c r="P51">
        <v>101.96</v>
      </c>
      <c r="Q51">
        <v>204.21</v>
      </c>
      <c r="R51">
        <v>25.55</v>
      </c>
      <c r="S51">
        <v>17.37</v>
      </c>
      <c r="T51">
        <v>1980.75</v>
      </c>
      <c r="U51">
        <v>0.68</v>
      </c>
      <c r="V51">
        <v>0.75</v>
      </c>
      <c r="W51">
        <v>1.1499999999999999</v>
      </c>
      <c r="X51">
        <v>0.12</v>
      </c>
      <c r="Y51">
        <v>1</v>
      </c>
      <c r="Z51">
        <v>10</v>
      </c>
    </row>
    <row r="52" spans="1:26" x14ac:dyDescent="0.3">
      <c r="A52">
        <v>50</v>
      </c>
      <c r="B52">
        <v>120</v>
      </c>
      <c r="C52" t="s">
        <v>26</v>
      </c>
      <c r="D52">
        <v>10.162599999999999</v>
      </c>
      <c r="E52">
        <v>9.84</v>
      </c>
      <c r="F52">
        <v>6.81</v>
      </c>
      <c r="G52">
        <v>58.39</v>
      </c>
      <c r="H52">
        <v>0.94</v>
      </c>
      <c r="I52">
        <v>7</v>
      </c>
      <c r="J52">
        <v>254.72</v>
      </c>
      <c r="K52">
        <v>57.72</v>
      </c>
      <c r="L52">
        <v>13.5</v>
      </c>
      <c r="M52">
        <v>5</v>
      </c>
      <c r="N52">
        <v>63.49</v>
      </c>
      <c r="O52">
        <v>31649.360000000001</v>
      </c>
      <c r="P52">
        <v>101.73</v>
      </c>
      <c r="Q52">
        <v>204.15</v>
      </c>
      <c r="R52">
        <v>25.59</v>
      </c>
      <c r="S52">
        <v>17.37</v>
      </c>
      <c r="T52">
        <v>2003.24</v>
      </c>
      <c r="U52">
        <v>0.68</v>
      </c>
      <c r="V52">
        <v>0.75</v>
      </c>
      <c r="W52">
        <v>1.1499999999999999</v>
      </c>
      <c r="X52">
        <v>0.12</v>
      </c>
      <c r="Y52">
        <v>1</v>
      </c>
      <c r="Z52">
        <v>10</v>
      </c>
    </row>
    <row r="53" spans="1:26" x14ac:dyDescent="0.3">
      <c r="A53">
        <v>51</v>
      </c>
      <c r="B53">
        <v>120</v>
      </c>
      <c r="C53" t="s">
        <v>26</v>
      </c>
      <c r="D53">
        <v>10.1577</v>
      </c>
      <c r="E53">
        <v>9.84</v>
      </c>
      <c r="F53">
        <v>6.82</v>
      </c>
      <c r="G53">
        <v>58.43</v>
      </c>
      <c r="H53">
        <v>0.96</v>
      </c>
      <c r="I53">
        <v>7</v>
      </c>
      <c r="J53">
        <v>255.17</v>
      </c>
      <c r="K53">
        <v>57.72</v>
      </c>
      <c r="L53">
        <v>13.75</v>
      </c>
      <c r="M53">
        <v>5</v>
      </c>
      <c r="N53">
        <v>63.7</v>
      </c>
      <c r="O53">
        <v>31705.54</v>
      </c>
      <c r="P53">
        <v>101.62</v>
      </c>
      <c r="Q53">
        <v>204.19</v>
      </c>
      <c r="R53">
        <v>25.73</v>
      </c>
      <c r="S53">
        <v>17.37</v>
      </c>
      <c r="T53">
        <v>2070</v>
      </c>
      <c r="U53">
        <v>0.68</v>
      </c>
      <c r="V53">
        <v>0.75</v>
      </c>
      <c r="W53">
        <v>1.1499999999999999</v>
      </c>
      <c r="X53">
        <v>0.13</v>
      </c>
      <c r="Y53">
        <v>1</v>
      </c>
      <c r="Z53">
        <v>10</v>
      </c>
    </row>
    <row r="54" spans="1:26" x14ac:dyDescent="0.3">
      <c r="A54">
        <v>52</v>
      </c>
      <c r="B54">
        <v>120</v>
      </c>
      <c r="C54" t="s">
        <v>26</v>
      </c>
      <c r="D54">
        <v>10.1569</v>
      </c>
      <c r="E54">
        <v>9.85</v>
      </c>
      <c r="F54">
        <v>6.82</v>
      </c>
      <c r="G54">
        <v>58.44</v>
      </c>
      <c r="H54">
        <v>0.97</v>
      </c>
      <c r="I54">
        <v>7</v>
      </c>
      <c r="J54">
        <v>255.63</v>
      </c>
      <c r="K54">
        <v>57.72</v>
      </c>
      <c r="L54">
        <v>14</v>
      </c>
      <c r="M54">
        <v>5</v>
      </c>
      <c r="N54">
        <v>63.91</v>
      </c>
      <c r="O54">
        <v>31761.8</v>
      </c>
      <c r="P54">
        <v>101.53</v>
      </c>
      <c r="Q54">
        <v>204.14</v>
      </c>
      <c r="R54">
        <v>25.81</v>
      </c>
      <c r="S54">
        <v>17.37</v>
      </c>
      <c r="T54">
        <v>2113.3000000000002</v>
      </c>
      <c r="U54">
        <v>0.67</v>
      </c>
      <c r="V54">
        <v>0.75</v>
      </c>
      <c r="W54">
        <v>1.1499999999999999</v>
      </c>
      <c r="X54">
        <v>0.13</v>
      </c>
      <c r="Y54">
        <v>1</v>
      </c>
      <c r="Z54">
        <v>10</v>
      </c>
    </row>
    <row r="55" spans="1:26" x14ac:dyDescent="0.3">
      <c r="A55">
        <v>53</v>
      </c>
      <c r="B55">
        <v>120</v>
      </c>
      <c r="C55" t="s">
        <v>26</v>
      </c>
      <c r="D55">
        <v>10.1663</v>
      </c>
      <c r="E55">
        <v>9.84</v>
      </c>
      <c r="F55">
        <v>6.81</v>
      </c>
      <c r="G55">
        <v>58.36</v>
      </c>
      <c r="H55">
        <v>0.99</v>
      </c>
      <c r="I55">
        <v>7</v>
      </c>
      <c r="J55">
        <v>256.08999999999997</v>
      </c>
      <c r="K55">
        <v>57.72</v>
      </c>
      <c r="L55">
        <v>14.25</v>
      </c>
      <c r="M55">
        <v>5</v>
      </c>
      <c r="N55">
        <v>64.11</v>
      </c>
      <c r="O55">
        <v>31818.13</v>
      </c>
      <c r="P55">
        <v>101.1</v>
      </c>
      <c r="Q55">
        <v>204.15</v>
      </c>
      <c r="R55">
        <v>25.52</v>
      </c>
      <c r="S55">
        <v>17.37</v>
      </c>
      <c r="T55">
        <v>1969.03</v>
      </c>
      <c r="U55">
        <v>0.68</v>
      </c>
      <c r="V55">
        <v>0.75</v>
      </c>
      <c r="W55">
        <v>1.1499999999999999</v>
      </c>
      <c r="X55">
        <v>0.12</v>
      </c>
      <c r="Y55">
        <v>1</v>
      </c>
      <c r="Z55">
        <v>10</v>
      </c>
    </row>
    <row r="56" spans="1:26" x14ac:dyDescent="0.3">
      <c r="A56">
        <v>54</v>
      </c>
      <c r="B56">
        <v>120</v>
      </c>
      <c r="C56" t="s">
        <v>26</v>
      </c>
      <c r="D56">
        <v>10.240399999999999</v>
      </c>
      <c r="E56">
        <v>9.77</v>
      </c>
      <c r="F56">
        <v>6.78</v>
      </c>
      <c r="G56">
        <v>67.83</v>
      </c>
      <c r="H56">
        <v>1.01</v>
      </c>
      <c r="I56">
        <v>6</v>
      </c>
      <c r="J56">
        <v>256.54000000000002</v>
      </c>
      <c r="K56">
        <v>57.72</v>
      </c>
      <c r="L56">
        <v>14.5</v>
      </c>
      <c r="M56">
        <v>4</v>
      </c>
      <c r="N56">
        <v>64.319999999999993</v>
      </c>
      <c r="O56">
        <v>31874.54</v>
      </c>
      <c r="P56">
        <v>100.48</v>
      </c>
      <c r="Q56">
        <v>204.15</v>
      </c>
      <c r="R56">
        <v>24.69</v>
      </c>
      <c r="S56">
        <v>17.37</v>
      </c>
      <c r="T56">
        <v>1555.6</v>
      </c>
      <c r="U56">
        <v>0.7</v>
      </c>
      <c r="V56">
        <v>0.75</v>
      </c>
      <c r="W56">
        <v>1.1499999999999999</v>
      </c>
      <c r="X56">
        <v>0.09</v>
      </c>
      <c r="Y56">
        <v>1</v>
      </c>
      <c r="Z56">
        <v>10</v>
      </c>
    </row>
    <row r="57" spans="1:26" x14ac:dyDescent="0.3">
      <c r="A57">
        <v>55</v>
      </c>
      <c r="B57">
        <v>120</v>
      </c>
      <c r="C57" t="s">
        <v>26</v>
      </c>
      <c r="D57">
        <v>10.238300000000001</v>
      </c>
      <c r="E57">
        <v>9.77</v>
      </c>
      <c r="F57">
        <v>6.79</v>
      </c>
      <c r="G57">
        <v>67.849999999999994</v>
      </c>
      <c r="H57">
        <v>1.02</v>
      </c>
      <c r="I57">
        <v>6</v>
      </c>
      <c r="J57">
        <v>257</v>
      </c>
      <c r="K57">
        <v>57.72</v>
      </c>
      <c r="L57">
        <v>14.75</v>
      </c>
      <c r="M57">
        <v>4</v>
      </c>
      <c r="N57">
        <v>64.53</v>
      </c>
      <c r="O57">
        <v>31931.15</v>
      </c>
      <c r="P57">
        <v>100.61</v>
      </c>
      <c r="Q57">
        <v>204.14</v>
      </c>
      <c r="R57">
        <v>24.74</v>
      </c>
      <c r="S57">
        <v>17.37</v>
      </c>
      <c r="T57">
        <v>1580.16</v>
      </c>
      <c r="U57">
        <v>0.7</v>
      </c>
      <c r="V57">
        <v>0.75</v>
      </c>
      <c r="W57">
        <v>1.1499999999999999</v>
      </c>
      <c r="X57">
        <v>0.09</v>
      </c>
      <c r="Y57">
        <v>1</v>
      </c>
      <c r="Z57">
        <v>10</v>
      </c>
    </row>
    <row r="58" spans="1:26" x14ac:dyDescent="0.3">
      <c r="A58">
        <v>56</v>
      </c>
      <c r="B58">
        <v>120</v>
      </c>
      <c r="C58" t="s">
        <v>26</v>
      </c>
      <c r="D58">
        <v>10.2363</v>
      </c>
      <c r="E58">
        <v>9.77</v>
      </c>
      <c r="F58">
        <v>6.79</v>
      </c>
      <c r="G58">
        <v>67.87</v>
      </c>
      <c r="H58">
        <v>1.04</v>
      </c>
      <c r="I58">
        <v>6</v>
      </c>
      <c r="J58">
        <v>257.45999999999998</v>
      </c>
      <c r="K58">
        <v>57.72</v>
      </c>
      <c r="L58">
        <v>15</v>
      </c>
      <c r="M58">
        <v>4</v>
      </c>
      <c r="N58">
        <v>64.739999999999995</v>
      </c>
      <c r="O58">
        <v>31987.71</v>
      </c>
      <c r="P58">
        <v>100.61</v>
      </c>
      <c r="Q58">
        <v>204.14</v>
      </c>
      <c r="R58">
        <v>24.84</v>
      </c>
      <c r="S58">
        <v>17.37</v>
      </c>
      <c r="T58">
        <v>1631.11</v>
      </c>
      <c r="U58">
        <v>0.7</v>
      </c>
      <c r="V58">
        <v>0.75</v>
      </c>
      <c r="W58">
        <v>1.1499999999999999</v>
      </c>
      <c r="X58">
        <v>0.1</v>
      </c>
      <c r="Y58">
        <v>1</v>
      </c>
      <c r="Z58">
        <v>10</v>
      </c>
    </row>
    <row r="59" spans="1:26" x14ac:dyDescent="0.3">
      <c r="A59">
        <v>57</v>
      </c>
      <c r="B59">
        <v>120</v>
      </c>
      <c r="C59" t="s">
        <v>26</v>
      </c>
      <c r="D59">
        <v>10.237500000000001</v>
      </c>
      <c r="E59">
        <v>9.77</v>
      </c>
      <c r="F59">
        <v>6.79</v>
      </c>
      <c r="G59">
        <v>67.86</v>
      </c>
      <c r="H59">
        <v>1.05</v>
      </c>
      <c r="I59">
        <v>6</v>
      </c>
      <c r="J59">
        <v>257.92</v>
      </c>
      <c r="K59">
        <v>57.72</v>
      </c>
      <c r="L59">
        <v>15.25</v>
      </c>
      <c r="M59">
        <v>4</v>
      </c>
      <c r="N59">
        <v>64.95</v>
      </c>
      <c r="O59">
        <v>32044.35</v>
      </c>
      <c r="P59">
        <v>100.7</v>
      </c>
      <c r="Q59">
        <v>204.14</v>
      </c>
      <c r="R59">
        <v>24.88</v>
      </c>
      <c r="S59">
        <v>17.37</v>
      </c>
      <c r="T59">
        <v>1651.39</v>
      </c>
      <c r="U59">
        <v>0.7</v>
      </c>
      <c r="V59">
        <v>0.75</v>
      </c>
      <c r="W59">
        <v>1.1399999999999999</v>
      </c>
      <c r="X59">
        <v>0.09</v>
      </c>
      <c r="Y59">
        <v>1</v>
      </c>
      <c r="Z59">
        <v>10</v>
      </c>
    </row>
    <row r="60" spans="1:26" x14ac:dyDescent="0.3">
      <c r="A60">
        <v>58</v>
      </c>
      <c r="B60">
        <v>120</v>
      </c>
      <c r="C60" t="s">
        <v>26</v>
      </c>
      <c r="D60">
        <v>10.234</v>
      </c>
      <c r="E60">
        <v>9.77</v>
      </c>
      <c r="F60">
        <v>6.79</v>
      </c>
      <c r="G60">
        <v>67.89</v>
      </c>
      <c r="H60">
        <v>1.07</v>
      </c>
      <c r="I60">
        <v>6</v>
      </c>
      <c r="J60">
        <v>258.38</v>
      </c>
      <c r="K60">
        <v>57.72</v>
      </c>
      <c r="L60">
        <v>15.5</v>
      </c>
      <c r="M60">
        <v>4</v>
      </c>
      <c r="N60">
        <v>65.16</v>
      </c>
      <c r="O60">
        <v>32101.07</v>
      </c>
      <c r="P60">
        <v>100.76</v>
      </c>
      <c r="Q60">
        <v>204.14</v>
      </c>
      <c r="R60">
        <v>24.98</v>
      </c>
      <c r="S60">
        <v>17.37</v>
      </c>
      <c r="T60">
        <v>1704.11</v>
      </c>
      <c r="U60">
        <v>0.7</v>
      </c>
      <c r="V60">
        <v>0.75</v>
      </c>
      <c r="W60">
        <v>1.1399999999999999</v>
      </c>
      <c r="X60">
        <v>0.1</v>
      </c>
      <c r="Y60">
        <v>1</v>
      </c>
      <c r="Z60">
        <v>10</v>
      </c>
    </row>
    <row r="61" spans="1:26" x14ac:dyDescent="0.3">
      <c r="A61">
        <v>59</v>
      </c>
      <c r="B61">
        <v>120</v>
      </c>
      <c r="C61" t="s">
        <v>26</v>
      </c>
      <c r="D61">
        <v>10.237500000000001</v>
      </c>
      <c r="E61">
        <v>9.77</v>
      </c>
      <c r="F61">
        <v>6.79</v>
      </c>
      <c r="G61">
        <v>67.86</v>
      </c>
      <c r="H61">
        <v>1.08</v>
      </c>
      <c r="I61">
        <v>6</v>
      </c>
      <c r="J61">
        <v>258.83999999999997</v>
      </c>
      <c r="K61">
        <v>57.72</v>
      </c>
      <c r="L61">
        <v>15.75</v>
      </c>
      <c r="M61">
        <v>4</v>
      </c>
      <c r="N61">
        <v>65.37</v>
      </c>
      <c r="O61">
        <v>32157.87</v>
      </c>
      <c r="P61">
        <v>100.68</v>
      </c>
      <c r="Q61">
        <v>204.14</v>
      </c>
      <c r="R61">
        <v>24.67</v>
      </c>
      <c r="S61">
        <v>17.37</v>
      </c>
      <c r="T61">
        <v>1547.08</v>
      </c>
      <c r="U61">
        <v>0.7</v>
      </c>
      <c r="V61">
        <v>0.75</v>
      </c>
      <c r="W61">
        <v>1.1499999999999999</v>
      </c>
      <c r="X61">
        <v>0.09</v>
      </c>
      <c r="Y61">
        <v>1</v>
      </c>
      <c r="Z61">
        <v>10</v>
      </c>
    </row>
    <row r="62" spans="1:26" x14ac:dyDescent="0.3">
      <c r="A62">
        <v>60</v>
      </c>
      <c r="B62">
        <v>120</v>
      </c>
      <c r="C62" t="s">
        <v>26</v>
      </c>
      <c r="D62">
        <v>10.238</v>
      </c>
      <c r="E62">
        <v>9.77</v>
      </c>
      <c r="F62">
        <v>6.79</v>
      </c>
      <c r="G62">
        <v>67.849999999999994</v>
      </c>
      <c r="H62">
        <v>1.1000000000000001</v>
      </c>
      <c r="I62">
        <v>6</v>
      </c>
      <c r="J62">
        <v>259.3</v>
      </c>
      <c r="K62">
        <v>57.72</v>
      </c>
      <c r="L62">
        <v>16</v>
      </c>
      <c r="M62">
        <v>4</v>
      </c>
      <c r="N62">
        <v>65.58</v>
      </c>
      <c r="O62">
        <v>32214.75</v>
      </c>
      <c r="P62">
        <v>100.43</v>
      </c>
      <c r="Q62">
        <v>204.15</v>
      </c>
      <c r="R62">
        <v>24.64</v>
      </c>
      <c r="S62">
        <v>17.37</v>
      </c>
      <c r="T62">
        <v>1530.9</v>
      </c>
      <c r="U62">
        <v>0.71</v>
      </c>
      <c r="V62">
        <v>0.75</v>
      </c>
      <c r="W62">
        <v>1.1499999999999999</v>
      </c>
      <c r="X62">
        <v>0.09</v>
      </c>
      <c r="Y62">
        <v>1</v>
      </c>
      <c r="Z62">
        <v>10</v>
      </c>
    </row>
    <row r="63" spans="1:26" x14ac:dyDescent="0.3">
      <c r="A63">
        <v>61</v>
      </c>
      <c r="B63">
        <v>120</v>
      </c>
      <c r="C63" t="s">
        <v>26</v>
      </c>
      <c r="D63">
        <v>10.2392</v>
      </c>
      <c r="E63">
        <v>9.77</v>
      </c>
      <c r="F63">
        <v>6.78</v>
      </c>
      <c r="G63">
        <v>67.84</v>
      </c>
      <c r="H63">
        <v>1.1100000000000001</v>
      </c>
      <c r="I63">
        <v>6</v>
      </c>
      <c r="J63">
        <v>259.76</v>
      </c>
      <c r="K63">
        <v>57.72</v>
      </c>
      <c r="L63">
        <v>16.25</v>
      </c>
      <c r="M63">
        <v>4</v>
      </c>
      <c r="N63">
        <v>65.790000000000006</v>
      </c>
      <c r="O63">
        <v>32271.71</v>
      </c>
      <c r="P63">
        <v>100.24</v>
      </c>
      <c r="Q63">
        <v>204.14</v>
      </c>
      <c r="R63">
        <v>24.79</v>
      </c>
      <c r="S63">
        <v>17.37</v>
      </c>
      <c r="T63">
        <v>1607.51</v>
      </c>
      <c r="U63">
        <v>0.7</v>
      </c>
      <c r="V63">
        <v>0.75</v>
      </c>
      <c r="W63">
        <v>1.1399999999999999</v>
      </c>
      <c r="X63">
        <v>0.09</v>
      </c>
      <c r="Y63">
        <v>1</v>
      </c>
      <c r="Z63">
        <v>10</v>
      </c>
    </row>
    <row r="64" spans="1:26" x14ac:dyDescent="0.3">
      <c r="A64">
        <v>62</v>
      </c>
      <c r="B64">
        <v>120</v>
      </c>
      <c r="C64" t="s">
        <v>26</v>
      </c>
      <c r="D64">
        <v>10.2302</v>
      </c>
      <c r="E64">
        <v>9.7799999999999994</v>
      </c>
      <c r="F64">
        <v>6.79</v>
      </c>
      <c r="G64">
        <v>67.930000000000007</v>
      </c>
      <c r="H64">
        <v>1.1299999999999999</v>
      </c>
      <c r="I64">
        <v>6</v>
      </c>
      <c r="J64">
        <v>260.23</v>
      </c>
      <c r="K64">
        <v>57.72</v>
      </c>
      <c r="L64">
        <v>16.5</v>
      </c>
      <c r="M64">
        <v>4</v>
      </c>
      <c r="N64">
        <v>66</v>
      </c>
      <c r="O64">
        <v>32328.74</v>
      </c>
      <c r="P64">
        <v>100.3</v>
      </c>
      <c r="Q64">
        <v>204.14</v>
      </c>
      <c r="R64">
        <v>25.08</v>
      </c>
      <c r="S64">
        <v>17.37</v>
      </c>
      <c r="T64">
        <v>1751.84</v>
      </c>
      <c r="U64">
        <v>0.69</v>
      </c>
      <c r="V64">
        <v>0.75</v>
      </c>
      <c r="W64">
        <v>1.1399999999999999</v>
      </c>
      <c r="X64">
        <v>0.1</v>
      </c>
      <c r="Y64">
        <v>1</v>
      </c>
      <c r="Z64">
        <v>10</v>
      </c>
    </row>
    <row r="65" spans="1:26" x14ac:dyDescent="0.3">
      <c r="A65">
        <v>63</v>
      </c>
      <c r="B65">
        <v>120</v>
      </c>
      <c r="C65" t="s">
        <v>26</v>
      </c>
      <c r="D65">
        <v>10.238</v>
      </c>
      <c r="E65">
        <v>9.77</v>
      </c>
      <c r="F65">
        <v>6.79</v>
      </c>
      <c r="G65">
        <v>67.849999999999994</v>
      </c>
      <c r="H65">
        <v>1.1399999999999999</v>
      </c>
      <c r="I65">
        <v>6</v>
      </c>
      <c r="J65">
        <v>260.69</v>
      </c>
      <c r="K65">
        <v>57.72</v>
      </c>
      <c r="L65">
        <v>16.75</v>
      </c>
      <c r="M65">
        <v>4</v>
      </c>
      <c r="N65">
        <v>66.209999999999994</v>
      </c>
      <c r="O65">
        <v>32385.86</v>
      </c>
      <c r="P65">
        <v>99.95</v>
      </c>
      <c r="Q65">
        <v>204.14</v>
      </c>
      <c r="R65">
        <v>24.8</v>
      </c>
      <c r="S65">
        <v>17.37</v>
      </c>
      <c r="T65">
        <v>1614.04</v>
      </c>
      <c r="U65">
        <v>0.7</v>
      </c>
      <c r="V65">
        <v>0.75</v>
      </c>
      <c r="W65">
        <v>1.1399999999999999</v>
      </c>
      <c r="X65">
        <v>0.09</v>
      </c>
      <c r="Y65">
        <v>1</v>
      </c>
      <c r="Z65">
        <v>10</v>
      </c>
    </row>
    <row r="66" spans="1:26" x14ac:dyDescent="0.3">
      <c r="A66">
        <v>64</v>
      </c>
      <c r="B66">
        <v>120</v>
      </c>
      <c r="C66" t="s">
        <v>26</v>
      </c>
      <c r="D66">
        <v>10.2325</v>
      </c>
      <c r="E66">
        <v>9.77</v>
      </c>
      <c r="F66">
        <v>6.79</v>
      </c>
      <c r="G66">
        <v>67.91</v>
      </c>
      <c r="H66">
        <v>1.1599999999999999</v>
      </c>
      <c r="I66">
        <v>6</v>
      </c>
      <c r="J66">
        <v>261.14999999999998</v>
      </c>
      <c r="K66">
        <v>57.72</v>
      </c>
      <c r="L66">
        <v>17</v>
      </c>
      <c r="M66">
        <v>4</v>
      </c>
      <c r="N66">
        <v>66.430000000000007</v>
      </c>
      <c r="O66">
        <v>32443.05</v>
      </c>
      <c r="P66">
        <v>99.92</v>
      </c>
      <c r="Q66">
        <v>204.14</v>
      </c>
      <c r="R66">
        <v>24.9</v>
      </c>
      <c r="S66">
        <v>17.37</v>
      </c>
      <c r="T66">
        <v>1660.98</v>
      </c>
      <c r="U66">
        <v>0.7</v>
      </c>
      <c r="V66">
        <v>0.75</v>
      </c>
      <c r="W66">
        <v>1.1499999999999999</v>
      </c>
      <c r="X66">
        <v>0.1</v>
      </c>
      <c r="Y66">
        <v>1</v>
      </c>
      <c r="Z66">
        <v>10</v>
      </c>
    </row>
    <row r="67" spans="1:26" x14ac:dyDescent="0.3">
      <c r="A67">
        <v>65</v>
      </c>
      <c r="B67">
        <v>120</v>
      </c>
      <c r="C67" t="s">
        <v>26</v>
      </c>
      <c r="D67">
        <v>10.239800000000001</v>
      </c>
      <c r="E67">
        <v>9.77</v>
      </c>
      <c r="F67">
        <v>6.78</v>
      </c>
      <c r="G67">
        <v>67.84</v>
      </c>
      <c r="H67">
        <v>1.17</v>
      </c>
      <c r="I67">
        <v>6</v>
      </c>
      <c r="J67">
        <v>261.62</v>
      </c>
      <c r="K67">
        <v>57.72</v>
      </c>
      <c r="L67">
        <v>17.25</v>
      </c>
      <c r="M67">
        <v>4</v>
      </c>
      <c r="N67">
        <v>66.64</v>
      </c>
      <c r="O67">
        <v>32500.33</v>
      </c>
      <c r="P67">
        <v>99.7</v>
      </c>
      <c r="Q67">
        <v>204.14</v>
      </c>
      <c r="R67">
        <v>24.75</v>
      </c>
      <c r="S67">
        <v>17.37</v>
      </c>
      <c r="T67">
        <v>1586.78</v>
      </c>
      <c r="U67">
        <v>0.7</v>
      </c>
      <c r="V67">
        <v>0.75</v>
      </c>
      <c r="W67">
        <v>1.1399999999999999</v>
      </c>
      <c r="X67">
        <v>0.09</v>
      </c>
      <c r="Y67">
        <v>1</v>
      </c>
      <c r="Z67">
        <v>10</v>
      </c>
    </row>
    <row r="68" spans="1:26" x14ac:dyDescent="0.3">
      <c r="A68">
        <v>66</v>
      </c>
      <c r="B68">
        <v>120</v>
      </c>
      <c r="C68" t="s">
        <v>26</v>
      </c>
      <c r="D68">
        <v>10.2287</v>
      </c>
      <c r="E68">
        <v>9.7799999999999994</v>
      </c>
      <c r="F68">
        <v>6.79</v>
      </c>
      <c r="G68">
        <v>67.94</v>
      </c>
      <c r="H68">
        <v>1.19</v>
      </c>
      <c r="I68">
        <v>6</v>
      </c>
      <c r="J68">
        <v>262.08</v>
      </c>
      <c r="K68">
        <v>57.72</v>
      </c>
      <c r="L68">
        <v>17.5</v>
      </c>
      <c r="M68">
        <v>4</v>
      </c>
      <c r="N68">
        <v>66.86</v>
      </c>
      <c r="O68">
        <v>32557.69</v>
      </c>
      <c r="P68">
        <v>99.54</v>
      </c>
      <c r="Q68">
        <v>204.14</v>
      </c>
      <c r="R68">
        <v>25.07</v>
      </c>
      <c r="S68">
        <v>17.37</v>
      </c>
      <c r="T68">
        <v>1748.41</v>
      </c>
      <c r="U68">
        <v>0.69</v>
      </c>
      <c r="V68">
        <v>0.75</v>
      </c>
      <c r="W68">
        <v>1.1499999999999999</v>
      </c>
      <c r="X68">
        <v>0.1</v>
      </c>
      <c r="Y68">
        <v>1</v>
      </c>
      <c r="Z68">
        <v>10</v>
      </c>
    </row>
    <row r="69" spans="1:26" x14ac:dyDescent="0.3">
      <c r="A69">
        <v>67</v>
      </c>
      <c r="B69">
        <v>120</v>
      </c>
      <c r="C69" t="s">
        <v>26</v>
      </c>
      <c r="D69">
        <v>10.304600000000001</v>
      </c>
      <c r="E69">
        <v>9.6999999999999993</v>
      </c>
      <c r="F69">
        <v>6.77</v>
      </c>
      <c r="G69">
        <v>81.209999999999994</v>
      </c>
      <c r="H69">
        <v>1.2</v>
      </c>
      <c r="I69">
        <v>5</v>
      </c>
      <c r="J69">
        <v>262.55</v>
      </c>
      <c r="K69">
        <v>57.72</v>
      </c>
      <c r="L69">
        <v>17.75</v>
      </c>
      <c r="M69">
        <v>3</v>
      </c>
      <c r="N69">
        <v>67.069999999999993</v>
      </c>
      <c r="O69">
        <v>32615.119999999999</v>
      </c>
      <c r="P69">
        <v>98.74</v>
      </c>
      <c r="Q69">
        <v>204.14</v>
      </c>
      <c r="R69">
        <v>24.22</v>
      </c>
      <c r="S69">
        <v>17.37</v>
      </c>
      <c r="T69">
        <v>1329.57</v>
      </c>
      <c r="U69">
        <v>0.72</v>
      </c>
      <c r="V69">
        <v>0.75</v>
      </c>
      <c r="W69">
        <v>1.1399999999999999</v>
      </c>
      <c r="X69">
        <v>0.08</v>
      </c>
      <c r="Y69">
        <v>1</v>
      </c>
      <c r="Z69">
        <v>10</v>
      </c>
    </row>
    <row r="70" spans="1:26" x14ac:dyDescent="0.3">
      <c r="A70">
        <v>68</v>
      </c>
      <c r="B70">
        <v>120</v>
      </c>
      <c r="C70" t="s">
        <v>26</v>
      </c>
      <c r="D70">
        <v>10.299799999999999</v>
      </c>
      <c r="E70">
        <v>9.7100000000000009</v>
      </c>
      <c r="F70">
        <v>6.77</v>
      </c>
      <c r="G70">
        <v>81.27</v>
      </c>
      <c r="H70">
        <v>1.22</v>
      </c>
      <c r="I70">
        <v>5</v>
      </c>
      <c r="J70">
        <v>263.01</v>
      </c>
      <c r="K70">
        <v>57.72</v>
      </c>
      <c r="L70">
        <v>18</v>
      </c>
      <c r="M70">
        <v>3</v>
      </c>
      <c r="N70">
        <v>67.290000000000006</v>
      </c>
      <c r="O70">
        <v>32672.639999999999</v>
      </c>
      <c r="P70">
        <v>99.1</v>
      </c>
      <c r="Q70">
        <v>204.14</v>
      </c>
      <c r="R70">
        <v>24.39</v>
      </c>
      <c r="S70">
        <v>17.37</v>
      </c>
      <c r="T70">
        <v>1411.35</v>
      </c>
      <c r="U70">
        <v>0.71</v>
      </c>
      <c r="V70">
        <v>0.75</v>
      </c>
      <c r="W70">
        <v>1.1399999999999999</v>
      </c>
      <c r="X70">
        <v>0.08</v>
      </c>
      <c r="Y70">
        <v>1</v>
      </c>
      <c r="Z70">
        <v>10</v>
      </c>
    </row>
    <row r="71" spans="1:26" x14ac:dyDescent="0.3">
      <c r="A71">
        <v>69</v>
      </c>
      <c r="B71">
        <v>120</v>
      </c>
      <c r="C71" t="s">
        <v>26</v>
      </c>
      <c r="D71">
        <v>10.2928</v>
      </c>
      <c r="E71">
        <v>9.7200000000000006</v>
      </c>
      <c r="F71">
        <v>6.78</v>
      </c>
      <c r="G71">
        <v>81.349999999999994</v>
      </c>
      <c r="H71">
        <v>1.23</v>
      </c>
      <c r="I71">
        <v>5</v>
      </c>
      <c r="J71">
        <v>263.48</v>
      </c>
      <c r="K71">
        <v>57.72</v>
      </c>
      <c r="L71">
        <v>18.25</v>
      </c>
      <c r="M71">
        <v>3</v>
      </c>
      <c r="N71">
        <v>67.510000000000005</v>
      </c>
      <c r="O71">
        <v>32730.240000000002</v>
      </c>
      <c r="P71">
        <v>99.33</v>
      </c>
      <c r="Q71">
        <v>204.14</v>
      </c>
      <c r="R71">
        <v>24.59</v>
      </c>
      <c r="S71">
        <v>17.37</v>
      </c>
      <c r="T71">
        <v>1512.47</v>
      </c>
      <c r="U71">
        <v>0.71</v>
      </c>
      <c r="V71">
        <v>0.75</v>
      </c>
      <c r="W71">
        <v>1.1499999999999999</v>
      </c>
      <c r="X71">
        <v>0.09</v>
      </c>
      <c r="Y71">
        <v>1</v>
      </c>
      <c r="Z71">
        <v>10</v>
      </c>
    </row>
    <row r="72" spans="1:26" x14ac:dyDescent="0.3">
      <c r="A72">
        <v>70</v>
      </c>
      <c r="B72">
        <v>120</v>
      </c>
      <c r="C72" t="s">
        <v>26</v>
      </c>
      <c r="D72">
        <v>10.300700000000001</v>
      </c>
      <c r="E72">
        <v>9.7100000000000009</v>
      </c>
      <c r="F72">
        <v>6.77</v>
      </c>
      <c r="G72">
        <v>81.260000000000005</v>
      </c>
      <c r="H72">
        <v>1.25</v>
      </c>
      <c r="I72">
        <v>5</v>
      </c>
      <c r="J72">
        <v>263.95</v>
      </c>
      <c r="K72">
        <v>57.72</v>
      </c>
      <c r="L72">
        <v>18.5</v>
      </c>
      <c r="M72">
        <v>3</v>
      </c>
      <c r="N72">
        <v>67.72</v>
      </c>
      <c r="O72">
        <v>32787.919999999998</v>
      </c>
      <c r="P72">
        <v>99.25</v>
      </c>
      <c r="Q72">
        <v>204.17</v>
      </c>
      <c r="R72">
        <v>24.34</v>
      </c>
      <c r="S72">
        <v>17.37</v>
      </c>
      <c r="T72">
        <v>1387.16</v>
      </c>
      <c r="U72">
        <v>0.71</v>
      </c>
      <c r="V72">
        <v>0.75</v>
      </c>
      <c r="W72">
        <v>1.1399999999999999</v>
      </c>
      <c r="X72">
        <v>0.08</v>
      </c>
      <c r="Y72">
        <v>1</v>
      </c>
      <c r="Z72">
        <v>10</v>
      </c>
    </row>
    <row r="73" spans="1:26" x14ac:dyDescent="0.3">
      <c r="A73">
        <v>71</v>
      </c>
      <c r="B73">
        <v>120</v>
      </c>
      <c r="C73" t="s">
        <v>26</v>
      </c>
      <c r="D73">
        <v>10.2987</v>
      </c>
      <c r="E73">
        <v>9.7100000000000009</v>
      </c>
      <c r="F73">
        <v>6.77</v>
      </c>
      <c r="G73">
        <v>81.28</v>
      </c>
      <c r="H73">
        <v>1.26</v>
      </c>
      <c r="I73">
        <v>5</v>
      </c>
      <c r="J73">
        <v>264.42</v>
      </c>
      <c r="K73">
        <v>57.72</v>
      </c>
      <c r="L73">
        <v>18.75</v>
      </c>
      <c r="M73">
        <v>3</v>
      </c>
      <c r="N73">
        <v>67.94</v>
      </c>
      <c r="O73">
        <v>32845.69</v>
      </c>
      <c r="P73">
        <v>99.51</v>
      </c>
      <c r="Q73">
        <v>204.14</v>
      </c>
      <c r="R73">
        <v>24.41</v>
      </c>
      <c r="S73">
        <v>17.37</v>
      </c>
      <c r="T73">
        <v>1424.48</v>
      </c>
      <c r="U73">
        <v>0.71</v>
      </c>
      <c r="V73">
        <v>0.75</v>
      </c>
      <c r="W73">
        <v>1.1399999999999999</v>
      </c>
      <c r="X73">
        <v>0.08</v>
      </c>
      <c r="Y73">
        <v>1</v>
      </c>
      <c r="Z73">
        <v>10</v>
      </c>
    </row>
    <row r="74" spans="1:26" x14ac:dyDescent="0.3">
      <c r="A74">
        <v>72</v>
      </c>
      <c r="B74">
        <v>120</v>
      </c>
      <c r="C74" t="s">
        <v>26</v>
      </c>
      <c r="D74">
        <v>10.2987</v>
      </c>
      <c r="E74">
        <v>9.7100000000000009</v>
      </c>
      <c r="F74">
        <v>6.77</v>
      </c>
      <c r="G74">
        <v>81.28</v>
      </c>
      <c r="H74">
        <v>1.28</v>
      </c>
      <c r="I74">
        <v>5</v>
      </c>
      <c r="J74">
        <v>264.89</v>
      </c>
      <c r="K74">
        <v>57.72</v>
      </c>
      <c r="L74">
        <v>19</v>
      </c>
      <c r="M74">
        <v>3</v>
      </c>
      <c r="N74">
        <v>68.16</v>
      </c>
      <c r="O74">
        <v>32903.54</v>
      </c>
      <c r="P74">
        <v>99.44</v>
      </c>
      <c r="Q74">
        <v>204.14</v>
      </c>
      <c r="R74">
        <v>24.47</v>
      </c>
      <c r="S74">
        <v>17.37</v>
      </c>
      <c r="T74">
        <v>1452.24</v>
      </c>
      <c r="U74">
        <v>0.71</v>
      </c>
      <c r="V74">
        <v>0.75</v>
      </c>
      <c r="W74">
        <v>1.1399999999999999</v>
      </c>
      <c r="X74">
        <v>0.08</v>
      </c>
      <c r="Y74">
        <v>1</v>
      </c>
      <c r="Z74">
        <v>10</v>
      </c>
    </row>
    <row r="75" spans="1:26" x14ac:dyDescent="0.3">
      <c r="A75">
        <v>73</v>
      </c>
      <c r="B75">
        <v>120</v>
      </c>
      <c r="C75" t="s">
        <v>26</v>
      </c>
      <c r="D75">
        <v>10.299300000000001</v>
      </c>
      <c r="E75">
        <v>9.7100000000000009</v>
      </c>
      <c r="F75">
        <v>6.77</v>
      </c>
      <c r="G75">
        <v>81.27</v>
      </c>
      <c r="H75">
        <v>1.29</v>
      </c>
      <c r="I75">
        <v>5</v>
      </c>
      <c r="J75">
        <v>265.36</v>
      </c>
      <c r="K75">
        <v>57.72</v>
      </c>
      <c r="L75">
        <v>19.25</v>
      </c>
      <c r="M75">
        <v>3</v>
      </c>
      <c r="N75">
        <v>68.38</v>
      </c>
      <c r="O75">
        <v>32961.47</v>
      </c>
      <c r="P75">
        <v>99.37</v>
      </c>
      <c r="Q75">
        <v>204.14</v>
      </c>
      <c r="R75">
        <v>24.43</v>
      </c>
      <c r="S75">
        <v>17.37</v>
      </c>
      <c r="T75">
        <v>1434.22</v>
      </c>
      <c r="U75">
        <v>0.71</v>
      </c>
      <c r="V75">
        <v>0.75</v>
      </c>
      <c r="W75">
        <v>1.1399999999999999</v>
      </c>
      <c r="X75">
        <v>0.08</v>
      </c>
      <c r="Y75">
        <v>1</v>
      </c>
      <c r="Z75">
        <v>10</v>
      </c>
    </row>
    <row r="76" spans="1:26" x14ac:dyDescent="0.3">
      <c r="A76">
        <v>74</v>
      </c>
      <c r="B76">
        <v>120</v>
      </c>
      <c r="C76" t="s">
        <v>26</v>
      </c>
      <c r="D76">
        <v>10.295400000000001</v>
      </c>
      <c r="E76">
        <v>9.7100000000000009</v>
      </c>
      <c r="F76">
        <v>6.78</v>
      </c>
      <c r="G76">
        <v>81.319999999999993</v>
      </c>
      <c r="H76">
        <v>1.31</v>
      </c>
      <c r="I76">
        <v>5</v>
      </c>
      <c r="J76">
        <v>265.83</v>
      </c>
      <c r="K76">
        <v>57.72</v>
      </c>
      <c r="L76">
        <v>19.5</v>
      </c>
      <c r="M76">
        <v>3</v>
      </c>
      <c r="N76">
        <v>68.599999999999994</v>
      </c>
      <c r="O76">
        <v>33019.480000000003</v>
      </c>
      <c r="P76">
        <v>99.33</v>
      </c>
      <c r="Q76">
        <v>204.14</v>
      </c>
      <c r="R76">
        <v>24.51</v>
      </c>
      <c r="S76">
        <v>17.37</v>
      </c>
      <c r="T76">
        <v>1472.26</v>
      </c>
      <c r="U76">
        <v>0.71</v>
      </c>
      <c r="V76">
        <v>0.75</v>
      </c>
      <c r="W76">
        <v>1.1399999999999999</v>
      </c>
      <c r="X76">
        <v>0.09</v>
      </c>
      <c r="Y76">
        <v>1</v>
      </c>
      <c r="Z76">
        <v>10</v>
      </c>
    </row>
    <row r="77" spans="1:26" x14ac:dyDescent="0.3">
      <c r="A77">
        <v>75</v>
      </c>
      <c r="B77">
        <v>120</v>
      </c>
      <c r="C77" t="s">
        <v>26</v>
      </c>
      <c r="D77">
        <v>10.2942</v>
      </c>
      <c r="E77">
        <v>9.7100000000000009</v>
      </c>
      <c r="F77">
        <v>6.78</v>
      </c>
      <c r="G77">
        <v>81.33</v>
      </c>
      <c r="H77">
        <v>1.32</v>
      </c>
      <c r="I77">
        <v>5</v>
      </c>
      <c r="J77">
        <v>266.3</v>
      </c>
      <c r="K77">
        <v>57.72</v>
      </c>
      <c r="L77">
        <v>19.75</v>
      </c>
      <c r="M77">
        <v>3</v>
      </c>
      <c r="N77">
        <v>68.819999999999993</v>
      </c>
      <c r="O77">
        <v>33077.58</v>
      </c>
      <c r="P77">
        <v>99.31</v>
      </c>
      <c r="Q77">
        <v>204.17</v>
      </c>
      <c r="R77">
        <v>24.53</v>
      </c>
      <c r="S77">
        <v>17.37</v>
      </c>
      <c r="T77">
        <v>1479.9</v>
      </c>
      <c r="U77">
        <v>0.71</v>
      </c>
      <c r="V77">
        <v>0.75</v>
      </c>
      <c r="W77">
        <v>1.1499999999999999</v>
      </c>
      <c r="X77">
        <v>0.09</v>
      </c>
      <c r="Y77">
        <v>1</v>
      </c>
      <c r="Z77">
        <v>10</v>
      </c>
    </row>
    <row r="78" spans="1:26" x14ac:dyDescent="0.3">
      <c r="A78">
        <v>76</v>
      </c>
      <c r="B78">
        <v>120</v>
      </c>
      <c r="C78" t="s">
        <v>26</v>
      </c>
      <c r="D78">
        <v>10.2972</v>
      </c>
      <c r="E78">
        <v>9.7100000000000009</v>
      </c>
      <c r="F78">
        <v>6.77</v>
      </c>
      <c r="G78">
        <v>81.3</v>
      </c>
      <c r="H78">
        <v>1.33</v>
      </c>
      <c r="I78">
        <v>5</v>
      </c>
      <c r="J78">
        <v>266.77</v>
      </c>
      <c r="K78">
        <v>57.72</v>
      </c>
      <c r="L78">
        <v>20</v>
      </c>
      <c r="M78">
        <v>3</v>
      </c>
      <c r="N78">
        <v>69.05</v>
      </c>
      <c r="O78">
        <v>33135.760000000002</v>
      </c>
      <c r="P78">
        <v>99.08</v>
      </c>
      <c r="Q78">
        <v>204.14</v>
      </c>
      <c r="R78">
        <v>24.38</v>
      </c>
      <c r="S78">
        <v>17.37</v>
      </c>
      <c r="T78">
        <v>1407.61</v>
      </c>
      <c r="U78">
        <v>0.71</v>
      </c>
      <c r="V78">
        <v>0.75</v>
      </c>
      <c r="W78">
        <v>1.1499999999999999</v>
      </c>
      <c r="X78">
        <v>0.08</v>
      </c>
      <c r="Y78">
        <v>1</v>
      </c>
      <c r="Z78">
        <v>10</v>
      </c>
    </row>
    <row r="79" spans="1:26" x14ac:dyDescent="0.3">
      <c r="A79">
        <v>77</v>
      </c>
      <c r="B79">
        <v>120</v>
      </c>
      <c r="C79" t="s">
        <v>26</v>
      </c>
      <c r="D79">
        <v>10.301</v>
      </c>
      <c r="E79">
        <v>9.7100000000000009</v>
      </c>
      <c r="F79">
        <v>6.77</v>
      </c>
      <c r="G79">
        <v>81.25</v>
      </c>
      <c r="H79">
        <v>1.35</v>
      </c>
      <c r="I79">
        <v>5</v>
      </c>
      <c r="J79">
        <v>267.24</v>
      </c>
      <c r="K79">
        <v>57.72</v>
      </c>
      <c r="L79">
        <v>20.25</v>
      </c>
      <c r="M79">
        <v>3</v>
      </c>
      <c r="N79">
        <v>69.27</v>
      </c>
      <c r="O79">
        <v>33194.019999999997</v>
      </c>
      <c r="P79">
        <v>98.96</v>
      </c>
      <c r="Q79">
        <v>204.14</v>
      </c>
      <c r="R79">
        <v>24.35</v>
      </c>
      <c r="S79">
        <v>17.37</v>
      </c>
      <c r="T79">
        <v>1393.22</v>
      </c>
      <c r="U79">
        <v>0.71</v>
      </c>
      <c r="V79">
        <v>0.75</v>
      </c>
      <c r="W79">
        <v>1.1399999999999999</v>
      </c>
      <c r="X79">
        <v>0.08</v>
      </c>
      <c r="Y79">
        <v>1</v>
      </c>
      <c r="Z79">
        <v>10</v>
      </c>
    </row>
    <row r="80" spans="1:26" x14ac:dyDescent="0.3">
      <c r="A80">
        <v>78</v>
      </c>
      <c r="B80">
        <v>120</v>
      </c>
      <c r="C80" t="s">
        <v>26</v>
      </c>
      <c r="D80">
        <v>10.306900000000001</v>
      </c>
      <c r="E80">
        <v>9.6999999999999993</v>
      </c>
      <c r="F80">
        <v>6.77</v>
      </c>
      <c r="G80">
        <v>81.19</v>
      </c>
      <c r="H80">
        <v>1.36</v>
      </c>
      <c r="I80">
        <v>5</v>
      </c>
      <c r="J80">
        <v>267.70999999999998</v>
      </c>
      <c r="K80">
        <v>57.72</v>
      </c>
      <c r="L80">
        <v>20.5</v>
      </c>
      <c r="M80">
        <v>3</v>
      </c>
      <c r="N80">
        <v>69.489999999999995</v>
      </c>
      <c r="O80">
        <v>33252.370000000003</v>
      </c>
      <c r="P80">
        <v>98.67</v>
      </c>
      <c r="Q80">
        <v>204.14</v>
      </c>
      <c r="R80">
        <v>24.15</v>
      </c>
      <c r="S80">
        <v>17.37</v>
      </c>
      <c r="T80">
        <v>1294.75</v>
      </c>
      <c r="U80">
        <v>0.72</v>
      </c>
      <c r="V80">
        <v>0.75</v>
      </c>
      <c r="W80">
        <v>1.1399999999999999</v>
      </c>
      <c r="X80">
        <v>7.0000000000000007E-2</v>
      </c>
      <c r="Y80">
        <v>1</v>
      </c>
      <c r="Z80">
        <v>10</v>
      </c>
    </row>
    <row r="81" spans="1:26" x14ac:dyDescent="0.3">
      <c r="A81">
        <v>79</v>
      </c>
      <c r="B81">
        <v>120</v>
      </c>
      <c r="C81" t="s">
        <v>26</v>
      </c>
      <c r="D81">
        <v>10.3102</v>
      </c>
      <c r="E81">
        <v>9.6999999999999993</v>
      </c>
      <c r="F81">
        <v>6.76</v>
      </c>
      <c r="G81">
        <v>81.150000000000006</v>
      </c>
      <c r="H81">
        <v>1.38</v>
      </c>
      <c r="I81">
        <v>5</v>
      </c>
      <c r="J81">
        <v>268.19</v>
      </c>
      <c r="K81">
        <v>57.72</v>
      </c>
      <c r="L81">
        <v>20.75</v>
      </c>
      <c r="M81">
        <v>3</v>
      </c>
      <c r="N81">
        <v>69.709999999999994</v>
      </c>
      <c r="O81">
        <v>33310.81</v>
      </c>
      <c r="P81">
        <v>98.33</v>
      </c>
      <c r="Q81">
        <v>204.14</v>
      </c>
      <c r="R81">
        <v>24.09</v>
      </c>
      <c r="S81">
        <v>17.37</v>
      </c>
      <c r="T81">
        <v>1263.74</v>
      </c>
      <c r="U81">
        <v>0.72</v>
      </c>
      <c r="V81">
        <v>0.76</v>
      </c>
      <c r="W81">
        <v>1.1399999999999999</v>
      </c>
      <c r="X81">
        <v>7.0000000000000007E-2</v>
      </c>
      <c r="Y81">
        <v>1</v>
      </c>
      <c r="Z81">
        <v>10</v>
      </c>
    </row>
    <row r="82" spans="1:26" x14ac:dyDescent="0.3">
      <c r="A82">
        <v>80</v>
      </c>
      <c r="B82">
        <v>120</v>
      </c>
      <c r="C82" t="s">
        <v>26</v>
      </c>
      <c r="D82">
        <v>10.3093</v>
      </c>
      <c r="E82">
        <v>9.6999999999999993</v>
      </c>
      <c r="F82">
        <v>6.76</v>
      </c>
      <c r="G82">
        <v>81.16</v>
      </c>
      <c r="H82">
        <v>1.39</v>
      </c>
      <c r="I82">
        <v>5</v>
      </c>
      <c r="J82">
        <v>268.66000000000003</v>
      </c>
      <c r="K82">
        <v>57.72</v>
      </c>
      <c r="L82">
        <v>21</v>
      </c>
      <c r="M82">
        <v>3</v>
      </c>
      <c r="N82">
        <v>69.94</v>
      </c>
      <c r="O82">
        <v>33369.33</v>
      </c>
      <c r="P82">
        <v>98.07</v>
      </c>
      <c r="Q82">
        <v>204.14</v>
      </c>
      <c r="R82">
        <v>24.05</v>
      </c>
      <c r="S82">
        <v>17.37</v>
      </c>
      <c r="T82">
        <v>1243.03</v>
      </c>
      <c r="U82">
        <v>0.72</v>
      </c>
      <c r="V82">
        <v>0.76</v>
      </c>
      <c r="W82">
        <v>1.1399999999999999</v>
      </c>
      <c r="X82">
        <v>7.0000000000000007E-2</v>
      </c>
      <c r="Y82">
        <v>1</v>
      </c>
      <c r="Z82">
        <v>10</v>
      </c>
    </row>
    <row r="83" spans="1:26" x14ac:dyDescent="0.3">
      <c r="A83">
        <v>81</v>
      </c>
      <c r="B83">
        <v>120</v>
      </c>
      <c r="C83" t="s">
        <v>26</v>
      </c>
      <c r="D83">
        <v>10.3066</v>
      </c>
      <c r="E83">
        <v>9.6999999999999993</v>
      </c>
      <c r="F83">
        <v>6.77</v>
      </c>
      <c r="G83">
        <v>81.19</v>
      </c>
      <c r="H83">
        <v>1.41</v>
      </c>
      <c r="I83">
        <v>5</v>
      </c>
      <c r="J83">
        <v>269.14</v>
      </c>
      <c r="K83">
        <v>57.72</v>
      </c>
      <c r="L83">
        <v>21.25</v>
      </c>
      <c r="M83">
        <v>3</v>
      </c>
      <c r="N83">
        <v>70.16</v>
      </c>
      <c r="O83">
        <v>33427.94</v>
      </c>
      <c r="P83">
        <v>97.75</v>
      </c>
      <c r="Q83">
        <v>204.14</v>
      </c>
      <c r="R83">
        <v>24.16</v>
      </c>
      <c r="S83">
        <v>17.37</v>
      </c>
      <c r="T83">
        <v>1296.5999999999999</v>
      </c>
      <c r="U83">
        <v>0.72</v>
      </c>
      <c r="V83">
        <v>0.75</v>
      </c>
      <c r="W83">
        <v>1.1399999999999999</v>
      </c>
      <c r="X83">
        <v>7.0000000000000007E-2</v>
      </c>
      <c r="Y83">
        <v>1</v>
      </c>
      <c r="Z83">
        <v>10</v>
      </c>
    </row>
    <row r="84" spans="1:26" x14ac:dyDescent="0.3">
      <c r="A84">
        <v>82</v>
      </c>
      <c r="B84">
        <v>120</v>
      </c>
      <c r="C84" t="s">
        <v>26</v>
      </c>
      <c r="D84">
        <v>10.3081</v>
      </c>
      <c r="E84">
        <v>9.6999999999999993</v>
      </c>
      <c r="F84">
        <v>6.76</v>
      </c>
      <c r="G84">
        <v>81.17</v>
      </c>
      <c r="H84">
        <v>1.42</v>
      </c>
      <c r="I84">
        <v>5</v>
      </c>
      <c r="J84">
        <v>269.61</v>
      </c>
      <c r="K84">
        <v>57.72</v>
      </c>
      <c r="L84">
        <v>21.5</v>
      </c>
      <c r="M84">
        <v>3</v>
      </c>
      <c r="N84">
        <v>70.39</v>
      </c>
      <c r="O84">
        <v>33486.629999999997</v>
      </c>
      <c r="P84">
        <v>97.38</v>
      </c>
      <c r="Q84">
        <v>204.14</v>
      </c>
      <c r="R84">
        <v>24.17</v>
      </c>
      <c r="S84">
        <v>17.37</v>
      </c>
      <c r="T84">
        <v>1304.47</v>
      </c>
      <c r="U84">
        <v>0.72</v>
      </c>
      <c r="V84">
        <v>0.75</v>
      </c>
      <c r="W84">
        <v>1.1399999999999999</v>
      </c>
      <c r="X84">
        <v>7.0000000000000007E-2</v>
      </c>
      <c r="Y84">
        <v>1</v>
      </c>
      <c r="Z84">
        <v>10</v>
      </c>
    </row>
    <row r="85" spans="1:26" x14ac:dyDescent="0.3">
      <c r="A85">
        <v>83</v>
      </c>
      <c r="B85">
        <v>120</v>
      </c>
      <c r="C85" t="s">
        <v>26</v>
      </c>
      <c r="D85">
        <v>10.3034</v>
      </c>
      <c r="E85">
        <v>9.7100000000000009</v>
      </c>
      <c r="F85">
        <v>6.77</v>
      </c>
      <c r="G85">
        <v>81.23</v>
      </c>
      <c r="H85">
        <v>1.43</v>
      </c>
      <c r="I85">
        <v>5</v>
      </c>
      <c r="J85">
        <v>270.08999999999997</v>
      </c>
      <c r="K85">
        <v>57.72</v>
      </c>
      <c r="L85">
        <v>21.75</v>
      </c>
      <c r="M85">
        <v>3</v>
      </c>
      <c r="N85">
        <v>70.62</v>
      </c>
      <c r="O85">
        <v>33545.410000000003</v>
      </c>
      <c r="P85">
        <v>97.38</v>
      </c>
      <c r="Q85">
        <v>204.14</v>
      </c>
      <c r="R85">
        <v>24.27</v>
      </c>
      <c r="S85">
        <v>17.37</v>
      </c>
      <c r="T85">
        <v>1354.65</v>
      </c>
      <c r="U85">
        <v>0.72</v>
      </c>
      <c r="V85">
        <v>0.75</v>
      </c>
      <c r="W85">
        <v>1.1399999999999999</v>
      </c>
      <c r="X85">
        <v>0.08</v>
      </c>
      <c r="Y85">
        <v>1</v>
      </c>
      <c r="Z85">
        <v>10</v>
      </c>
    </row>
    <row r="86" spans="1:26" x14ac:dyDescent="0.3">
      <c r="A86">
        <v>84</v>
      </c>
      <c r="B86">
        <v>120</v>
      </c>
      <c r="C86" t="s">
        <v>26</v>
      </c>
      <c r="D86">
        <v>10.301</v>
      </c>
      <c r="E86">
        <v>9.7100000000000009</v>
      </c>
      <c r="F86">
        <v>6.77</v>
      </c>
      <c r="G86">
        <v>81.25</v>
      </c>
      <c r="H86">
        <v>1.45</v>
      </c>
      <c r="I86">
        <v>5</v>
      </c>
      <c r="J86">
        <v>270.57</v>
      </c>
      <c r="K86">
        <v>57.72</v>
      </c>
      <c r="L86">
        <v>22</v>
      </c>
      <c r="M86">
        <v>3</v>
      </c>
      <c r="N86">
        <v>70.84</v>
      </c>
      <c r="O86">
        <v>33604.28</v>
      </c>
      <c r="P86">
        <v>97.33</v>
      </c>
      <c r="Q86">
        <v>204.14</v>
      </c>
      <c r="R86">
        <v>24.32</v>
      </c>
      <c r="S86">
        <v>17.37</v>
      </c>
      <c r="T86">
        <v>1377.23</v>
      </c>
      <c r="U86">
        <v>0.71</v>
      </c>
      <c r="V86">
        <v>0.75</v>
      </c>
      <c r="W86">
        <v>1.1399999999999999</v>
      </c>
      <c r="X86">
        <v>0.08</v>
      </c>
      <c r="Y86">
        <v>1</v>
      </c>
      <c r="Z86">
        <v>10</v>
      </c>
    </row>
    <row r="87" spans="1:26" x14ac:dyDescent="0.3">
      <c r="A87">
        <v>85</v>
      </c>
      <c r="B87">
        <v>120</v>
      </c>
      <c r="C87" t="s">
        <v>26</v>
      </c>
      <c r="D87">
        <v>10.301</v>
      </c>
      <c r="E87">
        <v>9.7100000000000009</v>
      </c>
      <c r="F87">
        <v>6.77</v>
      </c>
      <c r="G87">
        <v>81.25</v>
      </c>
      <c r="H87">
        <v>1.46</v>
      </c>
      <c r="I87">
        <v>5</v>
      </c>
      <c r="J87">
        <v>271.05</v>
      </c>
      <c r="K87">
        <v>57.72</v>
      </c>
      <c r="L87">
        <v>22.25</v>
      </c>
      <c r="M87">
        <v>3</v>
      </c>
      <c r="N87">
        <v>71.069999999999993</v>
      </c>
      <c r="O87">
        <v>33663.24</v>
      </c>
      <c r="P87">
        <v>97.19</v>
      </c>
      <c r="Q87">
        <v>204.14</v>
      </c>
      <c r="R87">
        <v>24.42</v>
      </c>
      <c r="S87">
        <v>17.37</v>
      </c>
      <c r="T87">
        <v>1425.75</v>
      </c>
      <c r="U87">
        <v>0.71</v>
      </c>
      <c r="V87">
        <v>0.75</v>
      </c>
      <c r="W87">
        <v>1.1399999999999999</v>
      </c>
      <c r="X87">
        <v>0.08</v>
      </c>
      <c r="Y87">
        <v>1</v>
      </c>
      <c r="Z87">
        <v>10</v>
      </c>
    </row>
    <row r="88" spans="1:26" x14ac:dyDescent="0.3">
      <c r="A88">
        <v>86</v>
      </c>
      <c r="B88">
        <v>120</v>
      </c>
      <c r="C88" t="s">
        <v>26</v>
      </c>
      <c r="D88">
        <v>10.2987</v>
      </c>
      <c r="E88">
        <v>9.7100000000000009</v>
      </c>
      <c r="F88">
        <v>6.77</v>
      </c>
      <c r="G88">
        <v>81.28</v>
      </c>
      <c r="H88">
        <v>1.47</v>
      </c>
      <c r="I88">
        <v>5</v>
      </c>
      <c r="J88">
        <v>271.52</v>
      </c>
      <c r="K88">
        <v>57.72</v>
      </c>
      <c r="L88">
        <v>22.5</v>
      </c>
      <c r="M88">
        <v>3</v>
      </c>
      <c r="N88">
        <v>71.3</v>
      </c>
      <c r="O88">
        <v>33722.28</v>
      </c>
      <c r="P88">
        <v>96.9</v>
      </c>
      <c r="Q88">
        <v>204.14</v>
      </c>
      <c r="R88">
        <v>24.33</v>
      </c>
      <c r="S88">
        <v>17.37</v>
      </c>
      <c r="T88">
        <v>1380.28</v>
      </c>
      <c r="U88">
        <v>0.71</v>
      </c>
      <c r="V88">
        <v>0.75</v>
      </c>
      <c r="W88">
        <v>1.1499999999999999</v>
      </c>
      <c r="X88">
        <v>0.08</v>
      </c>
      <c r="Y88">
        <v>1</v>
      </c>
      <c r="Z88">
        <v>10</v>
      </c>
    </row>
    <row r="89" spans="1:26" x14ac:dyDescent="0.3">
      <c r="A89">
        <v>87</v>
      </c>
      <c r="B89">
        <v>120</v>
      </c>
      <c r="C89" t="s">
        <v>26</v>
      </c>
      <c r="D89">
        <v>10.305099999999999</v>
      </c>
      <c r="E89">
        <v>9.6999999999999993</v>
      </c>
      <c r="F89">
        <v>6.77</v>
      </c>
      <c r="G89">
        <v>81.209999999999994</v>
      </c>
      <c r="H89">
        <v>1.49</v>
      </c>
      <c r="I89">
        <v>5</v>
      </c>
      <c r="J89">
        <v>272</v>
      </c>
      <c r="K89">
        <v>57.72</v>
      </c>
      <c r="L89">
        <v>22.75</v>
      </c>
      <c r="M89">
        <v>3</v>
      </c>
      <c r="N89">
        <v>71.53</v>
      </c>
      <c r="O89">
        <v>33781.410000000003</v>
      </c>
      <c r="P89">
        <v>96.51</v>
      </c>
      <c r="Q89">
        <v>204.14</v>
      </c>
      <c r="R89">
        <v>24.22</v>
      </c>
      <c r="S89">
        <v>17.37</v>
      </c>
      <c r="T89">
        <v>1327.94</v>
      </c>
      <c r="U89">
        <v>0.72</v>
      </c>
      <c r="V89">
        <v>0.75</v>
      </c>
      <c r="W89">
        <v>1.1399999999999999</v>
      </c>
      <c r="X89">
        <v>0.08</v>
      </c>
      <c r="Y89">
        <v>1</v>
      </c>
      <c r="Z89">
        <v>10</v>
      </c>
    </row>
    <row r="90" spans="1:26" x14ac:dyDescent="0.3">
      <c r="A90">
        <v>88</v>
      </c>
      <c r="B90">
        <v>120</v>
      </c>
      <c r="C90" t="s">
        <v>26</v>
      </c>
      <c r="D90">
        <v>10.3773</v>
      </c>
      <c r="E90">
        <v>9.64</v>
      </c>
      <c r="F90">
        <v>6.75</v>
      </c>
      <c r="G90">
        <v>101.18</v>
      </c>
      <c r="H90">
        <v>1.5</v>
      </c>
      <c r="I90">
        <v>4</v>
      </c>
      <c r="J90">
        <v>272.49</v>
      </c>
      <c r="K90">
        <v>57.72</v>
      </c>
      <c r="L90">
        <v>23</v>
      </c>
      <c r="M90">
        <v>2</v>
      </c>
      <c r="N90">
        <v>71.760000000000005</v>
      </c>
      <c r="O90">
        <v>33840.76</v>
      </c>
      <c r="P90">
        <v>95.96</v>
      </c>
      <c r="Q90">
        <v>204.14</v>
      </c>
      <c r="R90">
        <v>23.45</v>
      </c>
      <c r="S90">
        <v>17.37</v>
      </c>
      <c r="T90">
        <v>948.74</v>
      </c>
      <c r="U90">
        <v>0.74</v>
      </c>
      <c r="V90">
        <v>0.76</v>
      </c>
      <c r="W90">
        <v>1.1399999999999999</v>
      </c>
      <c r="X90">
        <v>0.05</v>
      </c>
      <c r="Y90">
        <v>1</v>
      </c>
      <c r="Z90">
        <v>10</v>
      </c>
    </row>
    <row r="91" spans="1:26" x14ac:dyDescent="0.3">
      <c r="A91">
        <v>89</v>
      </c>
      <c r="B91">
        <v>120</v>
      </c>
      <c r="C91" t="s">
        <v>26</v>
      </c>
      <c r="D91">
        <v>10.3788</v>
      </c>
      <c r="E91">
        <v>9.64</v>
      </c>
      <c r="F91">
        <v>6.74</v>
      </c>
      <c r="G91">
        <v>101.16</v>
      </c>
      <c r="H91">
        <v>1.52</v>
      </c>
      <c r="I91">
        <v>4</v>
      </c>
      <c r="J91">
        <v>272.97000000000003</v>
      </c>
      <c r="K91">
        <v>57.72</v>
      </c>
      <c r="L91">
        <v>23.25</v>
      </c>
      <c r="M91">
        <v>2</v>
      </c>
      <c r="N91">
        <v>71.989999999999995</v>
      </c>
      <c r="O91">
        <v>33900.07</v>
      </c>
      <c r="P91">
        <v>95.99</v>
      </c>
      <c r="Q91">
        <v>204.14</v>
      </c>
      <c r="R91">
        <v>23.49</v>
      </c>
      <c r="S91">
        <v>17.37</v>
      </c>
      <c r="T91">
        <v>967.48</v>
      </c>
      <c r="U91">
        <v>0.74</v>
      </c>
      <c r="V91">
        <v>0.76</v>
      </c>
      <c r="W91">
        <v>1.1399999999999999</v>
      </c>
      <c r="X91">
        <v>0.05</v>
      </c>
      <c r="Y91">
        <v>1</v>
      </c>
      <c r="Z91">
        <v>10</v>
      </c>
    </row>
    <row r="92" spans="1:26" x14ac:dyDescent="0.3">
      <c r="A92">
        <v>90</v>
      </c>
      <c r="B92">
        <v>120</v>
      </c>
      <c r="C92" t="s">
        <v>26</v>
      </c>
      <c r="D92">
        <v>10.3743</v>
      </c>
      <c r="E92">
        <v>9.64</v>
      </c>
      <c r="F92">
        <v>6.75</v>
      </c>
      <c r="G92">
        <v>101.22</v>
      </c>
      <c r="H92">
        <v>1.53</v>
      </c>
      <c r="I92">
        <v>4</v>
      </c>
      <c r="J92">
        <v>273.45</v>
      </c>
      <c r="K92">
        <v>57.72</v>
      </c>
      <c r="L92">
        <v>23.5</v>
      </c>
      <c r="M92">
        <v>2</v>
      </c>
      <c r="N92">
        <v>72.22</v>
      </c>
      <c r="O92">
        <v>33959.47</v>
      </c>
      <c r="P92">
        <v>96.11</v>
      </c>
      <c r="Q92">
        <v>204.14</v>
      </c>
      <c r="R92">
        <v>23.56</v>
      </c>
      <c r="S92">
        <v>17.37</v>
      </c>
      <c r="T92">
        <v>1002.09</v>
      </c>
      <c r="U92">
        <v>0.74</v>
      </c>
      <c r="V92">
        <v>0.76</v>
      </c>
      <c r="W92">
        <v>1.1399999999999999</v>
      </c>
      <c r="X92">
        <v>0.06</v>
      </c>
      <c r="Y92">
        <v>1</v>
      </c>
      <c r="Z92">
        <v>10</v>
      </c>
    </row>
    <row r="93" spans="1:26" x14ac:dyDescent="0.3">
      <c r="A93">
        <v>91</v>
      </c>
      <c r="B93">
        <v>120</v>
      </c>
      <c r="C93" t="s">
        <v>26</v>
      </c>
      <c r="D93">
        <v>10.3719</v>
      </c>
      <c r="E93">
        <v>9.64</v>
      </c>
      <c r="F93">
        <v>6.75</v>
      </c>
      <c r="G93">
        <v>101.25</v>
      </c>
      <c r="H93">
        <v>1.54</v>
      </c>
      <c r="I93">
        <v>4</v>
      </c>
      <c r="J93">
        <v>273.93</v>
      </c>
      <c r="K93">
        <v>57.72</v>
      </c>
      <c r="L93">
        <v>23.75</v>
      </c>
      <c r="M93">
        <v>2</v>
      </c>
      <c r="N93">
        <v>72.459999999999994</v>
      </c>
      <c r="O93">
        <v>34018.959999999999</v>
      </c>
      <c r="P93">
        <v>96.37</v>
      </c>
      <c r="Q93">
        <v>204.14</v>
      </c>
      <c r="R93">
        <v>23.66</v>
      </c>
      <c r="S93">
        <v>17.37</v>
      </c>
      <c r="T93">
        <v>1053.22</v>
      </c>
      <c r="U93">
        <v>0.73</v>
      </c>
      <c r="V93">
        <v>0.76</v>
      </c>
      <c r="W93">
        <v>1.1399999999999999</v>
      </c>
      <c r="X93">
        <v>0.06</v>
      </c>
      <c r="Y93">
        <v>1</v>
      </c>
      <c r="Z93">
        <v>10</v>
      </c>
    </row>
    <row r="94" spans="1:26" x14ac:dyDescent="0.3">
      <c r="A94">
        <v>92</v>
      </c>
      <c r="B94">
        <v>120</v>
      </c>
      <c r="C94" t="s">
        <v>26</v>
      </c>
      <c r="D94">
        <v>10.371700000000001</v>
      </c>
      <c r="E94">
        <v>9.64</v>
      </c>
      <c r="F94">
        <v>6.75</v>
      </c>
      <c r="G94">
        <v>101.26</v>
      </c>
      <c r="H94">
        <v>1.56</v>
      </c>
      <c r="I94">
        <v>4</v>
      </c>
      <c r="J94">
        <v>274.41000000000003</v>
      </c>
      <c r="K94">
        <v>57.72</v>
      </c>
      <c r="L94">
        <v>24</v>
      </c>
      <c r="M94">
        <v>2</v>
      </c>
      <c r="N94">
        <v>72.69</v>
      </c>
      <c r="O94">
        <v>34078.550000000003</v>
      </c>
      <c r="P94">
        <v>96.5</v>
      </c>
      <c r="Q94">
        <v>204.14</v>
      </c>
      <c r="R94">
        <v>23.64</v>
      </c>
      <c r="S94">
        <v>17.37</v>
      </c>
      <c r="T94">
        <v>1040.1600000000001</v>
      </c>
      <c r="U94">
        <v>0.74</v>
      </c>
      <c r="V94">
        <v>0.76</v>
      </c>
      <c r="W94">
        <v>1.1399999999999999</v>
      </c>
      <c r="X94">
        <v>0.06</v>
      </c>
      <c r="Y94">
        <v>1</v>
      </c>
      <c r="Z94">
        <v>10</v>
      </c>
    </row>
    <row r="95" spans="1:26" x14ac:dyDescent="0.3">
      <c r="A95">
        <v>93</v>
      </c>
      <c r="B95">
        <v>120</v>
      </c>
      <c r="C95" t="s">
        <v>26</v>
      </c>
      <c r="D95">
        <v>10.369</v>
      </c>
      <c r="E95">
        <v>9.64</v>
      </c>
      <c r="F95">
        <v>6.75</v>
      </c>
      <c r="G95">
        <v>101.3</v>
      </c>
      <c r="H95">
        <v>1.57</v>
      </c>
      <c r="I95">
        <v>4</v>
      </c>
      <c r="J95">
        <v>274.89999999999998</v>
      </c>
      <c r="K95">
        <v>57.72</v>
      </c>
      <c r="L95">
        <v>24.25</v>
      </c>
      <c r="M95">
        <v>2</v>
      </c>
      <c r="N95">
        <v>72.92</v>
      </c>
      <c r="O95">
        <v>34138.22</v>
      </c>
      <c r="P95">
        <v>96.49</v>
      </c>
      <c r="Q95">
        <v>204.14</v>
      </c>
      <c r="R95">
        <v>23.72</v>
      </c>
      <c r="S95">
        <v>17.37</v>
      </c>
      <c r="T95">
        <v>1084.67</v>
      </c>
      <c r="U95">
        <v>0.73</v>
      </c>
      <c r="V95">
        <v>0.76</v>
      </c>
      <c r="W95">
        <v>1.1399999999999999</v>
      </c>
      <c r="X95">
        <v>0.06</v>
      </c>
      <c r="Y95">
        <v>1</v>
      </c>
      <c r="Z95">
        <v>10</v>
      </c>
    </row>
    <row r="96" spans="1:26" x14ac:dyDescent="0.3">
      <c r="A96">
        <v>94</v>
      </c>
      <c r="B96">
        <v>120</v>
      </c>
      <c r="C96" t="s">
        <v>26</v>
      </c>
      <c r="D96">
        <v>10.376099999999999</v>
      </c>
      <c r="E96">
        <v>9.64</v>
      </c>
      <c r="F96">
        <v>6.75</v>
      </c>
      <c r="G96">
        <v>101.2</v>
      </c>
      <c r="H96">
        <v>1.58</v>
      </c>
      <c r="I96">
        <v>4</v>
      </c>
      <c r="J96">
        <v>275.38</v>
      </c>
      <c r="K96">
        <v>57.72</v>
      </c>
      <c r="L96">
        <v>24.5</v>
      </c>
      <c r="M96">
        <v>2</v>
      </c>
      <c r="N96">
        <v>73.16</v>
      </c>
      <c r="O96">
        <v>34197.980000000003</v>
      </c>
      <c r="P96">
        <v>96.62</v>
      </c>
      <c r="Q96">
        <v>204.14</v>
      </c>
      <c r="R96">
        <v>23.59</v>
      </c>
      <c r="S96">
        <v>17.37</v>
      </c>
      <c r="T96">
        <v>1017.34</v>
      </c>
      <c r="U96">
        <v>0.74</v>
      </c>
      <c r="V96">
        <v>0.76</v>
      </c>
      <c r="W96">
        <v>1.1399999999999999</v>
      </c>
      <c r="X96">
        <v>0.06</v>
      </c>
      <c r="Y96">
        <v>1</v>
      </c>
      <c r="Z96">
        <v>10</v>
      </c>
    </row>
    <row r="97" spans="1:26" x14ac:dyDescent="0.3">
      <c r="A97">
        <v>95</v>
      </c>
      <c r="B97">
        <v>120</v>
      </c>
      <c r="C97" t="s">
        <v>26</v>
      </c>
      <c r="D97">
        <v>10.379099999999999</v>
      </c>
      <c r="E97">
        <v>9.6300000000000008</v>
      </c>
      <c r="F97">
        <v>6.74</v>
      </c>
      <c r="G97">
        <v>101.15</v>
      </c>
      <c r="H97">
        <v>1.6</v>
      </c>
      <c r="I97">
        <v>4</v>
      </c>
      <c r="J97">
        <v>275.87</v>
      </c>
      <c r="K97">
        <v>57.72</v>
      </c>
      <c r="L97">
        <v>24.75</v>
      </c>
      <c r="M97">
        <v>2</v>
      </c>
      <c r="N97">
        <v>73.39</v>
      </c>
      <c r="O97">
        <v>34257.839999999997</v>
      </c>
      <c r="P97">
        <v>96.66</v>
      </c>
      <c r="Q97">
        <v>204.14</v>
      </c>
      <c r="R97">
        <v>23.54</v>
      </c>
      <c r="S97">
        <v>17.37</v>
      </c>
      <c r="T97">
        <v>993.72</v>
      </c>
      <c r="U97">
        <v>0.74</v>
      </c>
      <c r="V97">
        <v>0.76</v>
      </c>
      <c r="W97">
        <v>1.1399999999999999</v>
      </c>
      <c r="X97">
        <v>0.05</v>
      </c>
      <c r="Y97">
        <v>1</v>
      </c>
      <c r="Z97">
        <v>10</v>
      </c>
    </row>
    <row r="98" spans="1:26" x14ac:dyDescent="0.3">
      <c r="A98">
        <v>96</v>
      </c>
      <c r="B98">
        <v>120</v>
      </c>
      <c r="C98" t="s">
        <v>26</v>
      </c>
      <c r="D98">
        <v>10.382400000000001</v>
      </c>
      <c r="E98">
        <v>9.6300000000000008</v>
      </c>
      <c r="F98">
        <v>6.74</v>
      </c>
      <c r="G98">
        <v>101.11</v>
      </c>
      <c r="H98">
        <v>1.61</v>
      </c>
      <c r="I98">
        <v>4</v>
      </c>
      <c r="J98">
        <v>276.35000000000002</v>
      </c>
      <c r="K98">
        <v>57.72</v>
      </c>
      <c r="L98">
        <v>25</v>
      </c>
      <c r="M98">
        <v>2</v>
      </c>
      <c r="N98">
        <v>73.63</v>
      </c>
      <c r="O98">
        <v>34317.79</v>
      </c>
      <c r="P98">
        <v>96.72</v>
      </c>
      <c r="Q98">
        <v>204.14</v>
      </c>
      <c r="R98">
        <v>23.42</v>
      </c>
      <c r="S98">
        <v>17.37</v>
      </c>
      <c r="T98">
        <v>932.34</v>
      </c>
      <c r="U98">
        <v>0.74</v>
      </c>
      <c r="V98">
        <v>0.76</v>
      </c>
      <c r="W98">
        <v>1.1399999999999999</v>
      </c>
      <c r="X98">
        <v>0.05</v>
      </c>
      <c r="Y98">
        <v>1</v>
      </c>
      <c r="Z98">
        <v>10</v>
      </c>
    </row>
    <row r="99" spans="1:26" x14ac:dyDescent="0.3">
      <c r="A99">
        <v>97</v>
      </c>
      <c r="B99">
        <v>120</v>
      </c>
      <c r="C99" t="s">
        <v>26</v>
      </c>
      <c r="D99">
        <v>10.3749</v>
      </c>
      <c r="E99">
        <v>9.64</v>
      </c>
      <c r="F99">
        <v>6.75</v>
      </c>
      <c r="G99">
        <v>101.21</v>
      </c>
      <c r="H99">
        <v>1.62</v>
      </c>
      <c r="I99">
        <v>4</v>
      </c>
      <c r="J99">
        <v>276.83999999999997</v>
      </c>
      <c r="K99">
        <v>57.72</v>
      </c>
      <c r="L99">
        <v>25.25</v>
      </c>
      <c r="M99">
        <v>2</v>
      </c>
      <c r="N99">
        <v>73.87</v>
      </c>
      <c r="O99">
        <v>34377.83</v>
      </c>
      <c r="P99">
        <v>96.81</v>
      </c>
      <c r="Q99">
        <v>204.14</v>
      </c>
      <c r="R99">
        <v>23.52</v>
      </c>
      <c r="S99">
        <v>17.37</v>
      </c>
      <c r="T99">
        <v>982.75</v>
      </c>
      <c r="U99">
        <v>0.74</v>
      </c>
      <c r="V99">
        <v>0.76</v>
      </c>
      <c r="W99">
        <v>1.1399999999999999</v>
      </c>
      <c r="X99">
        <v>0.06</v>
      </c>
      <c r="Y99">
        <v>1</v>
      </c>
      <c r="Z99">
        <v>10</v>
      </c>
    </row>
    <row r="100" spans="1:26" x14ac:dyDescent="0.3">
      <c r="A100">
        <v>98</v>
      </c>
      <c r="B100">
        <v>120</v>
      </c>
      <c r="C100" t="s">
        <v>26</v>
      </c>
      <c r="D100">
        <v>10.3764</v>
      </c>
      <c r="E100">
        <v>9.64</v>
      </c>
      <c r="F100">
        <v>6.75</v>
      </c>
      <c r="G100">
        <v>101.19</v>
      </c>
      <c r="H100">
        <v>1.64</v>
      </c>
      <c r="I100">
        <v>4</v>
      </c>
      <c r="J100">
        <v>277.33</v>
      </c>
      <c r="K100">
        <v>57.72</v>
      </c>
      <c r="L100">
        <v>25.5</v>
      </c>
      <c r="M100">
        <v>2</v>
      </c>
      <c r="N100">
        <v>74.099999999999994</v>
      </c>
      <c r="O100">
        <v>34437.96</v>
      </c>
      <c r="P100">
        <v>96.73</v>
      </c>
      <c r="Q100">
        <v>204.14</v>
      </c>
      <c r="R100">
        <v>23.57</v>
      </c>
      <c r="S100">
        <v>17.37</v>
      </c>
      <c r="T100">
        <v>1007.43</v>
      </c>
      <c r="U100">
        <v>0.74</v>
      </c>
      <c r="V100">
        <v>0.76</v>
      </c>
      <c r="W100">
        <v>1.1399999999999999</v>
      </c>
      <c r="X100">
        <v>0.06</v>
      </c>
      <c r="Y100">
        <v>1</v>
      </c>
      <c r="Z100">
        <v>10</v>
      </c>
    </row>
    <row r="101" spans="1:26" x14ac:dyDescent="0.3">
      <c r="A101">
        <v>99</v>
      </c>
      <c r="B101">
        <v>120</v>
      </c>
      <c r="C101" t="s">
        <v>26</v>
      </c>
      <c r="D101">
        <v>10.369300000000001</v>
      </c>
      <c r="E101">
        <v>9.64</v>
      </c>
      <c r="F101">
        <v>6.75</v>
      </c>
      <c r="G101">
        <v>101.29</v>
      </c>
      <c r="H101">
        <v>1.65</v>
      </c>
      <c r="I101">
        <v>4</v>
      </c>
      <c r="J101">
        <v>277.82</v>
      </c>
      <c r="K101">
        <v>57.72</v>
      </c>
      <c r="L101">
        <v>25.75</v>
      </c>
      <c r="M101">
        <v>2</v>
      </c>
      <c r="N101">
        <v>74.34</v>
      </c>
      <c r="O101">
        <v>34498.19</v>
      </c>
      <c r="P101">
        <v>96.83</v>
      </c>
      <c r="Q101">
        <v>204.14</v>
      </c>
      <c r="R101">
        <v>23.76</v>
      </c>
      <c r="S101">
        <v>17.37</v>
      </c>
      <c r="T101">
        <v>1101.1600000000001</v>
      </c>
      <c r="U101">
        <v>0.73</v>
      </c>
      <c r="V101">
        <v>0.76</v>
      </c>
      <c r="W101">
        <v>1.1399999999999999</v>
      </c>
      <c r="X101">
        <v>0.06</v>
      </c>
      <c r="Y101">
        <v>1</v>
      </c>
      <c r="Z101">
        <v>10</v>
      </c>
    </row>
    <row r="102" spans="1:26" x14ac:dyDescent="0.3">
      <c r="A102">
        <v>100</v>
      </c>
      <c r="B102">
        <v>120</v>
      </c>
      <c r="C102" t="s">
        <v>26</v>
      </c>
      <c r="D102">
        <v>10.3696</v>
      </c>
      <c r="E102">
        <v>9.64</v>
      </c>
      <c r="F102">
        <v>6.75</v>
      </c>
      <c r="G102">
        <v>101.29</v>
      </c>
      <c r="H102">
        <v>1.66</v>
      </c>
      <c r="I102">
        <v>4</v>
      </c>
      <c r="J102">
        <v>278.31</v>
      </c>
      <c r="K102">
        <v>57.72</v>
      </c>
      <c r="L102">
        <v>26</v>
      </c>
      <c r="M102">
        <v>2</v>
      </c>
      <c r="N102">
        <v>74.58</v>
      </c>
      <c r="O102">
        <v>34558.51</v>
      </c>
      <c r="P102">
        <v>96.76</v>
      </c>
      <c r="Q102">
        <v>204.14</v>
      </c>
      <c r="R102">
        <v>23.71</v>
      </c>
      <c r="S102">
        <v>17.37</v>
      </c>
      <c r="T102">
        <v>1078</v>
      </c>
      <c r="U102">
        <v>0.73</v>
      </c>
      <c r="V102">
        <v>0.76</v>
      </c>
      <c r="W102">
        <v>1.1399999999999999</v>
      </c>
      <c r="X102">
        <v>0.06</v>
      </c>
      <c r="Y102">
        <v>1</v>
      </c>
      <c r="Z102">
        <v>10</v>
      </c>
    </row>
    <row r="103" spans="1:26" x14ac:dyDescent="0.3">
      <c r="A103">
        <v>101</v>
      </c>
      <c r="B103">
        <v>120</v>
      </c>
      <c r="C103" t="s">
        <v>26</v>
      </c>
      <c r="D103">
        <v>10.373699999999999</v>
      </c>
      <c r="E103">
        <v>9.64</v>
      </c>
      <c r="F103">
        <v>6.75</v>
      </c>
      <c r="G103">
        <v>101.23</v>
      </c>
      <c r="H103">
        <v>1.68</v>
      </c>
      <c r="I103">
        <v>4</v>
      </c>
      <c r="J103">
        <v>278.79000000000002</v>
      </c>
      <c r="K103">
        <v>57.72</v>
      </c>
      <c r="L103">
        <v>26.25</v>
      </c>
      <c r="M103">
        <v>2</v>
      </c>
      <c r="N103">
        <v>74.819999999999993</v>
      </c>
      <c r="O103">
        <v>34618.92</v>
      </c>
      <c r="P103">
        <v>96.67</v>
      </c>
      <c r="Q103">
        <v>204.14</v>
      </c>
      <c r="R103">
        <v>23.68</v>
      </c>
      <c r="S103">
        <v>17.37</v>
      </c>
      <c r="T103">
        <v>1064.3800000000001</v>
      </c>
      <c r="U103">
        <v>0.73</v>
      </c>
      <c r="V103">
        <v>0.76</v>
      </c>
      <c r="W103">
        <v>1.1399999999999999</v>
      </c>
      <c r="X103">
        <v>0.06</v>
      </c>
      <c r="Y103">
        <v>1</v>
      </c>
      <c r="Z103">
        <v>10</v>
      </c>
    </row>
    <row r="104" spans="1:26" x14ac:dyDescent="0.3">
      <c r="A104">
        <v>102</v>
      </c>
      <c r="B104">
        <v>120</v>
      </c>
      <c r="C104" t="s">
        <v>26</v>
      </c>
      <c r="D104">
        <v>10.3764</v>
      </c>
      <c r="E104">
        <v>9.64</v>
      </c>
      <c r="F104">
        <v>6.75</v>
      </c>
      <c r="G104">
        <v>101.19</v>
      </c>
      <c r="H104">
        <v>1.69</v>
      </c>
      <c r="I104">
        <v>4</v>
      </c>
      <c r="J104">
        <v>279.29000000000002</v>
      </c>
      <c r="K104">
        <v>57.72</v>
      </c>
      <c r="L104">
        <v>26.5</v>
      </c>
      <c r="M104">
        <v>2</v>
      </c>
      <c r="N104">
        <v>75.06</v>
      </c>
      <c r="O104">
        <v>34679.43</v>
      </c>
      <c r="P104">
        <v>96.48</v>
      </c>
      <c r="Q104">
        <v>204.14</v>
      </c>
      <c r="R104">
        <v>23.55</v>
      </c>
      <c r="S104">
        <v>17.37</v>
      </c>
      <c r="T104">
        <v>996.86</v>
      </c>
      <c r="U104">
        <v>0.74</v>
      </c>
      <c r="V104">
        <v>0.76</v>
      </c>
      <c r="W104">
        <v>1.1399999999999999</v>
      </c>
      <c r="X104">
        <v>0.06</v>
      </c>
      <c r="Y104">
        <v>1</v>
      </c>
      <c r="Z104">
        <v>10</v>
      </c>
    </row>
    <row r="105" spans="1:26" x14ac:dyDescent="0.3">
      <c r="A105">
        <v>103</v>
      </c>
      <c r="B105">
        <v>120</v>
      </c>
      <c r="C105" t="s">
        <v>26</v>
      </c>
      <c r="D105">
        <v>10.3764</v>
      </c>
      <c r="E105">
        <v>9.64</v>
      </c>
      <c r="F105">
        <v>6.75</v>
      </c>
      <c r="G105">
        <v>101.19</v>
      </c>
      <c r="H105">
        <v>1.7</v>
      </c>
      <c r="I105">
        <v>4</v>
      </c>
      <c r="J105">
        <v>279.77999999999997</v>
      </c>
      <c r="K105">
        <v>57.72</v>
      </c>
      <c r="L105">
        <v>26.75</v>
      </c>
      <c r="M105">
        <v>2</v>
      </c>
      <c r="N105">
        <v>75.3</v>
      </c>
      <c r="O105">
        <v>34740.03</v>
      </c>
      <c r="P105">
        <v>96.48</v>
      </c>
      <c r="Q105">
        <v>204.14</v>
      </c>
      <c r="R105">
        <v>23.53</v>
      </c>
      <c r="S105">
        <v>17.37</v>
      </c>
      <c r="T105">
        <v>985.83</v>
      </c>
      <c r="U105">
        <v>0.74</v>
      </c>
      <c r="V105">
        <v>0.76</v>
      </c>
      <c r="W105">
        <v>1.1399999999999999</v>
      </c>
      <c r="X105">
        <v>0.05</v>
      </c>
      <c r="Y105">
        <v>1</v>
      </c>
      <c r="Z105">
        <v>10</v>
      </c>
    </row>
    <row r="106" spans="1:26" x14ac:dyDescent="0.3">
      <c r="A106">
        <v>104</v>
      </c>
      <c r="B106">
        <v>120</v>
      </c>
      <c r="C106" t="s">
        <v>26</v>
      </c>
      <c r="D106">
        <v>10.3788</v>
      </c>
      <c r="E106">
        <v>9.64</v>
      </c>
      <c r="F106">
        <v>6.74</v>
      </c>
      <c r="G106">
        <v>101.16</v>
      </c>
      <c r="H106">
        <v>1.72</v>
      </c>
      <c r="I106">
        <v>4</v>
      </c>
      <c r="J106">
        <v>280.27</v>
      </c>
      <c r="K106">
        <v>57.72</v>
      </c>
      <c r="L106">
        <v>27</v>
      </c>
      <c r="M106">
        <v>2</v>
      </c>
      <c r="N106">
        <v>75.540000000000006</v>
      </c>
      <c r="O106">
        <v>34800.730000000003</v>
      </c>
      <c r="P106">
        <v>96.35</v>
      </c>
      <c r="Q106">
        <v>204.14</v>
      </c>
      <c r="R106">
        <v>23.5</v>
      </c>
      <c r="S106">
        <v>17.37</v>
      </c>
      <c r="T106">
        <v>971.38</v>
      </c>
      <c r="U106">
        <v>0.74</v>
      </c>
      <c r="V106">
        <v>0.76</v>
      </c>
      <c r="W106">
        <v>1.1399999999999999</v>
      </c>
      <c r="X106">
        <v>0.05</v>
      </c>
      <c r="Y106">
        <v>1</v>
      </c>
      <c r="Z106">
        <v>10</v>
      </c>
    </row>
    <row r="107" spans="1:26" x14ac:dyDescent="0.3">
      <c r="A107">
        <v>105</v>
      </c>
      <c r="B107">
        <v>120</v>
      </c>
      <c r="C107" t="s">
        <v>26</v>
      </c>
      <c r="D107">
        <v>10.3833</v>
      </c>
      <c r="E107">
        <v>9.6300000000000008</v>
      </c>
      <c r="F107">
        <v>6.74</v>
      </c>
      <c r="G107">
        <v>101.1</v>
      </c>
      <c r="H107">
        <v>1.73</v>
      </c>
      <c r="I107">
        <v>4</v>
      </c>
      <c r="J107">
        <v>280.76</v>
      </c>
      <c r="K107">
        <v>57.72</v>
      </c>
      <c r="L107">
        <v>27.25</v>
      </c>
      <c r="M107">
        <v>2</v>
      </c>
      <c r="N107">
        <v>75.790000000000006</v>
      </c>
      <c r="O107">
        <v>34861.53</v>
      </c>
      <c r="P107">
        <v>96.18</v>
      </c>
      <c r="Q107">
        <v>204.14</v>
      </c>
      <c r="R107">
        <v>23.33</v>
      </c>
      <c r="S107">
        <v>17.37</v>
      </c>
      <c r="T107">
        <v>887.2</v>
      </c>
      <c r="U107">
        <v>0.74</v>
      </c>
      <c r="V107">
        <v>0.76</v>
      </c>
      <c r="W107">
        <v>1.1399999999999999</v>
      </c>
      <c r="X107">
        <v>0.05</v>
      </c>
      <c r="Y107">
        <v>1</v>
      </c>
      <c r="Z107">
        <v>10</v>
      </c>
    </row>
    <row r="108" spans="1:26" x14ac:dyDescent="0.3">
      <c r="A108">
        <v>106</v>
      </c>
      <c r="B108">
        <v>120</v>
      </c>
      <c r="C108" t="s">
        <v>26</v>
      </c>
      <c r="D108">
        <v>10.380599999999999</v>
      </c>
      <c r="E108">
        <v>9.6300000000000008</v>
      </c>
      <c r="F108">
        <v>6.74</v>
      </c>
      <c r="G108">
        <v>101.13</v>
      </c>
      <c r="H108">
        <v>1.74</v>
      </c>
      <c r="I108">
        <v>4</v>
      </c>
      <c r="J108">
        <v>281.26</v>
      </c>
      <c r="K108">
        <v>57.72</v>
      </c>
      <c r="L108">
        <v>27.5</v>
      </c>
      <c r="M108">
        <v>2</v>
      </c>
      <c r="N108">
        <v>76.03</v>
      </c>
      <c r="O108">
        <v>34922.42</v>
      </c>
      <c r="P108">
        <v>96.07</v>
      </c>
      <c r="Q108">
        <v>204.17</v>
      </c>
      <c r="R108">
        <v>23.44</v>
      </c>
      <c r="S108">
        <v>17.37</v>
      </c>
      <c r="T108">
        <v>940.75</v>
      </c>
      <c r="U108">
        <v>0.74</v>
      </c>
      <c r="V108">
        <v>0.76</v>
      </c>
      <c r="W108">
        <v>1.1399999999999999</v>
      </c>
      <c r="X108">
        <v>0.05</v>
      </c>
      <c r="Y108">
        <v>1</v>
      </c>
      <c r="Z108">
        <v>10</v>
      </c>
    </row>
    <row r="109" spans="1:26" x14ac:dyDescent="0.3">
      <c r="A109">
        <v>107</v>
      </c>
      <c r="B109">
        <v>120</v>
      </c>
      <c r="C109" t="s">
        <v>26</v>
      </c>
      <c r="D109">
        <v>10.38</v>
      </c>
      <c r="E109">
        <v>9.6300000000000008</v>
      </c>
      <c r="F109">
        <v>6.74</v>
      </c>
      <c r="G109">
        <v>101.14</v>
      </c>
      <c r="H109">
        <v>1.75</v>
      </c>
      <c r="I109">
        <v>4</v>
      </c>
      <c r="J109">
        <v>281.75</v>
      </c>
      <c r="K109">
        <v>57.72</v>
      </c>
      <c r="L109">
        <v>27.75</v>
      </c>
      <c r="M109">
        <v>2</v>
      </c>
      <c r="N109">
        <v>76.28</v>
      </c>
      <c r="O109">
        <v>34983.410000000003</v>
      </c>
      <c r="P109">
        <v>95.86</v>
      </c>
      <c r="Q109">
        <v>204.14</v>
      </c>
      <c r="R109">
        <v>23.49</v>
      </c>
      <c r="S109">
        <v>17.37</v>
      </c>
      <c r="T109">
        <v>969.66</v>
      </c>
      <c r="U109">
        <v>0.74</v>
      </c>
      <c r="V109">
        <v>0.76</v>
      </c>
      <c r="W109">
        <v>1.1399999999999999</v>
      </c>
      <c r="X109">
        <v>0.05</v>
      </c>
      <c r="Y109">
        <v>1</v>
      </c>
      <c r="Z109">
        <v>10</v>
      </c>
    </row>
    <row r="110" spans="1:26" x14ac:dyDescent="0.3">
      <c r="A110">
        <v>108</v>
      </c>
      <c r="B110">
        <v>120</v>
      </c>
      <c r="C110" t="s">
        <v>26</v>
      </c>
      <c r="D110">
        <v>10.3812</v>
      </c>
      <c r="E110">
        <v>9.6300000000000008</v>
      </c>
      <c r="F110">
        <v>6.74</v>
      </c>
      <c r="G110">
        <v>101.12</v>
      </c>
      <c r="H110">
        <v>1.77</v>
      </c>
      <c r="I110">
        <v>4</v>
      </c>
      <c r="J110">
        <v>282.25</v>
      </c>
      <c r="K110">
        <v>57.72</v>
      </c>
      <c r="L110">
        <v>28</v>
      </c>
      <c r="M110">
        <v>2</v>
      </c>
      <c r="N110">
        <v>76.52</v>
      </c>
      <c r="O110">
        <v>35044.49</v>
      </c>
      <c r="P110">
        <v>95.74</v>
      </c>
      <c r="Q110">
        <v>204.15</v>
      </c>
      <c r="R110">
        <v>23.37</v>
      </c>
      <c r="S110">
        <v>17.37</v>
      </c>
      <c r="T110">
        <v>907.73</v>
      </c>
      <c r="U110">
        <v>0.74</v>
      </c>
      <c r="V110">
        <v>0.76</v>
      </c>
      <c r="W110">
        <v>1.1399999999999999</v>
      </c>
      <c r="X110">
        <v>0.05</v>
      </c>
      <c r="Y110">
        <v>1</v>
      </c>
      <c r="Z110">
        <v>10</v>
      </c>
    </row>
    <row r="111" spans="1:26" x14ac:dyDescent="0.3">
      <c r="A111">
        <v>109</v>
      </c>
      <c r="B111">
        <v>120</v>
      </c>
      <c r="C111" t="s">
        <v>26</v>
      </c>
      <c r="D111">
        <v>10.3833</v>
      </c>
      <c r="E111">
        <v>9.6300000000000008</v>
      </c>
      <c r="F111">
        <v>6.74</v>
      </c>
      <c r="G111">
        <v>101.1</v>
      </c>
      <c r="H111">
        <v>1.78</v>
      </c>
      <c r="I111">
        <v>4</v>
      </c>
      <c r="J111">
        <v>282.74</v>
      </c>
      <c r="K111">
        <v>57.72</v>
      </c>
      <c r="L111">
        <v>28.25</v>
      </c>
      <c r="M111">
        <v>2</v>
      </c>
      <c r="N111">
        <v>76.77</v>
      </c>
      <c r="O111">
        <v>35105.68</v>
      </c>
      <c r="P111">
        <v>95.45</v>
      </c>
      <c r="Q111">
        <v>204.14</v>
      </c>
      <c r="R111">
        <v>23.37</v>
      </c>
      <c r="S111">
        <v>17.37</v>
      </c>
      <c r="T111">
        <v>904.96</v>
      </c>
      <c r="U111">
        <v>0.74</v>
      </c>
      <c r="V111">
        <v>0.76</v>
      </c>
      <c r="W111">
        <v>1.1399999999999999</v>
      </c>
      <c r="X111">
        <v>0.05</v>
      </c>
      <c r="Y111">
        <v>1</v>
      </c>
      <c r="Z111">
        <v>10</v>
      </c>
    </row>
    <row r="112" spans="1:26" x14ac:dyDescent="0.3">
      <c r="A112">
        <v>110</v>
      </c>
      <c r="B112">
        <v>120</v>
      </c>
      <c r="C112" t="s">
        <v>26</v>
      </c>
      <c r="D112">
        <v>10.3794</v>
      </c>
      <c r="E112">
        <v>9.6300000000000008</v>
      </c>
      <c r="F112">
        <v>6.74</v>
      </c>
      <c r="G112">
        <v>101.15</v>
      </c>
      <c r="H112">
        <v>1.79</v>
      </c>
      <c r="I112">
        <v>4</v>
      </c>
      <c r="J112">
        <v>283.24</v>
      </c>
      <c r="K112">
        <v>57.72</v>
      </c>
      <c r="L112">
        <v>28.5</v>
      </c>
      <c r="M112">
        <v>2</v>
      </c>
      <c r="N112">
        <v>77.010000000000005</v>
      </c>
      <c r="O112">
        <v>35166.959999999999</v>
      </c>
      <c r="P112">
        <v>95.31</v>
      </c>
      <c r="Q112">
        <v>204.14</v>
      </c>
      <c r="R112">
        <v>23.44</v>
      </c>
      <c r="S112">
        <v>17.37</v>
      </c>
      <c r="T112">
        <v>943.11</v>
      </c>
      <c r="U112">
        <v>0.74</v>
      </c>
      <c r="V112">
        <v>0.76</v>
      </c>
      <c r="W112">
        <v>1.1399999999999999</v>
      </c>
      <c r="X112">
        <v>0.05</v>
      </c>
      <c r="Y112">
        <v>1</v>
      </c>
      <c r="Z112">
        <v>10</v>
      </c>
    </row>
    <row r="113" spans="1:26" x14ac:dyDescent="0.3">
      <c r="A113">
        <v>111</v>
      </c>
      <c r="B113">
        <v>120</v>
      </c>
      <c r="C113" t="s">
        <v>26</v>
      </c>
      <c r="D113">
        <v>10.388999999999999</v>
      </c>
      <c r="E113">
        <v>9.6300000000000008</v>
      </c>
      <c r="F113">
        <v>6.73</v>
      </c>
      <c r="G113">
        <v>101.02</v>
      </c>
      <c r="H113">
        <v>1.8</v>
      </c>
      <c r="I113">
        <v>4</v>
      </c>
      <c r="J113">
        <v>283.74</v>
      </c>
      <c r="K113">
        <v>57.72</v>
      </c>
      <c r="L113">
        <v>28.75</v>
      </c>
      <c r="M113">
        <v>2</v>
      </c>
      <c r="N113">
        <v>77.260000000000005</v>
      </c>
      <c r="O113">
        <v>35228.339999999997</v>
      </c>
      <c r="P113">
        <v>95.01</v>
      </c>
      <c r="Q113">
        <v>204.14</v>
      </c>
      <c r="R113">
        <v>23.17</v>
      </c>
      <c r="S113">
        <v>17.37</v>
      </c>
      <c r="T113">
        <v>804.89</v>
      </c>
      <c r="U113">
        <v>0.75</v>
      </c>
      <c r="V113">
        <v>0.76</v>
      </c>
      <c r="W113">
        <v>1.1399999999999999</v>
      </c>
      <c r="X113">
        <v>0.04</v>
      </c>
      <c r="Y113">
        <v>1</v>
      </c>
      <c r="Z113">
        <v>10</v>
      </c>
    </row>
    <row r="114" spans="1:26" x14ac:dyDescent="0.3">
      <c r="A114">
        <v>112</v>
      </c>
      <c r="B114">
        <v>120</v>
      </c>
      <c r="C114" t="s">
        <v>26</v>
      </c>
      <c r="D114">
        <v>10.385999999999999</v>
      </c>
      <c r="E114">
        <v>9.6300000000000008</v>
      </c>
      <c r="F114">
        <v>6.74</v>
      </c>
      <c r="G114">
        <v>101.06</v>
      </c>
      <c r="H114">
        <v>1.82</v>
      </c>
      <c r="I114">
        <v>4</v>
      </c>
      <c r="J114">
        <v>284.23</v>
      </c>
      <c r="K114">
        <v>57.72</v>
      </c>
      <c r="L114">
        <v>29</v>
      </c>
      <c r="M114">
        <v>2</v>
      </c>
      <c r="N114">
        <v>77.510000000000005</v>
      </c>
      <c r="O114">
        <v>35289.82</v>
      </c>
      <c r="P114">
        <v>94.86</v>
      </c>
      <c r="Q114">
        <v>204.16</v>
      </c>
      <c r="R114">
        <v>23.16</v>
      </c>
      <c r="S114">
        <v>17.37</v>
      </c>
      <c r="T114">
        <v>800</v>
      </c>
      <c r="U114">
        <v>0.75</v>
      </c>
      <c r="V114">
        <v>0.76</v>
      </c>
      <c r="W114">
        <v>1.1399999999999999</v>
      </c>
      <c r="X114">
        <v>0.05</v>
      </c>
      <c r="Y114">
        <v>1</v>
      </c>
      <c r="Z114">
        <v>10</v>
      </c>
    </row>
    <row r="115" spans="1:26" x14ac:dyDescent="0.3">
      <c r="A115">
        <v>113</v>
      </c>
      <c r="B115">
        <v>120</v>
      </c>
      <c r="C115" t="s">
        <v>26</v>
      </c>
      <c r="D115">
        <v>10.387499999999999</v>
      </c>
      <c r="E115">
        <v>9.6300000000000008</v>
      </c>
      <c r="F115">
        <v>6.74</v>
      </c>
      <c r="G115">
        <v>101.04</v>
      </c>
      <c r="H115">
        <v>1.83</v>
      </c>
      <c r="I115">
        <v>4</v>
      </c>
      <c r="J115">
        <v>284.73</v>
      </c>
      <c r="K115">
        <v>57.72</v>
      </c>
      <c r="L115">
        <v>29.25</v>
      </c>
      <c r="M115">
        <v>2</v>
      </c>
      <c r="N115">
        <v>77.760000000000005</v>
      </c>
      <c r="O115">
        <v>35351.4</v>
      </c>
      <c r="P115">
        <v>94.58</v>
      </c>
      <c r="Q115">
        <v>204.14</v>
      </c>
      <c r="R115">
        <v>23.13</v>
      </c>
      <c r="S115">
        <v>17.37</v>
      </c>
      <c r="T115">
        <v>788.25</v>
      </c>
      <c r="U115">
        <v>0.75</v>
      </c>
      <c r="V115">
        <v>0.76</v>
      </c>
      <c r="W115">
        <v>1.1399999999999999</v>
      </c>
      <c r="X115">
        <v>0.04</v>
      </c>
      <c r="Y115">
        <v>1</v>
      </c>
      <c r="Z115">
        <v>10</v>
      </c>
    </row>
    <row r="116" spans="1:26" x14ac:dyDescent="0.3">
      <c r="A116">
        <v>114</v>
      </c>
      <c r="B116">
        <v>120</v>
      </c>
      <c r="C116" t="s">
        <v>26</v>
      </c>
      <c r="D116">
        <v>10.3863</v>
      </c>
      <c r="E116">
        <v>9.6300000000000008</v>
      </c>
      <c r="F116">
        <v>6.74</v>
      </c>
      <c r="G116">
        <v>101.05</v>
      </c>
      <c r="H116">
        <v>1.84</v>
      </c>
      <c r="I116">
        <v>4</v>
      </c>
      <c r="J116">
        <v>285.23</v>
      </c>
      <c r="K116">
        <v>57.72</v>
      </c>
      <c r="L116">
        <v>29.5</v>
      </c>
      <c r="M116">
        <v>2</v>
      </c>
      <c r="N116">
        <v>78.010000000000005</v>
      </c>
      <c r="O116">
        <v>35413.08</v>
      </c>
      <c r="P116">
        <v>94.38</v>
      </c>
      <c r="Q116">
        <v>204.14</v>
      </c>
      <c r="R116">
        <v>23.19</v>
      </c>
      <c r="S116">
        <v>17.37</v>
      </c>
      <c r="T116">
        <v>818.89</v>
      </c>
      <c r="U116">
        <v>0.75</v>
      </c>
      <c r="V116">
        <v>0.76</v>
      </c>
      <c r="W116">
        <v>1.1399999999999999</v>
      </c>
      <c r="X116">
        <v>0.05</v>
      </c>
      <c r="Y116">
        <v>1</v>
      </c>
      <c r="Z116">
        <v>10</v>
      </c>
    </row>
    <row r="117" spans="1:26" x14ac:dyDescent="0.3">
      <c r="A117">
        <v>115</v>
      </c>
      <c r="B117">
        <v>120</v>
      </c>
      <c r="C117" t="s">
        <v>26</v>
      </c>
      <c r="D117">
        <v>10.385400000000001</v>
      </c>
      <c r="E117">
        <v>9.6300000000000008</v>
      </c>
      <c r="F117">
        <v>6.74</v>
      </c>
      <c r="G117">
        <v>101.07</v>
      </c>
      <c r="H117">
        <v>1.85</v>
      </c>
      <c r="I117">
        <v>4</v>
      </c>
      <c r="J117">
        <v>285.73</v>
      </c>
      <c r="K117">
        <v>57.72</v>
      </c>
      <c r="L117">
        <v>29.75</v>
      </c>
      <c r="M117">
        <v>2</v>
      </c>
      <c r="N117">
        <v>78.260000000000005</v>
      </c>
      <c r="O117">
        <v>35474.86</v>
      </c>
      <c r="P117">
        <v>94.2</v>
      </c>
      <c r="Q117">
        <v>204.14</v>
      </c>
      <c r="R117">
        <v>23.24</v>
      </c>
      <c r="S117">
        <v>17.37</v>
      </c>
      <c r="T117">
        <v>842.18</v>
      </c>
      <c r="U117">
        <v>0.75</v>
      </c>
      <c r="V117">
        <v>0.76</v>
      </c>
      <c r="W117">
        <v>1.1399999999999999</v>
      </c>
      <c r="X117">
        <v>0.05</v>
      </c>
      <c r="Y117">
        <v>1</v>
      </c>
      <c r="Z117">
        <v>10</v>
      </c>
    </row>
    <row r="118" spans="1:26" x14ac:dyDescent="0.3">
      <c r="A118">
        <v>116</v>
      </c>
      <c r="B118">
        <v>120</v>
      </c>
      <c r="C118" t="s">
        <v>26</v>
      </c>
      <c r="D118">
        <v>10.383599999999999</v>
      </c>
      <c r="E118">
        <v>9.6300000000000008</v>
      </c>
      <c r="F118">
        <v>6.74</v>
      </c>
      <c r="G118">
        <v>101.09</v>
      </c>
      <c r="H118">
        <v>1.87</v>
      </c>
      <c r="I118">
        <v>4</v>
      </c>
      <c r="J118">
        <v>286.24</v>
      </c>
      <c r="K118">
        <v>57.72</v>
      </c>
      <c r="L118">
        <v>30</v>
      </c>
      <c r="M118">
        <v>2</v>
      </c>
      <c r="N118">
        <v>78.510000000000005</v>
      </c>
      <c r="O118">
        <v>35536.74</v>
      </c>
      <c r="P118">
        <v>94.08</v>
      </c>
      <c r="Q118">
        <v>204.14</v>
      </c>
      <c r="R118">
        <v>23.26</v>
      </c>
      <c r="S118">
        <v>17.37</v>
      </c>
      <c r="T118">
        <v>850.91</v>
      </c>
      <c r="U118">
        <v>0.75</v>
      </c>
      <c r="V118">
        <v>0.76</v>
      </c>
      <c r="W118">
        <v>1.1399999999999999</v>
      </c>
      <c r="X118">
        <v>0.05</v>
      </c>
      <c r="Y118">
        <v>1</v>
      </c>
      <c r="Z118">
        <v>10</v>
      </c>
    </row>
    <row r="119" spans="1:26" x14ac:dyDescent="0.3">
      <c r="A119">
        <v>117</v>
      </c>
      <c r="B119">
        <v>120</v>
      </c>
      <c r="C119" t="s">
        <v>26</v>
      </c>
      <c r="D119">
        <v>10.382099999999999</v>
      </c>
      <c r="E119">
        <v>9.6300000000000008</v>
      </c>
      <c r="F119">
        <v>6.74</v>
      </c>
      <c r="G119">
        <v>101.11</v>
      </c>
      <c r="H119">
        <v>1.88</v>
      </c>
      <c r="I119">
        <v>4</v>
      </c>
      <c r="J119">
        <v>286.74</v>
      </c>
      <c r="K119">
        <v>57.72</v>
      </c>
      <c r="L119">
        <v>30.25</v>
      </c>
      <c r="M119">
        <v>2</v>
      </c>
      <c r="N119">
        <v>78.77</v>
      </c>
      <c r="O119">
        <v>35598.85</v>
      </c>
      <c r="P119">
        <v>93.84</v>
      </c>
      <c r="Q119">
        <v>204.14</v>
      </c>
      <c r="R119">
        <v>23.38</v>
      </c>
      <c r="S119">
        <v>17.37</v>
      </c>
      <c r="T119">
        <v>911.84</v>
      </c>
      <c r="U119">
        <v>0.74</v>
      </c>
      <c r="V119">
        <v>0.76</v>
      </c>
      <c r="W119">
        <v>1.1399999999999999</v>
      </c>
      <c r="X119">
        <v>0.05</v>
      </c>
      <c r="Y119">
        <v>1</v>
      </c>
      <c r="Z119">
        <v>10</v>
      </c>
    </row>
    <row r="120" spans="1:26" x14ac:dyDescent="0.3">
      <c r="A120">
        <v>118</v>
      </c>
      <c r="B120">
        <v>120</v>
      </c>
      <c r="C120" t="s">
        <v>26</v>
      </c>
      <c r="D120">
        <v>10.3797</v>
      </c>
      <c r="E120">
        <v>9.6300000000000008</v>
      </c>
      <c r="F120">
        <v>6.74</v>
      </c>
      <c r="G120">
        <v>101.15</v>
      </c>
      <c r="H120">
        <v>1.89</v>
      </c>
      <c r="I120">
        <v>4</v>
      </c>
      <c r="J120">
        <v>287.24</v>
      </c>
      <c r="K120">
        <v>57.72</v>
      </c>
      <c r="L120">
        <v>30.5</v>
      </c>
      <c r="M120">
        <v>2</v>
      </c>
      <c r="N120">
        <v>79.02</v>
      </c>
      <c r="O120">
        <v>35660.94</v>
      </c>
      <c r="P120">
        <v>93.59</v>
      </c>
      <c r="Q120">
        <v>204.14</v>
      </c>
      <c r="R120">
        <v>23.41</v>
      </c>
      <c r="S120">
        <v>17.37</v>
      </c>
      <c r="T120">
        <v>927.08</v>
      </c>
      <c r="U120">
        <v>0.74</v>
      </c>
      <c r="V120">
        <v>0.76</v>
      </c>
      <c r="W120">
        <v>1.1399999999999999</v>
      </c>
      <c r="X120">
        <v>0.05</v>
      </c>
      <c r="Y120">
        <v>1</v>
      </c>
      <c r="Z120">
        <v>10</v>
      </c>
    </row>
    <row r="121" spans="1:26" x14ac:dyDescent="0.3">
      <c r="A121">
        <v>119</v>
      </c>
      <c r="B121">
        <v>120</v>
      </c>
      <c r="C121" t="s">
        <v>26</v>
      </c>
      <c r="D121">
        <v>10.385999999999999</v>
      </c>
      <c r="E121">
        <v>9.6300000000000008</v>
      </c>
      <c r="F121">
        <v>6.74</v>
      </c>
      <c r="G121">
        <v>101.06</v>
      </c>
      <c r="H121">
        <v>1.9</v>
      </c>
      <c r="I121">
        <v>4</v>
      </c>
      <c r="J121">
        <v>287.75</v>
      </c>
      <c r="K121">
        <v>57.72</v>
      </c>
      <c r="L121">
        <v>30.75</v>
      </c>
      <c r="M121">
        <v>2</v>
      </c>
      <c r="N121">
        <v>79.27</v>
      </c>
      <c r="O121">
        <v>35723.129999999997</v>
      </c>
      <c r="P121">
        <v>93.26</v>
      </c>
      <c r="Q121">
        <v>204.14</v>
      </c>
      <c r="R121">
        <v>23.29</v>
      </c>
      <c r="S121">
        <v>17.37</v>
      </c>
      <c r="T121">
        <v>865.68</v>
      </c>
      <c r="U121">
        <v>0.75</v>
      </c>
      <c r="V121">
        <v>0.76</v>
      </c>
      <c r="W121">
        <v>1.1399999999999999</v>
      </c>
      <c r="X121">
        <v>0.05</v>
      </c>
      <c r="Y121">
        <v>1</v>
      </c>
      <c r="Z121">
        <v>10</v>
      </c>
    </row>
    <row r="122" spans="1:26" x14ac:dyDescent="0.3">
      <c r="A122">
        <v>120</v>
      </c>
      <c r="B122">
        <v>120</v>
      </c>
      <c r="C122" t="s">
        <v>26</v>
      </c>
      <c r="D122">
        <v>10.383900000000001</v>
      </c>
      <c r="E122">
        <v>9.6300000000000008</v>
      </c>
      <c r="F122">
        <v>6.74</v>
      </c>
      <c r="G122">
        <v>101.09</v>
      </c>
      <c r="H122">
        <v>1.92</v>
      </c>
      <c r="I122">
        <v>4</v>
      </c>
      <c r="J122">
        <v>288.25</v>
      </c>
      <c r="K122">
        <v>57.72</v>
      </c>
      <c r="L122">
        <v>31</v>
      </c>
      <c r="M122">
        <v>2</v>
      </c>
      <c r="N122">
        <v>79.53</v>
      </c>
      <c r="O122">
        <v>35785.42</v>
      </c>
      <c r="P122">
        <v>92.99</v>
      </c>
      <c r="Q122">
        <v>204.15</v>
      </c>
      <c r="R122">
        <v>23.25</v>
      </c>
      <c r="S122">
        <v>17.37</v>
      </c>
      <c r="T122">
        <v>846.15</v>
      </c>
      <c r="U122">
        <v>0.75</v>
      </c>
      <c r="V122">
        <v>0.76</v>
      </c>
      <c r="W122">
        <v>1.1399999999999999</v>
      </c>
      <c r="X122">
        <v>0.05</v>
      </c>
      <c r="Y122">
        <v>1</v>
      </c>
      <c r="Z122">
        <v>10</v>
      </c>
    </row>
    <row r="123" spans="1:26" x14ac:dyDescent="0.3">
      <c r="A123">
        <v>121</v>
      </c>
      <c r="B123">
        <v>120</v>
      </c>
      <c r="C123" t="s">
        <v>26</v>
      </c>
      <c r="D123">
        <v>10.3833</v>
      </c>
      <c r="E123">
        <v>9.6300000000000008</v>
      </c>
      <c r="F123">
        <v>6.74</v>
      </c>
      <c r="G123">
        <v>101.1</v>
      </c>
      <c r="H123">
        <v>1.93</v>
      </c>
      <c r="I123">
        <v>4</v>
      </c>
      <c r="J123">
        <v>288.76</v>
      </c>
      <c r="K123">
        <v>57.72</v>
      </c>
      <c r="L123">
        <v>31.25</v>
      </c>
      <c r="M123">
        <v>2</v>
      </c>
      <c r="N123">
        <v>79.78</v>
      </c>
      <c r="O123">
        <v>35847.82</v>
      </c>
      <c r="P123">
        <v>92.89</v>
      </c>
      <c r="Q123">
        <v>204.14</v>
      </c>
      <c r="R123">
        <v>23.33</v>
      </c>
      <c r="S123">
        <v>17.37</v>
      </c>
      <c r="T123">
        <v>889.18</v>
      </c>
      <c r="U123">
        <v>0.74</v>
      </c>
      <c r="V123">
        <v>0.76</v>
      </c>
      <c r="W123">
        <v>1.1399999999999999</v>
      </c>
      <c r="X123">
        <v>0.05</v>
      </c>
      <c r="Y123">
        <v>1</v>
      </c>
      <c r="Z123">
        <v>10</v>
      </c>
    </row>
    <row r="124" spans="1:26" x14ac:dyDescent="0.3">
      <c r="A124">
        <v>122</v>
      </c>
      <c r="B124">
        <v>120</v>
      </c>
      <c r="C124" t="s">
        <v>26</v>
      </c>
      <c r="D124">
        <v>10.3863</v>
      </c>
      <c r="E124">
        <v>9.6300000000000008</v>
      </c>
      <c r="F124">
        <v>6.74</v>
      </c>
      <c r="G124">
        <v>101.05</v>
      </c>
      <c r="H124">
        <v>1.94</v>
      </c>
      <c r="I124">
        <v>4</v>
      </c>
      <c r="J124">
        <v>289.27</v>
      </c>
      <c r="K124">
        <v>57.72</v>
      </c>
      <c r="L124">
        <v>31.5</v>
      </c>
      <c r="M124">
        <v>2</v>
      </c>
      <c r="N124">
        <v>80.040000000000006</v>
      </c>
      <c r="O124">
        <v>35910.33</v>
      </c>
      <c r="P124">
        <v>92.62</v>
      </c>
      <c r="Q124">
        <v>204.14</v>
      </c>
      <c r="R124">
        <v>23.23</v>
      </c>
      <c r="S124">
        <v>17.37</v>
      </c>
      <c r="T124">
        <v>834.86</v>
      </c>
      <c r="U124">
        <v>0.75</v>
      </c>
      <c r="V124">
        <v>0.76</v>
      </c>
      <c r="W124">
        <v>1.1399999999999999</v>
      </c>
      <c r="X124">
        <v>0.05</v>
      </c>
      <c r="Y124">
        <v>1</v>
      </c>
      <c r="Z124">
        <v>10</v>
      </c>
    </row>
    <row r="125" spans="1:26" x14ac:dyDescent="0.3">
      <c r="A125">
        <v>123</v>
      </c>
      <c r="B125">
        <v>120</v>
      </c>
      <c r="C125" t="s">
        <v>26</v>
      </c>
      <c r="D125">
        <v>10.3803</v>
      </c>
      <c r="E125">
        <v>9.6300000000000008</v>
      </c>
      <c r="F125">
        <v>6.74</v>
      </c>
      <c r="G125">
        <v>101.14</v>
      </c>
      <c r="H125">
        <v>1.95</v>
      </c>
      <c r="I125">
        <v>4</v>
      </c>
      <c r="J125">
        <v>289.77</v>
      </c>
      <c r="K125">
        <v>57.72</v>
      </c>
      <c r="L125">
        <v>31.75</v>
      </c>
      <c r="M125">
        <v>2</v>
      </c>
      <c r="N125">
        <v>80.3</v>
      </c>
      <c r="O125">
        <v>35972.93</v>
      </c>
      <c r="P125">
        <v>92.37</v>
      </c>
      <c r="Q125">
        <v>204.14</v>
      </c>
      <c r="R125">
        <v>23.36</v>
      </c>
      <c r="S125">
        <v>17.37</v>
      </c>
      <c r="T125">
        <v>904.8</v>
      </c>
      <c r="U125">
        <v>0.74</v>
      </c>
      <c r="V125">
        <v>0.76</v>
      </c>
      <c r="W125">
        <v>1.1399999999999999</v>
      </c>
      <c r="X125">
        <v>0.05</v>
      </c>
      <c r="Y125">
        <v>1</v>
      </c>
      <c r="Z125">
        <v>10</v>
      </c>
    </row>
    <row r="126" spans="1:26" x14ac:dyDescent="0.3">
      <c r="A126">
        <v>124</v>
      </c>
      <c r="B126">
        <v>120</v>
      </c>
      <c r="C126" t="s">
        <v>26</v>
      </c>
      <c r="D126">
        <v>10.3788</v>
      </c>
      <c r="E126">
        <v>9.64</v>
      </c>
      <c r="F126">
        <v>6.74</v>
      </c>
      <c r="G126">
        <v>101.16</v>
      </c>
      <c r="H126">
        <v>1.96</v>
      </c>
      <c r="I126">
        <v>4</v>
      </c>
      <c r="J126">
        <v>290.27999999999997</v>
      </c>
      <c r="K126">
        <v>57.72</v>
      </c>
      <c r="L126">
        <v>32</v>
      </c>
      <c r="M126">
        <v>2</v>
      </c>
      <c r="N126">
        <v>80.56</v>
      </c>
      <c r="O126">
        <v>36035.65</v>
      </c>
      <c r="P126">
        <v>91.99</v>
      </c>
      <c r="Q126">
        <v>204.14</v>
      </c>
      <c r="R126">
        <v>23.47</v>
      </c>
      <c r="S126">
        <v>17.37</v>
      </c>
      <c r="T126">
        <v>957.19</v>
      </c>
      <c r="U126">
        <v>0.74</v>
      </c>
      <c r="V126">
        <v>0.76</v>
      </c>
      <c r="W126">
        <v>1.1399999999999999</v>
      </c>
      <c r="X126">
        <v>0.05</v>
      </c>
      <c r="Y126">
        <v>1</v>
      </c>
      <c r="Z126">
        <v>10</v>
      </c>
    </row>
    <row r="127" spans="1:26" x14ac:dyDescent="0.3">
      <c r="A127">
        <v>125</v>
      </c>
      <c r="B127">
        <v>120</v>
      </c>
      <c r="C127" t="s">
        <v>26</v>
      </c>
      <c r="D127">
        <v>10.382999999999999</v>
      </c>
      <c r="E127">
        <v>9.6300000000000008</v>
      </c>
      <c r="F127">
        <v>6.74</v>
      </c>
      <c r="G127">
        <v>101.1</v>
      </c>
      <c r="H127">
        <v>1.97</v>
      </c>
      <c r="I127">
        <v>4</v>
      </c>
      <c r="J127">
        <v>290.79000000000002</v>
      </c>
      <c r="K127">
        <v>57.72</v>
      </c>
      <c r="L127">
        <v>32.25</v>
      </c>
      <c r="M127">
        <v>2</v>
      </c>
      <c r="N127">
        <v>80.819999999999993</v>
      </c>
      <c r="O127">
        <v>36098.46</v>
      </c>
      <c r="P127">
        <v>91.6</v>
      </c>
      <c r="Q127">
        <v>204.14</v>
      </c>
      <c r="R127">
        <v>23.32</v>
      </c>
      <c r="S127">
        <v>17.37</v>
      </c>
      <c r="T127">
        <v>884.43</v>
      </c>
      <c r="U127">
        <v>0.74</v>
      </c>
      <c r="V127">
        <v>0.76</v>
      </c>
      <c r="W127">
        <v>1.1399999999999999</v>
      </c>
      <c r="X127">
        <v>0.05</v>
      </c>
      <c r="Y127">
        <v>1</v>
      </c>
      <c r="Z127">
        <v>10</v>
      </c>
    </row>
    <row r="128" spans="1:26" x14ac:dyDescent="0.3">
      <c r="A128">
        <v>126</v>
      </c>
      <c r="B128">
        <v>120</v>
      </c>
      <c r="C128" t="s">
        <v>26</v>
      </c>
      <c r="D128">
        <v>10.459</v>
      </c>
      <c r="E128">
        <v>9.56</v>
      </c>
      <c r="F128">
        <v>6.72</v>
      </c>
      <c r="G128">
        <v>134.31</v>
      </c>
      <c r="H128">
        <v>1.99</v>
      </c>
      <c r="I128">
        <v>3</v>
      </c>
      <c r="J128">
        <v>291.3</v>
      </c>
      <c r="K128">
        <v>57.72</v>
      </c>
      <c r="L128">
        <v>32.5</v>
      </c>
      <c r="M128">
        <v>1</v>
      </c>
      <c r="N128">
        <v>81.08</v>
      </c>
      <c r="O128">
        <v>36161.39</v>
      </c>
      <c r="P128">
        <v>90.73</v>
      </c>
      <c r="Q128">
        <v>204.14</v>
      </c>
      <c r="R128">
        <v>22.58</v>
      </c>
      <c r="S128">
        <v>17.37</v>
      </c>
      <c r="T128">
        <v>516.14</v>
      </c>
      <c r="U128">
        <v>0.77</v>
      </c>
      <c r="V128">
        <v>0.76</v>
      </c>
      <c r="W128">
        <v>1.1399999999999999</v>
      </c>
      <c r="X128">
        <v>0.02</v>
      </c>
      <c r="Y128">
        <v>1</v>
      </c>
      <c r="Z128">
        <v>10</v>
      </c>
    </row>
    <row r="129" spans="1:26" x14ac:dyDescent="0.3">
      <c r="A129">
        <v>127</v>
      </c>
      <c r="B129">
        <v>120</v>
      </c>
      <c r="C129" t="s">
        <v>26</v>
      </c>
      <c r="D129">
        <v>10.4557</v>
      </c>
      <c r="E129">
        <v>9.56</v>
      </c>
      <c r="F129">
        <v>6.72</v>
      </c>
      <c r="G129">
        <v>134.37</v>
      </c>
      <c r="H129">
        <v>2</v>
      </c>
      <c r="I129">
        <v>3</v>
      </c>
      <c r="J129">
        <v>291.81</v>
      </c>
      <c r="K129">
        <v>57.72</v>
      </c>
      <c r="L129">
        <v>32.75</v>
      </c>
      <c r="M129">
        <v>1</v>
      </c>
      <c r="N129">
        <v>81.34</v>
      </c>
      <c r="O129">
        <v>36224.42</v>
      </c>
      <c r="P129">
        <v>91.11</v>
      </c>
      <c r="Q129">
        <v>204.14</v>
      </c>
      <c r="R129">
        <v>22.63</v>
      </c>
      <c r="S129">
        <v>17.37</v>
      </c>
      <c r="T129">
        <v>540.47</v>
      </c>
      <c r="U129">
        <v>0.77</v>
      </c>
      <c r="V129">
        <v>0.76</v>
      </c>
      <c r="W129">
        <v>1.1399999999999999</v>
      </c>
      <c r="X129">
        <v>0.03</v>
      </c>
      <c r="Y129">
        <v>1</v>
      </c>
      <c r="Z129">
        <v>10</v>
      </c>
    </row>
    <row r="130" spans="1:26" x14ac:dyDescent="0.3">
      <c r="A130">
        <v>128</v>
      </c>
      <c r="B130">
        <v>120</v>
      </c>
      <c r="C130" t="s">
        <v>26</v>
      </c>
      <c r="D130">
        <v>10.455399999999999</v>
      </c>
      <c r="E130">
        <v>9.56</v>
      </c>
      <c r="F130">
        <v>6.72</v>
      </c>
      <c r="G130">
        <v>134.38</v>
      </c>
      <c r="H130">
        <v>2.0099999999999998</v>
      </c>
      <c r="I130">
        <v>3</v>
      </c>
      <c r="J130">
        <v>292.32</v>
      </c>
      <c r="K130">
        <v>57.72</v>
      </c>
      <c r="L130">
        <v>33</v>
      </c>
      <c r="M130">
        <v>1</v>
      </c>
      <c r="N130">
        <v>81.599999999999994</v>
      </c>
      <c r="O130">
        <v>36287.56</v>
      </c>
      <c r="P130">
        <v>91.22</v>
      </c>
      <c r="Q130">
        <v>204.15</v>
      </c>
      <c r="R130">
        <v>22.67</v>
      </c>
      <c r="S130">
        <v>17.37</v>
      </c>
      <c r="T130">
        <v>560.34</v>
      </c>
      <c r="U130">
        <v>0.77</v>
      </c>
      <c r="V130">
        <v>0.76</v>
      </c>
      <c r="W130">
        <v>1.1399999999999999</v>
      </c>
      <c r="X130">
        <v>0.03</v>
      </c>
      <c r="Y130">
        <v>1</v>
      </c>
      <c r="Z130">
        <v>10</v>
      </c>
    </row>
    <row r="131" spans="1:26" x14ac:dyDescent="0.3">
      <c r="A131">
        <v>129</v>
      </c>
      <c r="B131">
        <v>120</v>
      </c>
      <c r="C131" t="s">
        <v>26</v>
      </c>
      <c r="D131">
        <v>10.4557</v>
      </c>
      <c r="E131">
        <v>9.56</v>
      </c>
      <c r="F131">
        <v>6.72</v>
      </c>
      <c r="G131">
        <v>134.37</v>
      </c>
      <c r="H131">
        <v>2.02</v>
      </c>
      <c r="I131">
        <v>3</v>
      </c>
      <c r="J131">
        <v>292.83999999999997</v>
      </c>
      <c r="K131">
        <v>57.72</v>
      </c>
      <c r="L131">
        <v>33.25</v>
      </c>
      <c r="M131">
        <v>1</v>
      </c>
      <c r="N131">
        <v>81.86</v>
      </c>
      <c r="O131">
        <v>36350.81</v>
      </c>
      <c r="P131">
        <v>91.52</v>
      </c>
      <c r="Q131">
        <v>204.14</v>
      </c>
      <c r="R131">
        <v>22.65</v>
      </c>
      <c r="S131">
        <v>17.37</v>
      </c>
      <c r="T131">
        <v>554.6</v>
      </c>
      <c r="U131">
        <v>0.77</v>
      </c>
      <c r="V131">
        <v>0.76</v>
      </c>
      <c r="W131">
        <v>1.1399999999999999</v>
      </c>
      <c r="X131">
        <v>0.03</v>
      </c>
      <c r="Y131">
        <v>1</v>
      </c>
      <c r="Z131">
        <v>10</v>
      </c>
    </row>
    <row r="132" spans="1:26" x14ac:dyDescent="0.3">
      <c r="A132">
        <v>130</v>
      </c>
      <c r="B132">
        <v>120</v>
      </c>
      <c r="C132" t="s">
        <v>26</v>
      </c>
      <c r="D132">
        <v>10.454800000000001</v>
      </c>
      <c r="E132">
        <v>9.56</v>
      </c>
      <c r="F132">
        <v>6.72</v>
      </c>
      <c r="G132">
        <v>134.38999999999999</v>
      </c>
      <c r="H132">
        <v>2.0299999999999998</v>
      </c>
      <c r="I132">
        <v>3</v>
      </c>
      <c r="J132">
        <v>293.35000000000002</v>
      </c>
      <c r="K132">
        <v>57.72</v>
      </c>
      <c r="L132">
        <v>33.5</v>
      </c>
      <c r="M132">
        <v>1</v>
      </c>
      <c r="N132">
        <v>82.13</v>
      </c>
      <c r="O132">
        <v>36414.160000000003</v>
      </c>
      <c r="P132">
        <v>91.59</v>
      </c>
      <c r="Q132">
        <v>204.14</v>
      </c>
      <c r="R132">
        <v>22.68</v>
      </c>
      <c r="S132">
        <v>17.37</v>
      </c>
      <c r="T132">
        <v>569.5</v>
      </c>
      <c r="U132">
        <v>0.77</v>
      </c>
      <c r="V132">
        <v>0.76</v>
      </c>
      <c r="W132">
        <v>1.1399999999999999</v>
      </c>
      <c r="X132">
        <v>0.03</v>
      </c>
      <c r="Y132">
        <v>1</v>
      </c>
      <c r="Z132">
        <v>10</v>
      </c>
    </row>
    <row r="133" spans="1:26" x14ac:dyDescent="0.3">
      <c r="A133">
        <v>131</v>
      </c>
      <c r="B133">
        <v>120</v>
      </c>
      <c r="C133" t="s">
        <v>26</v>
      </c>
      <c r="D133">
        <v>10.457800000000001</v>
      </c>
      <c r="E133">
        <v>9.56</v>
      </c>
      <c r="F133">
        <v>6.72</v>
      </c>
      <c r="G133">
        <v>134.33000000000001</v>
      </c>
      <c r="H133">
        <v>2.0499999999999998</v>
      </c>
      <c r="I133">
        <v>3</v>
      </c>
      <c r="J133">
        <v>293.87</v>
      </c>
      <c r="K133">
        <v>57.72</v>
      </c>
      <c r="L133">
        <v>33.75</v>
      </c>
      <c r="M133">
        <v>1</v>
      </c>
      <c r="N133">
        <v>82.39</v>
      </c>
      <c r="O133">
        <v>36477.629999999997</v>
      </c>
      <c r="P133">
        <v>91.77</v>
      </c>
      <c r="Q133">
        <v>204.14</v>
      </c>
      <c r="R133">
        <v>22.61</v>
      </c>
      <c r="S133">
        <v>17.37</v>
      </c>
      <c r="T133">
        <v>533.72</v>
      </c>
      <c r="U133">
        <v>0.77</v>
      </c>
      <c r="V133">
        <v>0.76</v>
      </c>
      <c r="W133">
        <v>1.1399999999999999</v>
      </c>
      <c r="X133">
        <v>0.03</v>
      </c>
      <c r="Y133">
        <v>1</v>
      </c>
      <c r="Z133">
        <v>10</v>
      </c>
    </row>
    <row r="134" spans="1:26" x14ac:dyDescent="0.3">
      <c r="A134">
        <v>132</v>
      </c>
      <c r="B134">
        <v>120</v>
      </c>
      <c r="C134" t="s">
        <v>26</v>
      </c>
      <c r="D134">
        <v>10.456300000000001</v>
      </c>
      <c r="E134">
        <v>9.56</v>
      </c>
      <c r="F134">
        <v>6.72</v>
      </c>
      <c r="G134">
        <v>134.36000000000001</v>
      </c>
      <c r="H134">
        <v>2.06</v>
      </c>
      <c r="I134">
        <v>3</v>
      </c>
      <c r="J134">
        <v>294.38</v>
      </c>
      <c r="K134">
        <v>57.72</v>
      </c>
      <c r="L134">
        <v>34</v>
      </c>
      <c r="M134">
        <v>1</v>
      </c>
      <c r="N134">
        <v>82.66</v>
      </c>
      <c r="O134">
        <v>36541.199999999997</v>
      </c>
      <c r="P134">
        <v>91.96</v>
      </c>
      <c r="Q134">
        <v>204.14</v>
      </c>
      <c r="R134">
        <v>22.61</v>
      </c>
      <c r="S134">
        <v>17.37</v>
      </c>
      <c r="T134">
        <v>534.28</v>
      </c>
      <c r="U134">
        <v>0.77</v>
      </c>
      <c r="V134">
        <v>0.76</v>
      </c>
      <c r="W134">
        <v>1.1399999999999999</v>
      </c>
      <c r="X134">
        <v>0.03</v>
      </c>
      <c r="Y134">
        <v>1</v>
      </c>
      <c r="Z134">
        <v>10</v>
      </c>
    </row>
    <row r="135" spans="1:26" x14ac:dyDescent="0.3">
      <c r="A135">
        <v>133</v>
      </c>
      <c r="B135">
        <v>120</v>
      </c>
      <c r="C135" t="s">
        <v>26</v>
      </c>
      <c r="D135">
        <v>10.455399999999999</v>
      </c>
      <c r="E135">
        <v>9.56</v>
      </c>
      <c r="F135">
        <v>6.72</v>
      </c>
      <c r="G135">
        <v>134.38</v>
      </c>
      <c r="H135">
        <v>2.0699999999999998</v>
      </c>
      <c r="I135">
        <v>3</v>
      </c>
      <c r="J135">
        <v>294.89999999999998</v>
      </c>
      <c r="K135">
        <v>57.72</v>
      </c>
      <c r="L135">
        <v>34.25</v>
      </c>
      <c r="M135">
        <v>1</v>
      </c>
      <c r="N135">
        <v>82.92</v>
      </c>
      <c r="O135">
        <v>36604.89</v>
      </c>
      <c r="P135">
        <v>92.02</v>
      </c>
      <c r="Q135">
        <v>204.14</v>
      </c>
      <c r="R135">
        <v>22.69</v>
      </c>
      <c r="S135">
        <v>17.37</v>
      </c>
      <c r="T135">
        <v>572.79</v>
      </c>
      <c r="U135">
        <v>0.77</v>
      </c>
      <c r="V135">
        <v>0.76</v>
      </c>
      <c r="W135">
        <v>1.1399999999999999</v>
      </c>
      <c r="X135">
        <v>0.03</v>
      </c>
      <c r="Y135">
        <v>1</v>
      </c>
      <c r="Z135">
        <v>10</v>
      </c>
    </row>
    <row r="136" spans="1:26" x14ac:dyDescent="0.3">
      <c r="A136">
        <v>134</v>
      </c>
      <c r="B136">
        <v>120</v>
      </c>
      <c r="C136" t="s">
        <v>26</v>
      </c>
      <c r="D136">
        <v>10.451700000000001</v>
      </c>
      <c r="E136">
        <v>9.57</v>
      </c>
      <c r="F136">
        <v>6.72</v>
      </c>
      <c r="G136">
        <v>134.44</v>
      </c>
      <c r="H136">
        <v>2.08</v>
      </c>
      <c r="I136">
        <v>3</v>
      </c>
      <c r="J136">
        <v>295.41000000000003</v>
      </c>
      <c r="K136">
        <v>57.72</v>
      </c>
      <c r="L136">
        <v>34.5</v>
      </c>
      <c r="M136">
        <v>1</v>
      </c>
      <c r="N136">
        <v>83.19</v>
      </c>
      <c r="O136">
        <v>36668.68</v>
      </c>
      <c r="P136">
        <v>92.1</v>
      </c>
      <c r="Q136">
        <v>204.14</v>
      </c>
      <c r="R136">
        <v>22.77</v>
      </c>
      <c r="S136">
        <v>17.37</v>
      </c>
      <c r="T136">
        <v>614.17999999999995</v>
      </c>
      <c r="U136">
        <v>0.76</v>
      </c>
      <c r="V136">
        <v>0.76</v>
      </c>
      <c r="W136">
        <v>1.1399999999999999</v>
      </c>
      <c r="X136">
        <v>0.03</v>
      </c>
      <c r="Y136">
        <v>1</v>
      </c>
      <c r="Z136">
        <v>10</v>
      </c>
    </row>
    <row r="137" spans="1:26" x14ac:dyDescent="0.3">
      <c r="A137">
        <v>135</v>
      </c>
      <c r="B137">
        <v>120</v>
      </c>
      <c r="C137" t="s">
        <v>26</v>
      </c>
      <c r="D137">
        <v>10.4533</v>
      </c>
      <c r="E137">
        <v>9.57</v>
      </c>
      <c r="F137">
        <v>6.72</v>
      </c>
      <c r="G137">
        <v>134.41999999999999</v>
      </c>
      <c r="H137">
        <v>2.09</v>
      </c>
      <c r="I137">
        <v>3</v>
      </c>
      <c r="J137">
        <v>295.93</v>
      </c>
      <c r="K137">
        <v>57.72</v>
      </c>
      <c r="L137">
        <v>34.75</v>
      </c>
      <c r="M137">
        <v>1</v>
      </c>
      <c r="N137">
        <v>83.46</v>
      </c>
      <c r="O137">
        <v>36732.589999999997</v>
      </c>
      <c r="P137">
        <v>92.07</v>
      </c>
      <c r="Q137">
        <v>204.14</v>
      </c>
      <c r="R137">
        <v>22.74</v>
      </c>
      <c r="S137">
        <v>17.37</v>
      </c>
      <c r="T137">
        <v>598.02</v>
      </c>
      <c r="U137">
        <v>0.76</v>
      </c>
      <c r="V137">
        <v>0.76</v>
      </c>
      <c r="W137">
        <v>1.1399999999999999</v>
      </c>
      <c r="X137">
        <v>0.03</v>
      </c>
      <c r="Y137">
        <v>1</v>
      </c>
      <c r="Z137">
        <v>10</v>
      </c>
    </row>
    <row r="138" spans="1:26" x14ac:dyDescent="0.3">
      <c r="A138">
        <v>136</v>
      </c>
      <c r="B138">
        <v>120</v>
      </c>
      <c r="C138" t="s">
        <v>26</v>
      </c>
      <c r="D138">
        <v>10.454800000000001</v>
      </c>
      <c r="E138">
        <v>9.56</v>
      </c>
      <c r="F138">
        <v>6.72</v>
      </c>
      <c r="G138">
        <v>134.38999999999999</v>
      </c>
      <c r="H138">
        <v>2.1</v>
      </c>
      <c r="I138">
        <v>3</v>
      </c>
      <c r="J138">
        <v>296.45</v>
      </c>
      <c r="K138">
        <v>57.72</v>
      </c>
      <c r="L138">
        <v>35</v>
      </c>
      <c r="M138">
        <v>1</v>
      </c>
      <c r="N138">
        <v>83.73</v>
      </c>
      <c r="O138">
        <v>36796.61</v>
      </c>
      <c r="P138">
        <v>92.17</v>
      </c>
      <c r="Q138">
        <v>204.14</v>
      </c>
      <c r="R138">
        <v>22.71</v>
      </c>
      <c r="S138">
        <v>17.37</v>
      </c>
      <c r="T138">
        <v>584.08000000000004</v>
      </c>
      <c r="U138">
        <v>0.76</v>
      </c>
      <c r="V138">
        <v>0.76</v>
      </c>
      <c r="W138">
        <v>1.1399999999999999</v>
      </c>
      <c r="X138">
        <v>0.03</v>
      </c>
      <c r="Y138">
        <v>1</v>
      </c>
      <c r="Z138">
        <v>10</v>
      </c>
    </row>
    <row r="139" spans="1:26" x14ac:dyDescent="0.3">
      <c r="A139">
        <v>137</v>
      </c>
      <c r="B139">
        <v>120</v>
      </c>
      <c r="C139" t="s">
        <v>26</v>
      </c>
      <c r="D139">
        <v>10.4533</v>
      </c>
      <c r="E139">
        <v>9.57</v>
      </c>
      <c r="F139">
        <v>6.72</v>
      </c>
      <c r="G139">
        <v>134.41999999999999</v>
      </c>
      <c r="H139">
        <v>2.11</v>
      </c>
      <c r="I139">
        <v>3</v>
      </c>
      <c r="J139">
        <v>296.97000000000003</v>
      </c>
      <c r="K139">
        <v>57.72</v>
      </c>
      <c r="L139">
        <v>35.25</v>
      </c>
      <c r="M139">
        <v>1</v>
      </c>
      <c r="N139">
        <v>84</v>
      </c>
      <c r="O139">
        <v>36860.74</v>
      </c>
      <c r="P139">
        <v>92.27</v>
      </c>
      <c r="Q139">
        <v>204.14</v>
      </c>
      <c r="R139">
        <v>22.76</v>
      </c>
      <c r="S139">
        <v>17.37</v>
      </c>
      <c r="T139">
        <v>606.08000000000004</v>
      </c>
      <c r="U139">
        <v>0.76</v>
      </c>
      <c r="V139">
        <v>0.76</v>
      </c>
      <c r="W139">
        <v>1.1399999999999999</v>
      </c>
      <c r="X139">
        <v>0.03</v>
      </c>
      <c r="Y139">
        <v>1</v>
      </c>
      <c r="Z139">
        <v>10</v>
      </c>
    </row>
    <row r="140" spans="1:26" x14ac:dyDescent="0.3">
      <c r="A140">
        <v>138</v>
      </c>
      <c r="B140">
        <v>120</v>
      </c>
      <c r="C140" t="s">
        <v>26</v>
      </c>
      <c r="D140">
        <v>10.452999999999999</v>
      </c>
      <c r="E140">
        <v>9.57</v>
      </c>
      <c r="F140">
        <v>6.72</v>
      </c>
      <c r="G140">
        <v>134.41999999999999</v>
      </c>
      <c r="H140">
        <v>2.13</v>
      </c>
      <c r="I140">
        <v>3</v>
      </c>
      <c r="J140">
        <v>297.49</v>
      </c>
      <c r="K140">
        <v>57.72</v>
      </c>
      <c r="L140">
        <v>35.5</v>
      </c>
      <c r="M140">
        <v>1</v>
      </c>
      <c r="N140">
        <v>84.27</v>
      </c>
      <c r="O140">
        <v>36924.99</v>
      </c>
      <c r="P140">
        <v>92.27</v>
      </c>
      <c r="Q140">
        <v>204.14</v>
      </c>
      <c r="R140">
        <v>22.73</v>
      </c>
      <c r="S140">
        <v>17.37</v>
      </c>
      <c r="T140">
        <v>592.88</v>
      </c>
      <c r="U140">
        <v>0.76</v>
      </c>
      <c r="V140">
        <v>0.76</v>
      </c>
      <c r="W140">
        <v>1.1399999999999999</v>
      </c>
      <c r="X140">
        <v>0.03</v>
      </c>
      <c r="Y140">
        <v>1</v>
      </c>
      <c r="Z140">
        <v>10</v>
      </c>
    </row>
    <row r="141" spans="1:26" x14ac:dyDescent="0.3">
      <c r="A141">
        <v>139</v>
      </c>
      <c r="B141">
        <v>120</v>
      </c>
      <c r="C141" t="s">
        <v>26</v>
      </c>
      <c r="D141">
        <v>10.449</v>
      </c>
      <c r="E141">
        <v>9.57</v>
      </c>
      <c r="F141">
        <v>6.72</v>
      </c>
      <c r="G141">
        <v>134.49</v>
      </c>
      <c r="H141">
        <v>2.14</v>
      </c>
      <c r="I141">
        <v>3</v>
      </c>
      <c r="J141">
        <v>298.01</v>
      </c>
      <c r="K141">
        <v>57.72</v>
      </c>
      <c r="L141">
        <v>35.75</v>
      </c>
      <c r="M141">
        <v>1</v>
      </c>
      <c r="N141">
        <v>84.54</v>
      </c>
      <c r="O141">
        <v>36989.35</v>
      </c>
      <c r="P141">
        <v>92.39</v>
      </c>
      <c r="Q141">
        <v>204.14</v>
      </c>
      <c r="R141">
        <v>22.82</v>
      </c>
      <c r="S141">
        <v>17.37</v>
      </c>
      <c r="T141">
        <v>636.63</v>
      </c>
      <c r="U141">
        <v>0.76</v>
      </c>
      <c r="V141">
        <v>0.76</v>
      </c>
      <c r="W141">
        <v>1.1399999999999999</v>
      </c>
      <c r="X141">
        <v>0.03</v>
      </c>
      <c r="Y141">
        <v>1</v>
      </c>
      <c r="Z141">
        <v>10</v>
      </c>
    </row>
    <row r="142" spans="1:26" x14ac:dyDescent="0.3">
      <c r="A142">
        <v>140</v>
      </c>
      <c r="B142">
        <v>120</v>
      </c>
      <c r="C142" t="s">
        <v>26</v>
      </c>
      <c r="D142">
        <v>10.4496</v>
      </c>
      <c r="E142">
        <v>9.57</v>
      </c>
      <c r="F142">
        <v>6.72</v>
      </c>
      <c r="G142">
        <v>134.47999999999999</v>
      </c>
      <c r="H142">
        <v>2.15</v>
      </c>
      <c r="I142">
        <v>3</v>
      </c>
      <c r="J142">
        <v>298.54000000000002</v>
      </c>
      <c r="K142">
        <v>57.72</v>
      </c>
      <c r="L142">
        <v>36</v>
      </c>
      <c r="M142">
        <v>0</v>
      </c>
      <c r="N142">
        <v>84.81</v>
      </c>
      <c r="O142">
        <v>37053.82</v>
      </c>
      <c r="P142">
        <v>92.53</v>
      </c>
      <c r="Q142">
        <v>204.14</v>
      </c>
      <c r="R142">
        <v>22.82</v>
      </c>
      <c r="S142">
        <v>17.37</v>
      </c>
      <c r="T142">
        <v>637.86</v>
      </c>
      <c r="U142">
        <v>0.76</v>
      </c>
      <c r="V142">
        <v>0.76</v>
      </c>
      <c r="W142">
        <v>1.1399999999999999</v>
      </c>
      <c r="X142">
        <v>0.03</v>
      </c>
      <c r="Y142">
        <v>1</v>
      </c>
      <c r="Z142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Planilha24"/>
  <dimension ref="A1:Z158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145</v>
      </c>
      <c r="C2" t="s">
        <v>26</v>
      </c>
      <c r="D2">
        <v>5.4493</v>
      </c>
      <c r="E2">
        <v>18.350000000000001</v>
      </c>
      <c r="F2">
        <v>9.1</v>
      </c>
      <c r="G2">
        <v>4.67</v>
      </c>
      <c r="H2">
        <v>0.06</v>
      </c>
      <c r="I2">
        <v>117</v>
      </c>
      <c r="J2">
        <v>285.18</v>
      </c>
      <c r="K2">
        <v>61.2</v>
      </c>
      <c r="L2">
        <v>1</v>
      </c>
      <c r="M2">
        <v>115</v>
      </c>
      <c r="N2">
        <v>77.98</v>
      </c>
      <c r="O2">
        <v>35406.83</v>
      </c>
      <c r="P2">
        <v>161.87</v>
      </c>
      <c r="Q2">
        <v>204.31</v>
      </c>
      <c r="R2">
        <v>96.97</v>
      </c>
      <c r="S2">
        <v>17.37</v>
      </c>
      <c r="T2">
        <v>37141.699999999997</v>
      </c>
      <c r="U2">
        <v>0.18</v>
      </c>
      <c r="V2">
        <v>0.56000000000000005</v>
      </c>
      <c r="W2">
        <v>1.32</v>
      </c>
      <c r="X2">
        <v>2.4</v>
      </c>
      <c r="Y2">
        <v>1</v>
      </c>
      <c r="Z2">
        <v>10</v>
      </c>
    </row>
    <row r="3" spans="1:26" x14ac:dyDescent="0.3">
      <c r="A3">
        <v>1</v>
      </c>
      <c r="B3">
        <v>145</v>
      </c>
      <c r="C3" t="s">
        <v>26</v>
      </c>
      <c r="D3">
        <v>6.1849999999999996</v>
      </c>
      <c r="E3">
        <v>16.170000000000002</v>
      </c>
      <c r="F3">
        <v>8.48</v>
      </c>
      <c r="G3">
        <v>5.78</v>
      </c>
      <c r="H3">
        <v>0.08</v>
      </c>
      <c r="I3">
        <v>88</v>
      </c>
      <c r="J3">
        <v>285.68</v>
      </c>
      <c r="K3">
        <v>61.2</v>
      </c>
      <c r="L3">
        <v>1.25</v>
      </c>
      <c r="M3">
        <v>86</v>
      </c>
      <c r="N3">
        <v>78.239999999999995</v>
      </c>
      <c r="O3">
        <v>35468.6</v>
      </c>
      <c r="P3">
        <v>150.75</v>
      </c>
      <c r="Q3">
        <v>204.32</v>
      </c>
      <c r="R3">
        <v>77.37</v>
      </c>
      <c r="S3">
        <v>17.37</v>
      </c>
      <c r="T3">
        <v>27485.9</v>
      </c>
      <c r="U3">
        <v>0.22</v>
      </c>
      <c r="V3">
        <v>0.6</v>
      </c>
      <c r="W3">
        <v>1.28</v>
      </c>
      <c r="X3">
        <v>1.78</v>
      </c>
      <c r="Y3">
        <v>1</v>
      </c>
      <c r="Z3">
        <v>10</v>
      </c>
    </row>
    <row r="4" spans="1:26" x14ac:dyDescent="0.3">
      <c r="A4">
        <v>2</v>
      </c>
      <c r="B4">
        <v>145</v>
      </c>
      <c r="C4" t="s">
        <v>26</v>
      </c>
      <c r="D4">
        <v>6.7484999999999999</v>
      </c>
      <c r="E4">
        <v>14.82</v>
      </c>
      <c r="F4">
        <v>8.1</v>
      </c>
      <c r="G4">
        <v>6.94</v>
      </c>
      <c r="H4">
        <v>0.09</v>
      </c>
      <c r="I4">
        <v>70</v>
      </c>
      <c r="J4">
        <v>286.19</v>
      </c>
      <c r="K4">
        <v>61.2</v>
      </c>
      <c r="L4">
        <v>1.5</v>
      </c>
      <c r="M4">
        <v>68</v>
      </c>
      <c r="N4">
        <v>78.489999999999995</v>
      </c>
      <c r="O4">
        <v>35530.47</v>
      </c>
      <c r="P4">
        <v>143.91</v>
      </c>
      <c r="Q4">
        <v>204.26</v>
      </c>
      <c r="R4">
        <v>65.78</v>
      </c>
      <c r="S4">
        <v>17.37</v>
      </c>
      <c r="T4">
        <v>21782</v>
      </c>
      <c r="U4">
        <v>0.26</v>
      </c>
      <c r="V4">
        <v>0.63</v>
      </c>
      <c r="W4">
        <v>1.24</v>
      </c>
      <c r="X4">
        <v>1.4</v>
      </c>
      <c r="Y4">
        <v>1</v>
      </c>
      <c r="Z4">
        <v>10</v>
      </c>
    </row>
    <row r="5" spans="1:26" x14ac:dyDescent="0.3">
      <c r="A5">
        <v>3</v>
      </c>
      <c r="B5">
        <v>145</v>
      </c>
      <c r="C5" t="s">
        <v>26</v>
      </c>
      <c r="D5">
        <v>7.1368</v>
      </c>
      <c r="E5">
        <v>14.01</v>
      </c>
      <c r="F5">
        <v>7.88</v>
      </c>
      <c r="G5">
        <v>8.02</v>
      </c>
      <c r="H5">
        <v>0.11</v>
      </c>
      <c r="I5">
        <v>59</v>
      </c>
      <c r="J5">
        <v>286.69</v>
      </c>
      <c r="K5">
        <v>61.2</v>
      </c>
      <c r="L5">
        <v>1.75</v>
      </c>
      <c r="M5">
        <v>57</v>
      </c>
      <c r="N5">
        <v>78.739999999999995</v>
      </c>
      <c r="O5">
        <v>35592.57</v>
      </c>
      <c r="P5">
        <v>140.05000000000001</v>
      </c>
      <c r="Q5">
        <v>204.3</v>
      </c>
      <c r="R5">
        <v>58.78</v>
      </c>
      <c r="S5">
        <v>17.37</v>
      </c>
      <c r="T5">
        <v>18337.48</v>
      </c>
      <c r="U5">
        <v>0.3</v>
      </c>
      <c r="V5">
        <v>0.65</v>
      </c>
      <c r="W5">
        <v>1.24</v>
      </c>
      <c r="X5">
        <v>1.19</v>
      </c>
      <c r="Y5">
        <v>1</v>
      </c>
      <c r="Z5">
        <v>10</v>
      </c>
    </row>
    <row r="6" spans="1:26" x14ac:dyDescent="0.3">
      <c r="A6">
        <v>4</v>
      </c>
      <c r="B6">
        <v>145</v>
      </c>
      <c r="C6" t="s">
        <v>26</v>
      </c>
      <c r="D6">
        <v>7.5105000000000004</v>
      </c>
      <c r="E6">
        <v>13.31</v>
      </c>
      <c r="F6">
        <v>7.67</v>
      </c>
      <c r="G6">
        <v>9.2100000000000009</v>
      </c>
      <c r="H6">
        <v>0.12</v>
      </c>
      <c r="I6">
        <v>50</v>
      </c>
      <c r="J6">
        <v>287.19</v>
      </c>
      <c r="K6">
        <v>61.2</v>
      </c>
      <c r="L6">
        <v>2</v>
      </c>
      <c r="M6">
        <v>48</v>
      </c>
      <c r="N6">
        <v>78.989999999999995</v>
      </c>
      <c r="O6">
        <v>35654.65</v>
      </c>
      <c r="P6">
        <v>136.22</v>
      </c>
      <c r="Q6">
        <v>204.15</v>
      </c>
      <c r="R6">
        <v>52.25</v>
      </c>
      <c r="S6">
        <v>17.37</v>
      </c>
      <c r="T6">
        <v>15118.14</v>
      </c>
      <c r="U6">
        <v>0.33</v>
      </c>
      <c r="V6">
        <v>0.67</v>
      </c>
      <c r="W6">
        <v>1.22</v>
      </c>
      <c r="X6">
        <v>0.98</v>
      </c>
      <c r="Y6">
        <v>1</v>
      </c>
      <c r="Z6">
        <v>10</v>
      </c>
    </row>
    <row r="7" spans="1:26" x14ac:dyDescent="0.3">
      <c r="A7">
        <v>5</v>
      </c>
      <c r="B7">
        <v>145</v>
      </c>
      <c r="C7" t="s">
        <v>26</v>
      </c>
      <c r="D7">
        <v>7.7541000000000002</v>
      </c>
      <c r="E7">
        <v>12.9</v>
      </c>
      <c r="F7">
        <v>7.58</v>
      </c>
      <c r="G7">
        <v>10.33</v>
      </c>
      <c r="H7">
        <v>0.14000000000000001</v>
      </c>
      <c r="I7">
        <v>44</v>
      </c>
      <c r="J7">
        <v>287.7</v>
      </c>
      <c r="K7">
        <v>61.2</v>
      </c>
      <c r="L7">
        <v>2.25</v>
      </c>
      <c r="M7">
        <v>42</v>
      </c>
      <c r="N7">
        <v>79.25</v>
      </c>
      <c r="O7">
        <v>35716.83</v>
      </c>
      <c r="P7">
        <v>134.46</v>
      </c>
      <c r="Q7">
        <v>204.19</v>
      </c>
      <c r="R7">
        <v>49.12</v>
      </c>
      <c r="S7">
        <v>17.37</v>
      </c>
      <c r="T7">
        <v>13580.69</v>
      </c>
      <c r="U7">
        <v>0.35</v>
      </c>
      <c r="V7">
        <v>0.67</v>
      </c>
      <c r="W7">
        <v>1.21</v>
      </c>
      <c r="X7">
        <v>0.88</v>
      </c>
      <c r="Y7">
        <v>1</v>
      </c>
      <c r="Z7">
        <v>10</v>
      </c>
    </row>
    <row r="8" spans="1:26" x14ac:dyDescent="0.3">
      <c r="A8">
        <v>6</v>
      </c>
      <c r="B8">
        <v>145</v>
      </c>
      <c r="C8" t="s">
        <v>26</v>
      </c>
      <c r="D8">
        <v>7.9882999999999997</v>
      </c>
      <c r="E8">
        <v>12.52</v>
      </c>
      <c r="F8">
        <v>7.47</v>
      </c>
      <c r="G8">
        <v>11.49</v>
      </c>
      <c r="H8">
        <v>0.15</v>
      </c>
      <c r="I8">
        <v>39</v>
      </c>
      <c r="J8">
        <v>288.2</v>
      </c>
      <c r="K8">
        <v>61.2</v>
      </c>
      <c r="L8">
        <v>2.5</v>
      </c>
      <c r="M8">
        <v>37</v>
      </c>
      <c r="N8">
        <v>79.5</v>
      </c>
      <c r="O8">
        <v>35779.11</v>
      </c>
      <c r="P8">
        <v>132.47999999999999</v>
      </c>
      <c r="Q8">
        <v>204.25</v>
      </c>
      <c r="R8">
        <v>45.71</v>
      </c>
      <c r="S8">
        <v>17.37</v>
      </c>
      <c r="T8">
        <v>11900.03</v>
      </c>
      <c r="U8">
        <v>0.38</v>
      </c>
      <c r="V8">
        <v>0.68</v>
      </c>
      <c r="W8">
        <v>1.21</v>
      </c>
      <c r="X8">
        <v>0.77</v>
      </c>
      <c r="Y8">
        <v>1</v>
      </c>
      <c r="Z8">
        <v>10</v>
      </c>
    </row>
    <row r="9" spans="1:26" x14ac:dyDescent="0.3">
      <c r="A9">
        <v>7</v>
      </c>
      <c r="B9">
        <v>145</v>
      </c>
      <c r="C9" t="s">
        <v>26</v>
      </c>
      <c r="D9">
        <v>8.1412999999999993</v>
      </c>
      <c r="E9">
        <v>12.28</v>
      </c>
      <c r="F9">
        <v>7.39</v>
      </c>
      <c r="G9">
        <v>12.32</v>
      </c>
      <c r="H9">
        <v>0.17</v>
      </c>
      <c r="I9">
        <v>36</v>
      </c>
      <c r="J9">
        <v>288.70999999999998</v>
      </c>
      <c r="K9">
        <v>61.2</v>
      </c>
      <c r="L9">
        <v>2.75</v>
      </c>
      <c r="M9">
        <v>34</v>
      </c>
      <c r="N9">
        <v>79.760000000000005</v>
      </c>
      <c r="O9">
        <v>35841.5</v>
      </c>
      <c r="P9">
        <v>131.1</v>
      </c>
      <c r="Q9">
        <v>204.15</v>
      </c>
      <c r="R9">
        <v>43.86</v>
      </c>
      <c r="S9">
        <v>17.37</v>
      </c>
      <c r="T9">
        <v>10991.32</v>
      </c>
      <c r="U9">
        <v>0.4</v>
      </c>
      <c r="V9">
        <v>0.69</v>
      </c>
      <c r="W9">
        <v>1.19</v>
      </c>
      <c r="X9">
        <v>0.7</v>
      </c>
      <c r="Y9">
        <v>1</v>
      </c>
      <c r="Z9">
        <v>10</v>
      </c>
    </row>
    <row r="10" spans="1:26" x14ac:dyDescent="0.3">
      <c r="A10">
        <v>8</v>
      </c>
      <c r="B10">
        <v>145</v>
      </c>
      <c r="C10" t="s">
        <v>26</v>
      </c>
      <c r="D10">
        <v>8.3322000000000003</v>
      </c>
      <c r="E10">
        <v>12</v>
      </c>
      <c r="F10">
        <v>7.33</v>
      </c>
      <c r="G10">
        <v>13.74</v>
      </c>
      <c r="H10">
        <v>0.18</v>
      </c>
      <c r="I10">
        <v>32</v>
      </c>
      <c r="J10">
        <v>289.20999999999998</v>
      </c>
      <c r="K10">
        <v>61.2</v>
      </c>
      <c r="L10">
        <v>3</v>
      </c>
      <c r="M10">
        <v>30</v>
      </c>
      <c r="N10">
        <v>80.02</v>
      </c>
      <c r="O10">
        <v>35903.99</v>
      </c>
      <c r="P10">
        <v>129.84</v>
      </c>
      <c r="Q10">
        <v>204.2</v>
      </c>
      <c r="R10">
        <v>41.45</v>
      </c>
      <c r="S10">
        <v>17.37</v>
      </c>
      <c r="T10">
        <v>9809.4</v>
      </c>
      <c r="U10">
        <v>0.42</v>
      </c>
      <c r="V10">
        <v>0.7</v>
      </c>
      <c r="W10">
        <v>1.19</v>
      </c>
      <c r="X10">
        <v>0.64</v>
      </c>
      <c r="Y10">
        <v>1</v>
      </c>
      <c r="Z10">
        <v>10</v>
      </c>
    </row>
    <row r="11" spans="1:26" x14ac:dyDescent="0.3">
      <c r="A11">
        <v>9</v>
      </c>
      <c r="B11">
        <v>145</v>
      </c>
      <c r="C11" t="s">
        <v>26</v>
      </c>
      <c r="D11">
        <v>8.4451999999999998</v>
      </c>
      <c r="E11">
        <v>11.84</v>
      </c>
      <c r="F11">
        <v>7.28</v>
      </c>
      <c r="G11">
        <v>14.55</v>
      </c>
      <c r="H11">
        <v>0.2</v>
      </c>
      <c r="I11">
        <v>30</v>
      </c>
      <c r="J11">
        <v>289.72000000000003</v>
      </c>
      <c r="K11">
        <v>61.2</v>
      </c>
      <c r="L11">
        <v>3.25</v>
      </c>
      <c r="M11">
        <v>28</v>
      </c>
      <c r="N11">
        <v>80.27</v>
      </c>
      <c r="O11">
        <v>35966.589999999997</v>
      </c>
      <c r="P11">
        <v>128.85</v>
      </c>
      <c r="Q11">
        <v>204.17</v>
      </c>
      <c r="R11">
        <v>40</v>
      </c>
      <c r="S11">
        <v>17.37</v>
      </c>
      <c r="T11">
        <v>9093.06</v>
      </c>
      <c r="U11">
        <v>0.43</v>
      </c>
      <c r="V11">
        <v>0.7</v>
      </c>
      <c r="W11">
        <v>1.18</v>
      </c>
      <c r="X11">
        <v>0.57999999999999996</v>
      </c>
      <c r="Y11">
        <v>1</v>
      </c>
      <c r="Z11">
        <v>10</v>
      </c>
    </row>
    <row r="12" spans="1:26" x14ac:dyDescent="0.3">
      <c r="A12">
        <v>10</v>
      </c>
      <c r="B12">
        <v>145</v>
      </c>
      <c r="C12" t="s">
        <v>26</v>
      </c>
      <c r="D12">
        <v>8.5504999999999995</v>
      </c>
      <c r="E12">
        <v>11.7</v>
      </c>
      <c r="F12">
        <v>7.24</v>
      </c>
      <c r="G12">
        <v>15.51</v>
      </c>
      <c r="H12">
        <v>0.21</v>
      </c>
      <c r="I12">
        <v>28</v>
      </c>
      <c r="J12">
        <v>290.23</v>
      </c>
      <c r="K12">
        <v>61.2</v>
      </c>
      <c r="L12">
        <v>3.5</v>
      </c>
      <c r="M12">
        <v>26</v>
      </c>
      <c r="N12">
        <v>80.53</v>
      </c>
      <c r="O12">
        <v>36029.29</v>
      </c>
      <c r="P12">
        <v>128.09</v>
      </c>
      <c r="Q12">
        <v>204.14</v>
      </c>
      <c r="R12">
        <v>38.869999999999997</v>
      </c>
      <c r="S12">
        <v>17.37</v>
      </c>
      <c r="T12">
        <v>8539.66</v>
      </c>
      <c r="U12">
        <v>0.45</v>
      </c>
      <c r="V12">
        <v>0.71</v>
      </c>
      <c r="W12">
        <v>1.18</v>
      </c>
      <c r="X12">
        <v>0.55000000000000004</v>
      </c>
      <c r="Y12">
        <v>1</v>
      </c>
      <c r="Z12">
        <v>10</v>
      </c>
    </row>
    <row r="13" spans="1:26" x14ac:dyDescent="0.3">
      <c r="A13">
        <v>11</v>
      </c>
      <c r="B13">
        <v>145</v>
      </c>
      <c r="C13" t="s">
        <v>26</v>
      </c>
      <c r="D13">
        <v>8.6620000000000008</v>
      </c>
      <c r="E13">
        <v>11.54</v>
      </c>
      <c r="F13">
        <v>7.19</v>
      </c>
      <c r="G13">
        <v>16.600000000000001</v>
      </c>
      <c r="H13">
        <v>0.23</v>
      </c>
      <c r="I13">
        <v>26</v>
      </c>
      <c r="J13">
        <v>290.74</v>
      </c>
      <c r="K13">
        <v>61.2</v>
      </c>
      <c r="L13">
        <v>3.75</v>
      </c>
      <c r="M13">
        <v>24</v>
      </c>
      <c r="N13">
        <v>80.790000000000006</v>
      </c>
      <c r="O13">
        <v>36092.1</v>
      </c>
      <c r="P13">
        <v>127.32</v>
      </c>
      <c r="Q13">
        <v>204.15</v>
      </c>
      <c r="R13">
        <v>37.450000000000003</v>
      </c>
      <c r="S13">
        <v>17.37</v>
      </c>
      <c r="T13">
        <v>7835.59</v>
      </c>
      <c r="U13">
        <v>0.46</v>
      </c>
      <c r="V13">
        <v>0.71</v>
      </c>
      <c r="W13">
        <v>1.18</v>
      </c>
      <c r="X13">
        <v>0.5</v>
      </c>
      <c r="Y13">
        <v>1</v>
      </c>
      <c r="Z13">
        <v>10</v>
      </c>
    </row>
    <row r="14" spans="1:26" x14ac:dyDescent="0.3">
      <c r="A14">
        <v>12</v>
      </c>
      <c r="B14">
        <v>145</v>
      </c>
      <c r="C14" t="s">
        <v>26</v>
      </c>
      <c r="D14">
        <v>8.7696000000000005</v>
      </c>
      <c r="E14">
        <v>11.4</v>
      </c>
      <c r="F14">
        <v>7.16</v>
      </c>
      <c r="G14">
        <v>17.899999999999999</v>
      </c>
      <c r="H14">
        <v>0.24</v>
      </c>
      <c r="I14">
        <v>24</v>
      </c>
      <c r="J14">
        <v>291.25</v>
      </c>
      <c r="K14">
        <v>61.2</v>
      </c>
      <c r="L14">
        <v>4</v>
      </c>
      <c r="M14">
        <v>22</v>
      </c>
      <c r="N14">
        <v>81.05</v>
      </c>
      <c r="O14">
        <v>36155.019999999997</v>
      </c>
      <c r="P14">
        <v>126.66</v>
      </c>
      <c r="Q14">
        <v>204.16</v>
      </c>
      <c r="R14">
        <v>36.49</v>
      </c>
      <c r="S14">
        <v>17.37</v>
      </c>
      <c r="T14">
        <v>7368.82</v>
      </c>
      <c r="U14">
        <v>0.48</v>
      </c>
      <c r="V14">
        <v>0.71</v>
      </c>
      <c r="W14">
        <v>1.17</v>
      </c>
      <c r="X14">
        <v>0.47</v>
      </c>
      <c r="Y14">
        <v>1</v>
      </c>
      <c r="Z14">
        <v>10</v>
      </c>
    </row>
    <row r="15" spans="1:26" x14ac:dyDescent="0.3">
      <c r="A15">
        <v>13</v>
      </c>
      <c r="B15">
        <v>145</v>
      </c>
      <c r="C15" t="s">
        <v>26</v>
      </c>
      <c r="D15">
        <v>8.8310999999999993</v>
      </c>
      <c r="E15">
        <v>11.32</v>
      </c>
      <c r="F15">
        <v>7.13</v>
      </c>
      <c r="G15">
        <v>18.61</v>
      </c>
      <c r="H15">
        <v>0.26</v>
      </c>
      <c r="I15">
        <v>23</v>
      </c>
      <c r="J15">
        <v>291.76</v>
      </c>
      <c r="K15">
        <v>61.2</v>
      </c>
      <c r="L15">
        <v>4.25</v>
      </c>
      <c r="M15">
        <v>21</v>
      </c>
      <c r="N15">
        <v>81.31</v>
      </c>
      <c r="O15">
        <v>36218.04</v>
      </c>
      <c r="P15">
        <v>126.16</v>
      </c>
      <c r="Q15">
        <v>204.19</v>
      </c>
      <c r="R15">
        <v>35.49</v>
      </c>
      <c r="S15">
        <v>17.37</v>
      </c>
      <c r="T15">
        <v>6870.56</v>
      </c>
      <c r="U15">
        <v>0.49</v>
      </c>
      <c r="V15">
        <v>0.72</v>
      </c>
      <c r="W15">
        <v>1.18</v>
      </c>
      <c r="X15">
        <v>0.44</v>
      </c>
      <c r="Y15">
        <v>1</v>
      </c>
      <c r="Z15">
        <v>10</v>
      </c>
    </row>
    <row r="16" spans="1:26" x14ac:dyDescent="0.3">
      <c r="A16">
        <v>14</v>
      </c>
      <c r="B16">
        <v>145</v>
      </c>
      <c r="C16" t="s">
        <v>26</v>
      </c>
      <c r="D16">
        <v>8.9563000000000006</v>
      </c>
      <c r="E16">
        <v>11.17</v>
      </c>
      <c r="F16">
        <v>7.08</v>
      </c>
      <c r="G16">
        <v>20.239999999999998</v>
      </c>
      <c r="H16">
        <v>0.27</v>
      </c>
      <c r="I16">
        <v>21</v>
      </c>
      <c r="J16">
        <v>292.27</v>
      </c>
      <c r="K16">
        <v>61.2</v>
      </c>
      <c r="L16">
        <v>4.5</v>
      </c>
      <c r="M16">
        <v>19</v>
      </c>
      <c r="N16">
        <v>81.569999999999993</v>
      </c>
      <c r="O16">
        <v>36281.160000000003</v>
      </c>
      <c r="P16">
        <v>125.16</v>
      </c>
      <c r="Q16">
        <v>204.14</v>
      </c>
      <c r="R16">
        <v>34.03</v>
      </c>
      <c r="S16">
        <v>17.37</v>
      </c>
      <c r="T16">
        <v>6154.33</v>
      </c>
      <c r="U16">
        <v>0.51</v>
      </c>
      <c r="V16">
        <v>0.72</v>
      </c>
      <c r="W16">
        <v>1.17</v>
      </c>
      <c r="X16">
        <v>0.39</v>
      </c>
      <c r="Y16">
        <v>1</v>
      </c>
      <c r="Z16">
        <v>10</v>
      </c>
    </row>
    <row r="17" spans="1:26" x14ac:dyDescent="0.3">
      <c r="A17">
        <v>15</v>
      </c>
      <c r="B17">
        <v>145</v>
      </c>
      <c r="C17" t="s">
        <v>26</v>
      </c>
      <c r="D17">
        <v>9.0109999999999992</v>
      </c>
      <c r="E17">
        <v>11.1</v>
      </c>
      <c r="F17">
        <v>7.07</v>
      </c>
      <c r="G17">
        <v>21.21</v>
      </c>
      <c r="H17">
        <v>0.28999999999999998</v>
      </c>
      <c r="I17">
        <v>20</v>
      </c>
      <c r="J17">
        <v>292.79000000000002</v>
      </c>
      <c r="K17">
        <v>61.2</v>
      </c>
      <c r="L17">
        <v>4.75</v>
      </c>
      <c r="M17">
        <v>18</v>
      </c>
      <c r="N17">
        <v>81.84</v>
      </c>
      <c r="O17">
        <v>36344.400000000001</v>
      </c>
      <c r="P17">
        <v>124.94</v>
      </c>
      <c r="Q17">
        <v>204.18</v>
      </c>
      <c r="R17">
        <v>33.590000000000003</v>
      </c>
      <c r="S17">
        <v>17.37</v>
      </c>
      <c r="T17">
        <v>5937.26</v>
      </c>
      <c r="U17">
        <v>0.52</v>
      </c>
      <c r="V17">
        <v>0.72</v>
      </c>
      <c r="W17">
        <v>1.17</v>
      </c>
      <c r="X17">
        <v>0.38</v>
      </c>
      <c r="Y17">
        <v>1</v>
      </c>
      <c r="Z17">
        <v>10</v>
      </c>
    </row>
    <row r="18" spans="1:26" x14ac:dyDescent="0.3">
      <c r="A18">
        <v>16</v>
      </c>
      <c r="B18">
        <v>145</v>
      </c>
      <c r="C18" t="s">
        <v>26</v>
      </c>
      <c r="D18">
        <v>9.0714000000000006</v>
      </c>
      <c r="E18">
        <v>11.02</v>
      </c>
      <c r="F18">
        <v>7.05</v>
      </c>
      <c r="G18">
        <v>22.26</v>
      </c>
      <c r="H18">
        <v>0.3</v>
      </c>
      <c r="I18">
        <v>19</v>
      </c>
      <c r="J18">
        <v>293.3</v>
      </c>
      <c r="K18">
        <v>61.2</v>
      </c>
      <c r="L18">
        <v>5</v>
      </c>
      <c r="M18">
        <v>17</v>
      </c>
      <c r="N18">
        <v>82.1</v>
      </c>
      <c r="O18">
        <v>36407.75</v>
      </c>
      <c r="P18">
        <v>124.41</v>
      </c>
      <c r="Q18">
        <v>204.21</v>
      </c>
      <c r="R18">
        <v>32.909999999999997</v>
      </c>
      <c r="S18">
        <v>17.37</v>
      </c>
      <c r="T18">
        <v>5603.91</v>
      </c>
      <c r="U18">
        <v>0.53</v>
      </c>
      <c r="V18">
        <v>0.72</v>
      </c>
      <c r="W18">
        <v>1.17</v>
      </c>
      <c r="X18">
        <v>0.36</v>
      </c>
      <c r="Y18">
        <v>1</v>
      </c>
      <c r="Z18">
        <v>10</v>
      </c>
    </row>
    <row r="19" spans="1:26" x14ac:dyDescent="0.3">
      <c r="A19">
        <v>17</v>
      </c>
      <c r="B19">
        <v>145</v>
      </c>
      <c r="C19" t="s">
        <v>26</v>
      </c>
      <c r="D19">
        <v>9.1344999999999992</v>
      </c>
      <c r="E19">
        <v>10.95</v>
      </c>
      <c r="F19">
        <v>7.03</v>
      </c>
      <c r="G19">
        <v>23.43</v>
      </c>
      <c r="H19">
        <v>0.32</v>
      </c>
      <c r="I19">
        <v>18</v>
      </c>
      <c r="J19">
        <v>293.81</v>
      </c>
      <c r="K19">
        <v>61.2</v>
      </c>
      <c r="L19">
        <v>5.25</v>
      </c>
      <c r="M19">
        <v>16</v>
      </c>
      <c r="N19">
        <v>82.36</v>
      </c>
      <c r="O19">
        <v>36471.199999999997</v>
      </c>
      <c r="P19">
        <v>124.01</v>
      </c>
      <c r="Q19">
        <v>204.15</v>
      </c>
      <c r="R19">
        <v>32.340000000000003</v>
      </c>
      <c r="S19">
        <v>17.37</v>
      </c>
      <c r="T19">
        <v>5324.09</v>
      </c>
      <c r="U19">
        <v>0.54</v>
      </c>
      <c r="V19">
        <v>0.73</v>
      </c>
      <c r="W19">
        <v>1.1599999999999999</v>
      </c>
      <c r="X19">
        <v>0.34</v>
      </c>
      <c r="Y19">
        <v>1</v>
      </c>
      <c r="Z19">
        <v>10</v>
      </c>
    </row>
    <row r="20" spans="1:26" x14ac:dyDescent="0.3">
      <c r="A20">
        <v>18</v>
      </c>
      <c r="B20">
        <v>145</v>
      </c>
      <c r="C20" t="s">
        <v>26</v>
      </c>
      <c r="D20">
        <v>9.1338000000000008</v>
      </c>
      <c r="E20">
        <v>10.95</v>
      </c>
      <c r="F20">
        <v>7.03</v>
      </c>
      <c r="G20">
        <v>23.43</v>
      </c>
      <c r="H20">
        <v>0.33</v>
      </c>
      <c r="I20">
        <v>18</v>
      </c>
      <c r="J20">
        <v>294.33</v>
      </c>
      <c r="K20">
        <v>61.2</v>
      </c>
      <c r="L20">
        <v>5.5</v>
      </c>
      <c r="M20">
        <v>16</v>
      </c>
      <c r="N20">
        <v>82.63</v>
      </c>
      <c r="O20">
        <v>36534.76</v>
      </c>
      <c r="P20">
        <v>123.81</v>
      </c>
      <c r="Q20">
        <v>204.17</v>
      </c>
      <c r="R20">
        <v>32.14</v>
      </c>
      <c r="S20">
        <v>17.37</v>
      </c>
      <c r="T20">
        <v>5220.54</v>
      </c>
      <c r="U20">
        <v>0.54</v>
      </c>
      <c r="V20">
        <v>0.73</v>
      </c>
      <c r="W20">
        <v>1.17</v>
      </c>
      <c r="X20">
        <v>0.34</v>
      </c>
      <c r="Y20">
        <v>1</v>
      </c>
      <c r="Z20">
        <v>10</v>
      </c>
    </row>
    <row r="21" spans="1:26" x14ac:dyDescent="0.3">
      <c r="A21">
        <v>19</v>
      </c>
      <c r="B21">
        <v>145</v>
      </c>
      <c r="C21" t="s">
        <v>26</v>
      </c>
      <c r="D21">
        <v>9.1838999999999995</v>
      </c>
      <c r="E21">
        <v>10.89</v>
      </c>
      <c r="F21">
        <v>7.02</v>
      </c>
      <c r="G21">
        <v>24.79</v>
      </c>
      <c r="H21">
        <v>0.35</v>
      </c>
      <c r="I21">
        <v>17</v>
      </c>
      <c r="J21">
        <v>294.83999999999997</v>
      </c>
      <c r="K21">
        <v>61.2</v>
      </c>
      <c r="L21">
        <v>5.75</v>
      </c>
      <c r="M21">
        <v>15</v>
      </c>
      <c r="N21">
        <v>82.9</v>
      </c>
      <c r="O21">
        <v>36598.44</v>
      </c>
      <c r="P21">
        <v>123.89</v>
      </c>
      <c r="Q21">
        <v>204.15</v>
      </c>
      <c r="R21">
        <v>32.19</v>
      </c>
      <c r="S21">
        <v>17.37</v>
      </c>
      <c r="T21">
        <v>5249.9</v>
      </c>
      <c r="U21">
        <v>0.54</v>
      </c>
      <c r="V21">
        <v>0.73</v>
      </c>
      <c r="W21">
        <v>1.17</v>
      </c>
      <c r="X21">
        <v>0.33</v>
      </c>
      <c r="Y21">
        <v>1</v>
      </c>
      <c r="Z21">
        <v>10</v>
      </c>
    </row>
    <row r="22" spans="1:26" x14ac:dyDescent="0.3">
      <c r="A22">
        <v>20</v>
      </c>
      <c r="B22">
        <v>145</v>
      </c>
      <c r="C22" t="s">
        <v>26</v>
      </c>
      <c r="D22">
        <v>9.2583000000000002</v>
      </c>
      <c r="E22">
        <v>10.8</v>
      </c>
      <c r="F22">
        <v>6.99</v>
      </c>
      <c r="G22">
        <v>26.21</v>
      </c>
      <c r="H22">
        <v>0.36</v>
      </c>
      <c r="I22">
        <v>16</v>
      </c>
      <c r="J22">
        <v>295.36</v>
      </c>
      <c r="K22">
        <v>61.2</v>
      </c>
      <c r="L22">
        <v>6</v>
      </c>
      <c r="M22">
        <v>14</v>
      </c>
      <c r="N22">
        <v>83.16</v>
      </c>
      <c r="O22">
        <v>36662.22</v>
      </c>
      <c r="P22">
        <v>123.17</v>
      </c>
      <c r="Q22">
        <v>204.14</v>
      </c>
      <c r="R22">
        <v>31.11</v>
      </c>
      <c r="S22">
        <v>17.37</v>
      </c>
      <c r="T22">
        <v>4715.3999999999996</v>
      </c>
      <c r="U22">
        <v>0.56000000000000005</v>
      </c>
      <c r="V22">
        <v>0.73</v>
      </c>
      <c r="W22">
        <v>1.1599999999999999</v>
      </c>
      <c r="X22">
        <v>0.3</v>
      </c>
      <c r="Y22">
        <v>1</v>
      </c>
      <c r="Z22">
        <v>10</v>
      </c>
    </row>
    <row r="23" spans="1:26" x14ac:dyDescent="0.3">
      <c r="A23">
        <v>21</v>
      </c>
      <c r="B23">
        <v>145</v>
      </c>
      <c r="C23" t="s">
        <v>26</v>
      </c>
      <c r="D23">
        <v>9.2364999999999995</v>
      </c>
      <c r="E23">
        <v>10.83</v>
      </c>
      <c r="F23">
        <v>7.02</v>
      </c>
      <c r="G23">
        <v>26.31</v>
      </c>
      <c r="H23">
        <v>0.38</v>
      </c>
      <c r="I23">
        <v>16</v>
      </c>
      <c r="J23">
        <v>295.88</v>
      </c>
      <c r="K23">
        <v>61.2</v>
      </c>
      <c r="L23">
        <v>6.25</v>
      </c>
      <c r="M23">
        <v>14</v>
      </c>
      <c r="N23">
        <v>83.43</v>
      </c>
      <c r="O23">
        <v>36726.120000000003</v>
      </c>
      <c r="P23">
        <v>123.61</v>
      </c>
      <c r="Q23">
        <v>204.17</v>
      </c>
      <c r="R23">
        <v>31.85</v>
      </c>
      <c r="S23">
        <v>17.37</v>
      </c>
      <c r="T23">
        <v>5084.91</v>
      </c>
      <c r="U23">
        <v>0.55000000000000004</v>
      </c>
      <c r="V23">
        <v>0.73</v>
      </c>
      <c r="W23">
        <v>1.17</v>
      </c>
      <c r="X23">
        <v>0.32</v>
      </c>
      <c r="Y23">
        <v>1</v>
      </c>
      <c r="Z23">
        <v>10</v>
      </c>
    </row>
    <row r="24" spans="1:26" x14ac:dyDescent="0.3">
      <c r="A24">
        <v>22</v>
      </c>
      <c r="B24">
        <v>145</v>
      </c>
      <c r="C24" t="s">
        <v>26</v>
      </c>
      <c r="D24">
        <v>9.3259000000000007</v>
      </c>
      <c r="E24">
        <v>10.72</v>
      </c>
      <c r="F24">
        <v>6.97</v>
      </c>
      <c r="G24">
        <v>27.86</v>
      </c>
      <c r="H24">
        <v>0.39</v>
      </c>
      <c r="I24">
        <v>15</v>
      </c>
      <c r="J24">
        <v>296.39999999999998</v>
      </c>
      <c r="K24">
        <v>61.2</v>
      </c>
      <c r="L24">
        <v>6.5</v>
      </c>
      <c r="M24">
        <v>13</v>
      </c>
      <c r="N24">
        <v>83.7</v>
      </c>
      <c r="O24">
        <v>36790.129999999997</v>
      </c>
      <c r="P24">
        <v>122.69</v>
      </c>
      <c r="Q24">
        <v>204.23</v>
      </c>
      <c r="R24">
        <v>30.29</v>
      </c>
      <c r="S24">
        <v>17.37</v>
      </c>
      <c r="T24">
        <v>4313.79</v>
      </c>
      <c r="U24">
        <v>0.56999999999999995</v>
      </c>
      <c r="V24">
        <v>0.73</v>
      </c>
      <c r="W24">
        <v>1.1599999999999999</v>
      </c>
      <c r="X24">
        <v>0.27</v>
      </c>
      <c r="Y24">
        <v>1</v>
      </c>
      <c r="Z24">
        <v>10</v>
      </c>
    </row>
    <row r="25" spans="1:26" x14ac:dyDescent="0.3">
      <c r="A25">
        <v>23</v>
      </c>
      <c r="B25">
        <v>145</v>
      </c>
      <c r="C25" t="s">
        <v>26</v>
      </c>
      <c r="D25">
        <v>9.3783999999999992</v>
      </c>
      <c r="E25">
        <v>10.66</v>
      </c>
      <c r="F25">
        <v>6.96</v>
      </c>
      <c r="G25">
        <v>29.82</v>
      </c>
      <c r="H25">
        <v>0.4</v>
      </c>
      <c r="I25">
        <v>14</v>
      </c>
      <c r="J25">
        <v>296.92</v>
      </c>
      <c r="K25">
        <v>61.2</v>
      </c>
      <c r="L25">
        <v>6.75</v>
      </c>
      <c r="M25">
        <v>12</v>
      </c>
      <c r="N25">
        <v>83.97</v>
      </c>
      <c r="O25">
        <v>36854.25</v>
      </c>
      <c r="P25">
        <v>122.41</v>
      </c>
      <c r="Q25">
        <v>204.15</v>
      </c>
      <c r="R25">
        <v>30.24</v>
      </c>
      <c r="S25">
        <v>17.37</v>
      </c>
      <c r="T25">
        <v>4291.1400000000003</v>
      </c>
      <c r="U25">
        <v>0.56999999999999995</v>
      </c>
      <c r="V25">
        <v>0.73</v>
      </c>
      <c r="W25">
        <v>1.1599999999999999</v>
      </c>
      <c r="X25">
        <v>0.27</v>
      </c>
      <c r="Y25">
        <v>1</v>
      </c>
      <c r="Z25">
        <v>10</v>
      </c>
    </row>
    <row r="26" spans="1:26" x14ac:dyDescent="0.3">
      <c r="A26">
        <v>24</v>
      </c>
      <c r="B26">
        <v>145</v>
      </c>
      <c r="C26" t="s">
        <v>26</v>
      </c>
      <c r="D26">
        <v>9.3881999999999994</v>
      </c>
      <c r="E26">
        <v>10.65</v>
      </c>
      <c r="F26">
        <v>6.95</v>
      </c>
      <c r="G26">
        <v>29.78</v>
      </c>
      <c r="H26">
        <v>0.42</v>
      </c>
      <c r="I26">
        <v>14</v>
      </c>
      <c r="J26">
        <v>297.44</v>
      </c>
      <c r="K26">
        <v>61.2</v>
      </c>
      <c r="L26">
        <v>7</v>
      </c>
      <c r="M26">
        <v>12</v>
      </c>
      <c r="N26">
        <v>84.24</v>
      </c>
      <c r="O26">
        <v>36918.480000000003</v>
      </c>
      <c r="P26">
        <v>122.35</v>
      </c>
      <c r="Q26">
        <v>204.15</v>
      </c>
      <c r="R26">
        <v>29.7</v>
      </c>
      <c r="S26">
        <v>17.37</v>
      </c>
      <c r="T26">
        <v>4021.89</v>
      </c>
      <c r="U26">
        <v>0.57999999999999996</v>
      </c>
      <c r="V26">
        <v>0.74</v>
      </c>
      <c r="W26">
        <v>1.1599999999999999</v>
      </c>
      <c r="X26">
        <v>0.26</v>
      </c>
      <c r="Y26">
        <v>1</v>
      </c>
      <c r="Z26">
        <v>10</v>
      </c>
    </row>
    <row r="27" spans="1:26" x14ac:dyDescent="0.3">
      <c r="A27">
        <v>25</v>
      </c>
      <c r="B27">
        <v>145</v>
      </c>
      <c r="C27" t="s">
        <v>26</v>
      </c>
      <c r="D27">
        <v>9.3848000000000003</v>
      </c>
      <c r="E27">
        <v>10.66</v>
      </c>
      <c r="F27">
        <v>6.95</v>
      </c>
      <c r="G27">
        <v>29.79</v>
      </c>
      <c r="H27">
        <v>0.43</v>
      </c>
      <c r="I27">
        <v>14</v>
      </c>
      <c r="J27">
        <v>297.95999999999998</v>
      </c>
      <c r="K27">
        <v>61.2</v>
      </c>
      <c r="L27">
        <v>7.25</v>
      </c>
      <c r="M27">
        <v>12</v>
      </c>
      <c r="N27">
        <v>84.51</v>
      </c>
      <c r="O27">
        <v>36982.83</v>
      </c>
      <c r="P27">
        <v>122.18</v>
      </c>
      <c r="Q27">
        <v>204.14</v>
      </c>
      <c r="R27">
        <v>29.9</v>
      </c>
      <c r="S27">
        <v>17.37</v>
      </c>
      <c r="T27">
        <v>4124</v>
      </c>
      <c r="U27">
        <v>0.57999999999999996</v>
      </c>
      <c r="V27">
        <v>0.73</v>
      </c>
      <c r="W27">
        <v>1.1599999999999999</v>
      </c>
      <c r="X27">
        <v>0.26</v>
      </c>
      <c r="Y27">
        <v>1</v>
      </c>
      <c r="Z27">
        <v>10</v>
      </c>
    </row>
    <row r="28" spans="1:26" x14ac:dyDescent="0.3">
      <c r="A28">
        <v>26</v>
      </c>
      <c r="B28">
        <v>145</v>
      </c>
      <c r="C28" t="s">
        <v>26</v>
      </c>
      <c r="D28">
        <v>9.4481000000000002</v>
      </c>
      <c r="E28">
        <v>10.58</v>
      </c>
      <c r="F28">
        <v>6.93</v>
      </c>
      <c r="G28">
        <v>32.01</v>
      </c>
      <c r="H28">
        <v>0.45</v>
      </c>
      <c r="I28">
        <v>13</v>
      </c>
      <c r="J28">
        <v>298.48</v>
      </c>
      <c r="K28">
        <v>61.2</v>
      </c>
      <c r="L28">
        <v>7.5</v>
      </c>
      <c r="M28">
        <v>11</v>
      </c>
      <c r="N28">
        <v>84.79</v>
      </c>
      <c r="O28">
        <v>37047.29</v>
      </c>
      <c r="P28">
        <v>121.93</v>
      </c>
      <c r="Q28">
        <v>204.14</v>
      </c>
      <c r="R28">
        <v>29.37</v>
      </c>
      <c r="S28">
        <v>17.37</v>
      </c>
      <c r="T28">
        <v>3860.58</v>
      </c>
      <c r="U28">
        <v>0.59</v>
      </c>
      <c r="V28">
        <v>0.74</v>
      </c>
      <c r="W28">
        <v>1.1599999999999999</v>
      </c>
      <c r="X28">
        <v>0.24</v>
      </c>
      <c r="Y28">
        <v>1</v>
      </c>
      <c r="Z28">
        <v>10</v>
      </c>
    </row>
    <row r="29" spans="1:26" x14ac:dyDescent="0.3">
      <c r="A29">
        <v>27</v>
      </c>
      <c r="B29">
        <v>145</v>
      </c>
      <c r="C29" t="s">
        <v>26</v>
      </c>
      <c r="D29">
        <v>9.4460999999999995</v>
      </c>
      <c r="E29">
        <v>10.59</v>
      </c>
      <c r="F29">
        <v>6.94</v>
      </c>
      <c r="G29">
        <v>32.020000000000003</v>
      </c>
      <c r="H29">
        <v>0.46</v>
      </c>
      <c r="I29">
        <v>13</v>
      </c>
      <c r="J29">
        <v>299.01</v>
      </c>
      <c r="K29">
        <v>61.2</v>
      </c>
      <c r="L29">
        <v>7.75</v>
      </c>
      <c r="M29">
        <v>11</v>
      </c>
      <c r="N29">
        <v>85.06</v>
      </c>
      <c r="O29">
        <v>37111.870000000003</v>
      </c>
      <c r="P29">
        <v>121.9</v>
      </c>
      <c r="Q29">
        <v>204.15</v>
      </c>
      <c r="R29">
        <v>29.41</v>
      </c>
      <c r="S29">
        <v>17.37</v>
      </c>
      <c r="T29">
        <v>3883.85</v>
      </c>
      <c r="U29">
        <v>0.59</v>
      </c>
      <c r="V29">
        <v>0.74</v>
      </c>
      <c r="W29">
        <v>1.1599999999999999</v>
      </c>
      <c r="X29">
        <v>0.25</v>
      </c>
      <c r="Y29">
        <v>1</v>
      </c>
      <c r="Z29">
        <v>10</v>
      </c>
    </row>
    <row r="30" spans="1:26" x14ac:dyDescent="0.3">
      <c r="A30">
        <v>28</v>
      </c>
      <c r="B30">
        <v>145</v>
      </c>
      <c r="C30" t="s">
        <v>26</v>
      </c>
      <c r="D30">
        <v>9.5137</v>
      </c>
      <c r="E30">
        <v>10.51</v>
      </c>
      <c r="F30">
        <v>6.92</v>
      </c>
      <c r="G30">
        <v>34.58</v>
      </c>
      <c r="H30">
        <v>0.48</v>
      </c>
      <c r="I30">
        <v>12</v>
      </c>
      <c r="J30">
        <v>299.52999999999997</v>
      </c>
      <c r="K30">
        <v>61.2</v>
      </c>
      <c r="L30">
        <v>8</v>
      </c>
      <c r="M30">
        <v>10</v>
      </c>
      <c r="N30">
        <v>85.33</v>
      </c>
      <c r="O30">
        <v>37176.68</v>
      </c>
      <c r="P30">
        <v>121.51</v>
      </c>
      <c r="Q30">
        <v>204.15</v>
      </c>
      <c r="R30">
        <v>28.86</v>
      </c>
      <c r="S30">
        <v>17.37</v>
      </c>
      <c r="T30">
        <v>3612.7</v>
      </c>
      <c r="U30">
        <v>0.6</v>
      </c>
      <c r="V30">
        <v>0.74</v>
      </c>
      <c r="W30">
        <v>1.1499999999999999</v>
      </c>
      <c r="X30">
        <v>0.22</v>
      </c>
      <c r="Y30">
        <v>1</v>
      </c>
      <c r="Z30">
        <v>10</v>
      </c>
    </row>
    <row r="31" spans="1:26" x14ac:dyDescent="0.3">
      <c r="A31">
        <v>29</v>
      </c>
      <c r="B31">
        <v>145</v>
      </c>
      <c r="C31" t="s">
        <v>26</v>
      </c>
      <c r="D31">
        <v>9.5127000000000006</v>
      </c>
      <c r="E31">
        <v>10.51</v>
      </c>
      <c r="F31">
        <v>6.92</v>
      </c>
      <c r="G31">
        <v>34.58</v>
      </c>
      <c r="H31">
        <v>0.49</v>
      </c>
      <c r="I31">
        <v>12</v>
      </c>
      <c r="J31">
        <v>300.06</v>
      </c>
      <c r="K31">
        <v>61.2</v>
      </c>
      <c r="L31">
        <v>8.25</v>
      </c>
      <c r="M31">
        <v>10</v>
      </c>
      <c r="N31">
        <v>85.61</v>
      </c>
      <c r="O31">
        <v>37241.49</v>
      </c>
      <c r="P31">
        <v>121.52</v>
      </c>
      <c r="Q31">
        <v>204.14</v>
      </c>
      <c r="R31">
        <v>28.75</v>
      </c>
      <c r="S31">
        <v>17.37</v>
      </c>
      <c r="T31">
        <v>3558.2</v>
      </c>
      <c r="U31">
        <v>0.6</v>
      </c>
      <c r="V31">
        <v>0.74</v>
      </c>
      <c r="W31">
        <v>1.1599999999999999</v>
      </c>
      <c r="X31">
        <v>0.23</v>
      </c>
      <c r="Y31">
        <v>1</v>
      </c>
      <c r="Z31">
        <v>10</v>
      </c>
    </row>
    <row r="32" spans="1:26" x14ac:dyDescent="0.3">
      <c r="A32">
        <v>30</v>
      </c>
      <c r="B32">
        <v>145</v>
      </c>
      <c r="C32" t="s">
        <v>26</v>
      </c>
      <c r="D32">
        <v>9.5120000000000005</v>
      </c>
      <c r="E32">
        <v>10.51</v>
      </c>
      <c r="F32">
        <v>6.92</v>
      </c>
      <c r="G32">
        <v>34.590000000000003</v>
      </c>
      <c r="H32">
        <v>0.5</v>
      </c>
      <c r="I32">
        <v>12</v>
      </c>
      <c r="J32">
        <v>300.58999999999997</v>
      </c>
      <c r="K32">
        <v>61.2</v>
      </c>
      <c r="L32">
        <v>8.5</v>
      </c>
      <c r="M32">
        <v>10</v>
      </c>
      <c r="N32">
        <v>85.89</v>
      </c>
      <c r="O32">
        <v>37306.42</v>
      </c>
      <c r="P32">
        <v>121.4</v>
      </c>
      <c r="Q32">
        <v>204.15</v>
      </c>
      <c r="R32">
        <v>28.83</v>
      </c>
      <c r="S32">
        <v>17.37</v>
      </c>
      <c r="T32">
        <v>3596.56</v>
      </c>
      <c r="U32">
        <v>0.6</v>
      </c>
      <c r="V32">
        <v>0.74</v>
      </c>
      <c r="W32">
        <v>1.1599999999999999</v>
      </c>
      <c r="X32">
        <v>0.23</v>
      </c>
      <c r="Y32">
        <v>1</v>
      </c>
      <c r="Z32">
        <v>10</v>
      </c>
    </row>
    <row r="33" spans="1:26" x14ac:dyDescent="0.3">
      <c r="A33">
        <v>31</v>
      </c>
      <c r="B33">
        <v>145</v>
      </c>
      <c r="C33" t="s">
        <v>26</v>
      </c>
      <c r="D33">
        <v>9.5915999999999997</v>
      </c>
      <c r="E33">
        <v>10.43</v>
      </c>
      <c r="F33">
        <v>6.88</v>
      </c>
      <c r="G33">
        <v>37.549999999999997</v>
      </c>
      <c r="H33">
        <v>0.52</v>
      </c>
      <c r="I33">
        <v>11</v>
      </c>
      <c r="J33">
        <v>301.11</v>
      </c>
      <c r="K33">
        <v>61.2</v>
      </c>
      <c r="L33">
        <v>8.75</v>
      </c>
      <c r="M33">
        <v>9</v>
      </c>
      <c r="N33">
        <v>86.16</v>
      </c>
      <c r="O33">
        <v>37371.47</v>
      </c>
      <c r="P33">
        <v>120.66</v>
      </c>
      <c r="Q33">
        <v>204.15</v>
      </c>
      <c r="R33">
        <v>27.68</v>
      </c>
      <c r="S33">
        <v>17.37</v>
      </c>
      <c r="T33">
        <v>3027.91</v>
      </c>
      <c r="U33">
        <v>0.63</v>
      </c>
      <c r="V33">
        <v>0.74</v>
      </c>
      <c r="W33">
        <v>1.1599999999999999</v>
      </c>
      <c r="X33">
        <v>0.19</v>
      </c>
      <c r="Y33">
        <v>1</v>
      </c>
      <c r="Z33">
        <v>10</v>
      </c>
    </row>
    <row r="34" spans="1:26" x14ac:dyDescent="0.3">
      <c r="A34">
        <v>32</v>
      </c>
      <c r="B34">
        <v>145</v>
      </c>
      <c r="C34" t="s">
        <v>26</v>
      </c>
      <c r="D34">
        <v>9.5938999999999997</v>
      </c>
      <c r="E34">
        <v>10.42</v>
      </c>
      <c r="F34">
        <v>6.88</v>
      </c>
      <c r="G34">
        <v>37.53</v>
      </c>
      <c r="H34">
        <v>0.53</v>
      </c>
      <c r="I34">
        <v>11</v>
      </c>
      <c r="J34">
        <v>301.64</v>
      </c>
      <c r="K34">
        <v>61.2</v>
      </c>
      <c r="L34">
        <v>9</v>
      </c>
      <c r="M34">
        <v>9</v>
      </c>
      <c r="N34">
        <v>86.44</v>
      </c>
      <c r="O34">
        <v>37436.629999999997</v>
      </c>
      <c r="P34">
        <v>120.6</v>
      </c>
      <c r="Q34">
        <v>204.15</v>
      </c>
      <c r="R34">
        <v>27.71</v>
      </c>
      <c r="S34">
        <v>17.37</v>
      </c>
      <c r="T34">
        <v>3044.24</v>
      </c>
      <c r="U34">
        <v>0.63</v>
      </c>
      <c r="V34">
        <v>0.74</v>
      </c>
      <c r="W34">
        <v>1.1499999999999999</v>
      </c>
      <c r="X34">
        <v>0.19</v>
      </c>
      <c r="Y34">
        <v>1</v>
      </c>
      <c r="Z34">
        <v>10</v>
      </c>
    </row>
    <row r="35" spans="1:26" x14ac:dyDescent="0.3">
      <c r="A35">
        <v>33</v>
      </c>
      <c r="B35">
        <v>145</v>
      </c>
      <c r="C35" t="s">
        <v>26</v>
      </c>
      <c r="D35">
        <v>9.5838999999999999</v>
      </c>
      <c r="E35">
        <v>10.43</v>
      </c>
      <c r="F35">
        <v>6.89</v>
      </c>
      <c r="G35">
        <v>37.590000000000003</v>
      </c>
      <c r="H35">
        <v>0.55000000000000004</v>
      </c>
      <c r="I35">
        <v>11</v>
      </c>
      <c r="J35">
        <v>302.17</v>
      </c>
      <c r="K35">
        <v>61.2</v>
      </c>
      <c r="L35">
        <v>9.25</v>
      </c>
      <c r="M35">
        <v>9</v>
      </c>
      <c r="N35">
        <v>86.72</v>
      </c>
      <c r="O35">
        <v>37501.910000000003</v>
      </c>
      <c r="P35">
        <v>120.78</v>
      </c>
      <c r="Q35">
        <v>204.14</v>
      </c>
      <c r="R35">
        <v>28.18</v>
      </c>
      <c r="S35">
        <v>17.37</v>
      </c>
      <c r="T35">
        <v>3278.71</v>
      </c>
      <c r="U35">
        <v>0.62</v>
      </c>
      <c r="V35">
        <v>0.74</v>
      </c>
      <c r="W35">
        <v>1.1499999999999999</v>
      </c>
      <c r="X35">
        <v>0.2</v>
      </c>
      <c r="Y35">
        <v>1</v>
      </c>
      <c r="Z35">
        <v>10</v>
      </c>
    </row>
    <row r="36" spans="1:26" x14ac:dyDescent="0.3">
      <c r="A36">
        <v>34</v>
      </c>
      <c r="B36">
        <v>145</v>
      </c>
      <c r="C36" t="s">
        <v>26</v>
      </c>
      <c r="D36">
        <v>9.5886999999999993</v>
      </c>
      <c r="E36">
        <v>10.43</v>
      </c>
      <c r="F36">
        <v>6.89</v>
      </c>
      <c r="G36">
        <v>37.57</v>
      </c>
      <c r="H36">
        <v>0.56000000000000005</v>
      </c>
      <c r="I36">
        <v>11</v>
      </c>
      <c r="J36">
        <v>302.7</v>
      </c>
      <c r="K36">
        <v>61.2</v>
      </c>
      <c r="L36">
        <v>9.5</v>
      </c>
      <c r="M36">
        <v>9</v>
      </c>
      <c r="N36">
        <v>87</v>
      </c>
      <c r="O36">
        <v>37567.32</v>
      </c>
      <c r="P36">
        <v>120.5</v>
      </c>
      <c r="Q36">
        <v>204.14</v>
      </c>
      <c r="R36">
        <v>27.92</v>
      </c>
      <c r="S36">
        <v>17.37</v>
      </c>
      <c r="T36">
        <v>3146.27</v>
      </c>
      <c r="U36">
        <v>0.62</v>
      </c>
      <c r="V36">
        <v>0.74</v>
      </c>
      <c r="W36">
        <v>1.1499999999999999</v>
      </c>
      <c r="X36">
        <v>0.2</v>
      </c>
      <c r="Y36">
        <v>1</v>
      </c>
      <c r="Z36">
        <v>10</v>
      </c>
    </row>
    <row r="37" spans="1:26" x14ac:dyDescent="0.3">
      <c r="A37">
        <v>35</v>
      </c>
      <c r="B37">
        <v>145</v>
      </c>
      <c r="C37" t="s">
        <v>26</v>
      </c>
      <c r="D37">
        <v>9.6633999999999993</v>
      </c>
      <c r="E37">
        <v>10.35</v>
      </c>
      <c r="F37">
        <v>6.86</v>
      </c>
      <c r="G37">
        <v>41.16</v>
      </c>
      <c r="H37">
        <v>0.56999999999999995</v>
      </c>
      <c r="I37">
        <v>10</v>
      </c>
      <c r="J37">
        <v>303.23</v>
      </c>
      <c r="K37">
        <v>61.2</v>
      </c>
      <c r="L37">
        <v>9.75</v>
      </c>
      <c r="M37">
        <v>8</v>
      </c>
      <c r="N37">
        <v>87.28</v>
      </c>
      <c r="O37">
        <v>37632.839999999997</v>
      </c>
      <c r="P37">
        <v>119.94</v>
      </c>
      <c r="Q37">
        <v>204.14</v>
      </c>
      <c r="R37">
        <v>27.12</v>
      </c>
      <c r="S37">
        <v>17.37</v>
      </c>
      <c r="T37">
        <v>2754.21</v>
      </c>
      <c r="U37">
        <v>0.64</v>
      </c>
      <c r="V37">
        <v>0.74</v>
      </c>
      <c r="W37">
        <v>1.1499999999999999</v>
      </c>
      <c r="X37">
        <v>0.17</v>
      </c>
      <c r="Y37">
        <v>1</v>
      </c>
      <c r="Z37">
        <v>10</v>
      </c>
    </row>
    <row r="38" spans="1:26" x14ac:dyDescent="0.3">
      <c r="A38">
        <v>36</v>
      </c>
      <c r="B38">
        <v>145</v>
      </c>
      <c r="C38" t="s">
        <v>26</v>
      </c>
      <c r="D38">
        <v>9.6542999999999992</v>
      </c>
      <c r="E38">
        <v>10.36</v>
      </c>
      <c r="F38">
        <v>6.87</v>
      </c>
      <c r="G38">
        <v>41.22</v>
      </c>
      <c r="H38">
        <v>0.59</v>
      </c>
      <c r="I38">
        <v>10</v>
      </c>
      <c r="J38">
        <v>303.76</v>
      </c>
      <c r="K38">
        <v>61.2</v>
      </c>
      <c r="L38">
        <v>10</v>
      </c>
      <c r="M38">
        <v>8</v>
      </c>
      <c r="N38">
        <v>87.57</v>
      </c>
      <c r="O38">
        <v>37698.480000000003</v>
      </c>
      <c r="P38">
        <v>120.13</v>
      </c>
      <c r="Q38">
        <v>204.14</v>
      </c>
      <c r="R38">
        <v>27.38</v>
      </c>
      <c r="S38">
        <v>17.37</v>
      </c>
      <c r="T38">
        <v>2884.26</v>
      </c>
      <c r="U38">
        <v>0.63</v>
      </c>
      <c r="V38">
        <v>0.74</v>
      </c>
      <c r="W38">
        <v>1.1499999999999999</v>
      </c>
      <c r="X38">
        <v>0.18</v>
      </c>
      <c r="Y38">
        <v>1</v>
      </c>
      <c r="Z38">
        <v>10</v>
      </c>
    </row>
    <row r="39" spans="1:26" x14ac:dyDescent="0.3">
      <c r="A39">
        <v>37</v>
      </c>
      <c r="B39">
        <v>145</v>
      </c>
      <c r="C39" t="s">
        <v>26</v>
      </c>
      <c r="D39">
        <v>9.6577000000000002</v>
      </c>
      <c r="E39">
        <v>10.35</v>
      </c>
      <c r="F39">
        <v>6.87</v>
      </c>
      <c r="G39">
        <v>41.2</v>
      </c>
      <c r="H39">
        <v>0.6</v>
      </c>
      <c r="I39">
        <v>10</v>
      </c>
      <c r="J39">
        <v>304.3</v>
      </c>
      <c r="K39">
        <v>61.2</v>
      </c>
      <c r="L39">
        <v>10.25</v>
      </c>
      <c r="M39">
        <v>8</v>
      </c>
      <c r="N39">
        <v>87.85</v>
      </c>
      <c r="O39">
        <v>37764.25</v>
      </c>
      <c r="P39">
        <v>120.14</v>
      </c>
      <c r="Q39">
        <v>204.15</v>
      </c>
      <c r="R39">
        <v>27.35</v>
      </c>
      <c r="S39">
        <v>17.37</v>
      </c>
      <c r="T39">
        <v>2865.55</v>
      </c>
      <c r="U39">
        <v>0.64</v>
      </c>
      <c r="V39">
        <v>0.74</v>
      </c>
      <c r="W39">
        <v>1.1499999999999999</v>
      </c>
      <c r="X39">
        <v>0.17</v>
      </c>
      <c r="Y39">
        <v>1</v>
      </c>
      <c r="Z39">
        <v>10</v>
      </c>
    </row>
    <row r="40" spans="1:26" x14ac:dyDescent="0.3">
      <c r="A40">
        <v>38</v>
      </c>
      <c r="B40">
        <v>145</v>
      </c>
      <c r="C40" t="s">
        <v>26</v>
      </c>
      <c r="D40">
        <v>9.6594999999999995</v>
      </c>
      <c r="E40">
        <v>10.35</v>
      </c>
      <c r="F40">
        <v>6.86</v>
      </c>
      <c r="G40">
        <v>41.19</v>
      </c>
      <c r="H40">
        <v>0.61</v>
      </c>
      <c r="I40">
        <v>10</v>
      </c>
      <c r="J40">
        <v>304.83</v>
      </c>
      <c r="K40">
        <v>61.2</v>
      </c>
      <c r="L40">
        <v>10.5</v>
      </c>
      <c r="M40">
        <v>8</v>
      </c>
      <c r="N40">
        <v>88.13</v>
      </c>
      <c r="O40">
        <v>37830.129999999997</v>
      </c>
      <c r="P40">
        <v>120.05</v>
      </c>
      <c r="Q40">
        <v>204.14</v>
      </c>
      <c r="R40">
        <v>27.28</v>
      </c>
      <c r="S40">
        <v>17.37</v>
      </c>
      <c r="T40">
        <v>2830.87</v>
      </c>
      <c r="U40">
        <v>0.64</v>
      </c>
      <c r="V40">
        <v>0.74</v>
      </c>
      <c r="W40">
        <v>1.1499999999999999</v>
      </c>
      <c r="X40">
        <v>0.17</v>
      </c>
      <c r="Y40">
        <v>1</v>
      </c>
      <c r="Z40">
        <v>10</v>
      </c>
    </row>
    <row r="41" spans="1:26" x14ac:dyDescent="0.3">
      <c r="A41">
        <v>39</v>
      </c>
      <c r="B41">
        <v>145</v>
      </c>
      <c r="C41" t="s">
        <v>26</v>
      </c>
      <c r="D41">
        <v>9.7288999999999994</v>
      </c>
      <c r="E41">
        <v>10.28</v>
      </c>
      <c r="F41">
        <v>6.84</v>
      </c>
      <c r="G41">
        <v>45.63</v>
      </c>
      <c r="H41">
        <v>0.63</v>
      </c>
      <c r="I41">
        <v>9</v>
      </c>
      <c r="J41">
        <v>305.37</v>
      </c>
      <c r="K41">
        <v>61.2</v>
      </c>
      <c r="L41">
        <v>10.75</v>
      </c>
      <c r="M41">
        <v>7</v>
      </c>
      <c r="N41">
        <v>88.42</v>
      </c>
      <c r="O41">
        <v>37896.14</v>
      </c>
      <c r="P41">
        <v>119.42</v>
      </c>
      <c r="Q41">
        <v>204.16</v>
      </c>
      <c r="R41">
        <v>26.6</v>
      </c>
      <c r="S41">
        <v>17.37</v>
      </c>
      <c r="T41">
        <v>2497.23</v>
      </c>
      <c r="U41">
        <v>0.65</v>
      </c>
      <c r="V41">
        <v>0.75</v>
      </c>
      <c r="W41">
        <v>1.1499999999999999</v>
      </c>
      <c r="X41">
        <v>0.15</v>
      </c>
      <c r="Y41">
        <v>1</v>
      </c>
      <c r="Z41">
        <v>10</v>
      </c>
    </row>
    <row r="42" spans="1:26" x14ac:dyDescent="0.3">
      <c r="A42">
        <v>40</v>
      </c>
      <c r="B42">
        <v>145</v>
      </c>
      <c r="C42" t="s">
        <v>26</v>
      </c>
      <c r="D42">
        <v>9.7171000000000003</v>
      </c>
      <c r="E42">
        <v>10.29</v>
      </c>
      <c r="F42">
        <v>6.86</v>
      </c>
      <c r="G42">
        <v>45.71</v>
      </c>
      <c r="H42">
        <v>0.64</v>
      </c>
      <c r="I42">
        <v>9</v>
      </c>
      <c r="J42">
        <v>305.89999999999998</v>
      </c>
      <c r="K42">
        <v>61.2</v>
      </c>
      <c r="L42">
        <v>11</v>
      </c>
      <c r="M42">
        <v>7</v>
      </c>
      <c r="N42">
        <v>88.7</v>
      </c>
      <c r="O42">
        <v>37962.28</v>
      </c>
      <c r="P42">
        <v>119.9</v>
      </c>
      <c r="Q42">
        <v>204.15</v>
      </c>
      <c r="R42">
        <v>27.02</v>
      </c>
      <c r="S42">
        <v>17.37</v>
      </c>
      <c r="T42">
        <v>2709.3</v>
      </c>
      <c r="U42">
        <v>0.64</v>
      </c>
      <c r="V42">
        <v>0.74</v>
      </c>
      <c r="W42">
        <v>1.1499999999999999</v>
      </c>
      <c r="X42">
        <v>0.17</v>
      </c>
      <c r="Y42">
        <v>1</v>
      </c>
      <c r="Z42">
        <v>10</v>
      </c>
    </row>
    <row r="43" spans="1:26" x14ac:dyDescent="0.3">
      <c r="A43">
        <v>41</v>
      </c>
      <c r="B43">
        <v>145</v>
      </c>
      <c r="C43" t="s">
        <v>26</v>
      </c>
      <c r="D43">
        <v>9.7208000000000006</v>
      </c>
      <c r="E43">
        <v>10.29</v>
      </c>
      <c r="F43">
        <v>6.85</v>
      </c>
      <c r="G43">
        <v>45.69</v>
      </c>
      <c r="H43">
        <v>0.65</v>
      </c>
      <c r="I43">
        <v>9</v>
      </c>
      <c r="J43">
        <v>306.44</v>
      </c>
      <c r="K43">
        <v>61.2</v>
      </c>
      <c r="L43">
        <v>11.25</v>
      </c>
      <c r="M43">
        <v>7</v>
      </c>
      <c r="N43">
        <v>88.99</v>
      </c>
      <c r="O43">
        <v>38028.53</v>
      </c>
      <c r="P43">
        <v>119.94</v>
      </c>
      <c r="Q43">
        <v>204.16</v>
      </c>
      <c r="R43">
        <v>26.89</v>
      </c>
      <c r="S43">
        <v>17.37</v>
      </c>
      <c r="T43">
        <v>2640.7</v>
      </c>
      <c r="U43">
        <v>0.65</v>
      </c>
      <c r="V43">
        <v>0.75</v>
      </c>
      <c r="W43">
        <v>1.1499999999999999</v>
      </c>
      <c r="X43">
        <v>0.16</v>
      </c>
      <c r="Y43">
        <v>1</v>
      </c>
      <c r="Z43">
        <v>10</v>
      </c>
    </row>
    <row r="44" spans="1:26" x14ac:dyDescent="0.3">
      <c r="A44">
        <v>42</v>
      </c>
      <c r="B44">
        <v>145</v>
      </c>
      <c r="C44" t="s">
        <v>26</v>
      </c>
      <c r="D44">
        <v>9.7212999999999994</v>
      </c>
      <c r="E44">
        <v>10.29</v>
      </c>
      <c r="F44">
        <v>6.85</v>
      </c>
      <c r="G44">
        <v>45.68</v>
      </c>
      <c r="H44">
        <v>0.67</v>
      </c>
      <c r="I44">
        <v>9</v>
      </c>
      <c r="J44">
        <v>306.98</v>
      </c>
      <c r="K44">
        <v>61.2</v>
      </c>
      <c r="L44">
        <v>11.5</v>
      </c>
      <c r="M44">
        <v>7</v>
      </c>
      <c r="N44">
        <v>89.28</v>
      </c>
      <c r="O44">
        <v>38094.910000000003</v>
      </c>
      <c r="P44">
        <v>119.84</v>
      </c>
      <c r="Q44">
        <v>204.14</v>
      </c>
      <c r="R44">
        <v>26.88</v>
      </c>
      <c r="S44">
        <v>17.37</v>
      </c>
      <c r="T44">
        <v>2635.62</v>
      </c>
      <c r="U44">
        <v>0.65</v>
      </c>
      <c r="V44">
        <v>0.75</v>
      </c>
      <c r="W44">
        <v>1.1499999999999999</v>
      </c>
      <c r="X44">
        <v>0.16</v>
      </c>
      <c r="Y44">
        <v>1</v>
      </c>
      <c r="Z44">
        <v>10</v>
      </c>
    </row>
    <row r="45" spans="1:26" x14ac:dyDescent="0.3">
      <c r="A45">
        <v>43</v>
      </c>
      <c r="B45">
        <v>145</v>
      </c>
      <c r="C45" t="s">
        <v>26</v>
      </c>
      <c r="D45">
        <v>9.7149999999999999</v>
      </c>
      <c r="E45">
        <v>10.29</v>
      </c>
      <c r="F45">
        <v>6.86</v>
      </c>
      <c r="G45">
        <v>45.73</v>
      </c>
      <c r="H45">
        <v>0.68</v>
      </c>
      <c r="I45">
        <v>9</v>
      </c>
      <c r="J45">
        <v>307.52</v>
      </c>
      <c r="K45">
        <v>61.2</v>
      </c>
      <c r="L45">
        <v>11.75</v>
      </c>
      <c r="M45">
        <v>7</v>
      </c>
      <c r="N45">
        <v>89.57</v>
      </c>
      <c r="O45">
        <v>38161.42</v>
      </c>
      <c r="P45">
        <v>119.8</v>
      </c>
      <c r="Q45">
        <v>204.15</v>
      </c>
      <c r="R45">
        <v>27.11</v>
      </c>
      <c r="S45">
        <v>17.37</v>
      </c>
      <c r="T45">
        <v>2752.57</v>
      </c>
      <c r="U45">
        <v>0.64</v>
      </c>
      <c r="V45">
        <v>0.74</v>
      </c>
      <c r="W45">
        <v>1.1499999999999999</v>
      </c>
      <c r="X45">
        <v>0.17</v>
      </c>
      <c r="Y45">
        <v>1</v>
      </c>
      <c r="Z45">
        <v>10</v>
      </c>
    </row>
    <row r="46" spans="1:26" x14ac:dyDescent="0.3">
      <c r="A46">
        <v>44</v>
      </c>
      <c r="B46">
        <v>145</v>
      </c>
      <c r="C46" t="s">
        <v>26</v>
      </c>
      <c r="D46">
        <v>9.7187000000000001</v>
      </c>
      <c r="E46">
        <v>10.29</v>
      </c>
      <c r="F46">
        <v>6.86</v>
      </c>
      <c r="G46">
        <v>45.7</v>
      </c>
      <c r="H46">
        <v>0.69</v>
      </c>
      <c r="I46">
        <v>9</v>
      </c>
      <c r="J46">
        <v>308.06</v>
      </c>
      <c r="K46">
        <v>61.2</v>
      </c>
      <c r="L46">
        <v>12</v>
      </c>
      <c r="M46">
        <v>7</v>
      </c>
      <c r="N46">
        <v>89.86</v>
      </c>
      <c r="O46">
        <v>38228.06</v>
      </c>
      <c r="P46">
        <v>119.62</v>
      </c>
      <c r="Q46">
        <v>204.14</v>
      </c>
      <c r="R46">
        <v>27</v>
      </c>
      <c r="S46">
        <v>17.37</v>
      </c>
      <c r="T46">
        <v>2698.09</v>
      </c>
      <c r="U46">
        <v>0.64</v>
      </c>
      <c r="V46">
        <v>0.74</v>
      </c>
      <c r="W46">
        <v>1.1499999999999999</v>
      </c>
      <c r="X46">
        <v>0.16</v>
      </c>
      <c r="Y46">
        <v>1</v>
      </c>
      <c r="Z46">
        <v>10</v>
      </c>
    </row>
    <row r="47" spans="1:26" x14ac:dyDescent="0.3">
      <c r="A47">
        <v>45</v>
      </c>
      <c r="B47">
        <v>145</v>
      </c>
      <c r="C47" t="s">
        <v>26</v>
      </c>
      <c r="D47">
        <v>9.7881999999999998</v>
      </c>
      <c r="E47">
        <v>10.220000000000001</v>
      </c>
      <c r="F47">
        <v>6.84</v>
      </c>
      <c r="G47">
        <v>51.27</v>
      </c>
      <c r="H47">
        <v>0.71</v>
      </c>
      <c r="I47">
        <v>8</v>
      </c>
      <c r="J47">
        <v>308.60000000000002</v>
      </c>
      <c r="K47">
        <v>61.2</v>
      </c>
      <c r="L47">
        <v>12.25</v>
      </c>
      <c r="M47">
        <v>6</v>
      </c>
      <c r="N47">
        <v>90.15</v>
      </c>
      <c r="O47">
        <v>38294.82</v>
      </c>
      <c r="P47">
        <v>119.14</v>
      </c>
      <c r="Q47">
        <v>204.15</v>
      </c>
      <c r="R47">
        <v>26.39</v>
      </c>
      <c r="S47">
        <v>17.37</v>
      </c>
      <c r="T47">
        <v>2396.34</v>
      </c>
      <c r="U47">
        <v>0.66</v>
      </c>
      <c r="V47">
        <v>0.75</v>
      </c>
      <c r="W47">
        <v>1.1499999999999999</v>
      </c>
      <c r="X47">
        <v>0.14000000000000001</v>
      </c>
      <c r="Y47">
        <v>1</v>
      </c>
      <c r="Z47">
        <v>10</v>
      </c>
    </row>
    <row r="48" spans="1:26" x14ac:dyDescent="0.3">
      <c r="A48">
        <v>46</v>
      </c>
      <c r="B48">
        <v>145</v>
      </c>
      <c r="C48" t="s">
        <v>26</v>
      </c>
      <c r="D48">
        <v>9.8041999999999998</v>
      </c>
      <c r="E48">
        <v>10.199999999999999</v>
      </c>
      <c r="F48">
        <v>6.82</v>
      </c>
      <c r="G48">
        <v>51.15</v>
      </c>
      <c r="H48">
        <v>0.72</v>
      </c>
      <c r="I48">
        <v>8</v>
      </c>
      <c r="J48">
        <v>309.14</v>
      </c>
      <c r="K48">
        <v>61.2</v>
      </c>
      <c r="L48">
        <v>12.5</v>
      </c>
      <c r="M48">
        <v>6</v>
      </c>
      <c r="N48">
        <v>90.44</v>
      </c>
      <c r="O48">
        <v>38361.699999999997</v>
      </c>
      <c r="P48">
        <v>118.98</v>
      </c>
      <c r="Q48">
        <v>204.19</v>
      </c>
      <c r="R48">
        <v>25.72</v>
      </c>
      <c r="S48">
        <v>17.37</v>
      </c>
      <c r="T48">
        <v>2060.4499999999998</v>
      </c>
      <c r="U48">
        <v>0.68</v>
      </c>
      <c r="V48">
        <v>0.75</v>
      </c>
      <c r="W48">
        <v>1.1499999999999999</v>
      </c>
      <c r="X48">
        <v>0.13</v>
      </c>
      <c r="Y48">
        <v>1</v>
      </c>
      <c r="Z48">
        <v>10</v>
      </c>
    </row>
    <row r="49" spans="1:26" x14ac:dyDescent="0.3">
      <c r="A49">
        <v>47</v>
      </c>
      <c r="B49">
        <v>145</v>
      </c>
      <c r="C49" t="s">
        <v>26</v>
      </c>
      <c r="D49">
        <v>9.8057999999999996</v>
      </c>
      <c r="E49">
        <v>10.199999999999999</v>
      </c>
      <c r="F49">
        <v>6.82</v>
      </c>
      <c r="G49">
        <v>51.13</v>
      </c>
      <c r="H49">
        <v>0.73</v>
      </c>
      <c r="I49">
        <v>8</v>
      </c>
      <c r="J49">
        <v>309.68</v>
      </c>
      <c r="K49">
        <v>61.2</v>
      </c>
      <c r="L49">
        <v>12.75</v>
      </c>
      <c r="M49">
        <v>6</v>
      </c>
      <c r="N49">
        <v>90.74</v>
      </c>
      <c r="O49">
        <v>38428.720000000001</v>
      </c>
      <c r="P49">
        <v>118.73</v>
      </c>
      <c r="Q49">
        <v>204.15</v>
      </c>
      <c r="R49">
        <v>25.86</v>
      </c>
      <c r="S49">
        <v>17.37</v>
      </c>
      <c r="T49">
        <v>2133.4899999999998</v>
      </c>
      <c r="U49">
        <v>0.67</v>
      </c>
      <c r="V49">
        <v>0.75</v>
      </c>
      <c r="W49">
        <v>1.1499999999999999</v>
      </c>
      <c r="X49">
        <v>0.13</v>
      </c>
      <c r="Y49">
        <v>1</v>
      </c>
      <c r="Z49">
        <v>10</v>
      </c>
    </row>
    <row r="50" spans="1:26" x14ac:dyDescent="0.3">
      <c r="A50">
        <v>48</v>
      </c>
      <c r="B50">
        <v>145</v>
      </c>
      <c r="C50" t="s">
        <v>26</v>
      </c>
      <c r="D50">
        <v>9.7925000000000004</v>
      </c>
      <c r="E50">
        <v>10.210000000000001</v>
      </c>
      <c r="F50">
        <v>6.83</v>
      </c>
      <c r="G50">
        <v>51.24</v>
      </c>
      <c r="H50">
        <v>0.75</v>
      </c>
      <c r="I50">
        <v>8</v>
      </c>
      <c r="J50">
        <v>310.23</v>
      </c>
      <c r="K50">
        <v>61.2</v>
      </c>
      <c r="L50">
        <v>13</v>
      </c>
      <c r="M50">
        <v>6</v>
      </c>
      <c r="N50">
        <v>91.03</v>
      </c>
      <c r="O50">
        <v>38495.870000000003</v>
      </c>
      <c r="P50">
        <v>118.99</v>
      </c>
      <c r="Q50">
        <v>204.14</v>
      </c>
      <c r="R50">
        <v>26.02</v>
      </c>
      <c r="S50">
        <v>17.37</v>
      </c>
      <c r="T50">
        <v>2212.54</v>
      </c>
      <c r="U50">
        <v>0.67</v>
      </c>
      <c r="V50">
        <v>0.75</v>
      </c>
      <c r="W50">
        <v>1.1499999999999999</v>
      </c>
      <c r="X50">
        <v>0.14000000000000001</v>
      </c>
      <c r="Y50">
        <v>1</v>
      </c>
      <c r="Z50">
        <v>10</v>
      </c>
    </row>
    <row r="51" spans="1:26" x14ac:dyDescent="0.3">
      <c r="A51">
        <v>49</v>
      </c>
      <c r="B51">
        <v>145</v>
      </c>
      <c r="C51" t="s">
        <v>26</v>
      </c>
      <c r="D51">
        <v>9.7972999999999999</v>
      </c>
      <c r="E51">
        <v>10.210000000000001</v>
      </c>
      <c r="F51">
        <v>6.83</v>
      </c>
      <c r="G51">
        <v>51.2</v>
      </c>
      <c r="H51">
        <v>0.76</v>
      </c>
      <c r="I51">
        <v>8</v>
      </c>
      <c r="J51">
        <v>310.77</v>
      </c>
      <c r="K51">
        <v>61.2</v>
      </c>
      <c r="L51">
        <v>13.25</v>
      </c>
      <c r="M51">
        <v>6</v>
      </c>
      <c r="N51">
        <v>91.33</v>
      </c>
      <c r="O51">
        <v>38563.14</v>
      </c>
      <c r="P51">
        <v>118.73</v>
      </c>
      <c r="Q51">
        <v>204.14</v>
      </c>
      <c r="R51">
        <v>26.15</v>
      </c>
      <c r="S51">
        <v>17.37</v>
      </c>
      <c r="T51">
        <v>2278.91</v>
      </c>
      <c r="U51">
        <v>0.66</v>
      </c>
      <c r="V51">
        <v>0.75</v>
      </c>
      <c r="W51">
        <v>1.1499999999999999</v>
      </c>
      <c r="X51">
        <v>0.14000000000000001</v>
      </c>
      <c r="Y51">
        <v>1</v>
      </c>
      <c r="Z51">
        <v>10</v>
      </c>
    </row>
    <row r="52" spans="1:26" x14ac:dyDescent="0.3">
      <c r="A52">
        <v>50</v>
      </c>
      <c r="B52">
        <v>145</v>
      </c>
      <c r="C52" t="s">
        <v>26</v>
      </c>
      <c r="D52">
        <v>9.7988999999999997</v>
      </c>
      <c r="E52">
        <v>10.210000000000001</v>
      </c>
      <c r="F52">
        <v>6.83</v>
      </c>
      <c r="G52">
        <v>51.19</v>
      </c>
      <c r="H52">
        <v>0.77</v>
      </c>
      <c r="I52">
        <v>8</v>
      </c>
      <c r="J52">
        <v>311.32</v>
      </c>
      <c r="K52">
        <v>61.2</v>
      </c>
      <c r="L52">
        <v>13.5</v>
      </c>
      <c r="M52">
        <v>6</v>
      </c>
      <c r="N52">
        <v>91.62</v>
      </c>
      <c r="O52">
        <v>38630.550000000003</v>
      </c>
      <c r="P52">
        <v>118.8</v>
      </c>
      <c r="Q52">
        <v>204.15</v>
      </c>
      <c r="R52">
        <v>26.06</v>
      </c>
      <c r="S52">
        <v>17.37</v>
      </c>
      <c r="T52">
        <v>2230.9499999999998</v>
      </c>
      <c r="U52">
        <v>0.67</v>
      </c>
      <c r="V52">
        <v>0.75</v>
      </c>
      <c r="W52">
        <v>1.1499999999999999</v>
      </c>
      <c r="X52">
        <v>0.13</v>
      </c>
      <c r="Y52">
        <v>1</v>
      </c>
      <c r="Z52">
        <v>10</v>
      </c>
    </row>
    <row r="53" spans="1:26" x14ac:dyDescent="0.3">
      <c r="A53">
        <v>51</v>
      </c>
      <c r="B53">
        <v>145</v>
      </c>
      <c r="C53" t="s">
        <v>26</v>
      </c>
      <c r="D53">
        <v>9.7962000000000007</v>
      </c>
      <c r="E53">
        <v>10.210000000000001</v>
      </c>
      <c r="F53">
        <v>6.83</v>
      </c>
      <c r="G53">
        <v>51.21</v>
      </c>
      <c r="H53">
        <v>0.79</v>
      </c>
      <c r="I53">
        <v>8</v>
      </c>
      <c r="J53">
        <v>311.87</v>
      </c>
      <c r="K53">
        <v>61.2</v>
      </c>
      <c r="L53">
        <v>13.75</v>
      </c>
      <c r="M53">
        <v>6</v>
      </c>
      <c r="N53">
        <v>91.92</v>
      </c>
      <c r="O53">
        <v>38698.21</v>
      </c>
      <c r="P53">
        <v>118.68</v>
      </c>
      <c r="Q53">
        <v>204.14</v>
      </c>
      <c r="R53">
        <v>26.06</v>
      </c>
      <c r="S53">
        <v>17.37</v>
      </c>
      <c r="T53">
        <v>2231.08</v>
      </c>
      <c r="U53">
        <v>0.67</v>
      </c>
      <c r="V53">
        <v>0.75</v>
      </c>
      <c r="W53">
        <v>1.1499999999999999</v>
      </c>
      <c r="X53">
        <v>0.14000000000000001</v>
      </c>
      <c r="Y53">
        <v>1</v>
      </c>
      <c r="Z53">
        <v>10</v>
      </c>
    </row>
    <row r="54" spans="1:26" x14ac:dyDescent="0.3">
      <c r="A54">
        <v>52</v>
      </c>
      <c r="B54">
        <v>145</v>
      </c>
      <c r="C54" t="s">
        <v>26</v>
      </c>
      <c r="D54">
        <v>9.7934999999999999</v>
      </c>
      <c r="E54">
        <v>10.210000000000001</v>
      </c>
      <c r="F54">
        <v>6.83</v>
      </c>
      <c r="G54">
        <v>51.23</v>
      </c>
      <c r="H54">
        <v>0.8</v>
      </c>
      <c r="I54">
        <v>8</v>
      </c>
      <c r="J54">
        <v>312.42</v>
      </c>
      <c r="K54">
        <v>61.2</v>
      </c>
      <c r="L54">
        <v>14</v>
      </c>
      <c r="M54">
        <v>6</v>
      </c>
      <c r="N54">
        <v>92.22</v>
      </c>
      <c r="O54">
        <v>38765.89</v>
      </c>
      <c r="P54">
        <v>118.57</v>
      </c>
      <c r="Q54">
        <v>204.19</v>
      </c>
      <c r="R54">
        <v>26.11</v>
      </c>
      <c r="S54">
        <v>17.37</v>
      </c>
      <c r="T54">
        <v>2255.5700000000002</v>
      </c>
      <c r="U54">
        <v>0.67</v>
      </c>
      <c r="V54">
        <v>0.75</v>
      </c>
      <c r="W54">
        <v>1.1499999999999999</v>
      </c>
      <c r="X54">
        <v>0.14000000000000001</v>
      </c>
      <c r="Y54">
        <v>1</v>
      </c>
      <c r="Z54">
        <v>10</v>
      </c>
    </row>
    <row r="55" spans="1:26" x14ac:dyDescent="0.3">
      <c r="A55">
        <v>53</v>
      </c>
      <c r="B55">
        <v>145</v>
      </c>
      <c r="C55" t="s">
        <v>26</v>
      </c>
      <c r="D55">
        <v>9.8737999999999992</v>
      </c>
      <c r="E55">
        <v>10.130000000000001</v>
      </c>
      <c r="F55">
        <v>6.8</v>
      </c>
      <c r="G55">
        <v>58.3</v>
      </c>
      <c r="H55">
        <v>0.81</v>
      </c>
      <c r="I55">
        <v>7</v>
      </c>
      <c r="J55">
        <v>312.97000000000003</v>
      </c>
      <c r="K55">
        <v>61.2</v>
      </c>
      <c r="L55">
        <v>14.25</v>
      </c>
      <c r="M55">
        <v>5</v>
      </c>
      <c r="N55">
        <v>92.52</v>
      </c>
      <c r="O55">
        <v>38833.69</v>
      </c>
      <c r="P55">
        <v>118.05</v>
      </c>
      <c r="Q55">
        <v>204.16</v>
      </c>
      <c r="R55">
        <v>25.25</v>
      </c>
      <c r="S55">
        <v>17.37</v>
      </c>
      <c r="T55">
        <v>1832.7</v>
      </c>
      <c r="U55">
        <v>0.69</v>
      </c>
      <c r="V55">
        <v>0.75</v>
      </c>
      <c r="W55">
        <v>1.1499999999999999</v>
      </c>
      <c r="X55">
        <v>0.11</v>
      </c>
      <c r="Y55">
        <v>1</v>
      </c>
      <c r="Z55">
        <v>10</v>
      </c>
    </row>
    <row r="56" spans="1:26" x14ac:dyDescent="0.3">
      <c r="A56">
        <v>54</v>
      </c>
      <c r="B56">
        <v>145</v>
      </c>
      <c r="C56" t="s">
        <v>26</v>
      </c>
      <c r="D56">
        <v>9.8705999999999996</v>
      </c>
      <c r="E56">
        <v>10.130000000000001</v>
      </c>
      <c r="F56">
        <v>6.8</v>
      </c>
      <c r="G56">
        <v>58.33</v>
      </c>
      <c r="H56">
        <v>0.82</v>
      </c>
      <c r="I56">
        <v>7</v>
      </c>
      <c r="J56">
        <v>313.52</v>
      </c>
      <c r="K56">
        <v>61.2</v>
      </c>
      <c r="L56">
        <v>14.5</v>
      </c>
      <c r="M56">
        <v>5</v>
      </c>
      <c r="N56">
        <v>92.82</v>
      </c>
      <c r="O56">
        <v>38901.629999999997</v>
      </c>
      <c r="P56">
        <v>118.26</v>
      </c>
      <c r="Q56">
        <v>204.14</v>
      </c>
      <c r="R56">
        <v>25.32</v>
      </c>
      <c r="S56">
        <v>17.37</v>
      </c>
      <c r="T56">
        <v>1869.71</v>
      </c>
      <c r="U56">
        <v>0.69</v>
      </c>
      <c r="V56">
        <v>0.75</v>
      </c>
      <c r="W56">
        <v>1.1499999999999999</v>
      </c>
      <c r="X56">
        <v>0.11</v>
      </c>
      <c r="Y56">
        <v>1</v>
      </c>
      <c r="Z56">
        <v>10</v>
      </c>
    </row>
    <row r="57" spans="1:26" x14ac:dyDescent="0.3">
      <c r="A57">
        <v>55</v>
      </c>
      <c r="B57">
        <v>145</v>
      </c>
      <c r="C57" t="s">
        <v>26</v>
      </c>
      <c r="D57">
        <v>9.8689999999999998</v>
      </c>
      <c r="E57">
        <v>10.130000000000001</v>
      </c>
      <c r="F57">
        <v>6.81</v>
      </c>
      <c r="G57">
        <v>58.34</v>
      </c>
      <c r="H57">
        <v>0.84</v>
      </c>
      <c r="I57">
        <v>7</v>
      </c>
      <c r="J57">
        <v>314.07</v>
      </c>
      <c r="K57">
        <v>61.2</v>
      </c>
      <c r="L57">
        <v>14.75</v>
      </c>
      <c r="M57">
        <v>5</v>
      </c>
      <c r="N57">
        <v>93.12</v>
      </c>
      <c r="O57">
        <v>38969.71</v>
      </c>
      <c r="P57">
        <v>118.51</v>
      </c>
      <c r="Q57">
        <v>204.14</v>
      </c>
      <c r="R57">
        <v>25.35</v>
      </c>
      <c r="S57">
        <v>17.37</v>
      </c>
      <c r="T57">
        <v>1884.4</v>
      </c>
      <c r="U57">
        <v>0.69</v>
      </c>
      <c r="V57">
        <v>0.75</v>
      </c>
      <c r="W57">
        <v>1.1499999999999999</v>
      </c>
      <c r="X57">
        <v>0.12</v>
      </c>
      <c r="Y57">
        <v>1</v>
      </c>
      <c r="Z57">
        <v>10</v>
      </c>
    </row>
    <row r="58" spans="1:26" x14ac:dyDescent="0.3">
      <c r="A58">
        <v>56</v>
      </c>
      <c r="B58">
        <v>145</v>
      </c>
      <c r="C58" t="s">
        <v>26</v>
      </c>
      <c r="D58">
        <v>9.8683999999999994</v>
      </c>
      <c r="E58">
        <v>10.130000000000001</v>
      </c>
      <c r="F58">
        <v>6.81</v>
      </c>
      <c r="G58">
        <v>58.35</v>
      </c>
      <c r="H58">
        <v>0.85</v>
      </c>
      <c r="I58">
        <v>7</v>
      </c>
      <c r="J58">
        <v>314.62</v>
      </c>
      <c r="K58">
        <v>61.2</v>
      </c>
      <c r="L58">
        <v>15</v>
      </c>
      <c r="M58">
        <v>5</v>
      </c>
      <c r="N58">
        <v>93.43</v>
      </c>
      <c r="O58">
        <v>39037.919999999998</v>
      </c>
      <c r="P58">
        <v>118.55</v>
      </c>
      <c r="Q58">
        <v>204.15</v>
      </c>
      <c r="R58">
        <v>25.41</v>
      </c>
      <c r="S58">
        <v>17.37</v>
      </c>
      <c r="T58">
        <v>1911.21</v>
      </c>
      <c r="U58">
        <v>0.68</v>
      </c>
      <c r="V58">
        <v>0.75</v>
      </c>
      <c r="W58">
        <v>1.1499999999999999</v>
      </c>
      <c r="X58">
        <v>0.12</v>
      </c>
      <c r="Y58">
        <v>1</v>
      </c>
      <c r="Z58">
        <v>10</v>
      </c>
    </row>
    <row r="59" spans="1:26" x14ac:dyDescent="0.3">
      <c r="A59">
        <v>57</v>
      </c>
      <c r="B59">
        <v>145</v>
      </c>
      <c r="C59" t="s">
        <v>26</v>
      </c>
      <c r="D59">
        <v>9.8625000000000007</v>
      </c>
      <c r="E59">
        <v>10.14</v>
      </c>
      <c r="F59">
        <v>6.81</v>
      </c>
      <c r="G59">
        <v>58.4</v>
      </c>
      <c r="H59">
        <v>0.86</v>
      </c>
      <c r="I59">
        <v>7</v>
      </c>
      <c r="J59">
        <v>315.18</v>
      </c>
      <c r="K59">
        <v>61.2</v>
      </c>
      <c r="L59">
        <v>15.25</v>
      </c>
      <c r="M59">
        <v>5</v>
      </c>
      <c r="N59">
        <v>93.73</v>
      </c>
      <c r="O59">
        <v>39106.269999999997</v>
      </c>
      <c r="P59">
        <v>118.63</v>
      </c>
      <c r="Q59">
        <v>204.14</v>
      </c>
      <c r="R59">
        <v>25.63</v>
      </c>
      <c r="S59">
        <v>17.37</v>
      </c>
      <c r="T59">
        <v>2021.55</v>
      </c>
      <c r="U59">
        <v>0.68</v>
      </c>
      <c r="V59">
        <v>0.75</v>
      </c>
      <c r="W59">
        <v>1.1499999999999999</v>
      </c>
      <c r="X59">
        <v>0.12</v>
      </c>
      <c r="Y59">
        <v>1</v>
      </c>
      <c r="Z59">
        <v>10</v>
      </c>
    </row>
    <row r="60" spans="1:26" x14ac:dyDescent="0.3">
      <c r="A60">
        <v>58</v>
      </c>
      <c r="B60">
        <v>145</v>
      </c>
      <c r="C60" t="s">
        <v>26</v>
      </c>
      <c r="D60">
        <v>9.8675999999999995</v>
      </c>
      <c r="E60">
        <v>10.130000000000001</v>
      </c>
      <c r="F60">
        <v>6.81</v>
      </c>
      <c r="G60">
        <v>58.35</v>
      </c>
      <c r="H60">
        <v>0.87</v>
      </c>
      <c r="I60">
        <v>7</v>
      </c>
      <c r="J60">
        <v>315.73</v>
      </c>
      <c r="K60">
        <v>61.2</v>
      </c>
      <c r="L60">
        <v>15.5</v>
      </c>
      <c r="M60">
        <v>5</v>
      </c>
      <c r="N60">
        <v>94.03</v>
      </c>
      <c r="O60">
        <v>39174.75</v>
      </c>
      <c r="P60">
        <v>118.51</v>
      </c>
      <c r="Q60">
        <v>204.14</v>
      </c>
      <c r="R60">
        <v>25.52</v>
      </c>
      <c r="S60">
        <v>17.37</v>
      </c>
      <c r="T60">
        <v>1969.33</v>
      </c>
      <c r="U60">
        <v>0.68</v>
      </c>
      <c r="V60">
        <v>0.75</v>
      </c>
      <c r="W60">
        <v>1.1499999999999999</v>
      </c>
      <c r="X60">
        <v>0.12</v>
      </c>
      <c r="Y60">
        <v>1</v>
      </c>
      <c r="Z60">
        <v>10</v>
      </c>
    </row>
    <row r="61" spans="1:26" x14ac:dyDescent="0.3">
      <c r="A61">
        <v>59</v>
      </c>
      <c r="B61">
        <v>145</v>
      </c>
      <c r="C61" t="s">
        <v>26</v>
      </c>
      <c r="D61">
        <v>9.8611000000000004</v>
      </c>
      <c r="E61">
        <v>10.14</v>
      </c>
      <c r="F61">
        <v>6.81</v>
      </c>
      <c r="G61">
        <v>58.41</v>
      </c>
      <c r="H61">
        <v>0.89</v>
      </c>
      <c r="I61">
        <v>7</v>
      </c>
      <c r="J61">
        <v>316.29000000000002</v>
      </c>
      <c r="K61">
        <v>61.2</v>
      </c>
      <c r="L61">
        <v>15.75</v>
      </c>
      <c r="M61">
        <v>5</v>
      </c>
      <c r="N61">
        <v>94.34</v>
      </c>
      <c r="O61">
        <v>39243.370000000003</v>
      </c>
      <c r="P61">
        <v>118.43</v>
      </c>
      <c r="Q61">
        <v>204.14</v>
      </c>
      <c r="R61">
        <v>25.64</v>
      </c>
      <c r="S61">
        <v>17.37</v>
      </c>
      <c r="T61">
        <v>2026.82</v>
      </c>
      <c r="U61">
        <v>0.68</v>
      </c>
      <c r="V61">
        <v>0.75</v>
      </c>
      <c r="W61">
        <v>1.1499999999999999</v>
      </c>
      <c r="X61">
        <v>0.12</v>
      </c>
      <c r="Y61">
        <v>1</v>
      </c>
      <c r="Z61">
        <v>10</v>
      </c>
    </row>
    <row r="62" spans="1:26" x14ac:dyDescent="0.3">
      <c r="A62">
        <v>60</v>
      </c>
      <c r="B62">
        <v>145</v>
      </c>
      <c r="C62" t="s">
        <v>26</v>
      </c>
      <c r="D62">
        <v>9.8609000000000009</v>
      </c>
      <c r="E62">
        <v>10.14</v>
      </c>
      <c r="F62">
        <v>6.81</v>
      </c>
      <c r="G62">
        <v>58.41</v>
      </c>
      <c r="H62">
        <v>0.9</v>
      </c>
      <c r="I62">
        <v>7</v>
      </c>
      <c r="J62">
        <v>316.85000000000002</v>
      </c>
      <c r="K62">
        <v>61.2</v>
      </c>
      <c r="L62">
        <v>16</v>
      </c>
      <c r="M62">
        <v>5</v>
      </c>
      <c r="N62">
        <v>94.65</v>
      </c>
      <c r="O62">
        <v>39312.129999999997</v>
      </c>
      <c r="P62">
        <v>118.34</v>
      </c>
      <c r="Q62">
        <v>204.14</v>
      </c>
      <c r="R62">
        <v>25.67</v>
      </c>
      <c r="S62">
        <v>17.37</v>
      </c>
      <c r="T62">
        <v>2042.19</v>
      </c>
      <c r="U62">
        <v>0.68</v>
      </c>
      <c r="V62">
        <v>0.75</v>
      </c>
      <c r="W62">
        <v>1.1499999999999999</v>
      </c>
      <c r="X62">
        <v>0.12</v>
      </c>
      <c r="Y62">
        <v>1</v>
      </c>
      <c r="Z62">
        <v>10</v>
      </c>
    </row>
    <row r="63" spans="1:26" x14ac:dyDescent="0.3">
      <c r="A63">
        <v>61</v>
      </c>
      <c r="B63">
        <v>145</v>
      </c>
      <c r="C63" t="s">
        <v>26</v>
      </c>
      <c r="D63">
        <v>9.8591999999999995</v>
      </c>
      <c r="E63">
        <v>10.14</v>
      </c>
      <c r="F63">
        <v>6.82</v>
      </c>
      <c r="G63">
        <v>58.43</v>
      </c>
      <c r="H63">
        <v>0.91</v>
      </c>
      <c r="I63">
        <v>7</v>
      </c>
      <c r="J63">
        <v>317.41000000000003</v>
      </c>
      <c r="K63">
        <v>61.2</v>
      </c>
      <c r="L63">
        <v>16.25</v>
      </c>
      <c r="M63">
        <v>5</v>
      </c>
      <c r="N63">
        <v>94.96</v>
      </c>
      <c r="O63">
        <v>39381.03</v>
      </c>
      <c r="P63">
        <v>118.25</v>
      </c>
      <c r="Q63">
        <v>204.14</v>
      </c>
      <c r="R63">
        <v>25.8</v>
      </c>
      <c r="S63">
        <v>17.37</v>
      </c>
      <c r="T63">
        <v>2106.9299999999998</v>
      </c>
      <c r="U63">
        <v>0.67</v>
      </c>
      <c r="V63">
        <v>0.75</v>
      </c>
      <c r="W63">
        <v>1.1499999999999999</v>
      </c>
      <c r="X63">
        <v>0.12</v>
      </c>
      <c r="Y63">
        <v>1</v>
      </c>
      <c r="Z63">
        <v>10</v>
      </c>
    </row>
    <row r="64" spans="1:26" x14ac:dyDescent="0.3">
      <c r="A64">
        <v>62</v>
      </c>
      <c r="B64">
        <v>145</v>
      </c>
      <c r="C64" t="s">
        <v>26</v>
      </c>
      <c r="D64">
        <v>9.8595000000000006</v>
      </c>
      <c r="E64">
        <v>10.14</v>
      </c>
      <c r="F64">
        <v>6.82</v>
      </c>
      <c r="G64">
        <v>58.42</v>
      </c>
      <c r="H64">
        <v>0.92</v>
      </c>
      <c r="I64">
        <v>7</v>
      </c>
      <c r="J64">
        <v>317.97000000000003</v>
      </c>
      <c r="K64">
        <v>61.2</v>
      </c>
      <c r="L64">
        <v>16.5</v>
      </c>
      <c r="M64">
        <v>5</v>
      </c>
      <c r="N64">
        <v>95.27</v>
      </c>
      <c r="O64">
        <v>39450.07</v>
      </c>
      <c r="P64">
        <v>118.12</v>
      </c>
      <c r="Q64">
        <v>204.15</v>
      </c>
      <c r="R64">
        <v>25.66</v>
      </c>
      <c r="S64">
        <v>17.37</v>
      </c>
      <c r="T64">
        <v>2037.51</v>
      </c>
      <c r="U64">
        <v>0.68</v>
      </c>
      <c r="V64">
        <v>0.75</v>
      </c>
      <c r="W64">
        <v>1.1499999999999999</v>
      </c>
      <c r="X64">
        <v>0.12</v>
      </c>
      <c r="Y64">
        <v>1</v>
      </c>
      <c r="Z64">
        <v>10</v>
      </c>
    </row>
    <row r="65" spans="1:26" x14ac:dyDescent="0.3">
      <c r="A65">
        <v>63</v>
      </c>
      <c r="B65">
        <v>145</v>
      </c>
      <c r="C65" t="s">
        <v>26</v>
      </c>
      <c r="D65">
        <v>9.8689999999999998</v>
      </c>
      <c r="E65">
        <v>10.130000000000001</v>
      </c>
      <c r="F65">
        <v>6.81</v>
      </c>
      <c r="G65">
        <v>58.34</v>
      </c>
      <c r="H65">
        <v>0.94</v>
      </c>
      <c r="I65">
        <v>7</v>
      </c>
      <c r="J65">
        <v>318.52999999999997</v>
      </c>
      <c r="K65">
        <v>61.2</v>
      </c>
      <c r="L65">
        <v>16.75</v>
      </c>
      <c r="M65">
        <v>5</v>
      </c>
      <c r="N65">
        <v>95.58</v>
      </c>
      <c r="O65">
        <v>39519.26</v>
      </c>
      <c r="P65">
        <v>117.76</v>
      </c>
      <c r="Q65">
        <v>204.16</v>
      </c>
      <c r="R65">
        <v>25.41</v>
      </c>
      <c r="S65">
        <v>17.37</v>
      </c>
      <c r="T65">
        <v>1914.32</v>
      </c>
      <c r="U65">
        <v>0.68</v>
      </c>
      <c r="V65">
        <v>0.75</v>
      </c>
      <c r="W65">
        <v>1.1499999999999999</v>
      </c>
      <c r="X65">
        <v>0.11</v>
      </c>
      <c r="Y65">
        <v>1</v>
      </c>
      <c r="Z65">
        <v>10</v>
      </c>
    </row>
    <row r="66" spans="1:26" x14ac:dyDescent="0.3">
      <c r="A66">
        <v>64</v>
      </c>
      <c r="B66">
        <v>145</v>
      </c>
      <c r="C66" t="s">
        <v>26</v>
      </c>
      <c r="D66">
        <v>9.9405999999999999</v>
      </c>
      <c r="E66">
        <v>10.06</v>
      </c>
      <c r="F66">
        <v>6.79</v>
      </c>
      <c r="G66">
        <v>67.87</v>
      </c>
      <c r="H66">
        <v>0.95</v>
      </c>
      <c r="I66">
        <v>6</v>
      </c>
      <c r="J66">
        <v>319.08999999999997</v>
      </c>
      <c r="K66">
        <v>61.2</v>
      </c>
      <c r="L66">
        <v>17</v>
      </c>
      <c r="M66">
        <v>4</v>
      </c>
      <c r="N66">
        <v>95.89</v>
      </c>
      <c r="O66">
        <v>39588.58</v>
      </c>
      <c r="P66">
        <v>117.41</v>
      </c>
      <c r="Q66">
        <v>204.14</v>
      </c>
      <c r="R66">
        <v>24.72</v>
      </c>
      <c r="S66">
        <v>17.37</v>
      </c>
      <c r="T66">
        <v>1573.14</v>
      </c>
      <c r="U66">
        <v>0.7</v>
      </c>
      <c r="V66">
        <v>0.75</v>
      </c>
      <c r="W66">
        <v>1.1499999999999999</v>
      </c>
      <c r="X66">
        <v>0.1</v>
      </c>
      <c r="Y66">
        <v>1</v>
      </c>
      <c r="Z66">
        <v>10</v>
      </c>
    </row>
    <row r="67" spans="1:26" x14ac:dyDescent="0.3">
      <c r="A67">
        <v>65</v>
      </c>
      <c r="B67">
        <v>145</v>
      </c>
      <c r="C67" t="s">
        <v>26</v>
      </c>
      <c r="D67">
        <v>9.9400999999999993</v>
      </c>
      <c r="E67">
        <v>10.06</v>
      </c>
      <c r="F67">
        <v>6.79</v>
      </c>
      <c r="G67">
        <v>67.88</v>
      </c>
      <c r="H67">
        <v>0.96</v>
      </c>
      <c r="I67">
        <v>6</v>
      </c>
      <c r="J67">
        <v>319.64999999999998</v>
      </c>
      <c r="K67">
        <v>61.2</v>
      </c>
      <c r="L67">
        <v>17.25</v>
      </c>
      <c r="M67">
        <v>4</v>
      </c>
      <c r="N67">
        <v>96.2</v>
      </c>
      <c r="O67">
        <v>39658.050000000003</v>
      </c>
      <c r="P67">
        <v>117.52</v>
      </c>
      <c r="Q67">
        <v>204.14</v>
      </c>
      <c r="R67">
        <v>24.75</v>
      </c>
      <c r="S67">
        <v>17.37</v>
      </c>
      <c r="T67">
        <v>1588.52</v>
      </c>
      <c r="U67">
        <v>0.7</v>
      </c>
      <c r="V67">
        <v>0.75</v>
      </c>
      <c r="W67">
        <v>1.1499999999999999</v>
      </c>
      <c r="X67">
        <v>0.1</v>
      </c>
      <c r="Y67">
        <v>1</v>
      </c>
      <c r="Z67">
        <v>10</v>
      </c>
    </row>
    <row r="68" spans="1:26" x14ac:dyDescent="0.3">
      <c r="A68">
        <v>66</v>
      </c>
      <c r="B68">
        <v>145</v>
      </c>
      <c r="C68" t="s">
        <v>26</v>
      </c>
      <c r="D68">
        <v>9.9412000000000003</v>
      </c>
      <c r="E68">
        <v>10.06</v>
      </c>
      <c r="F68">
        <v>6.79</v>
      </c>
      <c r="G68">
        <v>67.87</v>
      </c>
      <c r="H68">
        <v>0.97</v>
      </c>
      <c r="I68">
        <v>6</v>
      </c>
      <c r="J68">
        <v>320.22000000000003</v>
      </c>
      <c r="K68">
        <v>61.2</v>
      </c>
      <c r="L68">
        <v>17.5</v>
      </c>
      <c r="M68">
        <v>4</v>
      </c>
      <c r="N68">
        <v>96.52</v>
      </c>
      <c r="O68">
        <v>39727.660000000003</v>
      </c>
      <c r="P68">
        <v>117.52</v>
      </c>
      <c r="Q68">
        <v>204.15</v>
      </c>
      <c r="R68">
        <v>24.86</v>
      </c>
      <c r="S68">
        <v>17.37</v>
      </c>
      <c r="T68">
        <v>1641.91</v>
      </c>
      <c r="U68">
        <v>0.7</v>
      </c>
      <c r="V68">
        <v>0.75</v>
      </c>
      <c r="W68">
        <v>1.1399999999999999</v>
      </c>
      <c r="X68">
        <v>0.1</v>
      </c>
      <c r="Y68">
        <v>1</v>
      </c>
      <c r="Z68">
        <v>10</v>
      </c>
    </row>
    <row r="69" spans="1:26" x14ac:dyDescent="0.3">
      <c r="A69">
        <v>67</v>
      </c>
      <c r="B69">
        <v>145</v>
      </c>
      <c r="C69" t="s">
        <v>26</v>
      </c>
      <c r="D69">
        <v>9.9417000000000009</v>
      </c>
      <c r="E69">
        <v>10.06</v>
      </c>
      <c r="F69">
        <v>6.79</v>
      </c>
      <c r="G69">
        <v>67.86</v>
      </c>
      <c r="H69">
        <v>0.99</v>
      </c>
      <c r="I69">
        <v>6</v>
      </c>
      <c r="J69">
        <v>320.77999999999997</v>
      </c>
      <c r="K69">
        <v>61.2</v>
      </c>
      <c r="L69">
        <v>17.75</v>
      </c>
      <c r="M69">
        <v>4</v>
      </c>
      <c r="N69">
        <v>96.83</v>
      </c>
      <c r="O69">
        <v>39797.410000000003</v>
      </c>
      <c r="P69">
        <v>117.68</v>
      </c>
      <c r="Q69">
        <v>204.14</v>
      </c>
      <c r="R69">
        <v>24.76</v>
      </c>
      <c r="S69">
        <v>17.37</v>
      </c>
      <c r="T69">
        <v>1594.5</v>
      </c>
      <c r="U69">
        <v>0.7</v>
      </c>
      <c r="V69">
        <v>0.75</v>
      </c>
      <c r="W69">
        <v>1.1499999999999999</v>
      </c>
      <c r="X69">
        <v>0.09</v>
      </c>
      <c r="Y69">
        <v>1</v>
      </c>
      <c r="Z69">
        <v>10</v>
      </c>
    </row>
    <row r="70" spans="1:26" x14ac:dyDescent="0.3">
      <c r="A70">
        <v>68</v>
      </c>
      <c r="B70">
        <v>145</v>
      </c>
      <c r="C70" t="s">
        <v>26</v>
      </c>
      <c r="D70">
        <v>9.9395000000000007</v>
      </c>
      <c r="E70">
        <v>10.06</v>
      </c>
      <c r="F70">
        <v>6.79</v>
      </c>
      <c r="G70">
        <v>67.88</v>
      </c>
      <c r="H70">
        <v>1</v>
      </c>
      <c r="I70">
        <v>6</v>
      </c>
      <c r="J70">
        <v>321.35000000000002</v>
      </c>
      <c r="K70">
        <v>61.2</v>
      </c>
      <c r="L70">
        <v>18</v>
      </c>
      <c r="M70">
        <v>4</v>
      </c>
      <c r="N70">
        <v>97.15</v>
      </c>
      <c r="O70">
        <v>39867.32</v>
      </c>
      <c r="P70">
        <v>117.76</v>
      </c>
      <c r="Q70">
        <v>204.14</v>
      </c>
      <c r="R70">
        <v>24.98</v>
      </c>
      <c r="S70">
        <v>17.37</v>
      </c>
      <c r="T70">
        <v>1702.16</v>
      </c>
      <c r="U70">
        <v>0.7</v>
      </c>
      <c r="V70">
        <v>0.75</v>
      </c>
      <c r="W70">
        <v>1.1399999999999999</v>
      </c>
      <c r="X70">
        <v>0.1</v>
      </c>
      <c r="Y70">
        <v>1</v>
      </c>
      <c r="Z70">
        <v>10</v>
      </c>
    </row>
    <row r="71" spans="1:26" x14ac:dyDescent="0.3">
      <c r="A71">
        <v>69</v>
      </c>
      <c r="B71">
        <v>145</v>
      </c>
      <c r="C71" t="s">
        <v>26</v>
      </c>
      <c r="D71">
        <v>9.9412000000000003</v>
      </c>
      <c r="E71">
        <v>10.06</v>
      </c>
      <c r="F71">
        <v>6.79</v>
      </c>
      <c r="G71">
        <v>67.87</v>
      </c>
      <c r="H71">
        <v>1.01</v>
      </c>
      <c r="I71">
        <v>6</v>
      </c>
      <c r="J71">
        <v>321.92</v>
      </c>
      <c r="K71">
        <v>61.2</v>
      </c>
      <c r="L71">
        <v>18.25</v>
      </c>
      <c r="M71">
        <v>4</v>
      </c>
      <c r="N71">
        <v>97.47</v>
      </c>
      <c r="O71">
        <v>39937.360000000001</v>
      </c>
      <c r="P71">
        <v>117.76</v>
      </c>
      <c r="Q71">
        <v>204.14</v>
      </c>
      <c r="R71">
        <v>24.74</v>
      </c>
      <c r="S71">
        <v>17.37</v>
      </c>
      <c r="T71">
        <v>1579.96</v>
      </c>
      <c r="U71">
        <v>0.7</v>
      </c>
      <c r="V71">
        <v>0.75</v>
      </c>
      <c r="W71">
        <v>1.1499999999999999</v>
      </c>
      <c r="X71">
        <v>0.1</v>
      </c>
      <c r="Y71">
        <v>1</v>
      </c>
      <c r="Z71">
        <v>10</v>
      </c>
    </row>
    <row r="72" spans="1:26" x14ac:dyDescent="0.3">
      <c r="A72">
        <v>70</v>
      </c>
      <c r="B72">
        <v>145</v>
      </c>
      <c r="C72" t="s">
        <v>26</v>
      </c>
      <c r="D72">
        <v>9.9468999999999994</v>
      </c>
      <c r="E72">
        <v>10.050000000000001</v>
      </c>
      <c r="F72">
        <v>6.78</v>
      </c>
      <c r="G72">
        <v>67.81</v>
      </c>
      <c r="H72">
        <v>1.02</v>
      </c>
      <c r="I72">
        <v>6</v>
      </c>
      <c r="J72">
        <v>322.49</v>
      </c>
      <c r="K72">
        <v>61.2</v>
      </c>
      <c r="L72">
        <v>18.5</v>
      </c>
      <c r="M72">
        <v>4</v>
      </c>
      <c r="N72">
        <v>97.79</v>
      </c>
      <c r="O72">
        <v>40007.56</v>
      </c>
      <c r="P72">
        <v>117.66</v>
      </c>
      <c r="Q72">
        <v>204.14</v>
      </c>
      <c r="R72">
        <v>24.6</v>
      </c>
      <c r="S72">
        <v>17.37</v>
      </c>
      <c r="T72">
        <v>1513.72</v>
      </c>
      <c r="U72">
        <v>0.71</v>
      </c>
      <c r="V72">
        <v>0.75</v>
      </c>
      <c r="W72">
        <v>1.1499999999999999</v>
      </c>
      <c r="X72">
        <v>0.09</v>
      </c>
      <c r="Y72">
        <v>1</v>
      </c>
      <c r="Z72">
        <v>10</v>
      </c>
    </row>
    <row r="73" spans="1:26" x14ac:dyDescent="0.3">
      <c r="A73">
        <v>71</v>
      </c>
      <c r="B73">
        <v>145</v>
      </c>
      <c r="C73" t="s">
        <v>26</v>
      </c>
      <c r="D73">
        <v>9.9450000000000003</v>
      </c>
      <c r="E73">
        <v>10.06</v>
      </c>
      <c r="F73">
        <v>6.78</v>
      </c>
      <c r="G73">
        <v>67.83</v>
      </c>
      <c r="H73">
        <v>1.03</v>
      </c>
      <c r="I73">
        <v>6</v>
      </c>
      <c r="J73">
        <v>323.06</v>
      </c>
      <c r="K73">
        <v>61.2</v>
      </c>
      <c r="L73">
        <v>18.75</v>
      </c>
      <c r="M73">
        <v>4</v>
      </c>
      <c r="N73">
        <v>98.11</v>
      </c>
      <c r="O73">
        <v>40077.9</v>
      </c>
      <c r="P73">
        <v>117.51</v>
      </c>
      <c r="Q73">
        <v>204.14</v>
      </c>
      <c r="R73">
        <v>24.64</v>
      </c>
      <c r="S73">
        <v>17.37</v>
      </c>
      <c r="T73">
        <v>1534.34</v>
      </c>
      <c r="U73">
        <v>0.7</v>
      </c>
      <c r="V73">
        <v>0.75</v>
      </c>
      <c r="W73">
        <v>1.1499999999999999</v>
      </c>
      <c r="X73">
        <v>0.09</v>
      </c>
      <c r="Y73">
        <v>1</v>
      </c>
      <c r="Z73">
        <v>10</v>
      </c>
    </row>
    <row r="74" spans="1:26" x14ac:dyDescent="0.3">
      <c r="A74">
        <v>72</v>
      </c>
      <c r="B74">
        <v>145</v>
      </c>
      <c r="C74" t="s">
        <v>26</v>
      </c>
      <c r="D74">
        <v>9.9450000000000003</v>
      </c>
      <c r="E74">
        <v>10.06</v>
      </c>
      <c r="F74">
        <v>6.78</v>
      </c>
      <c r="G74">
        <v>67.83</v>
      </c>
      <c r="H74">
        <v>1.05</v>
      </c>
      <c r="I74">
        <v>6</v>
      </c>
      <c r="J74">
        <v>323.63</v>
      </c>
      <c r="K74">
        <v>61.2</v>
      </c>
      <c r="L74">
        <v>19</v>
      </c>
      <c r="M74">
        <v>4</v>
      </c>
      <c r="N74">
        <v>98.43</v>
      </c>
      <c r="O74">
        <v>40148.519999999997</v>
      </c>
      <c r="P74">
        <v>117.49</v>
      </c>
      <c r="Q74">
        <v>204.14</v>
      </c>
      <c r="R74">
        <v>24.76</v>
      </c>
      <c r="S74">
        <v>17.37</v>
      </c>
      <c r="T74">
        <v>1593.7</v>
      </c>
      <c r="U74">
        <v>0.7</v>
      </c>
      <c r="V74">
        <v>0.75</v>
      </c>
      <c r="W74">
        <v>1.1399999999999999</v>
      </c>
      <c r="X74">
        <v>0.09</v>
      </c>
      <c r="Y74">
        <v>1</v>
      </c>
      <c r="Z74">
        <v>10</v>
      </c>
    </row>
    <row r="75" spans="1:26" x14ac:dyDescent="0.3">
      <c r="A75">
        <v>73</v>
      </c>
      <c r="B75">
        <v>145</v>
      </c>
      <c r="C75" t="s">
        <v>26</v>
      </c>
      <c r="D75">
        <v>9.9327000000000005</v>
      </c>
      <c r="E75">
        <v>10.07</v>
      </c>
      <c r="F75">
        <v>6.8</v>
      </c>
      <c r="G75">
        <v>67.95</v>
      </c>
      <c r="H75">
        <v>1.06</v>
      </c>
      <c r="I75">
        <v>6</v>
      </c>
      <c r="J75">
        <v>324.2</v>
      </c>
      <c r="K75">
        <v>61.2</v>
      </c>
      <c r="L75">
        <v>19.25</v>
      </c>
      <c r="M75">
        <v>4</v>
      </c>
      <c r="N75">
        <v>98.75</v>
      </c>
      <c r="O75">
        <v>40219.17</v>
      </c>
      <c r="P75">
        <v>117.68</v>
      </c>
      <c r="Q75">
        <v>204.14</v>
      </c>
      <c r="R75">
        <v>25.06</v>
      </c>
      <c r="S75">
        <v>17.37</v>
      </c>
      <c r="T75">
        <v>1743.32</v>
      </c>
      <c r="U75">
        <v>0.69</v>
      </c>
      <c r="V75">
        <v>0.75</v>
      </c>
      <c r="W75">
        <v>1.1499999999999999</v>
      </c>
      <c r="X75">
        <v>0.1</v>
      </c>
      <c r="Y75">
        <v>1</v>
      </c>
      <c r="Z75">
        <v>10</v>
      </c>
    </row>
    <row r="76" spans="1:26" x14ac:dyDescent="0.3">
      <c r="A76">
        <v>74</v>
      </c>
      <c r="B76">
        <v>145</v>
      </c>
      <c r="C76" t="s">
        <v>26</v>
      </c>
      <c r="D76">
        <v>9.9339999999999993</v>
      </c>
      <c r="E76">
        <v>10.07</v>
      </c>
      <c r="F76">
        <v>6.79</v>
      </c>
      <c r="G76">
        <v>67.94</v>
      </c>
      <c r="H76">
        <v>1.07</v>
      </c>
      <c r="I76">
        <v>6</v>
      </c>
      <c r="J76">
        <v>324.77999999999997</v>
      </c>
      <c r="K76">
        <v>61.2</v>
      </c>
      <c r="L76">
        <v>19.5</v>
      </c>
      <c r="M76">
        <v>4</v>
      </c>
      <c r="N76">
        <v>99.08</v>
      </c>
      <c r="O76">
        <v>40289.97</v>
      </c>
      <c r="P76">
        <v>117.52</v>
      </c>
      <c r="Q76">
        <v>204.15</v>
      </c>
      <c r="R76">
        <v>25.06</v>
      </c>
      <c r="S76">
        <v>17.37</v>
      </c>
      <c r="T76">
        <v>1744.25</v>
      </c>
      <c r="U76">
        <v>0.69</v>
      </c>
      <c r="V76">
        <v>0.75</v>
      </c>
      <c r="W76">
        <v>1.1399999999999999</v>
      </c>
      <c r="X76">
        <v>0.1</v>
      </c>
      <c r="Y76">
        <v>1</v>
      </c>
      <c r="Z76">
        <v>10</v>
      </c>
    </row>
    <row r="77" spans="1:26" x14ac:dyDescent="0.3">
      <c r="A77">
        <v>75</v>
      </c>
      <c r="B77">
        <v>145</v>
      </c>
      <c r="C77" t="s">
        <v>26</v>
      </c>
      <c r="D77">
        <v>9.9405999999999999</v>
      </c>
      <c r="E77">
        <v>10.06</v>
      </c>
      <c r="F77">
        <v>6.79</v>
      </c>
      <c r="G77">
        <v>67.87</v>
      </c>
      <c r="H77">
        <v>1.08</v>
      </c>
      <c r="I77">
        <v>6</v>
      </c>
      <c r="J77">
        <v>325.35000000000002</v>
      </c>
      <c r="K77">
        <v>61.2</v>
      </c>
      <c r="L77">
        <v>19.75</v>
      </c>
      <c r="M77">
        <v>4</v>
      </c>
      <c r="N77">
        <v>99.4</v>
      </c>
      <c r="O77">
        <v>40360.92</v>
      </c>
      <c r="P77">
        <v>117.26</v>
      </c>
      <c r="Q77">
        <v>204.18</v>
      </c>
      <c r="R77">
        <v>24.85</v>
      </c>
      <c r="S77">
        <v>17.37</v>
      </c>
      <c r="T77">
        <v>1639.42</v>
      </c>
      <c r="U77">
        <v>0.7</v>
      </c>
      <c r="V77">
        <v>0.75</v>
      </c>
      <c r="W77">
        <v>1.1399999999999999</v>
      </c>
      <c r="X77">
        <v>0.1</v>
      </c>
      <c r="Y77">
        <v>1</v>
      </c>
      <c r="Z77">
        <v>10</v>
      </c>
    </row>
    <row r="78" spans="1:26" x14ac:dyDescent="0.3">
      <c r="A78">
        <v>76</v>
      </c>
      <c r="B78">
        <v>145</v>
      </c>
      <c r="C78" t="s">
        <v>26</v>
      </c>
      <c r="D78">
        <v>9.9436999999999998</v>
      </c>
      <c r="E78">
        <v>10.06</v>
      </c>
      <c r="F78">
        <v>6.78</v>
      </c>
      <c r="G78">
        <v>67.84</v>
      </c>
      <c r="H78">
        <v>1.0900000000000001</v>
      </c>
      <c r="I78">
        <v>6</v>
      </c>
      <c r="J78">
        <v>325.93</v>
      </c>
      <c r="K78">
        <v>61.2</v>
      </c>
      <c r="L78">
        <v>20</v>
      </c>
      <c r="M78">
        <v>4</v>
      </c>
      <c r="N78">
        <v>99.73</v>
      </c>
      <c r="O78">
        <v>40432.03</v>
      </c>
      <c r="P78">
        <v>117.16</v>
      </c>
      <c r="Q78">
        <v>204.18</v>
      </c>
      <c r="R78">
        <v>24.82</v>
      </c>
      <c r="S78">
        <v>17.37</v>
      </c>
      <c r="T78">
        <v>1622.54</v>
      </c>
      <c r="U78">
        <v>0.7</v>
      </c>
      <c r="V78">
        <v>0.75</v>
      </c>
      <c r="W78">
        <v>1.1399999999999999</v>
      </c>
      <c r="X78">
        <v>0.09</v>
      </c>
      <c r="Y78">
        <v>1</v>
      </c>
      <c r="Z78">
        <v>10</v>
      </c>
    </row>
    <row r="79" spans="1:26" x14ac:dyDescent="0.3">
      <c r="A79">
        <v>77</v>
      </c>
      <c r="B79">
        <v>145</v>
      </c>
      <c r="C79" t="s">
        <v>26</v>
      </c>
      <c r="D79">
        <v>9.9436999999999998</v>
      </c>
      <c r="E79">
        <v>10.06</v>
      </c>
      <c r="F79">
        <v>6.78</v>
      </c>
      <c r="G79">
        <v>67.84</v>
      </c>
      <c r="H79">
        <v>1.1100000000000001</v>
      </c>
      <c r="I79">
        <v>6</v>
      </c>
      <c r="J79">
        <v>326.51</v>
      </c>
      <c r="K79">
        <v>61.2</v>
      </c>
      <c r="L79">
        <v>20.25</v>
      </c>
      <c r="M79">
        <v>4</v>
      </c>
      <c r="N79">
        <v>100.06</v>
      </c>
      <c r="O79">
        <v>40503.29</v>
      </c>
      <c r="P79">
        <v>117.18</v>
      </c>
      <c r="Q79">
        <v>204.15</v>
      </c>
      <c r="R79">
        <v>24.75</v>
      </c>
      <c r="S79">
        <v>17.37</v>
      </c>
      <c r="T79">
        <v>1587.54</v>
      </c>
      <c r="U79">
        <v>0.7</v>
      </c>
      <c r="V79">
        <v>0.75</v>
      </c>
      <c r="W79">
        <v>1.1399999999999999</v>
      </c>
      <c r="X79">
        <v>0.09</v>
      </c>
      <c r="Y79">
        <v>1</v>
      </c>
      <c r="Z79">
        <v>10</v>
      </c>
    </row>
    <row r="80" spans="1:26" x14ac:dyDescent="0.3">
      <c r="A80">
        <v>78</v>
      </c>
      <c r="B80">
        <v>145</v>
      </c>
      <c r="C80" t="s">
        <v>26</v>
      </c>
      <c r="D80">
        <v>9.9365000000000006</v>
      </c>
      <c r="E80">
        <v>10.06</v>
      </c>
      <c r="F80">
        <v>6.79</v>
      </c>
      <c r="G80">
        <v>67.91</v>
      </c>
      <c r="H80">
        <v>1.1200000000000001</v>
      </c>
      <c r="I80">
        <v>6</v>
      </c>
      <c r="J80">
        <v>327.08</v>
      </c>
      <c r="K80">
        <v>61.2</v>
      </c>
      <c r="L80">
        <v>20.5</v>
      </c>
      <c r="M80">
        <v>4</v>
      </c>
      <c r="N80">
        <v>100.39</v>
      </c>
      <c r="O80">
        <v>40574.699999999997</v>
      </c>
      <c r="P80">
        <v>117.12</v>
      </c>
      <c r="Q80">
        <v>204.14</v>
      </c>
      <c r="R80">
        <v>24.99</v>
      </c>
      <c r="S80">
        <v>17.37</v>
      </c>
      <c r="T80">
        <v>1704.9</v>
      </c>
      <c r="U80">
        <v>0.7</v>
      </c>
      <c r="V80">
        <v>0.75</v>
      </c>
      <c r="W80">
        <v>1.1499999999999999</v>
      </c>
      <c r="X80">
        <v>0.1</v>
      </c>
      <c r="Y80">
        <v>1</v>
      </c>
      <c r="Z80">
        <v>10</v>
      </c>
    </row>
    <row r="81" spans="1:26" x14ac:dyDescent="0.3">
      <c r="A81">
        <v>79</v>
      </c>
      <c r="B81">
        <v>145</v>
      </c>
      <c r="C81" t="s">
        <v>26</v>
      </c>
      <c r="D81">
        <v>9.9375999999999998</v>
      </c>
      <c r="E81">
        <v>10.06</v>
      </c>
      <c r="F81">
        <v>6.79</v>
      </c>
      <c r="G81">
        <v>67.900000000000006</v>
      </c>
      <c r="H81">
        <v>1.1299999999999999</v>
      </c>
      <c r="I81">
        <v>6</v>
      </c>
      <c r="J81">
        <v>327.66000000000003</v>
      </c>
      <c r="K81">
        <v>61.2</v>
      </c>
      <c r="L81">
        <v>20.75</v>
      </c>
      <c r="M81">
        <v>4</v>
      </c>
      <c r="N81">
        <v>100.72</v>
      </c>
      <c r="O81">
        <v>40646.269999999997</v>
      </c>
      <c r="P81">
        <v>116.77</v>
      </c>
      <c r="Q81">
        <v>204.15</v>
      </c>
      <c r="R81">
        <v>24.97</v>
      </c>
      <c r="S81">
        <v>17.37</v>
      </c>
      <c r="T81">
        <v>1696.28</v>
      </c>
      <c r="U81">
        <v>0.7</v>
      </c>
      <c r="V81">
        <v>0.75</v>
      </c>
      <c r="W81">
        <v>1.1399999999999999</v>
      </c>
      <c r="X81">
        <v>0.1</v>
      </c>
      <c r="Y81">
        <v>1</v>
      </c>
      <c r="Z81">
        <v>10</v>
      </c>
    </row>
    <row r="82" spans="1:26" x14ac:dyDescent="0.3">
      <c r="A82">
        <v>80</v>
      </c>
      <c r="B82">
        <v>145</v>
      </c>
      <c r="C82" t="s">
        <v>26</v>
      </c>
      <c r="D82">
        <v>10.012499999999999</v>
      </c>
      <c r="E82">
        <v>9.99</v>
      </c>
      <c r="F82">
        <v>6.77</v>
      </c>
      <c r="G82">
        <v>81.23</v>
      </c>
      <c r="H82">
        <v>1.1399999999999999</v>
      </c>
      <c r="I82">
        <v>5</v>
      </c>
      <c r="J82">
        <v>328.25</v>
      </c>
      <c r="K82">
        <v>61.2</v>
      </c>
      <c r="L82">
        <v>21</v>
      </c>
      <c r="M82">
        <v>3</v>
      </c>
      <c r="N82">
        <v>101.05</v>
      </c>
      <c r="O82">
        <v>40718</v>
      </c>
      <c r="P82">
        <v>116.3</v>
      </c>
      <c r="Q82">
        <v>204.14</v>
      </c>
      <c r="R82">
        <v>24.3</v>
      </c>
      <c r="S82">
        <v>17.37</v>
      </c>
      <c r="T82">
        <v>1366.24</v>
      </c>
      <c r="U82">
        <v>0.72</v>
      </c>
      <c r="V82">
        <v>0.75</v>
      </c>
      <c r="W82">
        <v>1.1399999999999999</v>
      </c>
      <c r="X82">
        <v>0.08</v>
      </c>
      <c r="Y82">
        <v>1</v>
      </c>
      <c r="Z82">
        <v>10</v>
      </c>
    </row>
    <row r="83" spans="1:26" x14ac:dyDescent="0.3">
      <c r="A83">
        <v>81</v>
      </c>
      <c r="B83">
        <v>145</v>
      </c>
      <c r="C83" t="s">
        <v>26</v>
      </c>
      <c r="D83">
        <v>10.0083</v>
      </c>
      <c r="E83">
        <v>9.99</v>
      </c>
      <c r="F83">
        <v>6.77</v>
      </c>
      <c r="G83">
        <v>81.28</v>
      </c>
      <c r="H83">
        <v>1.1499999999999999</v>
      </c>
      <c r="I83">
        <v>5</v>
      </c>
      <c r="J83">
        <v>328.83</v>
      </c>
      <c r="K83">
        <v>61.2</v>
      </c>
      <c r="L83">
        <v>21.25</v>
      </c>
      <c r="M83">
        <v>3</v>
      </c>
      <c r="N83">
        <v>101.38</v>
      </c>
      <c r="O83">
        <v>40789.89</v>
      </c>
      <c r="P83">
        <v>116.69</v>
      </c>
      <c r="Q83">
        <v>204.14</v>
      </c>
      <c r="R83">
        <v>24.38</v>
      </c>
      <c r="S83">
        <v>17.37</v>
      </c>
      <c r="T83">
        <v>1408.58</v>
      </c>
      <c r="U83">
        <v>0.71</v>
      </c>
      <c r="V83">
        <v>0.75</v>
      </c>
      <c r="W83">
        <v>1.1399999999999999</v>
      </c>
      <c r="X83">
        <v>0.08</v>
      </c>
      <c r="Y83">
        <v>1</v>
      </c>
      <c r="Z83">
        <v>10</v>
      </c>
    </row>
    <row r="84" spans="1:26" x14ac:dyDescent="0.3">
      <c r="A84">
        <v>82</v>
      </c>
      <c r="B84">
        <v>145</v>
      </c>
      <c r="C84" t="s">
        <v>26</v>
      </c>
      <c r="D84">
        <v>10.003299999999999</v>
      </c>
      <c r="E84">
        <v>10</v>
      </c>
      <c r="F84">
        <v>6.78</v>
      </c>
      <c r="G84">
        <v>81.34</v>
      </c>
      <c r="H84">
        <v>1.1599999999999999</v>
      </c>
      <c r="I84">
        <v>5</v>
      </c>
      <c r="J84">
        <v>329.41</v>
      </c>
      <c r="K84">
        <v>61.2</v>
      </c>
      <c r="L84">
        <v>21.5</v>
      </c>
      <c r="M84">
        <v>3</v>
      </c>
      <c r="N84">
        <v>101.71</v>
      </c>
      <c r="O84">
        <v>40861.93</v>
      </c>
      <c r="P84">
        <v>116.96</v>
      </c>
      <c r="Q84">
        <v>204.14</v>
      </c>
      <c r="R84">
        <v>24.58</v>
      </c>
      <c r="S84">
        <v>17.37</v>
      </c>
      <c r="T84">
        <v>1506.98</v>
      </c>
      <c r="U84">
        <v>0.71</v>
      </c>
      <c r="V84">
        <v>0.75</v>
      </c>
      <c r="W84">
        <v>1.1399999999999999</v>
      </c>
      <c r="X84">
        <v>0.09</v>
      </c>
      <c r="Y84">
        <v>1</v>
      </c>
      <c r="Z84">
        <v>10</v>
      </c>
    </row>
    <row r="85" spans="1:26" x14ac:dyDescent="0.3">
      <c r="A85">
        <v>83</v>
      </c>
      <c r="B85">
        <v>145</v>
      </c>
      <c r="C85" t="s">
        <v>26</v>
      </c>
      <c r="D85">
        <v>10.0097</v>
      </c>
      <c r="E85">
        <v>9.99</v>
      </c>
      <c r="F85">
        <v>6.77</v>
      </c>
      <c r="G85">
        <v>81.260000000000005</v>
      </c>
      <c r="H85">
        <v>1.17</v>
      </c>
      <c r="I85">
        <v>5</v>
      </c>
      <c r="J85">
        <v>330</v>
      </c>
      <c r="K85">
        <v>61.2</v>
      </c>
      <c r="L85">
        <v>21.75</v>
      </c>
      <c r="M85">
        <v>3</v>
      </c>
      <c r="N85">
        <v>102.05</v>
      </c>
      <c r="O85">
        <v>40934.14</v>
      </c>
      <c r="P85">
        <v>116.96</v>
      </c>
      <c r="Q85">
        <v>204.14</v>
      </c>
      <c r="R85">
        <v>24.41</v>
      </c>
      <c r="S85">
        <v>17.37</v>
      </c>
      <c r="T85">
        <v>1423.7</v>
      </c>
      <c r="U85">
        <v>0.71</v>
      </c>
      <c r="V85">
        <v>0.75</v>
      </c>
      <c r="W85">
        <v>1.1399999999999999</v>
      </c>
      <c r="X85">
        <v>0.08</v>
      </c>
      <c r="Y85">
        <v>1</v>
      </c>
      <c r="Z85">
        <v>10</v>
      </c>
    </row>
    <row r="86" spans="1:26" x14ac:dyDescent="0.3">
      <c r="A86">
        <v>84</v>
      </c>
      <c r="B86">
        <v>145</v>
      </c>
      <c r="C86" t="s">
        <v>26</v>
      </c>
      <c r="D86">
        <v>10.0092</v>
      </c>
      <c r="E86">
        <v>9.99</v>
      </c>
      <c r="F86">
        <v>6.77</v>
      </c>
      <c r="G86">
        <v>81.27</v>
      </c>
      <c r="H86">
        <v>1.19</v>
      </c>
      <c r="I86">
        <v>5</v>
      </c>
      <c r="J86">
        <v>330.59</v>
      </c>
      <c r="K86">
        <v>61.2</v>
      </c>
      <c r="L86">
        <v>22</v>
      </c>
      <c r="M86">
        <v>3</v>
      </c>
      <c r="N86">
        <v>102.39</v>
      </c>
      <c r="O86">
        <v>41006.51</v>
      </c>
      <c r="P86">
        <v>117.14</v>
      </c>
      <c r="Q86">
        <v>204.17</v>
      </c>
      <c r="R86">
        <v>24.34</v>
      </c>
      <c r="S86">
        <v>17.37</v>
      </c>
      <c r="T86">
        <v>1388.74</v>
      </c>
      <c r="U86">
        <v>0.71</v>
      </c>
      <c r="V86">
        <v>0.75</v>
      </c>
      <c r="W86">
        <v>1.1499999999999999</v>
      </c>
      <c r="X86">
        <v>0.08</v>
      </c>
      <c r="Y86">
        <v>1</v>
      </c>
      <c r="Z86">
        <v>10</v>
      </c>
    </row>
    <row r="87" spans="1:26" x14ac:dyDescent="0.3">
      <c r="A87">
        <v>85</v>
      </c>
      <c r="B87">
        <v>145</v>
      </c>
      <c r="C87" t="s">
        <v>26</v>
      </c>
      <c r="D87">
        <v>10.0061</v>
      </c>
      <c r="E87">
        <v>9.99</v>
      </c>
      <c r="F87">
        <v>6.78</v>
      </c>
      <c r="G87">
        <v>81.3</v>
      </c>
      <c r="H87">
        <v>1.2</v>
      </c>
      <c r="I87">
        <v>5</v>
      </c>
      <c r="J87">
        <v>331.17</v>
      </c>
      <c r="K87">
        <v>61.2</v>
      </c>
      <c r="L87">
        <v>22.25</v>
      </c>
      <c r="M87">
        <v>3</v>
      </c>
      <c r="N87">
        <v>102.72</v>
      </c>
      <c r="O87">
        <v>41079.040000000001</v>
      </c>
      <c r="P87">
        <v>117.32</v>
      </c>
      <c r="Q87">
        <v>204.14</v>
      </c>
      <c r="R87">
        <v>24.5</v>
      </c>
      <c r="S87">
        <v>17.37</v>
      </c>
      <c r="T87">
        <v>1464.95</v>
      </c>
      <c r="U87">
        <v>0.71</v>
      </c>
      <c r="V87">
        <v>0.75</v>
      </c>
      <c r="W87">
        <v>1.1399999999999999</v>
      </c>
      <c r="X87">
        <v>0.08</v>
      </c>
      <c r="Y87">
        <v>1</v>
      </c>
      <c r="Z87">
        <v>10</v>
      </c>
    </row>
    <row r="88" spans="1:26" x14ac:dyDescent="0.3">
      <c r="A88">
        <v>86</v>
      </c>
      <c r="B88">
        <v>145</v>
      </c>
      <c r="C88" t="s">
        <v>26</v>
      </c>
      <c r="D88">
        <v>10.004200000000001</v>
      </c>
      <c r="E88">
        <v>10</v>
      </c>
      <c r="F88">
        <v>6.78</v>
      </c>
      <c r="G88">
        <v>81.33</v>
      </c>
      <c r="H88">
        <v>1.21</v>
      </c>
      <c r="I88">
        <v>5</v>
      </c>
      <c r="J88">
        <v>331.76</v>
      </c>
      <c r="K88">
        <v>61.2</v>
      </c>
      <c r="L88">
        <v>22.5</v>
      </c>
      <c r="M88">
        <v>3</v>
      </c>
      <c r="N88">
        <v>103.06</v>
      </c>
      <c r="O88">
        <v>41151.74</v>
      </c>
      <c r="P88">
        <v>117.26</v>
      </c>
      <c r="Q88">
        <v>204.14</v>
      </c>
      <c r="R88">
        <v>24.5</v>
      </c>
      <c r="S88">
        <v>17.37</v>
      </c>
      <c r="T88">
        <v>1468.51</v>
      </c>
      <c r="U88">
        <v>0.71</v>
      </c>
      <c r="V88">
        <v>0.75</v>
      </c>
      <c r="W88">
        <v>1.1499999999999999</v>
      </c>
      <c r="X88">
        <v>0.09</v>
      </c>
      <c r="Y88">
        <v>1</v>
      </c>
      <c r="Z88">
        <v>10</v>
      </c>
    </row>
    <row r="89" spans="1:26" x14ac:dyDescent="0.3">
      <c r="A89">
        <v>87</v>
      </c>
      <c r="B89">
        <v>145</v>
      </c>
      <c r="C89" t="s">
        <v>26</v>
      </c>
      <c r="D89">
        <v>10.009499999999999</v>
      </c>
      <c r="E89">
        <v>9.99</v>
      </c>
      <c r="F89">
        <v>6.77</v>
      </c>
      <c r="G89">
        <v>81.260000000000005</v>
      </c>
      <c r="H89">
        <v>1.22</v>
      </c>
      <c r="I89">
        <v>5</v>
      </c>
      <c r="J89">
        <v>332.35</v>
      </c>
      <c r="K89">
        <v>61.2</v>
      </c>
      <c r="L89">
        <v>22.75</v>
      </c>
      <c r="M89">
        <v>3</v>
      </c>
      <c r="N89">
        <v>103.41</v>
      </c>
      <c r="O89">
        <v>41224.6</v>
      </c>
      <c r="P89">
        <v>117.19</v>
      </c>
      <c r="Q89">
        <v>204.14</v>
      </c>
      <c r="R89">
        <v>24.4</v>
      </c>
      <c r="S89">
        <v>17.37</v>
      </c>
      <c r="T89">
        <v>1418.79</v>
      </c>
      <c r="U89">
        <v>0.71</v>
      </c>
      <c r="V89">
        <v>0.75</v>
      </c>
      <c r="W89">
        <v>1.1399999999999999</v>
      </c>
      <c r="X89">
        <v>0.08</v>
      </c>
      <c r="Y89">
        <v>1</v>
      </c>
      <c r="Z89">
        <v>10</v>
      </c>
    </row>
    <row r="90" spans="1:26" x14ac:dyDescent="0.3">
      <c r="A90">
        <v>88</v>
      </c>
      <c r="B90">
        <v>145</v>
      </c>
      <c r="C90" t="s">
        <v>26</v>
      </c>
      <c r="D90">
        <v>10.0075</v>
      </c>
      <c r="E90">
        <v>9.99</v>
      </c>
      <c r="F90">
        <v>6.77</v>
      </c>
      <c r="G90">
        <v>81.290000000000006</v>
      </c>
      <c r="H90">
        <v>1.23</v>
      </c>
      <c r="I90">
        <v>5</v>
      </c>
      <c r="J90">
        <v>332.95</v>
      </c>
      <c r="K90">
        <v>61.2</v>
      </c>
      <c r="L90">
        <v>23</v>
      </c>
      <c r="M90">
        <v>3</v>
      </c>
      <c r="N90">
        <v>103.75</v>
      </c>
      <c r="O90">
        <v>41297.620000000003</v>
      </c>
      <c r="P90">
        <v>117.24</v>
      </c>
      <c r="Q90">
        <v>204.14</v>
      </c>
      <c r="R90">
        <v>24.5</v>
      </c>
      <c r="S90">
        <v>17.37</v>
      </c>
      <c r="T90">
        <v>1467.13</v>
      </c>
      <c r="U90">
        <v>0.71</v>
      </c>
      <c r="V90">
        <v>0.75</v>
      </c>
      <c r="W90">
        <v>1.1399999999999999</v>
      </c>
      <c r="X90">
        <v>0.08</v>
      </c>
      <c r="Y90">
        <v>1</v>
      </c>
      <c r="Z90">
        <v>10</v>
      </c>
    </row>
    <row r="91" spans="1:26" x14ac:dyDescent="0.3">
      <c r="A91">
        <v>89</v>
      </c>
      <c r="B91">
        <v>145</v>
      </c>
      <c r="C91" t="s">
        <v>26</v>
      </c>
      <c r="D91">
        <v>10.0053</v>
      </c>
      <c r="E91">
        <v>9.99</v>
      </c>
      <c r="F91">
        <v>6.78</v>
      </c>
      <c r="G91">
        <v>81.31</v>
      </c>
      <c r="H91">
        <v>1.24</v>
      </c>
      <c r="I91">
        <v>5</v>
      </c>
      <c r="J91">
        <v>333.54</v>
      </c>
      <c r="K91">
        <v>61.2</v>
      </c>
      <c r="L91">
        <v>23.25</v>
      </c>
      <c r="M91">
        <v>3</v>
      </c>
      <c r="N91">
        <v>104.09</v>
      </c>
      <c r="O91">
        <v>41370.82</v>
      </c>
      <c r="P91">
        <v>117.28</v>
      </c>
      <c r="Q91">
        <v>204.14</v>
      </c>
      <c r="R91">
        <v>24.53</v>
      </c>
      <c r="S91">
        <v>17.37</v>
      </c>
      <c r="T91">
        <v>1480.56</v>
      </c>
      <c r="U91">
        <v>0.71</v>
      </c>
      <c r="V91">
        <v>0.75</v>
      </c>
      <c r="W91">
        <v>1.1399999999999999</v>
      </c>
      <c r="X91">
        <v>0.09</v>
      </c>
      <c r="Y91">
        <v>1</v>
      </c>
      <c r="Z91">
        <v>10</v>
      </c>
    </row>
    <row r="92" spans="1:26" x14ac:dyDescent="0.3">
      <c r="A92">
        <v>90</v>
      </c>
      <c r="B92">
        <v>145</v>
      </c>
      <c r="C92" t="s">
        <v>26</v>
      </c>
      <c r="D92">
        <v>10.0053</v>
      </c>
      <c r="E92">
        <v>9.99</v>
      </c>
      <c r="F92">
        <v>6.78</v>
      </c>
      <c r="G92">
        <v>81.31</v>
      </c>
      <c r="H92">
        <v>1.25</v>
      </c>
      <c r="I92">
        <v>5</v>
      </c>
      <c r="J92">
        <v>334.14</v>
      </c>
      <c r="K92">
        <v>61.2</v>
      </c>
      <c r="L92">
        <v>23.5</v>
      </c>
      <c r="M92">
        <v>3</v>
      </c>
      <c r="N92">
        <v>104.44</v>
      </c>
      <c r="O92">
        <v>41444.300000000003</v>
      </c>
      <c r="P92">
        <v>117.28</v>
      </c>
      <c r="Q92">
        <v>204.14</v>
      </c>
      <c r="R92">
        <v>24.51</v>
      </c>
      <c r="S92">
        <v>17.37</v>
      </c>
      <c r="T92">
        <v>1472.55</v>
      </c>
      <c r="U92">
        <v>0.71</v>
      </c>
      <c r="V92">
        <v>0.75</v>
      </c>
      <c r="W92">
        <v>1.1399999999999999</v>
      </c>
      <c r="X92">
        <v>0.09</v>
      </c>
      <c r="Y92">
        <v>1</v>
      </c>
      <c r="Z92">
        <v>10</v>
      </c>
    </row>
    <row r="93" spans="1:26" x14ac:dyDescent="0.3">
      <c r="A93">
        <v>91</v>
      </c>
      <c r="B93">
        <v>145</v>
      </c>
      <c r="C93" t="s">
        <v>26</v>
      </c>
      <c r="D93">
        <v>10.008900000000001</v>
      </c>
      <c r="E93">
        <v>9.99</v>
      </c>
      <c r="F93">
        <v>6.77</v>
      </c>
      <c r="G93">
        <v>81.27</v>
      </c>
      <c r="H93">
        <v>1.26</v>
      </c>
      <c r="I93">
        <v>5</v>
      </c>
      <c r="J93">
        <v>334.73</v>
      </c>
      <c r="K93">
        <v>61.2</v>
      </c>
      <c r="L93">
        <v>23.75</v>
      </c>
      <c r="M93">
        <v>3</v>
      </c>
      <c r="N93">
        <v>104.78</v>
      </c>
      <c r="O93">
        <v>41517.839999999997</v>
      </c>
      <c r="P93">
        <v>117.11</v>
      </c>
      <c r="Q93">
        <v>204.14</v>
      </c>
      <c r="R93">
        <v>24.41</v>
      </c>
      <c r="S93">
        <v>17.37</v>
      </c>
      <c r="T93">
        <v>1420.05</v>
      </c>
      <c r="U93">
        <v>0.71</v>
      </c>
      <c r="V93">
        <v>0.75</v>
      </c>
      <c r="W93">
        <v>1.1399999999999999</v>
      </c>
      <c r="X93">
        <v>0.08</v>
      </c>
      <c r="Y93">
        <v>1</v>
      </c>
      <c r="Z93">
        <v>10</v>
      </c>
    </row>
    <row r="94" spans="1:26" x14ac:dyDescent="0.3">
      <c r="A94">
        <v>92</v>
      </c>
      <c r="B94">
        <v>145</v>
      </c>
      <c r="C94" t="s">
        <v>26</v>
      </c>
      <c r="D94">
        <v>10.0114</v>
      </c>
      <c r="E94">
        <v>9.99</v>
      </c>
      <c r="F94">
        <v>6.77</v>
      </c>
      <c r="G94">
        <v>81.239999999999995</v>
      </c>
      <c r="H94">
        <v>1.28</v>
      </c>
      <c r="I94">
        <v>5</v>
      </c>
      <c r="J94">
        <v>335.33</v>
      </c>
      <c r="K94">
        <v>61.2</v>
      </c>
      <c r="L94">
        <v>24</v>
      </c>
      <c r="M94">
        <v>3</v>
      </c>
      <c r="N94">
        <v>105.13</v>
      </c>
      <c r="O94">
        <v>41591.550000000003</v>
      </c>
      <c r="P94">
        <v>117.05</v>
      </c>
      <c r="Q94">
        <v>204.14</v>
      </c>
      <c r="R94">
        <v>24.35</v>
      </c>
      <c r="S94">
        <v>17.37</v>
      </c>
      <c r="T94">
        <v>1394.03</v>
      </c>
      <c r="U94">
        <v>0.71</v>
      </c>
      <c r="V94">
        <v>0.75</v>
      </c>
      <c r="W94">
        <v>1.1399999999999999</v>
      </c>
      <c r="X94">
        <v>0.08</v>
      </c>
      <c r="Y94">
        <v>1</v>
      </c>
      <c r="Z94">
        <v>10</v>
      </c>
    </row>
    <row r="95" spans="1:26" x14ac:dyDescent="0.3">
      <c r="A95">
        <v>93</v>
      </c>
      <c r="B95">
        <v>145</v>
      </c>
      <c r="C95" t="s">
        <v>26</v>
      </c>
      <c r="D95">
        <v>10.0175</v>
      </c>
      <c r="E95">
        <v>9.98</v>
      </c>
      <c r="F95">
        <v>6.76</v>
      </c>
      <c r="G95">
        <v>81.17</v>
      </c>
      <c r="H95">
        <v>1.29</v>
      </c>
      <c r="I95">
        <v>5</v>
      </c>
      <c r="J95">
        <v>335.93</v>
      </c>
      <c r="K95">
        <v>61.2</v>
      </c>
      <c r="L95">
        <v>24.25</v>
      </c>
      <c r="M95">
        <v>3</v>
      </c>
      <c r="N95">
        <v>105.48</v>
      </c>
      <c r="O95">
        <v>41665.42</v>
      </c>
      <c r="P95">
        <v>116.84</v>
      </c>
      <c r="Q95">
        <v>204.14</v>
      </c>
      <c r="R95">
        <v>24.18</v>
      </c>
      <c r="S95">
        <v>17.37</v>
      </c>
      <c r="T95">
        <v>1308.45</v>
      </c>
      <c r="U95">
        <v>0.72</v>
      </c>
      <c r="V95">
        <v>0.75</v>
      </c>
      <c r="W95">
        <v>1.1399999999999999</v>
      </c>
      <c r="X95">
        <v>7.0000000000000007E-2</v>
      </c>
      <c r="Y95">
        <v>1</v>
      </c>
      <c r="Z95">
        <v>10</v>
      </c>
    </row>
    <row r="96" spans="1:26" x14ac:dyDescent="0.3">
      <c r="A96">
        <v>94</v>
      </c>
      <c r="B96">
        <v>145</v>
      </c>
      <c r="C96" t="s">
        <v>26</v>
      </c>
      <c r="D96">
        <v>10.016999999999999</v>
      </c>
      <c r="E96">
        <v>9.98</v>
      </c>
      <c r="F96">
        <v>6.76</v>
      </c>
      <c r="G96">
        <v>81.17</v>
      </c>
      <c r="H96">
        <v>1.3</v>
      </c>
      <c r="I96">
        <v>5</v>
      </c>
      <c r="J96">
        <v>336.53</v>
      </c>
      <c r="K96">
        <v>61.2</v>
      </c>
      <c r="L96">
        <v>24.5</v>
      </c>
      <c r="M96">
        <v>3</v>
      </c>
      <c r="N96">
        <v>105.83</v>
      </c>
      <c r="O96">
        <v>41739.480000000003</v>
      </c>
      <c r="P96">
        <v>116.75</v>
      </c>
      <c r="Q96">
        <v>204.14</v>
      </c>
      <c r="R96">
        <v>24.17</v>
      </c>
      <c r="S96">
        <v>17.37</v>
      </c>
      <c r="T96">
        <v>1302.44</v>
      </c>
      <c r="U96">
        <v>0.72</v>
      </c>
      <c r="V96">
        <v>0.75</v>
      </c>
      <c r="W96">
        <v>1.1399999999999999</v>
      </c>
      <c r="X96">
        <v>7.0000000000000007E-2</v>
      </c>
      <c r="Y96">
        <v>1</v>
      </c>
      <c r="Z96">
        <v>10</v>
      </c>
    </row>
    <row r="97" spans="1:26" x14ac:dyDescent="0.3">
      <c r="A97">
        <v>95</v>
      </c>
      <c r="B97">
        <v>145</v>
      </c>
      <c r="C97" t="s">
        <v>26</v>
      </c>
      <c r="D97">
        <v>10.02</v>
      </c>
      <c r="E97">
        <v>9.98</v>
      </c>
      <c r="F97">
        <v>6.76</v>
      </c>
      <c r="G97">
        <v>81.14</v>
      </c>
      <c r="H97">
        <v>1.31</v>
      </c>
      <c r="I97">
        <v>5</v>
      </c>
      <c r="J97">
        <v>337.13</v>
      </c>
      <c r="K97">
        <v>61.2</v>
      </c>
      <c r="L97">
        <v>24.75</v>
      </c>
      <c r="M97">
        <v>3</v>
      </c>
      <c r="N97">
        <v>106.18</v>
      </c>
      <c r="O97">
        <v>41813.699999999997</v>
      </c>
      <c r="P97">
        <v>116.48</v>
      </c>
      <c r="Q97">
        <v>204.14</v>
      </c>
      <c r="R97">
        <v>24.09</v>
      </c>
      <c r="S97">
        <v>17.37</v>
      </c>
      <c r="T97">
        <v>1261.99</v>
      </c>
      <c r="U97">
        <v>0.72</v>
      </c>
      <c r="V97">
        <v>0.76</v>
      </c>
      <c r="W97">
        <v>1.1399999999999999</v>
      </c>
      <c r="X97">
        <v>7.0000000000000007E-2</v>
      </c>
      <c r="Y97">
        <v>1</v>
      </c>
      <c r="Z97">
        <v>10</v>
      </c>
    </row>
    <row r="98" spans="1:26" x14ac:dyDescent="0.3">
      <c r="A98">
        <v>96</v>
      </c>
      <c r="B98">
        <v>145</v>
      </c>
      <c r="C98" t="s">
        <v>26</v>
      </c>
      <c r="D98">
        <v>10.019500000000001</v>
      </c>
      <c r="E98">
        <v>9.98</v>
      </c>
      <c r="F98">
        <v>6.76</v>
      </c>
      <c r="G98">
        <v>81.14</v>
      </c>
      <c r="H98">
        <v>1.32</v>
      </c>
      <c r="I98">
        <v>5</v>
      </c>
      <c r="J98">
        <v>337.73</v>
      </c>
      <c r="K98">
        <v>61.2</v>
      </c>
      <c r="L98">
        <v>25</v>
      </c>
      <c r="M98">
        <v>3</v>
      </c>
      <c r="N98">
        <v>106.53</v>
      </c>
      <c r="O98">
        <v>41888.1</v>
      </c>
      <c r="P98">
        <v>116.35</v>
      </c>
      <c r="Q98">
        <v>204.14</v>
      </c>
      <c r="R98">
        <v>24.06</v>
      </c>
      <c r="S98">
        <v>17.37</v>
      </c>
      <c r="T98">
        <v>1244.8800000000001</v>
      </c>
      <c r="U98">
        <v>0.72</v>
      </c>
      <c r="V98">
        <v>0.76</v>
      </c>
      <c r="W98">
        <v>1.1399999999999999</v>
      </c>
      <c r="X98">
        <v>7.0000000000000007E-2</v>
      </c>
      <c r="Y98">
        <v>1</v>
      </c>
      <c r="Z98">
        <v>10</v>
      </c>
    </row>
    <row r="99" spans="1:26" x14ac:dyDescent="0.3">
      <c r="A99">
        <v>97</v>
      </c>
      <c r="B99">
        <v>145</v>
      </c>
      <c r="C99" t="s">
        <v>26</v>
      </c>
      <c r="D99">
        <v>10.0167</v>
      </c>
      <c r="E99">
        <v>9.98</v>
      </c>
      <c r="F99">
        <v>6.76</v>
      </c>
      <c r="G99">
        <v>81.180000000000007</v>
      </c>
      <c r="H99">
        <v>1.33</v>
      </c>
      <c r="I99">
        <v>5</v>
      </c>
      <c r="J99">
        <v>338.34</v>
      </c>
      <c r="K99">
        <v>61.2</v>
      </c>
      <c r="L99">
        <v>25.25</v>
      </c>
      <c r="M99">
        <v>3</v>
      </c>
      <c r="N99">
        <v>106.89</v>
      </c>
      <c r="O99">
        <v>41962.68</v>
      </c>
      <c r="P99">
        <v>116.25</v>
      </c>
      <c r="Q99">
        <v>204.14</v>
      </c>
      <c r="R99">
        <v>24.09</v>
      </c>
      <c r="S99">
        <v>17.37</v>
      </c>
      <c r="T99">
        <v>1261.8</v>
      </c>
      <c r="U99">
        <v>0.72</v>
      </c>
      <c r="V99">
        <v>0.75</v>
      </c>
      <c r="W99">
        <v>1.1399999999999999</v>
      </c>
      <c r="X99">
        <v>7.0000000000000007E-2</v>
      </c>
      <c r="Y99">
        <v>1</v>
      </c>
      <c r="Z99">
        <v>10</v>
      </c>
    </row>
    <row r="100" spans="1:26" x14ac:dyDescent="0.3">
      <c r="A100">
        <v>98</v>
      </c>
      <c r="B100">
        <v>145</v>
      </c>
      <c r="C100" t="s">
        <v>26</v>
      </c>
      <c r="D100">
        <v>10.0128</v>
      </c>
      <c r="E100">
        <v>9.99</v>
      </c>
      <c r="F100">
        <v>6.77</v>
      </c>
      <c r="G100">
        <v>81.22</v>
      </c>
      <c r="H100">
        <v>1.34</v>
      </c>
      <c r="I100">
        <v>5</v>
      </c>
      <c r="J100">
        <v>338.94</v>
      </c>
      <c r="K100">
        <v>61.2</v>
      </c>
      <c r="L100">
        <v>25.5</v>
      </c>
      <c r="M100">
        <v>3</v>
      </c>
      <c r="N100">
        <v>107.25</v>
      </c>
      <c r="O100">
        <v>42037.440000000002</v>
      </c>
      <c r="P100">
        <v>116.07</v>
      </c>
      <c r="Q100">
        <v>204.14</v>
      </c>
      <c r="R100">
        <v>24.24</v>
      </c>
      <c r="S100">
        <v>17.37</v>
      </c>
      <c r="T100">
        <v>1338.27</v>
      </c>
      <c r="U100">
        <v>0.72</v>
      </c>
      <c r="V100">
        <v>0.75</v>
      </c>
      <c r="W100">
        <v>1.1399999999999999</v>
      </c>
      <c r="X100">
        <v>0.08</v>
      </c>
      <c r="Y100">
        <v>1</v>
      </c>
      <c r="Z100">
        <v>10</v>
      </c>
    </row>
    <row r="101" spans="1:26" x14ac:dyDescent="0.3">
      <c r="A101">
        <v>99</v>
      </c>
      <c r="B101">
        <v>145</v>
      </c>
      <c r="C101" t="s">
        <v>26</v>
      </c>
      <c r="D101">
        <v>10.0139</v>
      </c>
      <c r="E101">
        <v>9.99</v>
      </c>
      <c r="F101">
        <v>6.77</v>
      </c>
      <c r="G101">
        <v>81.209999999999994</v>
      </c>
      <c r="H101">
        <v>1.35</v>
      </c>
      <c r="I101">
        <v>5</v>
      </c>
      <c r="J101">
        <v>339.55</v>
      </c>
      <c r="K101">
        <v>61.2</v>
      </c>
      <c r="L101">
        <v>25.75</v>
      </c>
      <c r="M101">
        <v>3</v>
      </c>
      <c r="N101">
        <v>107.6</v>
      </c>
      <c r="O101">
        <v>42112.37</v>
      </c>
      <c r="P101">
        <v>115.9</v>
      </c>
      <c r="Q101">
        <v>204.15</v>
      </c>
      <c r="R101">
        <v>24.13</v>
      </c>
      <c r="S101">
        <v>17.37</v>
      </c>
      <c r="T101">
        <v>1283.69</v>
      </c>
      <c r="U101">
        <v>0.72</v>
      </c>
      <c r="V101">
        <v>0.75</v>
      </c>
      <c r="W101">
        <v>1.1499999999999999</v>
      </c>
      <c r="X101">
        <v>0.08</v>
      </c>
      <c r="Y101">
        <v>1</v>
      </c>
      <c r="Z101">
        <v>10</v>
      </c>
    </row>
    <row r="102" spans="1:26" x14ac:dyDescent="0.3">
      <c r="A102">
        <v>100</v>
      </c>
      <c r="B102">
        <v>145</v>
      </c>
      <c r="C102" t="s">
        <v>26</v>
      </c>
      <c r="D102">
        <v>10.009499999999999</v>
      </c>
      <c r="E102">
        <v>9.99</v>
      </c>
      <c r="F102">
        <v>6.77</v>
      </c>
      <c r="G102">
        <v>81.260000000000005</v>
      </c>
      <c r="H102">
        <v>1.36</v>
      </c>
      <c r="I102">
        <v>5</v>
      </c>
      <c r="J102">
        <v>340.16</v>
      </c>
      <c r="K102">
        <v>61.2</v>
      </c>
      <c r="L102">
        <v>26</v>
      </c>
      <c r="M102">
        <v>3</v>
      </c>
      <c r="N102">
        <v>107.96</v>
      </c>
      <c r="O102">
        <v>42187.49</v>
      </c>
      <c r="P102">
        <v>115.98</v>
      </c>
      <c r="Q102">
        <v>204.14</v>
      </c>
      <c r="R102">
        <v>24.29</v>
      </c>
      <c r="S102">
        <v>17.37</v>
      </c>
      <c r="T102">
        <v>1361.83</v>
      </c>
      <c r="U102">
        <v>0.72</v>
      </c>
      <c r="V102">
        <v>0.75</v>
      </c>
      <c r="W102">
        <v>1.1499999999999999</v>
      </c>
      <c r="X102">
        <v>0.08</v>
      </c>
      <c r="Y102">
        <v>1</v>
      </c>
      <c r="Z102">
        <v>10</v>
      </c>
    </row>
    <row r="103" spans="1:26" x14ac:dyDescent="0.3">
      <c r="A103">
        <v>101</v>
      </c>
      <c r="B103">
        <v>145</v>
      </c>
      <c r="C103" t="s">
        <v>26</v>
      </c>
      <c r="D103">
        <v>10.010300000000001</v>
      </c>
      <c r="E103">
        <v>9.99</v>
      </c>
      <c r="F103">
        <v>6.77</v>
      </c>
      <c r="G103">
        <v>81.25</v>
      </c>
      <c r="H103">
        <v>1.37</v>
      </c>
      <c r="I103">
        <v>5</v>
      </c>
      <c r="J103">
        <v>340.77</v>
      </c>
      <c r="K103">
        <v>61.2</v>
      </c>
      <c r="L103">
        <v>26.25</v>
      </c>
      <c r="M103">
        <v>3</v>
      </c>
      <c r="N103">
        <v>108.32</v>
      </c>
      <c r="O103">
        <v>42262.79</v>
      </c>
      <c r="P103">
        <v>115.98</v>
      </c>
      <c r="Q103">
        <v>204.16</v>
      </c>
      <c r="R103">
        <v>24.27</v>
      </c>
      <c r="S103">
        <v>17.37</v>
      </c>
      <c r="T103">
        <v>1353.49</v>
      </c>
      <c r="U103">
        <v>0.72</v>
      </c>
      <c r="V103">
        <v>0.75</v>
      </c>
      <c r="W103">
        <v>1.1499999999999999</v>
      </c>
      <c r="X103">
        <v>0.08</v>
      </c>
      <c r="Y103">
        <v>1</v>
      </c>
      <c r="Z103">
        <v>10</v>
      </c>
    </row>
    <row r="104" spans="1:26" x14ac:dyDescent="0.3">
      <c r="A104">
        <v>102</v>
      </c>
      <c r="B104">
        <v>145</v>
      </c>
      <c r="C104" t="s">
        <v>26</v>
      </c>
      <c r="D104">
        <v>10.0122</v>
      </c>
      <c r="E104">
        <v>9.99</v>
      </c>
      <c r="F104">
        <v>6.77</v>
      </c>
      <c r="G104">
        <v>81.23</v>
      </c>
      <c r="H104">
        <v>1.38</v>
      </c>
      <c r="I104">
        <v>5</v>
      </c>
      <c r="J104">
        <v>341.38</v>
      </c>
      <c r="K104">
        <v>61.2</v>
      </c>
      <c r="L104">
        <v>26.5</v>
      </c>
      <c r="M104">
        <v>3</v>
      </c>
      <c r="N104">
        <v>108.68</v>
      </c>
      <c r="O104">
        <v>42338.27</v>
      </c>
      <c r="P104">
        <v>115.8</v>
      </c>
      <c r="Q104">
        <v>204.14</v>
      </c>
      <c r="R104">
        <v>24.35</v>
      </c>
      <c r="S104">
        <v>17.37</v>
      </c>
      <c r="T104">
        <v>1390.19</v>
      </c>
      <c r="U104">
        <v>0.71</v>
      </c>
      <c r="V104">
        <v>0.75</v>
      </c>
      <c r="W104">
        <v>1.1399999999999999</v>
      </c>
      <c r="X104">
        <v>0.08</v>
      </c>
      <c r="Y104">
        <v>1</v>
      </c>
      <c r="Z104">
        <v>10</v>
      </c>
    </row>
    <row r="105" spans="1:26" x14ac:dyDescent="0.3">
      <c r="A105">
        <v>103</v>
      </c>
      <c r="B105">
        <v>145</v>
      </c>
      <c r="C105" t="s">
        <v>26</v>
      </c>
      <c r="D105">
        <v>10.0061</v>
      </c>
      <c r="E105">
        <v>9.99</v>
      </c>
      <c r="F105">
        <v>6.78</v>
      </c>
      <c r="G105">
        <v>81.3</v>
      </c>
      <c r="H105">
        <v>1.39</v>
      </c>
      <c r="I105">
        <v>5</v>
      </c>
      <c r="J105">
        <v>342</v>
      </c>
      <c r="K105">
        <v>61.2</v>
      </c>
      <c r="L105">
        <v>26.75</v>
      </c>
      <c r="M105">
        <v>3</v>
      </c>
      <c r="N105">
        <v>109.05</v>
      </c>
      <c r="O105">
        <v>42413.94</v>
      </c>
      <c r="P105">
        <v>115.84</v>
      </c>
      <c r="Q105">
        <v>204.15</v>
      </c>
      <c r="R105">
        <v>24.39</v>
      </c>
      <c r="S105">
        <v>17.37</v>
      </c>
      <c r="T105">
        <v>1411.82</v>
      </c>
      <c r="U105">
        <v>0.71</v>
      </c>
      <c r="V105">
        <v>0.75</v>
      </c>
      <c r="W105">
        <v>1.1499999999999999</v>
      </c>
      <c r="X105">
        <v>0.08</v>
      </c>
      <c r="Y105">
        <v>1</v>
      </c>
      <c r="Z105">
        <v>10</v>
      </c>
    </row>
    <row r="106" spans="1:26" x14ac:dyDescent="0.3">
      <c r="A106">
        <v>104</v>
      </c>
      <c r="B106">
        <v>145</v>
      </c>
      <c r="C106" t="s">
        <v>26</v>
      </c>
      <c r="D106">
        <v>10.011699999999999</v>
      </c>
      <c r="E106">
        <v>9.99</v>
      </c>
      <c r="F106">
        <v>6.77</v>
      </c>
      <c r="G106">
        <v>81.239999999999995</v>
      </c>
      <c r="H106">
        <v>1.4</v>
      </c>
      <c r="I106">
        <v>5</v>
      </c>
      <c r="J106">
        <v>342.61</v>
      </c>
      <c r="K106">
        <v>61.2</v>
      </c>
      <c r="L106">
        <v>27</v>
      </c>
      <c r="M106">
        <v>3</v>
      </c>
      <c r="N106">
        <v>109.41</v>
      </c>
      <c r="O106">
        <v>42489.79</v>
      </c>
      <c r="P106">
        <v>115.51</v>
      </c>
      <c r="Q106">
        <v>204.14</v>
      </c>
      <c r="R106">
        <v>24.25</v>
      </c>
      <c r="S106">
        <v>17.37</v>
      </c>
      <c r="T106">
        <v>1342.52</v>
      </c>
      <c r="U106">
        <v>0.72</v>
      </c>
      <c r="V106">
        <v>0.75</v>
      </c>
      <c r="W106">
        <v>1.1499999999999999</v>
      </c>
      <c r="X106">
        <v>0.08</v>
      </c>
      <c r="Y106">
        <v>1</v>
      </c>
      <c r="Z106">
        <v>10</v>
      </c>
    </row>
    <row r="107" spans="1:26" x14ac:dyDescent="0.3">
      <c r="A107">
        <v>105</v>
      </c>
      <c r="B107">
        <v>145</v>
      </c>
      <c r="C107" t="s">
        <v>26</v>
      </c>
      <c r="D107">
        <v>10.013400000000001</v>
      </c>
      <c r="E107">
        <v>9.99</v>
      </c>
      <c r="F107">
        <v>6.77</v>
      </c>
      <c r="G107">
        <v>81.22</v>
      </c>
      <c r="H107">
        <v>1.42</v>
      </c>
      <c r="I107">
        <v>5</v>
      </c>
      <c r="J107">
        <v>343.23</v>
      </c>
      <c r="K107">
        <v>61.2</v>
      </c>
      <c r="L107">
        <v>27.25</v>
      </c>
      <c r="M107">
        <v>3</v>
      </c>
      <c r="N107">
        <v>109.78</v>
      </c>
      <c r="O107">
        <v>42565.83</v>
      </c>
      <c r="P107">
        <v>115.33</v>
      </c>
      <c r="Q107">
        <v>204.14</v>
      </c>
      <c r="R107">
        <v>24.21</v>
      </c>
      <c r="S107">
        <v>17.37</v>
      </c>
      <c r="T107">
        <v>1321.92</v>
      </c>
      <c r="U107">
        <v>0.72</v>
      </c>
      <c r="V107">
        <v>0.75</v>
      </c>
      <c r="W107">
        <v>1.1499999999999999</v>
      </c>
      <c r="X107">
        <v>0.08</v>
      </c>
      <c r="Y107">
        <v>1</v>
      </c>
      <c r="Z107">
        <v>10</v>
      </c>
    </row>
    <row r="108" spans="1:26" x14ac:dyDescent="0.3">
      <c r="A108">
        <v>106</v>
      </c>
      <c r="B108">
        <v>145</v>
      </c>
      <c r="C108" t="s">
        <v>26</v>
      </c>
      <c r="D108">
        <v>10.0945</v>
      </c>
      <c r="E108">
        <v>9.91</v>
      </c>
      <c r="F108">
        <v>6.74</v>
      </c>
      <c r="G108">
        <v>101.12</v>
      </c>
      <c r="H108">
        <v>1.43</v>
      </c>
      <c r="I108">
        <v>4</v>
      </c>
      <c r="J108">
        <v>343.85</v>
      </c>
      <c r="K108">
        <v>61.2</v>
      </c>
      <c r="L108">
        <v>27.5</v>
      </c>
      <c r="M108">
        <v>2</v>
      </c>
      <c r="N108">
        <v>110.15</v>
      </c>
      <c r="O108">
        <v>42642.18</v>
      </c>
      <c r="P108">
        <v>114.74</v>
      </c>
      <c r="Q108">
        <v>204.14</v>
      </c>
      <c r="R108">
        <v>23.46</v>
      </c>
      <c r="S108">
        <v>17.37</v>
      </c>
      <c r="T108">
        <v>952.32</v>
      </c>
      <c r="U108">
        <v>0.74</v>
      </c>
      <c r="V108">
        <v>0.76</v>
      </c>
      <c r="W108">
        <v>1.1399999999999999</v>
      </c>
      <c r="X108">
        <v>0.05</v>
      </c>
      <c r="Y108">
        <v>1</v>
      </c>
      <c r="Z108">
        <v>10</v>
      </c>
    </row>
    <row r="109" spans="1:26" x14ac:dyDescent="0.3">
      <c r="A109">
        <v>107</v>
      </c>
      <c r="B109">
        <v>145</v>
      </c>
      <c r="C109" t="s">
        <v>26</v>
      </c>
      <c r="D109">
        <v>10.092499999999999</v>
      </c>
      <c r="E109">
        <v>9.91</v>
      </c>
      <c r="F109">
        <v>6.74</v>
      </c>
      <c r="G109">
        <v>101.15</v>
      </c>
      <c r="H109">
        <v>1.44</v>
      </c>
      <c r="I109">
        <v>4</v>
      </c>
      <c r="J109">
        <v>344.47</v>
      </c>
      <c r="K109">
        <v>61.2</v>
      </c>
      <c r="L109">
        <v>27.75</v>
      </c>
      <c r="M109">
        <v>2</v>
      </c>
      <c r="N109">
        <v>110.52</v>
      </c>
      <c r="O109">
        <v>42718.61</v>
      </c>
      <c r="P109">
        <v>114.83</v>
      </c>
      <c r="Q109">
        <v>204.16</v>
      </c>
      <c r="R109">
        <v>23.47</v>
      </c>
      <c r="S109">
        <v>17.37</v>
      </c>
      <c r="T109">
        <v>957.75</v>
      </c>
      <c r="U109">
        <v>0.74</v>
      </c>
      <c r="V109">
        <v>0.76</v>
      </c>
      <c r="W109">
        <v>1.1399999999999999</v>
      </c>
      <c r="X109">
        <v>0.05</v>
      </c>
      <c r="Y109">
        <v>1</v>
      </c>
      <c r="Z109">
        <v>10</v>
      </c>
    </row>
    <row r="110" spans="1:26" x14ac:dyDescent="0.3">
      <c r="A110">
        <v>108</v>
      </c>
      <c r="B110">
        <v>145</v>
      </c>
      <c r="C110" t="s">
        <v>26</v>
      </c>
      <c r="D110">
        <v>10.0951</v>
      </c>
      <c r="E110">
        <v>9.91</v>
      </c>
      <c r="F110">
        <v>6.74</v>
      </c>
      <c r="G110">
        <v>101.12</v>
      </c>
      <c r="H110">
        <v>1.45</v>
      </c>
      <c r="I110">
        <v>4</v>
      </c>
      <c r="J110">
        <v>345.09</v>
      </c>
      <c r="K110">
        <v>61.2</v>
      </c>
      <c r="L110">
        <v>28</v>
      </c>
      <c r="M110">
        <v>2</v>
      </c>
      <c r="N110">
        <v>110.89</v>
      </c>
      <c r="O110">
        <v>42795.22</v>
      </c>
      <c r="P110">
        <v>114.95</v>
      </c>
      <c r="Q110">
        <v>204.14</v>
      </c>
      <c r="R110">
        <v>23.44</v>
      </c>
      <c r="S110">
        <v>17.37</v>
      </c>
      <c r="T110">
        <v>944.14</v>
      </c>
      <c r="U110">
        <v>0.74</v>
      </c>
      <c r="V110">
        <v>0.76</v>
      </c>
      <c r="W110">
        <v>1.1399999999999999</v>
      </c>
      <c r="X110">
        <v>0.05</v>
      </c>
      <c r="Y110">
        <v>1</v>
      </c>
      <c r="Z110">
        <v>10</v>
      </c>
    </row>
    <row r="111" spans="1:26" x14ac:dyDescent="0.3">
      <c r="A111">
        <v>109</v>
      </c>
      <c r="B111">
        <v>145</v>
      </c>
      <c r="C111" t="s">
        <v>26</v>
      </c>
      <c r="D111">
        <v>10.087400000000001</v>
      </c>
      <c r="E111">
        <v>9.91</v>
      </c>
      <c r="F111">
        <v>6.75</v>
      </c>
      <c r="G111">
        <v>101.23</v>
      </c>
      <c r="H111">
        <v>1.46</v>
      </c>
      <c r="I111">
        <v>4</v>
      </c>
      <c r="J111">
        <v>345.71</v>
      </c>
      <c r="K111">
        <v>61.2</v>
      </c>
      <c r="L111">
        <v>28.25</v>
      </c>
      <c r="M111">
        <v>2</v>
      </c>
      <c r="N111">
        <v>111.26</v>
      </c>
      <c r="O111">
        <v>42872.03</v>
      </c>
      <c r="P111">
        <v>115.19</v>
      </c>
      <c r="Q111">
        <v>204.14</v>
      </c>
      <c r="R111">
        <v>23.58</v>
      </c>
      <c r="S111">
        <v>17.37</v>
      </c>
      <c r="T111">
        <v>1011.22</v>
      </c>
      <c r="U111">
        <v>0.74</v>
      </c>
      <c r="V111">
        <v>0.76</v>
      </c>
      <c r="W111">
        <v>1.1399999999999999</v>
      </c>
      <c r="X111">
        <v>0.06</v>
      </c>
      <c r="Y111">
        <v>1</v>
      </c>
      <c r="Z111">
        <v>10</v>
      </c>
    </row>
    <row r="112" spans="1:26" x14ac:dyDescent="0.3">
      <c r="A112">
        <v>110</v>
      </c>
      <c r="B112">
        <v>145</v>
      </c>
      <c r="C112" t="s">
        <v>26</v>
      </c>
      <c r="D112">
        <v>10.084300000000001</v>
      </c>
      <c r="E112">
        <v>9.92</v>
      </c>
      <c r="F112">
        <v>6.75</v>
      </c>
      <c r="G112">
        <v>101.28</v>
      </c>
      <c r="H112">
        <v>1.47</v>
      </c>
      <c r="I112">
        <v>4</v>
      </c>
      <c r="J112">
        <v>346.34</v>
      </c>
      <c r="K112">
        <v>61.2</v>
      </c>
      <c r="L112">
        <v>28.5</v>
      </c>
      <c r="M112">
        <v>2</v>
      </c>
      <c r="N112">
        <v>111.64</v>
      </c>
      <c r="O112">
        <v>42949.03</v>
      </c>
      <c r="P112">
        <v>115.41</v>
      </c>
      <c r="Q112">
        <v>204.14</v>
      </c>
      <c r="R112">
        <v>23.67</v>
      </c>
      <c r="S112">
        <v>17.37</v>
      </c>
      <c r="T112">
        <v>1058.82</v>
      </c>
      <c r="U112">
        <v>0.73</v>
      </c>
      <c r="V112">
        <v>0.76</v>
      </c>
      <c r="W112">
        <v>1.1399999999999999</v>
      </c>
      <c r="X112">
        <v>0.06</v>
      </c>
      <c r="Y112">
        <v>1</v>
      </c>
      <c r="Z112">
        <v>10</v>
      </c>
    </row>
    <row r="113" spans="1:26" x14ac:dyDescent="0.3">
      <c r="A113">
        <v>111</v>
      </c>
      <c r="B113">
        <v>145</v>
      </c>
      <c r="C113" t="s">
        <v>26</v>
      </c>
      <c r="D113">
        <v>10.0871</v>
      </c>
      <c r="E113">
        <v>9.91</v>
      </c>
      <c r="F113">
        <v>6.75</v>
      </c>
      <c r="G113">
        <v>101.23</v>
      </c>
      <c r="H113">
        <v>1.48</v>
      </c>
      <c r="I113">
        <v>4</v>
      </c>
      <c r="J113">
        <v>346.96</v>
      </c>
      <c r="K113">
        <v>61.2</v>
      </c>
      <c r="L113">
        <v>28.75</v>
      </c>
      <c r="M113">
        <v>2</v>
      </c>
      <c r="N113">
        <v>112.01</v>
      </c>
      <c r="O113">
        <v>43026.23</v>
      </c>
      <c r="P113">
        <v>115.52</v>
      </c>
      <c r="Q113">
        <v>204.14</v>
      </c>
      <c r="R113">
        <v>23.64</v>
      </c>
      <c r="S113">
        <v>17.37</v>
      </c>
      <c r="T113">
        <v>1040.4000000000001</v>
      </c>
      <c r="U113">
        <v>0.74</v>
      </c>
      <c r="V113">
        <v>0.76</v>
      </c>
      <c r="W113">
        <v>1.1399999999999999</v>
      </c>
      <c r="X113">
        <v>0.06</v>
      </c>
      <c r="Y113">
        <v>1</v>
      </c>
      <c r="Z113">
        <v>10</v>
      </c>
    </row>
    <row r="114" spans="1:26" x14ac:dyDescent="0.3">
      <c r="A114">
        <v>112</v>
      </c>
      <c r="B114">
        <v>145</v>
      </c>
      <c r="C114" t="s">
        <v>26</v>
      </c>
      <c r="D114">
        <v>10.087400000000001</v>
      </c>
      <c r="E114">
        <v>9.91</v>
      </c>
      <c r="F114">
        <v>6.75</v>
      </c>
      <c r="G114">
        <v>101.23</v>
      </c>
      <c r="H114">
        <v>1.49</v>
      </c>
      <c r="I114">
        <v>4</v>
      </c>
      <c r="J114">
        <v>347.59</v>
      </c>
      <c r="K114">
        <v>61.2</v>
      </c>
      <c r="L114">
        <v>29</v>
      </c>
      <c r="M114">
        <v>2</v>
      </c>
      <c r="N114">
        <v>112.39</v>
      </c>
      <c r="O114">
        <v>43103.63</v>
      </c>
      <c r="P114">
        <v>115.68</v>
      </c>
      <c r="Q114">
        <v>204.14</v>
      </c>
      <c r="R114">
        <v>23.6</v>
      </c>
      <c r="S114">
        <v>17.37</v>
      </c>
      <c r="T114">
        <v>1023.55</v>
      </c>
      <c r="U114">
        <v>0.74</v>
      </c>
      <c r="V114">
        <v>0.76</v>
      </c>
      <c r="W114">
        <v>1.1399999999999999</v>
      </c>
      <c r="X114">
        <v>0.06</v>
      </c>
      <c r="Y114">
        <v>1</v>
      </c>
      <c r="Z114">
        <v>10</v>
      </c>
    </row>
    <row r="115" spans="1:26" x14ac:dyDescent="0.3">
      <c r="A115">
        <v>113</v>
      </c>
      <c r="B115">
        <v>145</v>
      </c>
      <c r="C115" t="s">
        <v>26</v>
      </c>
      <c r="D115">
        <v>10.0852</v>
      </c>
      <c r="E115">
        <v>9.92</v>
      </c>
      <c r="F115">
        <v>6.75</v>
      </c>
      <c r="G115">
        <v>101.26</v>
      </c>
      <c r="H115">
        <v>1.5</v>
      </c>
      <c r="I115">
        <v>4</v>
      </c>
      <c r="J115">
        <v>348.22</v>
      </c>
      <c r="K115">
        <v>61.2</v>
      </c>
      <c r="L115">
        <v>29.25</v>
      </c>
      <c r="M115">
        <v>2</v>
      </c>
      <c r="N115">
        <v>112.77</v>
      </c>
      <c r="O115">
        <v>43181.22</v>
      </c>
      <c r="P115">
        <v>115.73</v>
      </c>
      <c r="Q115">
        <v>204.14</v>
      </c>
      <c r="R115">
        <v>23.73</v>
      </c>
      <c r="S115">
        <v>17.37</v>
      </c>
      <c r="T115">
        <v>1088.8399999999999</v>
      </c>
      <c r="U115">
        <v>0.73</v>
      </c>
      <c r="V115">
        <v>0.76</v>
      </c>
      <c r="W115">
        <v>1.1399999999999999</v>
      </c>
      <c r="X115">
        <v>0.06</v>
      </c>
      <c r="Y115">
        <v>1</v>
      </c>
      <c r="Z115">
        <v>10</v>
      </c>
    </row>
    <row r="116" spans="1:26" x14ac:dyDescent="0.3">
      <c r="A116">
        <v>114</v>
      </c>
      <c r="B116">
        <v>145</v>
      </c>
      <c r="C116" t="s">
        <v>26</v>
      </c>
      <c r="D116">
        <v>10.0905</v>
      </c>
      <c r="E116">
        <v>9.91</v>
      </c>
      <c r="F116">
        <v>6.75</v>
      </c>
      <c r="G116">
        <v>101.18</v>
      </c>
      <c r="H116">
        <v>1.51</v>
      </c>
      <c r="I116">
        <v>4</v>
      </c>
      <c r="J116">
        <v>348.85</v>
      </c>
      <c r="K116">
        <v>61.2</v>
      </c>
      <c r="L116">
        <v>29.5</v>
      </c>
      <c r="M116">
        <v>2</v>
      </c>
      <c r="N116">
        <v>113.15</v>
      </c>
      <c r="O116">
        <v>43259.02</v>
      </c>
      <c r="P116">
        <v>115.89</v>
      </c>
      <c r="Q116">
        <v>204.16</v>
      </c>
      <c r="R116">
        <v>23.58</v>
      </c>
      <c r="S116">
        <v>17.37</v>
      </c>
      <c r="T116">
        <v>1012.05</v>
      </c>
      <c r="U116">
        <v>0.74</v>
      </c>
      <c r="V116">
        <v>0.76</v>
      </c>
      <c r="W116">
        <v>1.1399999999999999</v>
      </c>
      <c r="X116">
        <v>0.05</v>
      </c>
      <c r="Y116">
        <v>1</v>
      </c>
      <c r="Z116">
        <v>10</v>
      </c>
    </row>
    <row r="117" spans="1:26" x14ac:dyDescent="0.3">
      <c r="A117">
        <v>115</v>
      </c>
      <c r="B117">
        <v>145</v>
      </c>
      <c r="C117" t="s">
        <v>26</v>
      </c>
      <c r="D117">
        <v>10.0886</v>
      </c>
      <c r="E117">
        <v>9.91</v>
      </c>
      <c r="F117">
        <v>6.75</v>
      </c>
      <c r="G117">
        <v>101.21</v>
      </c>
      <c r="H117">
        <v>1.52</v>
      </c>
      <c r="I117">
        <v>4</v>
      </c>
      <c r="J117">
        <v>349.48</v>
      </c>
      <c r="K117">
        <v>61.2</v>
      </c>
      <c r="L117">
        <v>29.75</v>
      </c>
      <c r="M117">
        <v>2</v>
      </c>
      <c r="N117">
        <v>113.53</v>
      </c>
      <c r="O117">
        <v>43337.02</v>
      </c>
      <c r="P117">
        <v>116.08</v>
      </c>
      <c r="Q117">
        <v>204.14</v>
      </c>
      <c r="R117">
        <v>23.6</v>
      </c>
      <c r="S117">
        <v>17.37</v>
      </c>
      <c r="T117">
        <v>1023.54</v>
      </c>
      <c r="U117">
        <v>0.74</v>
      </c>
      <c r="V117">
        <v>0.76</v>
      </c>
      <c r="W117">
        <v>1.1399999999999999</v>
      </c>
      <c r="X117">
        <v>0.06</v>
      </c>
      <c r="Y117">
        <v>1</v>
      </c>
      <c r="Z117">
        <v>10</v>
      </c>
    </row>
    <row r="118" spans="1:26" x14ac:dyDescent="0.3">
      <c r="A118">
        <v>116</v>
      </c>
      <c r="B118">
        <v>145</v>
      </c>
      <c r="C118" t="s">
        <v>26</v>
      </c>
      <c r="D118">
        <v>10.094200000000001</v>
      </c>
      <c r="E118">
        <v>9.91</v>
      </c>
      <c r="F118">
        <v>6.74</v>
      </c>
      <c r="G118">
        <v>101.13</v>
      </c>
      <c r="H118">
        <v>1.53</v>
      </c>
      <c r="I118">
        <v>4</v>
      </c>
      <c r="J118">
        <v>350.12</v>
      </c>
      <c r="K118">
        <v>61.2</v>
      </c>
      <c r="L118">
        <v>30</v>
      </c>
      <c r="M118">
        <v>2</v>
      </c>
      <c r="N118">
        <v>113.92</v>
      </c>
      <c r="O118">
        <v>43415.22</v>
      </c>
      <c r="P118">
        <v>116.05</v>
      </c>
      <c r="Q118">
        <v>204.15</v>
      </c>
      <c r="R118">
        <v>23.46</v>
      </c>
      <c r="S118">
        <v>17.37</v>
      </c>
      <c r="T118">
        <v>953.48</v>
      </c>
      <c r="U118">
        <v>0.74</v>
      </c>
      <c r="V118">
        <v>0.76</v>
      </c>
      <c r="W118">
        <v>1.1399999999999999</v>
      </c>
      <c r="X118">
        <v>0.05</v>
      </c>
      <c r="Y118">
        <v>1</v>
      </c>
      <c r="Z118">
        <v>10</v>
      </c>
    </row>
    <row r="119" spans="1:26" x14ac:dyDescent="0.3">
      <c r="A119">
        <v>117</v>
      </c>
      <c r="B119">
        <v>145</v>
      </c>
      <c r="C119" t="s">
        <v>26</v>
      </c>
      <c r="D119">
        <v>10.0939</v>
      </c>
      <c r="E119">
        <v>9.91</v>
      </c>
      <c r="F119">
        <v>6.74</v>
      </c>
      <c r="G119">
        <v>101.13</v>
      </c>
      <c r="H119">
        <v>1.54</v>
      </c>
      <c r="I119">
        <v>4</v>
      </c>
      <c r="J119">
        <v>350.75</v>
      </c>
      <c r="K119">
        <v>61.2</v>
      </c>
      <c r="L119">
        <v>30.25</v>
      </c>
      <c r="M119">
        <v>2</v>
      </c>
      <c r="N119">
        <v>114.3</v>
      </c>
      <c r="O119">
        <v>43493.63</v>
      </c>
      <c r="P119">
        <v>116.11</v>
      </c>
      <c r="Q119">
        <v>204.14</v>
      </c>
      <c r="R119">
        <v>23.47</v>
      </c>
      <c r="S119">
        <v>17.37</v>
      </c>
      <c r="T119">
        <v>955.82</v>
      </c>
      <c r="U119">
        <v>0.74</v>
      </c>
      <c r="V119">
        <v>0.76</v>
      </c>
      <c r="W119">
        <v>1.1399999999999999</v>
      </c>
      <c r="X119">
        <v>0.05</v>
      </c>
      <c r="Y119">
        <v>1</v>
      </c>
      <c r="Z119">
        <v>10</v>
      </c>
    </row>
    <row r="120" spans="1:26" x14ac:dyDescent="0.3">
      <c r="A120">
        <v>118</v>
      </c>
      <c r="B120">
        <v>145</v>
      </c>
      <c r="C120" t="s">
        <v>26</v>
      </c>
      <c r="D120">
        <v>10.088800000000001</v>
      </c>
      <c r="E120">
        <v>9.91</v>
      </c>
      <c r="F120">
        <v>6.75</v>
      </c>
      <c r="G120">
        <v>101.21</v>
      </c>
      <c r="H120">
        <v>1.55</v>
      </c>
      <c r="I120">
        <v>4</v>
      </c>
      <c r="J120">
        <v>351.39</v>
      </c>
      <c r="K120">
        <v>61.2</v>
      </c>
      <c r="L120">
        <v>30.5</v>
      </c>
      <c r="M120">
        <v>2</v>
      </c>
      <c r="N120">
        <v>114.69</v>
      </c>
      <c r="O120">
        <v>43572.25</v>
      </c>
      <c r="P120">
        <v>116.28</v>
      </c>
      <c r="Q120">
        <v>204.14</v>
      </c>
      <c r="R120">
        <v>23.5</v>
      </c>
      <c r="S120">
        <v>17.37</v>
      </c>
      <c r="T120">
        <v>970.78</v>
      </c>
      <c r="U120">
        <v>0.74</v>
      </c>
      <c r="V120">
        <v>0.76</v>
      </c>
      <c r="W120">
        <v>1.1399999999999999</v>
      </c>
      <c r="X120">
        <v>0.06</v>
      </c>
      <c r="Y120">
        <v>1</v>
      </c>
      <c r="Z120">
        <v>10</v>
      </c>
    </row>
    <row r="121" spans="1:26" x14ac:dyDescent="0.3">
      <c r="A121">
        <v>119</v>
      </c>
      <c r="B121">
        <v>145</v>
      </c>
      <c r="C121" t="s">
        <v>26</v>
      </c>
      <c r="D121">
        <v>10.0922</v>
      </c>
      <c r="E121">
        <v>9.91</v>
      </c>
      <c r="F121">
        <v>6.74</v>
      </c>
      <c r="G121">
        <v>101.16</v>
      </c>
      <c r="H121">
        <v>1.56</v>
      </c>
      <c r="I121">
        <v>4</v>
      </c>
      <c r="J121">
        <v>352.03</v>
      </c>
      <c r="K121">
        <v>61.2</v>
      </c>
      <c r="L121">
        <v>30.75</v>
      </c>
      <c r="M121">
        <v>2</v>
      </c>
      <c r="N121">
        <v>115.08</v>
      </c>
      <c r="O121">
        <v>43651.07</v>
      </c>
      <c r="P121">
        <v>116.28</v>
      </c>
      <c r="Q121">
        <v>204.17</v>
      </c>
      <c r="R121">
        <v>23.52</v>
      </c>
      <c r="S121">
        <v>17.37</v>
      </c>
      <c r="T121">
        <v>981.58</v>
      </c>
      <c r="U121">
        <v>0.74</v>
      </c>
      <c r="V121">
        <v>0.76</v>
      </c>
      <c r="W121">
        <v>1.1399999999999999</v>
      </c>
      <c r="X121">
        <v>0.05</v>
      </c>
      <c r="Y121">
        <v>1</v>
      </c>
      <c r="Z121">
        <v>10</v>
      </c>
    </row>
    <row r="122" spans="1:26" x14ac:dyDescent="0.3">
      <c r="A122">
        <v>120</v>
      </c>
      <c r="B122">
        <v>145</v>
      </c>
      <c r="C122" t="s">
        <v>26</v>
      </c>
      <c r="D122">
        <v>10.0869</v>
      </c>
      <c r="E122">
        <v>9.91</v>
      </c>
      <c r="F122">
        <v>6.75</v>
      </c>
      <c r="G122">
        <v>101.24</v>
      </c>
      <c r="H122">
        <v>1.57</v>
      </c>
      <c r="I122">
        <v>4</v>
      </c>
      <c r="J122">
        <v>352.67</v>
      </c>
      <c r="K122">
        <v>61.2</v>
      </c>
      <c r="L122">
        <v>31</v>
      </c>
      <c r="M122">
        <v>2</v>
      </c>
      <c r="N122">
        <v>115.47</v>
      </c>
      <c r="O122">
        <v>43730.1</v>
      </c>
      <c r="P122">
        <v>116.41</v>
      </c>
      <c r="Q122">
        <v>204.14</v>
      </c>
      <c r="R122">
        <v>23.67</v>
      </c>
      <c r="S122">
        <v>17.37</v>
      </c>
      <c r="T122">
        <v>1056.4000000000001</v>
      </c>
      <c r="U122">
        <v>0.73</v>
      </c>
      <c r="V122">
        <v>0.76</v>
      </c>
      <c r="W122">
        <v>1.1399999999999999</v>
      </c>
      <c r="X122">
        <v>0.06</v>
      </c>
      <c r="Y122">
        <v>1</v>
      </c>
      <c r="Z122">
        <v>10</v>
      </c>
    </row>
    <row r="123" spans="1:26" x14ac:dyDescent="0.3">
      <c r="A123">
        <v>121</v>
      </c>
      <c r="B123">
        <v>145</v>
      </c>
      <c r="C123" t="s">
        <v>26</v>
      </c>
      <c r="D123">
        <v>10.081200000000001</v>
      </c>
      <c r="E123">
        <v>9.92</v>
      </c>
      <c r="F123">
        <v>6.75</v>
      </c>
      <c r="G123">
        <v>101.32</v>
      </c>
      <c r="H123">
        <v>1.58</v>
      </c>
      <c r="I123">
        <v>4</v>
      </c>
      <c r="J123">
        <v>353.31</v>
      </c>
      <c r="K123">
        <v>61.2</v>
      </c>
      <c r="L123">
        <v>31.25</v>
      </c>
      <c r="M123">
        <v>2</v>
      </c>
      <c r="N123">
        <v>115.86</v>
      </c>
      <c r="O123">
        <v>43809.48</v>
      </c>
      <c r="P123">
        <v>116.57</v>
      </c>
      <c r="Q123">
        <v>204.15</v>
      </c>
      <c r="R123">
        <v>23.73</v>
      </c>
      <c r="S123">
        <v>17.37</v>
      </c>
      <c r="T123">
        <v>1088.58</v>
      </c>
      <c r="U123">
        <v>0.73</v>
      </c>
      <c r="V123">
        <v>0.76</v>
      </c>
      <c r="W123">
        <v>1.1499999999999999</v>
      </c>
      <c r="X123">
        <v>0.06</v>
      </c>
      <c r="Y123">
        <v>1</v>
      </c>
      <c r="Z123">
        <v>10</v>
      </c>
    </row>
    <row r="124" spans="1:26" x14ac:dyDescent="0.3">
      <c r="A124">
        <v>122</v>
      </c>
      <c r="B124">
        <v>145</v>
      </c>
      <c r="C124" t="s">
        <v>26</v>
      </c>
      <c r="D124">
        <v>10.086</v>
      </c>
      <c r="E124">
        <v>9.91</v>
      </c>
      <c r="F124">
        <v>6.75</v>
      </c>
      <c r="G124">
        <v>101.25</v>
      </c>
      <c r="H124">
        <v>1.59</v>
      </c>
      <c r="I124">
        <v>4</v>
      </c>
      <c r="J124">
        <v>353.96</v>
      </c>
      <c r="K124">
        <v>61.2</v>
      </c>
      <c r="L124">
        <v>31.5</v>
      </c>
      <c r="M124">
        <v>2</v>
      </c>
      <c r="N124">
        <v>116.26</v>
      </c>
      <c r="O124">
        <v>43888.94</v>
      </c>
      <c r="P124">
        <v>116.5</v>
      </c>
      <c r="Q124">
        <v>204.14</v>
      </c>
      <c r="R124">
        <v>23.71</v>
      </c>
      <c r="S124">
        <v>17.37</v>
      </c>
      <c r="T124">
        <v>1075.47</v>
      </c>
      <c r="U124">
        <v>0.73</v>
      </c>
      <c r="V124">
        <v>0.76</v>
      </c>
      <c r="W124">
        <v>1.1399999999999999</v>
      </c>
      <c r="X124">
        <v>0.06</v>
      </c>
      <c r="Y124">
        <v>1</v>
      </c>
      <c r="Z124">
        <v>10</v>
      </c>
    </row>
    <row r="125" spans="1:26" x14ac:dyDescent="0.3">
      <c r="A125">
        <v>123</v>
      </c>
      <c r="B125">
        <v>145</v>
      </c>
      <c r="C125" t="s">
        <v>26</v>
      </c>
      <c r="D125">
        <v>10.084</v>
      </c>
      <c r="E125">
        <v>9.92</v>
      </c>
      <c r="F125">
        <v>6.75</v>
      </c>
      <c r="G125">
        <v>101.28</v>
      </c>
      <c r="H125">
        <v>1.6</v>
      </c>
      <c r="I125">
        <v>4</v>
      </c>
      <c r="J125">
        <v>354.6</v>
      </c>
      <c r="K125">
        <v>61.2</v>
      </c>
      <c r="L125">
        <v>31.75</v>
      </c>
      <c r="M125">
        <v>2</v>
      </c>
      <c r="N125">
        <v>116.65</v>
      </c>
      <c r="O125">
        <v>43968.62</v>
      </c>
      <c r="P125">
        <v>116.6</v>
      </c>
      <c r="Q125">
        <v>204.14</v>
      </c>
      <c r="R125">
        <v>23.74</v>
      </c>
      <c r="S125">
        <v>17.37</v>
      </c>
      <c r="T125">
        <v>1094.56</v>
      </c>
      <c r="U125">
        <v>0.73</v>
      </c>
      <c r="V125">
        <v>0.76</v>
      </c>
      <c r="W125">
        <v>1.1399999999999999</v>
      </c>
      <c r="X125">
        <v>0.06</v>
      </c>
      <c r="Y125">
        <v>1</v>
      </c>
      <c r="Z125">
        <v>10</v>
      </c>
    </row>
    <row r="126" spans="1:26" x14ac:dyDescent="0.3">
      <c r="A126">
        <v>124</v>
      </c>
      <c r="B126">
        <v>145</v>
      </c>
      <c r="C126" t="s">
        <v>26</v>
      </c>
      <c r="D126">
        <v>10.086600000000001</v>
      </c>
      <c r="E126">
        <v>9.91</v>
      </c>
      <c r="F126">
        <v>6.75</v>
      </c>
      <c r="G126">
        <v>101.24</v>
      </c>
      <c r="H126">
        <v>1.61</v>
      </c>
      <c r="I126">
        <v>4</v>
      </c>
      <c r="J126">
        <v>355.25</v>
      </c>
      <c r="K126">
        <v>61.2</v>
      </c>
      <c r="L126">
        <v>32</v>
      </c>
      <c r="M126">
        <v>2</v>
      </c>
      <c r="N126">
        <v>117.05</v>
      </c>
      <c r="O126">
        <v>44048.52</v>
      </c>
      <c r="P126">
        <v>116.54</v>
      </c>
      <c r="Q126">
        <v>204.14</v>
      </c>
      <c r="R126">
        <v>23.64</v>
      </c>
      <c r="S126">
        <v>17.37</v>
      </c>
      <c r="T126">
        <v>1041.46</v>
      </c>
      <c r="U126">
        <v>0.73</v>
      </c>
      <c r="V126">
        <v>0.76</v>
      </c>
      <c r="W126">
        <v>1.1399999999999999</v>
      </c>
      <c r="X126">
        <v>0.06</v>
      </c>
      <c r="Y126">
        <v>1</v>
      </c>
      <c r="Z126">
        <v>10</v>
      </c>
    </row>
    <row r="127" spans="1:26" x14ac:dyDescent="0.3">
      <c r="A127">
        <v>125</v>
      </c>
      <c r="B127">
        <v>145</v>
      </c>
      <c r="C127" t="s">
        <v>26</v>
      </c>
      <c r="D127">
        <v>10.0905</v>
      </c>
      <c r="E127">
        <v>9.91</v>
      </c>
      <c r="F127">
        <v>6.75</v>
      </c>
      <c r="G127">
        <v>101.18</v>
      </c>
      <c r="H127">
        <v>1.62</v>
      </c>
      <c r="I127">
        <v>4</v>
      </c>
      <c r="J127">
        <v>355.9</v>
      </c>
      <c r="K127">
        <v>61.2</v>
      </c>
      <c r="L127">
        <v>32.25</v>
      </c>
      <c r="M127">
        <v>2</v>
      </c>
      <c r="N127">
        <v>117.45</v>
      </c>
      <c r="O127">
        <v>44128.639999999999</v>
      </c>
      <c r="P127">
        <v>116.41</v>
      </c>
      <c r="Q127">
        <v>204.14</v>
      </c>
      <c r="R127">
        <v>23.55</v>
      </c>
      <c r="S127">
        <v>17.37</v>
      </c>
      <c r="T127">
        <v>997.52</v>
      </c>
      <c r="U127">
        <v>0.74</v>
      </c>
      <c r="V127">
        <v>0.76</v>
      </c>
      <c r="W127">
        <v>1.1399999999999999</v>
      </c>
      <c r="X127">
        <v>0.05</v>
      </c>
      <c r="Y127">
        <v>1</v>
      </c>
      <c r="Z127">
        <v>10</v>
      </c>
    </row>
    <row r="128" spans="1:26" x14ac:dyDescent="0.3">
      <c r="A128">
        <v>126</v>
      </c>
      <c r="B128">
        <v>145</v>
      </c>
      <c r="C128" t="s">
        <v>26</v>
      </c>
      <c r="D128">
        <v>10.091900000000001</v>
      </c>
      <c r="E128">
        <v>9.91</v>
      </c>
      <c r="F128">
        <v>6.74</v>
      </c>
      <c r="G128">
        <v>101.16</v>
      </c>
      <c r="H128">
        <v>1.63</v>
      </c>
      <c r="I128">
        <v>4</v>
      </c>
      <c r="J128">
        <v>356.55</v>
      </c>
      <c r="K128">
        <v>61.2</v>
      </c>
      <c r="L128">
        <v>32.5</v>
      </c>
      <c r="M128">
        <v>2</v>
      </c>
      <c r="N128">
        <v>117.85</v>
      </c>
      <c r="O128">
        <v>44208.97</v>
      </c>
      <c r="P128">
        <v>116.45</v>
      </c>
      <c r="Q128">
        <v>204.15</v>
      </c>
      <c r="R128">
        <v>23.51</v>
      </c>
      <c r="S128">
        <v>17.37</v>
      </c>
      <c r="T128">
        <v>979.7</v>
      </c>
      <c r="U128">
        <v>0.74</v>
      </c>
      <c r="V128">
        <v>0.76</v>
      </c>
      <c r="W128">
        <v>1.1399999999999999</v>
      </c>
      <c r="X128">
        <v>0.05</v>
      </c>
      <c r="Y128">
        <v>1</v>
      </c>
      <c r="Z128">
        <v>10</v>
      </c>
    </row>
    <row r="129" spans="1:26" x14ac:dyDescent="0.3">
      <c r="A129">
        <v>127</v>
      </c>
      <c r="B129">
        <v>145</v>
      </c>
      <c r="C129" t="s">
        <v>26</v>
      </c>
      <c r="D129">
        <v>10.0905</v>
      </c>
      <c r="E129">
        <v>9.91</v>
      </c>
      <c r="F129">
        <v>6.75</v>
      </c>
      <c r="G129">
        <v>101.18</v>
      </c>
      <c r="H129">
        <v>1.63</v>
      </c>
      <c r="I129">
        <v>4</v>
      </c>
      <c r="J129">
        <v>357.2</v>
      </c>
      <c r="K129">
        <v>61.2</v>
      </c>
      <c r="L129">
        <v>32.75</v>
      </c>
      <c r="M129">
        <v>2</v>
      </c>
      <c r="N129">
        <v>118.26</v>
      </c>
      <c r="O129">
        <v>44289.53</v>
      </c>
      <c r="P129">
        <v>116.48</v>
      </c>
      <c r="Q129">
        <v>204.14</v>
      </c>
      <c r="R129">
        <v>23.55</v>
      </c>
      <c r="S129">
        <v>17.37</v>
      </c>
      <c r="T129">
        <v>994.92</v>
      </c>
      <c r="U129">
        <v>0.74</v>
      </c>
      <c r="V129">
        <v>0.76</v>
      </c>
      <c r="W129">
        <v>1.1399999999999999</v>
      </c>
      <c r="X129">
        <v>0.05</v>
      </c>
      <c r="Y129">
        <v>1</v>
      </c>
      <c r="Z129">
        <v>10</v>
      </c>
    </row>
    <row r="130" spans="1:26" x14ac:dyDescent="0.3">
      <c r="A130">
        <v>128</v>
      </c>
      <c r="B130">
        <v>145</v>
      </c>
      <c r="C130" t="s">
        <v>26</v>
      </c>
      <c r="D130">
        <v>10.092499999999999</v>
      </c>
      <c r="E130">
        <v>9.91</v>
      </c>
      <c r="F130">
        <v>6.74</v>
      </c>
      <c r="G130">
        <v>101.15</v>
      </c>
      <c r="H130">
        <v>1.64</v>
      </c>
      <c r="I130">
        <v>4</v>
      </c>
      <c r="J130">
        <v>357.86</v>
      </c>
      <c r="K130">
        <v>61.2</v>
      </c>
      <c r="L130">
        <v>33</v>
      </c>
      <c r="M130">
        <v>2</v>
      </c>
      <c r="N130">
        <v>118.66</v>
      </c>
      <c r="O130">
        <v>44370.32</v>
      </c>
      <c r="P130">
        <v>116.41</v>
      </c>
      <c r="Q130">
        <v>204.14</v>
      </c>
      <c r="R130">
        <v>23.43</v>
      </c>
      <c r="S130">
        <v>17.37</v>
      </c>
      <c r="T130">
        <v>937</v>
      </c>
      <c r="U130">
        <v>0.74</v>
      </c>
      <c r="V130">
        <v>0.76</v>
      </c>
      <c r="W130">
        <v>1.1399999999999999</v>
      </c>
      <c r="X130">
        <v>0.05</v>
      </c>
      <c r="Y130">
        <v>1</v>
      </c>
      <c r="Z130">
        <v>10</v>
      </c>
    </row>
    <row r="131" spans="1:26" x14ac:dyDescent="0.3">
      <c r="A131">
        <v>129</v>
      </c>
      <c r="B131">
        <v>145</v>
      </c>
      <c r="C131" t="s">
        <v>26</v>
      </c>
      <c r="D131">
        <v>10.0959</v>
      </c>
      <c r="E131">
        <v>9.9</v>
      </c>
      <c r="F131">
        <v>6.74</v>
      </c>
      <c r="G131">
        <v>101.1</v>
      </c>
      <c r="H131">
        <v>1.65</v>
      </c>
      <c r="I131">
        <v>4</v>
      </c>
      <c r="J131">
        <v>358.52</v>
      </c>
      <c r="K131">
        <v>61.2</v>
      </c>
      <c r="L131">
        <v>33.25</v>
      </c>
      <c r="M131">
        <v>2</v>
      </c>
      <c r="N131">
        <v>119.07</v>
      </c>
      <c r="O131">
        <v>44451.33</v>
      </c>
      <c r="P131">
        <v>116.36</v>
      </c>
      <c r="Q131">
        <v>204.14</v>
      </c>
      <c r="R131">
        <v>23.34</v>
      </c>
      <c r="S131">
        <v>17.37</v>
      </c>
      <c r="T131">
        <v>889.91</v>
      </c>
      <c r="U131">
        <v>0.74</v>
      </c>
      <c r="V131">
        <v>0.76</v>
      </c>
      <c r="W131">
        <v>1.1399999999999999</v>
      </c>
      <c r="X131">
        <v>0.05</v>
      </c>
      <c r="Y131">
        <v>1</v>
      </c>
      <c r="Z131">
        <v>10</v>
      </c>
    </row>
    <row r="132" spans="1:26" x14ac:dyDescent="0.3">
      <c r="A132">
        <v>130</v>
      </c>
      <c r="B132">
        <v>145</v>
      </c>
      <c r="C132" t="s">
        <v>26</v>
      </c>
      <c r="D132">
        <v>10.093400000000001</v>
      </c>
      <c r="E132">
        <v>9.91</v>
      </c>
      <c r="F132">
        <v>6.74</v>
      </c>
      <c r="G132">
        <v>101.14</v>
      </c>
      <c r="H132">
        <v>1.66</v>
      </c>
      <c r="I132">
        <v>4</v>
      </c>
      <c r="J132">
        <v>359.17</v>
      </c>
      <c r="K132">
        <v>61.2</v>
      </c>
      <c r="L132">
        <v>33.5</v>
      </c>
      <c r="M132">
        <v>2</v>
      </c>
      <c r="N132">
        <v>119.48</v>
      </c>
      <c r="O132">
        <v>44532.57</v>
      </c>
      <c r="P132">
        <v>116.35</v>
      </c>
      <c r="Q132">
        <v>204.14</v>
      </c>
      <c r="R132">
        <v>23.46</v>
      </c>
      <c r="S132">
        <v>17.37</v>
      </c>
      <c r="T132">
        <v>953.72</v>
      </c>
      <c r="U132">
        <v>0.74</v>
      </c>
      <c r="V132">
        <v>0.76</v>
      </c>
      <c r="W132">
        <v>1.1399999999999999</v>
      </c>
      <c r="X132">
        <v>0.05</v>
      </c>
      <c r="Y132">
        <v>1</v>
      </c>
      <c r="Z132">
        <v>10</v>
      </c>
    </row>
    <row r="133" spans="1:26" x14ac:dyDescent="0.3">
      <c r="A133">
        <v>131</v>
      </c>
      <c r="B133">
        <v>145</v>
      </c>
      <c r="C133" t="s">
        <v>26</v>
      </c>
      <c r="D133">
        <v>10.09</v>
      </c>
      <c r="E133">
        <v>9.91</v>
      </c>
      <c r="F133">
        <v>6.75</v>
      </c>
      <c r="G133">
        <v>101.19</v>
      </c>
      <c r="H133">
        <v>1.67</v>
      </c>
      <c r="I133">
        <v>4</v>
      </c>
      <c r="J133">
        <v>359.84</v>
      </c>
      <c r="K133">
        <v>61.2</v>
      </c>
      <c r="L133">
        <v>33.75</v>
      </c>
      <c r="M133">
        <v>2</v>
      </c>
      <c r="N133">
        <v>119.89</v>
      </c>
      <c r="O133">
        <v>44614.04</v>
      </c>
      <c r="P133">
        <v>116.35</v>
      </c>
      <c r="Q133">
        <v>204.14</v>
      </c>
      <c r="R133">
        <v>23.45</v>
      </c>
      <c r="S133">
        <v>17.37</v>
      </c>
      <c r="T133">
        <v>947.29</v>
      </c>
      <c r="U133">
        <v>0.74</v>
      </c>
      <c r="V133">
        <v>0.76</v>
      </c>
      <c r="W133">
        <v>1.1399999999999999</v>
      </c>
      <c r="X133">
        <v>0.06</v>
      </c>
      <c r="Y133">
        <v>1</v>
      </c>
      <c r="Z133">
        <v>10</v>
      </c>
    </row>
    <row r="134" spans="1:26" x14ac:dyDescent="0.3">
      <c r="A134">
        <v>132</v>
      </c>
      <c r="B134">
        <v>145</v>
      </c>
      <c r="C134" t="s">
        <v>26</v>
      </c>
      <c r="D134">
        <v>10.0953</v>
      </c>
      <c r="E134">
        <v>9.91</v>
      </c>
      <c r="F134">
        <v>6.74</v>
      </c>
      <c r="G134">
        <v>101.11</v>
      </c>
      <c r="H134">
        <v>1.68</v>
      </c>
      <c r="I134">
        <v>4</v>
      </c>
      <c r="J134">
        <v>360.5</v>
      </c>
      <c r="K134">
        <v>61.2</v>
      </c>
      <c r="L134">
        <v>34</v>
      </c>
      <c r="M134">
        <v>2</v>
      </c>
      <c r="N134">
        <v>120.3</v>
      </c>
      <c r="O134">
        <v>44695.75</v>
      </c>
      <c r="P134">
        <v>116.21</v>
      </c>
      <c r="Q134">
        <v>204.14</v>
      </c>
      <c r="R134">
        <v>23.42</v>
      </c>
      <c r="S134">
        <v>17.37</v>
      </c>
      <c r="T134">
        <v>932.53</v>
      </c>
      <c r="U134">
        <v>0.74</v>
      </c>
      <c r="V134">
        <v>0.76</v>
      </c>
      <c r="W134">
        <v>1.1399999999999999</v>
      </c>
      <c r="X134">
        <v>0.05</v>
      </c>
      <c r="Y134">
        <v>1</v>
      </c>
      <c r="Z134">
        <v>10</v>
      </c>
    </row>
    <row r="135" spans="1:26" x14ac:dyDescent="0.3">
      <c r="A135">
        <v>133</v>
      </c>
      <c r="B135">
        <v>145</v>
      </c>
      <c r="C135" t="s">
        <v>26</v>
      </c>
      <c r="D135">
        <v>10.0968</v>
      </c>
      <c r="E135">
        <v>9.9</v>
      </c>
      <c r="F135">
        <v>6.74</v>
      </c>
      <c r="G135">
        <v>101.09</v>
      </c>
      <c r="H135">
        <v>1.69</v>
      </c>
      <c r="I135">
        <v>4</v>
      </c>
      <c r="J135">
        <v>361.16</v>
      </c>
      <c r="K135">
        <v>61.2</v>
      </c>
      <c r="L135">
        <v>34.25</v>
      </c>
      <c r="M135">
        <v>2</v>
      </c>
      <c r="N135">
        <v>120.71</v>
      </c>
      <c r="O135">
        <v>44777.68</v>
      </c>
      <c r="P135">
        <v>116.16</v>
      </c>
      <c r="Q135">
        <v>204.14</v>
      </c>
      <c r="R135">
        <v>23.38</v>
      </c>
      <c r="S135">
        <v>17.37</v>
      </c>
      <c r="T135">
        <v>912.97</v>
      </c>
      <c r="U135">
        <v>0.74</v>
      </c>
      <c r="V135">
        <v>0.76</v>
      </c>
      <c r="W135">
        <v>1.1399999999999999</v>
      </c>
      <c r="X135">
        <v>0.05</v>
      </c>
      <c r="Y135">
        <v>1</v>
      </c>
      <c r="Z135">
        <v>10</v>
      </c>
    </row>
    <row r="136" spans="1:26" x14ac:dyDescent="0.3">
      <c r="A136">
        <v>134</v>
      </c>
      <c r="B136">
        <v>145</v>
      </c>
      <c r="C136" t="s">
        <v>26</v>
      </c>
      <c r="D136">
        <v>10.0959</v>
      </c>
      <c r="E136">
        <v>9.9</v>
      </c>
      <c r="F136">
        <v>6.74</v>
      </c>
      <c r="G136">
        <v>101.1</v>
      </c>
      <c r="H136">
        <v>1.7</v>
      </c>
      <c r="I136">
        <v>4</v>
      </c>
      <c r="J136">
        <v>361.83</v>
      </c>
      <c r="K136">
        <v>61.2</v>
      </c>
      <c r="L136">
        <v>34.5</v>
      </c>
      <c r="M136">
        <v>2</v>
      </c>
      <c r="N136">
        <v>121.13</v>
      </c>
      <c r="O136">
        <v>44859.98</v>
      </c>
      <c r="P136">
        <v>116.08</v>
      </c>
      <c r="Q136">
        <v>204.15</v>
      </c>
      <c r="R136">
        <v>23.38</v>
      </c>
      <c r="S136">
        <v>17.37</v>
      </c>
      <c r="T136">
        <v>910.65</v>
      </c>
      <c r="U136">
        <v>0.74</v>
      </c>
      <c r="V136">
        <v>0.76</v>
      </c>
      <c r="W136">
        <v>1.1399999999999999</v>
      </c>
      <c r="X136">
        <v>0.05</v>
      </c>
      <c r="Y136">
        <v>1</v>
      </c>
      <c r="Z136">
        <v>10</v>
      </c>
    </row>
    <row r="137" spans="1:26" x14ac:dyDescent="0.3">
      <c r="A137">
        <v>135</v>
      </c>
      <c r="B137">
        <v>145</v>
      </c>
      <c r="C137" t="s">
        <v>26</v>
      </c>
      <c r="D137">
        <v>10.0928</v>
      </c>
      <c r="E137">
        <v>9.91</v>
      </c>
      <c r="F137">
        <v>6.74</v>
      </c>
      <c r="G137">
        <v>101.15</v>
      </c>
      <c r="H137">
        <v>1.71</v>
      </c>
      <c r="I137">
        <v>4</v>
      </c>
      <c r="J137">
        <v>362.5</v>
      </c>
      <c r="K137">
        <v>61.2</v>
      </c>
      <c r="L137">
        <v>34.75</v>
      </c>
      <c r="M137">
        <v>2</v>
      </c>
      <c r="N137">
        <v>121.55</v>
      </c>
      <c r="O137">
        <v>44942.400000000001</v>
      </c>
      <c r="P137">
        <v>116.04</v>
      </c>
      <c r="Q137">
        <v>204.14</v>
      </c>
      <c r="R137">
        <v>23.41</v>
      </c>
      <c r="S137">
        <v>17.37</v>
      </c>
      <c r="T137">
        <v>928.16</v>
      </c>
      <c r="U137">
        <v>0.74</v>
      </c>
      <c r="V137">
        <v>0.76</v>
      </c>
      <c r="W137">
        <v>1.1399999999999999</v>
      </c>
      <c r="X137">
        <v>0.05</v>
      </c>
      <c r="Y137">
        <v>1</v>
      </c>
      <c r="Z137">
        <v>10</v>
      </c>
    </row>
    <row r="138" spans="1:26" x14ac:dyDescent="0.3">
      <c r="A138">
        <v>136</v>
      </c>
      <c r="B138">
        <v>145</v>
      </c>
      <c r="C138" t="s">
        <v>26</v>
      </c>
      <c r="D138">
        <v>10.0931</v>
      </c>
      <c r="E138">
        <v>9.91</v>
      </c>
      <c r="F138">
        <v>6.74</v>
      </c>
      <c r="G138">
        <v>101.15</v>
      </c>
      <c r="H138">
        <v>1.72</v>
      </c>
      <c r="I138">
        <v>4</v>
      </c>
      <c r="J138">
        <v>363.17</v>
      </c>
      <c r="K138">
        <v>61.2</v>
      </c>
      <c r="L138">
        <v>35</v>
      </c>
      <c r="M138">
        <v>2</v>
      </c>
      <c r="N138">
        <v>121.97</v>
      </c>
      <c r="O138">
        <v>45025.06</v>
      </c>
      <c r="P138">
        <v>115.94</v>
      </c>
      <c r="Q138">
        <v>204.14</v>
      </c>
      <c r="R138">
        <v>23.42</v>
      </c>
      <c r="S138">
        <v>17.37</v>
      </c>
      <c r="T138">
        <v>933.06</v>
      </c>
      <c r="U138">
        <v>0.74</v>
      </c>
      <c r="V138">
        <v>0.76</v>
      </c>
      <c r="W138">
        <v>1.1399999999999999</v>
      </c>
      <c r="X138">
        <v>0.05</v>
      </c>
      <c r="Y138">
        <v>1</v>
      </c>
      <c r="Z138">
        <v>10</v>
      </c>
    </row>
    <row r="139" spans="1:26" x14ac:dyDescent="0.3">
      <c r="A139">
        <v>137</v>
      </c>
      <c r="B139">
        <v>145</v>
      </c>
      <c r="C139" t="s">
        <v>26</v>
      </c>
      <c r="D139">
        <v>10.0999</v>
      </c>
      <c r="E139">
        <v>9.9</v>
      </c>
      <c r="F139">
        <v>6.74</v>
      </c>
      <c r="G139">
        <v>101.05</v>
      </c>
      <c r="H139">
        <v>1.73</v>
      </c>
      <c r="I139">
        <v>4</v>
      </c>
      <c r="J139">
        <v>363.84</v>
      </c>
      <c r="K139">
        <v>61.2</v>
      </c>
      <c r="L139">
        <v>35.25</v>
      </c>
      <c r="M139">
        <v>2</v>
      </c>
      <c r="N139">
        <v>122.39</v>
      </c>
      <c r="O139">
        <v>45107.96</v>
      </c>
      <c r="P139">
        <v>115.78</v>
      </c>
      <c r="Q139">
        <v>204.14</v>
      </c>
      <c r="R139">
        <v>23.18</v>
      </c>
      <c r="S139">
        <v>17.37</v>
      </c>
      <c r="T139">
        <v>811.18</v>
      </c>
      <c r="U139">
        <v>0.75</v>
      </c>
      <c r="V139">
        <v>0.76</v>
      </c>
      <c r="W139">
        <v>1.1399999999999999</v>
      </c>
      <c r="X139">
        <v>0.05</v>
      </c>
      <c r="Y139">
        <v>1</v>
      </c>
      <c r="Z139">
        <v>10</v>
      </c>
    </row>
    <row r="140" spans="1:26" x14ac:dyDescent="0.3">
      <c r="A140">
        <v>138</v>
      </c>
      <c r="B140">
        <v>145</v>
      </c>
      <c r="C140" t="s">
        <v>26</v>
      </c>
      <c r="D140">
        <v>10.0982</v>
      </c>
      <c r="E140">
        <v>9.9</v>
      </c>
      <c r="F140">
        <v>6.74</v>
      </c>
      <c r="G140">
        <v>101.07</v>
      </c>
      <c r="H140">
        <v>1.74</v>
      </c>
      <c r="I140">
        <v>4</v>
      </c>
      <c r="J140">
        <v>364.51</v>
      </c>
      <c r="K140">
        <v>61.2</v>
      </c>
      <c r="L140">
        <v>35.5</v>
      </c>
      <c r="M140">
        <v>2</v>
      </c>
      <c r="N140">
        <v>122.82</v>
      </c>
      <c r="O140">
        <v>45191.1</v>
      </c>
      <c r="P140">
        <v>115.7</v>
      </c>
      <c r="Q140">
        <v>204.14</v>
      </c>
      <c r="R140">
        <v>23.18</v>
      </c>
      <c r="S140">
        <v>17.37</v>
      </c>
      <c r="T140">
        <v>811.3</v>
      </c>
      <c r="U140">
        <v>0.75</v>
      </c>
      <c r="V140">
        <v>0.76</v>
      </c>
      <c r="W140">
        <v>1.1399999999999999</v>
      </c>
      <c r="X140">
        <v>0.05</v>
      </c>
      <c r="Y140">
        <v>1</v>
      </c>
      <c r="Z140">
        <v>10</v>
      </c>
    </row>
    <row r="141" spans="1:26" x14ac:dyDescent="0.3">
      <c r="A141">
        <v>139</v>
      </c>
      <c r="B141">
        <v>145</v>
      </c>
      <c r="C141" t="s">
        <v>26</v>
      </c>
      <c r="D141">
        <v>10.102399999999999</v>
      </c>
      <c r="E141">
        <v>9.9</v>
      </c>
      <c r="F141">
        <v>6.73</v>
      </c>
      <c r="G141">
        <v>101.01</v>
      </c>
      <c r="H141">
        <v>1.75</v>
      </c>
      <c r="I141">
        <v>4</v>
      </c>
      <c r="J141">
        <v>365.19</v>
      </c>
      <c r="K141">
        <v>61.2</v>
      </c>
      <c r="L141">
        <v>35.75</v>
      </c>
      <c r="M141">
        <v>2</v>
      </c>
      <c r="N141">
        <v>123.24</v>
      </c>
      <c r="O141">
        <v>45274.49</v>
      </c>
      <c r="P141">
        <v>115.63</v>
      </c>
      <c r="Q141">
        <v>204.14</v>
      </c>
      <c r="R141">
        <v>23.07</v>
      </c>
      <c r="S141">
        <v>17.37</v>
      </c>
      <c r="T141">
        <v>757.99</v>
      </c>
      <c r="U141">
        <v>0.75</v>
      </c>
      <c r="V141">
        <v>0.76</v>
      </c>
      <c r="W141">
        <v>1.1399999999999999</v>
      </c>
      <c r="X141">
        <v>0.04</v>
      </c>
      <c r="Y141">
        <v>1</v>
      </c>
      <c r="Z141">
        <v>10</v>
      </c>
    </row>
    <row r="142" spans="1:26" x14ac:dyDescent="0.3">
      <c r="A142">
        <v>140</v>
      </c>
      <c r="B142">
        <v>145</v>
      </c>
      <c r="C142" t="s">
        <v>26</v>
      </c>
      <c r="D142">
        <v>10.1013</v>
      </c>
      <c r="E142">
        <v>9.9</v>
      </c>
      <c r="F142">
        <v>6.74</v>
      </c>
      <c r="G142">
        <v>101.03</v>
      </c>
      <c r="H142">
        <v>1.75</v>
      </c>
      <c r="I142">
        <v>4</v>
      </c>
      <c r="J142">
        <v>365.87</v>
      </c>
      <c r="K142">
        <v>61.2</v>
      </c>
      <c r="L142">
        <v>36</v>
      </c>
      <c r="M142">
        <v>2</v>
      </c>
      <c r="N142">
        <v>123.67</v>
      </c>
      <c r="O142">
        <v>45358.13</v>
      </c>
      <c r="P142">
        <v>115.51</v>
      </c>
      <c r="Q142">
        <v>204.14</v>
      </c>
      <c r="R142">
        <v>23.15</v>
      </c>
      <c r="S142">
        <v>17.37</v>
      </c>
      <c r="T142">
        <v>797.35</v>
      </c>
      <c r="U142">
        <v>0.75</v>
      </c>
      <c r="V142">
        <v>0.76</v>
      </c>
      <c r="W142">
        <v>1.1399999999999999</v>
      </c>
      <c r="X142">
        <v>0.04</v>
      </c>
      <c r="Y142">
        <v>1</v>
      </c>
      <c r="Z142">
        <v>10</v>
      </c>
    </row>
    <row r="143" spans="1:26" x14ac:dyDescent="0.3">
      <c r="A143">
        <v>141</v>
      </c>
      <c r="B143">
        <v>145</v>
      </c>
      <c r="C143" t="s">
        <v>26</v>
      </c>
      <c r="D143">
        <v>10.1004</v>
      </c>
      <c r="E143">
        <v>9.9</v>
      </c>
      <c r="F143">
        <v>6.74</v>
      </c>
      <c r="G143">
        <v>101.04</v>
      </c>
      <c r="H143">
        <v>1.76</v>
      </c>
      <c r="I143">
        <v>4</v>
      </c>
      <c r="J143">
        <v>366.55</v>
      </c>
      <c r="K143">
        <v>61.2</v>
      </c>
      <c r="L143">
        <v>36.25</v>
      </c>
      <c r="M143">
        <v>2</v>
      </c>
      <c r="N143">
        <v>124.1</v>
      </c>
      <c r="O143">
        <v>45442.03</v>
      </c>
      <c r="P143">
        <v>115.44</v>
      </c>
      <c r="Q143">
        <v>204.14</v>
      </c>
      <c r="R143">
        <v>23.19</v>
      </c>
      <c r="S143">
        <v>17.37</v>
      </c>
      <c r="T143">
        <v>815.27</v>
      </c>
      <c r="U143">
        <v>0.75</v>
      </c>
      <c r="V143">
        <v>0.76</v>
      </c>
      <c r="W143">
        <v>1.1399999999999999</v>
      </c>
      <c r="X143">
        <v>0.04</v>
      </c>
      <c r="Y143">
        <v>1</v>
      </c>
      <c r="Z143">
        <v>10</v>
      </c>
    </row>
    <row r="144" spans="1:26" x14ac:dyDescent="0.3">
      <c r="A144">
        <v>142</v>
      </c>
      <c r="B144">
        <v>145</v>
      </c>
      <c r="C144" t="s">
        <v>26</v>
      </c>
      <c r="D144">
        <v>10.1007</v>
      </c>
      <c r="E144">
        <v>9.9</v>
      </c>
      <c r="F144">
        <v>6.74</v>
      </c>
      <c r="G144">
        <v>101.03</v>
      </c>
      <c r="H144">
        <v>1.77</v>
      </c>
      <c r="I144">
        <v>4</v>
      </c>
      <c r="J144">
        <v>367.23</v>
      </c>
      <c r="K144">
        <v>61.2</v>
      </c>
      <c r="L144">
        <v>36.5</v>
      </c>
      <c r="M144">
        <v>2</v>
      </c>
      <c r="N144">
        <v>124.53</v>
      </c>
      <c r="O144">
        <v>45526.17</v>
      </c>
      <c r="P144">
        <v>115.34</v>
      </c>
      <c r="Q144">
        <v>204.14</v>
      </c>
      <c r="R144">
        <v>23.22</v>
      </c>
      <c r="S144">
        <v>17.37</v>
      </c>
      <c r="T144">
        <v>832.3</v>
      </c>
      <c r="U144">
        <v>0.75</v>
      </c>
      <c r="V144">
        <v>0.76</v>
      </c>
      <c r="W144">
        <v>1.1399999999999999</v>
      </c>
      <c r="X144">
        <v>0.04</v>
      </c>
      <c r="Y144">
        <v>1</v>
      </c>
      <c r="Z144">
        <v>10</v>
      </c>
    </row>
    <row r="145" spans="1:26" x14ac:dyDescent="0.3">
      <c r="A145">
        <v>143</v>
      </c>
      <c r="B145">
        <v>145</v>
      </c>
      <c r="C145" t="s">
        <v>26</v>
      </c>
      <c r="D145">
        <v>10.0999</v>
      </c>
      <c r="E145">
        <v>9.9</v>
      </c>
      <c r="F145">
        <v>6.74</v>
      </c>
      <c r="G145">
        <v>101.05</v>
      </c>
      <c r="H145">
        <v>1.78</v>
      </c>
      <c r="I145">
        <v>4</v>
      </c>
      <c r="J145">
        <v>367.92</v>
      </c>
      <c r="K145">
        <v>61.2</v>
      </c>
      <c r="L145">
        <v>36.75</v>
      </c>
      <c r="M145">
        <v>2</v>
      </c>
      <c r="N145">
        <v>124.97</v>
      </c>
      <c r="O145">
        <v>45610.57</v>
      </c>
      <c r="P145">
        <v>115.32</v>
      </c>
      <c r="Q145">
        <v>204.14</v>
      </c>
      <c r="R145">
        <v>23.23</v>
      </c>
      <c r="S145">
        <v>17.37</v>
      </c>
      <c r="T145">
        <v>838.62</v>
      </c>
      <c r="U145">
        <v>0.75</v>
      </c>
      <c r="V145">
        <v>0.76</v>
      </c>
      <c r="W145">
        <v>1.1399999999999999</v>
      </c>
      <c r="X145">
        <v>0.05</v>
      </c>
      <c r="Y145">
        <v>1</v>
      </c>
      <c r="Z145">
        <v>10</v>
      </c>
    </row>
    <row r="146" spans="1:26" x14ac:dyDescent="0.3">
      <c r="A146">
        <v>144</v>
      </c>
      <c r="B146">
        <v>145</v>
      </c>
      <c r="C146" t="s">
        <v>26</v>
      </c>
      <c r="D146">
        <v>10.0985</v>
      </c>
      <c r="E146">
        <v>9.9</v>
      </c>
      <c r="F146">
        <v>6.74</v>
      </c>
      <c r="G146">
        <v>101.07</v>
      </c>
      <c r="H146">
        <v>1.79</v>
      </c>
      <c r="I146">
        <v>4</v>
      </c>
      <c r="J146">
        <v>368.6</v>
      </c>
      <c r="K146">
        <v>61.2</v>
      </c>
      <c r="L146">
        <v>37</v>
      </c>
      <c r="M146">
        <v>2</v>
      </c>
      <c r="N146">
        <v>125.4</v>
      </c>
      <c r="O146">
        <v>45695.24</v>
      </c>
      <c r="P146">
        <v>115.3</v>
      </c>
      <c r="Q146">
        <v>204.14</v>
      </c>
      <c r="R146">
        <v>23.23</v>
      </c>
      <c r="S146">
        <v>17.37</v>
      </c>
      <c r="T146">
        <v>839.35</v>
      </c>
      <c r="U146">
        <v>0.75</v>
      </c>
      <c r="V146">
        <v>0.76</v>
      </c>
      <c r="W146">
        <v>1.1399999999999999</v>
      </c>
      <c r="X146">
        <v>0.05</v>
      </c>
      <c r="Y146">
        <v>1</v>
      </c>
      <c r="Z146">
        <v>10</v>
      </c>
    </row>
    <row r="147" spans="1:26" x14ac:dyDescent="0.3">
      <c r="A147">
        <v>145</v>
      </c>
      <c r="B147">
        <v>145</v>
      </c>
      <c r="C147" t="s">
        <v>26</v>
      </c>
      <c r="D147">
        <v>10.0968</v>
      </c>
      <c r="E147">
        <v>9.9</v>
      </c>
      <c r="F147">
        <v>6.74</v>
      </c>
      <c r="G147">
        <v>101.09</v>
      </c>
      <c r="H147">
        <v>1.8</v>
      </c>
      <c r="I147">
        <v>4</v>
      </c>
      <c r="J147">
        <v>369.29</v>
      </c>
      <c r="K147">
        <v>61.2</v>
      </c>
      <c r="L147">
        <v>37.25</v>
      </c>
      <c r="M147">
        <v>2</v>
      </c>
      <c r="N147">
        <v>125.84</v>
      </c>
      <c r="O147">
        <v>45780.160000000003</v>
      </c>
      <c r="P147">
        <v>115.25</v>
      </c>
      <c r="Q147">
        <v>204.14</v>
      </c>
      <c r="R147">
        <v>23.34</v>
      </c>
      <c r="S147">
        <v>17.37</v>
      </c>
      <c r="T147">
        <v>892.14</v>
      </c>
      <c r="U147">
        <v>0.74</v>
      </c>
      <c r="V147">
        <v>0.76</v>
      </c>
      <c r="W147">
        <v>1.1399999999999999</v>
      </c>
      <c r="X147">
        <v>0.05</v>
      </c>
      <c r="Y147">
        <v>1</v>
      </c>
      <c r="Z147">
        <v>10</v>
      </c>
    </row>
    <row r="148" spans="1:26" x14ac:dyDescent="0.3">
      <c r="A148">
        <v>146</v>
      </c>
      <c r="B148">
        <v>145</v>
      </c>
      <c r="C148" t="s">
        <v>26</v>
      </c>
      <c r="D148">
        <v>10.097</v>
      </c>
      <c r="E148">
        <v>9.9</v>
      </c>
      <c r="F148">
        <v>6.74</v>
      </c>
      <c r="G148">
        <v>101.09</v>
      </c>
      <c r="H148">
        <v>1.81</v>
      </c>
      <c r="I148">
        <v>4</v>
      </c>
      <c r="J148">
        <v>369.98</v>
      </c>
      <c r="K148">
        <v>61.2</v>
      </c>
      <c r="L148">
        <v>37.5</v>
      </c>
      <c r="M148">
        <v>2</v>
      </c>
      <c r="N148">
        <v>126.28</v>
      </c>
      <c r="O148">
        <v>45865.47</v>
      </c>
      <c r="P148">
        <v>115.04</v>
      </c>
      <c r="Q148">
        <v>204.14</v>
      </c>
      <c r="R148">
        <v>23.36</v>
      </c>
      <c r="S148">
        <v>17.37</v>
      </c>
      <c r="T148">
        <v>902.05</v>
      </c>
      <c r="U148">
        <v>0.74</v>
      </c>
      <c r="V148">
        <v>0.76</v>
      </c>
      <c r="W148">
        <v>1.1399999999999999</v>
      </c>
      <c r="X148">
        <v>0.05</v>
      </c>
      <c r="Y148">
        <v>1</v>
      </c>
      <c r="Z148">
        <v>10</v>
      </c>
    </row>
    <row r="149" spans="1:26" x14ac:dyDescent="0.3">
      <c r="A149">
        <v>147</v>
      </c>
      <c r="B149">
        <v>145</v>
      </c>
      <c r="C149" t="s">
        <v>26</v>
      </c>
      <c r="D149">
        <v>10.0939</v>
      </c>
      <c r="E149">
        <v>9.91</v>
      </c>
      <c r="F149">
        <v>6.74</v>
      </c>
      <c r="G149">
        <v>101.13</v>
      </c>
      <c r="H149">
        <v>1.82</v>
      </c>
      <c r="I149">
        <v>4</v>
      </c>
      <c r="J149">
        <v>370.67</v>
      </c>
      <c r="K149">
        <v>61.2</v>
      </c>
      <c r="L149">
        <v>37.75</v>
      </c>
      <c r="M149">
        <v>2</v>
      </c>
      <c r="N149">
        <v>126.73</v>
      </c>
      <c r="O149">
        <v>45950.92</v>
      </c>
      <c r="P149">
        <v>115.05</v>
      </c>
      <c r="Q149">
        <v>204.14</v>
      </c>
      <c r="R149">
        <v>23.38</v>
      </c>
      <c r="S149">
        <v>17.37</v>
      </c>
      <c r="T149">
        <v>912.46</v>
      </c>
      <c r="U149">
        <v>0.74</v>
      </c>
      <c r="V149">
        <v>0.76</v>
      </c>
      <c r="W149">
        <v>1.1399999999999999</v>
      </c>
      <c r="X149">
        <v>0.05</v>
      </c>
      <c r="Y149">
        <v>1</v>
      </c>
      <c r="Z149">
        <v>10</v>
      </c>
    </row>
    <row r="150" spans="1:26" x14ac:dyDescent="0.3">
      <c r="A150">
        <v>148</v>
      </c>
      <c r="B150">
        <v>145</v>
      </c>
      <c r="C150" t="s">
        <v>26</v>
      </c>
      <c r="D150">
        <v>10.0953</v>
      </c>
      <c r="E150">
        <v>9.91</v>
      </c>
      <c r="F150">
        <v>6.74</v>
      </c>
      <c r="G150">
        <v>101.11</v>
      </c>
      <c r="H150">
        <v>1.82</v>
      </c>
      <c r="I150">
        <v>4</v>
      </c>
      <c r="J150">
        <v>371.37</v>
      </c>
      <c r="K150">
        <v>61.2</v>
      </c>
      <c r="L150">
        <v>38</v>
      </c>
      <c r="M150">
        <v>2</v>
      </c>
      <c r="N150">
        <v>127.17</v>
      </c>
      <c r="O150">
        <v>46036.65</v>
      </c>
      <c r="P150">
        <v>114.91</v>
      </c>
      <c r="Q150">
        <v>204.16</v>
      </c>
      <c r="R150">
        <v>23.31</v>
      </c>
      <c r="S150">
        <v>17.37</v>
      </c>
      <c r="T150">
        <v>876.41</v>
      </c>
      <c r="U150">
        <v>0.75</v>
      </c>
      <c r="V150">
        <v>0.76</v>
      </c>
      <c r="W150">
        <v>1.1399999999999999</v>
      </c>
      <c r="X150">
        <v>0.05</v>
      </c>
      <c r="Y150">
        <v>1</v>
      </c>
      <c r="Z150">
        <v>10</v>
      </c>
    </row>
    <row r="151" spans="1:26" x14ac:dyDescent="0.3">
      <c r="A151">
        <v>149</v>
      </c>
      <c r="B151">
        <v>145</v>
      </c>
      <c r="C151" t="s">
        <v>26</v>
      </c>
      <c r="D151">
        <v>10.099299999999999</v>
      </c>
      <c r="E151">
        <v>9.9</v>
      </c>
      <c r="F151">
        <v>6.74</v>
      </c>
      <c r="G151">
        <v>101.05</v>
      </c>
      <c r="H151">
        <v>1.83</v>
      </c>
      <c r="I151">
        <v>4</v>
      </c>
      <c r="J151">
        <v>372.07</v>
      </c>
      <c r="K151">
        <v>61.2</v>
      </c>
      <c r="L151">
        <v>38.25</v>
      </c>
      <c r="M151">
        <v>2</v>
      </c>
      <c r="N151">
        <v>127.62</v>
      </c>
      <c r="O151">
        <v>46122.64</v>
      </c>
      <c r="P151">
        <v>114.75</v>
      </c>
      <c r="Q151">
        <v>204.14</v>
      </c>
      <c r="R151">
        <v>23.26</v>
      </c>
      <c r="S151">
        <v>17.37</v>
      </c>
      <c r="T151">
        <v>854.53</v>
      </c>
      <c r="U151">
        <v>0.75</v>
      </c>
      <c r="V151">
        <v>0.76</v>
      </c>
      <c r="W151">
        <v>1.1399999999999999</v>
      </c>
      <c r="X151">
        <v>0.05</v>
      </c>
      <c r="Y151">
        <v>1</v>
      </c>
      <c r="Z151">
        <v>10</v>
      </c>
    </row>
    <row r="152" spans="1:26" x14ac:dyDescent="0.3">
      <c r="A152">
        <v>150</v>
      </c>
      <c r="B152">
        <v>145</v>
      </c>
      <c r="C152" t="s">
        <v>26</v>
      </c>
      <c r="D152">
        <v>10.096500000000001</v>
      </c>
      <c r="E152">
        <v>9.9</v>
      </c>
      <c r="F152">
        <v>6.74</v>
      </c>
      <c r="G152">
        <v>101.1</v>
      </c>
      <c r="H152">
        <v>1.84</v>
      </c>
      <c r="I152">
        <v>4</v>
      </c>
      <c r="J152">
        <v>372.77</v>
      </c>
      <c r="K152">
        <v>61.2</v>
      </c>
      <c r="L152">
        <v>38.5</v>
      </c>
      <c r="M152">
        <v>2</v>
      </c>
      <c r="N152">
        <v>128.07</v>
      </c>
      <c r="O152">
        <v>46208.91</v>
      </c>
      <c r="P152">
        <v>114.75</v>
      </c>
      <c r="Q152">
        <v>204.14</v>
      </c>
      <c r="R152">
        <v>23.28</v>
      </c>
      <c r="S152">
        <v>17.37</v>
      </c>
      <c r="T152">
        <v>862.44</v>
      </c>
      <c r="U152">
        <v>0.75</v>
      </c>
      <c r="V152">
        <v>0.76</v>
      </c>
      <c r="W152">
        <v>1.1399999999999999</v>
      </c>
      <c r="X152">
        <v>0.05</v>
      </c>
      <c r="Y152">
        <v>1</v>
      </c>
      <c r="Z152">
        <v>10</v>
      </c>
    </row>
    <row r="153" spans="1:26" x14ac:dyDescent="0.3">
      <c r="A153">
        <v>151</v>
      </c>
      <c r="B153">
        <v>145</v>
      </c>
      <c r="C153" t="s">
        <v>26</v>
      </c>
      <c r="D153">
        <v>10.0962</v>
      </c>
      <c r="E153">
        <v>9.9</v>
      </c>
      <c r="F153">
        <v>6.74</v>
      </c>
      <c r="G153">
        <v>101.1</v>
      </c>
      <c r="H153">
        <v>1.85</v>
      </c>
      <c r="I153">
        <v>4</v>
      </c>
      <c r="J153">
        <v>373.47</v>
      </c>
      <c r="K153">
        <v>61.2</v>
      </c>
      <c r="L153">
        <v>38.75</v>
      </c>
      <c r="M153">
        <v>2</v>
      </c>
      <c r="N153">
        <v>128.52000000000001</v>
      </c>
      <c r="O153">
        <v>46295.45</v>
      </c>
      <c r="P153">
        <v>114.68</v>
      </c>
      <c r="Q153">
        <v>204.14</v>
      </c>
      <c r="R153">
        <v>23.34</v>
      </c>
      <c r="S153">
        <v>17.37</v>
      </c>
      <c r="T153">
        <v>891.45</v>
      </c>
      <c r="U153">
        <v>0.74</v>
      </c>
      <c r="V153">
        <v>0.76</v>
      </c>
      <c r="W153">
        <v>1.1399999999999999</v>
      </c>
      <c r="X153">
        <v>0.05</v>
      </c>
      <c r="Y153">
        <v>1</v>
      </c>
      <c r="Z153">
        <v>10</v>
      </c>
    </row>
    <row r="154" spans="1:26" x14ac:dyDescent="0.3">
      <c r="A154">
        <v>152</v>
      </c>
      <c r="B154">
        <v>145</v>
      </c>
      <c r="C154" t="s">
        <v>26</v>
      </c>
      <c r="D154">
        <v>10.098699999999999</v>
      </c>
      <c r="E154">
        <v>9.9</v>
      </c>
      <c r="F154">
        <v>6.74</v>
      </c>
      <c r="G154">
        <v>101.06</v>
      </c>
      <c r="H154">
        <v>1.86</v>
      </c>
      <c r="I154">
        <v>4</v>
      </c>
      <c r="J154">
        <v>374.17</v>
      </c>
      <c r="K154">
        <v>61.2</v>
      </c>
      <c r="L154">
        <v>39</v>
      </c>
      <c r="M154">
        <v>2</v>
      </c>
      <c r="N154">
        <v>128.97</v>
      </c>
      <c r="O154">
        <v>46382.28</v>
      </c>
      <c r="P154">
        <v>114.59</v>
      </c>
      <c r="Q154">
        <v>204.15</v>
      </c>
      <c r="R154">
        <v>23.22</v>
      </c>
      <c r="S154">
        <v>17.37</v>
      </c>
      <c r="T154">
        <v>834.3</v>
      </c>
      <c r="U154">
        <v>0.75</v>
      </c>
      <c r="V154">
        <v>0.76</v>
      </c>
      <c r="W154">
        <v>1.1399999999999999</v>
      </c>
      <c r="X154">
        <v>0.05</v>
      </c>
      <c r="Y154">
        <v>1</v>
      </c>
      <c r="Z154">
        <v>10</v>
      </c>
    </row>
    <row r="155" spans="1:26" x14ac:dyDescent="0.3">
      <c r="A155">
        <v>153</v>
      </c>
      <c r="B155">
        <v>145</v>
      </c>
      <c r="C155" t="s">
        <v>26</v>
      </c>
      <c r="D155">
        <v>10.0959</v>
      </c>
      <c r="E155">
        <v>9.9</v>
      </c>
      <c r="F155">
        <v>6.74</v>
      </c>
      <c r="G155">
        <v>101.1</v>
      </c>
      <c r="H155">
        <v>1.87</v>
      </c>
      <c r="I155">
        <v>4</v>
      </c>
      <c r="J155">
        <v>374.88</v>
      </c>
      <c r="K155">
        <v>61.2</v>
      </c>
      <c r="L155">
        <v>39.25</v>
      </c>
      <c r="M155">
        <v>2</v>
      </c>
      <c r="N155">
        <v>129.43</v>
      </c>
      <c r="O155">
        <v>46469.38</v>
      </c>
      <c r="P155">
        <v>114.5</v>
      </c>
      <c r="Q155">
        <v>204.14</v>
      </c>
      <c r="R155">
        <v>23.27</v>
      </c>
      <c r="S155">
        <v>17.37</v>
      </c>
      <c r="T155">
        <v>858.8</v>
      </c>
      <c r="U155">
        <v>0.75</v>
      </c>
      <c r="V155">
        <v>0.76</v>
      </c>
      <c r="W155">
        <v>1.1399999999999999</v>
      </c>
      <c r="X155">
        <v>0.05</v>
      </c>
      <c r="Y155">
        <v>1</v>
      </c>
      <c r="Z155">
        <v>10</v>
      </c>
    </row>
    <row r="156" spans="1:26" x14ac:dyDescent="0.3">
      <c r="A156">
        <v>154</v>
      </c>
      <c r="B156">
        <v>145</v>
      </c>
      <c r="C156" t="s">
        <v>26</v>
      </c>
      <c r="D156">
        <v>10.095599999999999</v>
      </c>
      <c r="E156">
        <v>9.91</v>
      </c>
      <c r="F156">
        <v>6.74</v>
      </c>
      <c r="G156">
        <v>101.11</v>
      </c>
      <c r="H156">
        <v>1.88</v>
      </c>
      <c r="I156">
        <v>4</v>
      </c>
      <c r="J156">
        <v>375.59</v>
      </c>
      <c r="K156">
        <v>61.2</v>
      </c>
      <c r="L156">
        <v>39.5</v>
      </c>
      <c r="M156">
        <v>2</v>
      </c>
      <c r="N156">
        <v>129.88999999999999</v>
      </c>
      <c r="O156">
        <v>46556.77</v>
      </c>
      <c r="P156">
        <v>114.3</v>
      </c>
      <c r="Q156">
        <v>204.15</v>
      </c>
      <c r="R156">
        <v>23.31</v>
      </c>
      <c r="S156">
        <v>17.37</v>
      </c>
      <c r="T156">
        <v>877.61</v>
      </c>
      <c r="U156">
        <v>0.75</v>
      </c>
      <c r="V156">
        <v>0.76</v>
      </c>
      <c r="W156">
        <v>1.1399999999999999</v>
      </c>
      <c r="X156">
        <v>0.05</v>
      </c>
      <c r="Y156">
        <v>1</v>
      </c>
      <c r="Z156">
        <v>10</v>
      </c>
    </row>
    <row r="157" spans="1:26" x14ac:dyDescent="0.3">
      <c r="A157">
        <v>155</v>
      </c>
      <c r="B157">
        <v>145</v>
      </c>
      <c r="C157" t="s">
        <v>26</v>
      </c>
      <c r="D157">
        <v>10.0914</v>
      </c>
      <c r="E157">
        <v>9.91</v>
      </c>
      <c r="F157">
        <v>6.74</v>
      </c>
      <c r="G157">
        <v>101.17</v>
      </c>
      <c r="H157">
        <v>1.88</v>
      </c>
      <c r="I157">
        <v>4</v>
      </c>
      <c r="J157">
        <v>376.3</v>
      </c>
      <c r="K157">
        <v>61.2</v>
      </c>
      <c r="L157">
        <v>39.75</v>
      </c>
      <c r="M157">
        <v>2</v>
      </c>
      <c r="N157">
        <v>130.35</v>
      </c>
      <c r="O157">
        <v>46644.44</v>
      </c>
      <c r="P157">
        <v>114.27</v>
      </c>
      <c r="Q157">
        <v>204.14</v>
      </c>
      <c r="R157">
        <v>23.51</v>
      </c>
      <c r="S157">
        <v>17.37</v>
      </c>
      <c r="T157">
        <v>975.99</v>
      </c>
      <c r="U157">
        <v>0.74</v>
      </c>
      <c r="V157">
        <v>0.76</v>
      </c>
      <c r="W157">
        <v>1.1399999999999999</v>
      </c>
      <c r="X157">
        <v>0.05</v>
      </c>
      <c r="Y157">
        <v>1</v>
      </c>
      <c r="Z157">
        <v>10</v>
      </c>
    </row>
    <row r="158" spans="1:26" x14ac:dyDescent="0.3">
      <c r="A158">
        <v>156</v>
      </c>
      <c r="B158">
        <v>145</v>
      </c>
      <c r="C158" t="s">
        <v>26</v>
      </c>
      <c r="D158">
        <v>10.0914</v>
      </c>
      <c r="E158">
        <v>9.91</v>
      </c>
      <c r="F158">
        <v>6.74</v>
      </c>
      <c r="G158">
        <v>101.17</v>
      </c>
      <c r="H158">
        <v>1.89</v>
      </c>
      <c r="I158">
        <v>4</v>
      </c>
      <c r="J158">
        <v>377.01</v>
      </c>
      <c r="K158">
        <v>61.2</v>
      </c>
      <c r="L158">
        <v>40</v>
      </c>
      <c r="M158">
        <v>2</v>
      </c>
      <c r="N158">
        <v>130.81</v>
      </c>
      <c r="O158">
        <v>46732.41</v>
      </c>
      <c r="P158">
        <v>114.02</v>
      </c>
      <c r="Q158">
        <v>204.15</v>
      </c>
      <c r="R158">
        <v>23.4</v>
      </c>
      <c r="S158">
        <v>17.37</v>
      </c>
      <c r="T158">
        <v>923.09</v>
      </c>
      <c r="U158">
        <v>0.74</v>
      </c>
      <c r="V158">
        <v>0.76</v>
      </c>
      <c r="W158">
        <v>1.1399999999999999</v>
      </c>
      <c r="X158">
        <v>0.05</v>
      </c>
      <c r="Y158">
        <v>1</v>
      </c>
      <c r="Z158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Planilha25"/>
  <dimension ref="A1:Z54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65</v>
      </c>
      <c r="C2" t="s">
        <v>26</v>
      </c>
      <c r="D2">
        <v>8.4445999999999994</v>
      </c>
      <c r="E2">
        <v>11.84</v>
      </c>
      <c r="F2">
        <v>7.95</v>
      </c>
      <c r="G2">
        <v>7.57</v>
      </c>
      <c r="H2">
        <v>0.13</v>
      </c>
      <c r="I2">
        <v>63</v>
      </c>
      <c r="J2">
        <v>133.21</v>
      </c>
      <c r="K2">
        <v>46.47</v>
      </c>
      <c r="L2">
        <v>1</v>
      </c>
      <c r="M2">
        <v>61</v>
      </c>
      <c r="N2">
        <v>20.75</v>
      </c>
      <c r="O2">
        <v>16663.419999999998</v>
      </c>
      <c r="P2">
        <v>86.56</v>
      </c>
      <c r="Q2">
        <v>204.24</v>
      </c>
      <c r="R2">
        <v>61.16</v>
      </c>
      <c r="S2">
        <v>17.37</v>
      </c>
      <c r="T2">
        <v>19507.7</v>
      </c>
      <c r="U2">
        <v>0.28000000000000003</v>
      </c>
      <c r="V2">
        <v>0.64</v>
      </c>
      <c r="W2">
        <v>1.23</v>
      </c>
      <c r="X2">
        <v>1.25</v>
      </c>
      <c r="Y2">
        <v>1</v>
      </c>
      <c r="Z2">
        <v>10</v>
      </c>
    </row>
    <row r="3" spans="1:26" x14ac:dyDescent="0.3">
      <c r="A3">
        <v>1</v>
      </c>
      <c r="B3">
        <v>65</v>
      </c>
      <c r="C3" t="s">
        <v>26</v>
      </c>
      <c r="D3">
        <v>8.9374000000000002</v>
      </c>
      <c r="E3">
        <v>11.19</v>
      </c>
      <c r="F3">
        <v>7.67</v>
      </c>
      <c r="G3">
        <v>9.4</v>
      </c>
      <c r="H3">
        <v>0.17</v>
      </c>
      <c r="I3">
        <v>49</v>
      </c>
      <c r="J3">
        <v>133.55000000000001</v>
      </c>
      <c r="K3">
        <v>46.47</v>
      </c>
      <c r="L3">
        <v>1.25</v>
      </c>
      <c r="M3">
        <v>47</v>
      </c>
      <c r="N3">
        <v>20.83</v>
      </c>
      <c r="O3">
        <v>16704.7</v>
      </c>
      <c r="P3">
        <v>83.36</v>
      </c>
      <c r="Q3">
        <v>204.24</v>
      </c>
      <c r="R3">
        <v>52.73</v>
      </c>
      <c r="S3">
        <v>17.37</v>
      </c>
      <c r="T3">
        <v>15361.07</v>
      </c>
      <c r="U3">
        <v>0.33</v>
      </c>
      <c r="V3">
        <v>0.67</v>
      </c>
      <c r="W3">
        <v>1.21</v>
      </c>
      <c r="X3">
        <v>0.98</v>
      </c>
      <c r="Y3">
        <v>1</v>
      </c>
      <c r="Z3">
        <v>10</v>
      </c>
    </row>
    <row r="4" spans="1:26" x14ac:dyDescent="0.3">
      <c r="A4">
        <v>2</v>
      </c>
      <c r="B4">
        <v>65</v>
      </c>
      <c r="C4" t="s">
        <v>26</v>
      </c>
      <c r="D4">
        <v>9.3133999999999997</v>
      </c>
      <c r="E4">
        <v>10.74</v>
      </c>
      <c r="F4">
        <v>7.47</v>
      </c>
      <c r="G4">
        <v>11.2</v>
      </c>
      <c r="H4">
        <v>0.2</v>
      </c>
      <c r="I4">
        <v>40</v>
      </c>
      <c r="J4">
        <v>133.88</v>
      </c>
      <c r="K4">
        <v>46.47</v>
      </c>
      <c r="L4">
        <v>1.5</v>
      </c>
      <c r="M4">
        <v>38</v>
      </c>
      <c r="N4">
        <v>20.91</v>
      </c>
      <c r="O4">
        <v>16746.009999999998</v>
      </c>
      <c r="P4">
        <v>80.819999999999993</v>
      </c>
      <c r="Q4">
        <v>204.15</v>
      </c>
      <c r="R4">
        <v>45.98</v>
      </c>
      <c r="S4">
        <v>17.37</v>
      </c>
      <c r="T4">
        <v>12032.11</v>
      </c>
      <c r="U4">
        <v>0.38</v>
      </c>
      <c r="V4">
        <v>0.68</v>
      </c>
      <c r="W4">
        <v>1.2</v>
      </c>
      <c r="X4">
        <v>0.78</v>
      </c>
      <c r="Y4">
        <v>1</v>
      </c>
      <c r="Z4">
        <v>10</v>
      </c>
    </row>
    <row r="5" spans="1:26" x14ac:dyDescent="0.3">
      <c r="A5">
        <v>3</v>
      </c>
      <c r="B5">
        <v>65</v>
      </c>
      <c r="C5" t="s">
        <v>26</v>
      </c>
      <c r="D5">
        <v>9.5587</v>
      </c>
      <c r="E5">
        <v>10.46</v>
      </c>
      <c r="F5">
        <v>7.36</v>
      </c>
      <c r="G5">
        <v>12.98</v>
      </c>
      <c r="H5">
        <v>0.23</v>
      </c>
      <c r="I5">
        <v>34</v>
      </c>
      <c r="J5">
        <v>134.22</v>
      </c>
      <c r="K5">
        <v>46.47</v>
      </c>
      <c r="L5">
        <v>1.75</v>
      </c>
      <c r="M5">
        <v>32</v>
      </c>
      <c r="N5">
        <v>21</v>
      </c>
      <c r="O5">
        <v>16787.349999999999</v>
      </c>
      <c r="P5">
        <v>79.31</v>
      </c>
      <c r="Q5">
        <v>204.14</v>
      </c>
      <c r="R5">
        <v>42.66</v>
      </c>
      <c r="S5">
        <v>17.37</v>
      </c>
      <c r="T5">
        <v>10401.27</v>
      </c>
      <c r="U5">
        <v>0.41</v>
      </c>
      <c r="V5">
        <v>0.69</v>
      </c>
      <c r="W5">
        <v>1.19</v>
      </c>
      <c r="X5">
        <v>0.66</v>
      </c>
      <c r="Y5">
        <v>1</v>
      </c>
      <c r="Z5">
        <v>10</v>
      </c>
    </row>
    <row r="6" spans="1:26" x14ac:dyDescent="0.3">
      <c r="A6">
        <v>4</v>
      </c>
      <c r="B6">
        <v>65</v>
      </c>
      <c r="C6" t="s">
        <v>26</v>
      </c>
      <c r="D6">
        <v>9.7737999999999996</v>
      </c>
      <c r="E6">
        <v>10.23</v>
      </c>
      <c r="F6">
        <v>7.26</v>
      </c>
      <c r="G6">
        <v>15.02</v>
      </c>
      <c r="H6">
        <v>0.26</v>
      </c>
      <c r="I6">
        <v>29</v>
      </c>
      <c r="J6">
        <v>134.55000000000001</v>
      </c>
      <c r="K6">
        <v>46.47</v>
      </c>
      <c r="L6">
        <v>2</v>
      </c>
      <c r="M6">
        <v>27</v>
      </c>
      <c r="N6">
        <v>21.09</v>
      </c>
      <c r="O6">
        <v>16828.84</v>
      </c>
      <c r="P6">
        <v>78.05</v>
      </c>
      <c r="Q6">
        <v>204.14</v>
      </c>
      <c r="R6">
        <v>39.69</v>
      </c>
      <c r="S6">
        <v>17.37</v>
      </c>
      <c r="T6">
        <v>8942.49</v>
      </c>
      <c r="U6">
        <v>0.44</v>
      </c>
      <c r="V6">
        <v>0.7</v>
      </c>
      <c r="W6">
        <v>1.18</v>
      </c>
      <c r="X6">
        <v>0.56999999999999995</v>
      </c>
      <c r="Y6">
        <v>1</v>
      </c>
      <c r="Z6">
        <v>10</v>
      </c>
    </row>
    <row r="7" spans="1:26" x14ac:dyDescent="0.3">
      <c r="A7">
        <v>5</v>
      </c>
      <c r="B7">
        <v>65</v>
      </c>
      <c r="C7" t="s">
        <v>26</v>
      </c>
      <c r="D7">
        <v>9.9088999999999992</v>
      </c>
      <c r="E7">
        <v>10.09</v>
      </c>
      <c r="F7">
        <v>7.2</v>
      </c>
      <c r="G7">
        <v>16.62</v>
      </c>
      <c r="H7">
        <v>0.28999999999999998</v>
      </c>
      <c r="I7">
        <v>26</v>
      </c>
      <c r="J7">
        <v>134.88999999999999</v>
      </c>
      <c r="K7">
        <v>46.47</v>
      </c>
      <c r="L7">
        <v>2.25</v>
      </c>
      <c r="M7">
        <v>24</v>
      </c>
      <c r="N7">
        <v>21.17</v>
      </c>
      <c r="O7">
        <v>16870.25</v>
      </c>
      <c r="P7">
        <v>77.209999999999994</v>
      </c>
      <c r="Q7">
        <v>204.15</v>
      </c>
      <c r="R7">
        <v>37.67</v>
      </c>
      <c r="S7">
        <v>17.37</v>
      </c>
      <c r="T7">
        <v>7944.97</v>
      </c>
      <c r="U7">
        <v>0.46</v>
      </c>
      <c r="V7">
        <v>0.71</v>
      </c>
      <c r="W7">
        <v>1.18</v>
      </c>
      <c r="X7">
        <v>0.51</v>
      </c>
      <c r="Y7">
        <v>1</v>
      </c>
      <c r="Z7">
        <v>10</v>
      </c>
    </row>
    <row r="8" spans="1:26" x14ac:dyDescent="0.3">
      <c r="A8">
        <v>6</v>
      </c>
      <c r="B8">
        <v>65</v>
      </c>
      <c r="C8" t="s">
        <v>26</v>
      </c>
      <c r="D8">
        <v>10.0601</v>
      </c>
      <c r="E8">
        <v>9.94</v>
      </c>
      <c r="F8">
        <v>7.13</v>
      </c>
      <c r="G8">
        <v>18.61</v>
      </c>
      <c r="H8">
        <v>0.33</v>
      </c>
      <c r="I8">
        <v>23</v>
      </c>
      <c r="J8">
        <v>135.22</v>
      </c>
      <c r="K8">
        <v>46.47</v>
      </c>
      <c r="L8">
        <v>2.5</v>
      </c>
      <c r="M8">
        <v>21</v>
      </c>
      <c r="N8">
        <v>21.26</v>
      </c>
      <c r="O8">
        <v>16911.68</v>
      </c>
      <c r="P8">
        <v>76.180000000000007</v>
      </c>
      <c r="Q8">
        <v>204.18</v>
      </c>
      <c r="R8">
        <v>35.729999999999997</v>
      </c>
      <c r="S8">
        <v>17.37</v>
      </c>
      <c r="T8">
        <v>6994.64</v>
      </c>
      <c r="U8">
        <v>0.49</v>
      </c>
      <c r="V8">
        <v>0.72</v>
      </c>
      <c r="W8">
        <v>1.17</v>
      </c>
      <c r="X8">
        <v>0.44</v>
      </c>
      <c r="Y8">
        <v>1</v>
      </c>
      <c r="Z8">
        <v>10</v>
      </c>
    </row>
    <row r="9" spans="1:26" x14ac:dyDescent="0.3">
      <c r="A9">
        <v>7</v>
      </c>
      <c r="B9">
        <v>65</v>
      </c>
      <c r="C9" t="s">
        <v>26</v>
      </c>
      <c r="D9">
        <v>10.160600000000001</v>
      </c>
      <c r="E9">
        <v>9.84</v>
      </c>
      <c r="F9">
        <v>7.09</v>
      </c>
      <c r="G9">
        <v>20.260000000000002</v>
      </c>
      <c r="H9">
        <v>0.36</v>
      </c>
      <c r="I9">
        <v>21</v>
      </c>
      <c r="J9">
        <v>135.56</v>
      </c>
      <c r="K9">
        <v>46.47</v>
      </c>
      <c r="L9">
        <v>2.75</v>
      </c>
      <c r="M9">
        <v>19</v>
      </c>
      <c r="N9">
        <v>21.34</v>
      </c>
      <c r="O9">
        <v>16953.14</v>
      </c>
      <c r="P9">
        <v>75.430000000000007</v>
      </c>
      <c r="Q9">
        <v>204.15</v>
      </c>
      <c r="R9">
        <v>34.26</v>
      </c>
      <c r="S9">
        <v>17.37</v>
      </c>
      <c r="T9">
        <v>6266.3</v>
      </c>
      <c r="U9">
        <v>0.51</v>
      </c>
      <c r="V9">
        <v>0.72</v>
      </c>
      <c r="W9">
        <v>1.17</v>
      </c>
      <c r="X9">
        <v>0.4</v>
      </c>
      <c r="Y9">
        <v>1</v>
      </c>
      <c r="Z9">
        <v>10</v>
      </c>
    </row>
    <row r="10" spans="1:26" x14ac:dyDescent="0.3">
      <c r="A10">
        <v>8</v>
      </c>
      <c r="B10">
        <v>65</v>
      </c>
      <c r="C10" t="s">
        <v>26</v>
      </c>
      <c r="D10">
        <v>10.2623</v>
      </c>
      <c r="E10">
        <v>9.74</v>
      </c>
      <c r="F10">
        <v>7.05</v>
      </c>
      <c r="G10">
        <v>22.25</v>
      </c>
      <c r="H10">
        <v>0.39</v>
      </c>
      <c r="I10">
        <v>19</v>
      </c>
      <c r="J10">
        <v>135.9</v>
      </c>
      <c r="K10">
        <v>46.47</v>
      </c>
      <c r="L10">
        <v>3</v>
      </c>
      <c r="M10">
        <v>17</v>
      </c>
      <c r="N10">
        <v>21.43</v>
      </c>
      <c r="O10">
        <v>16994.64</v>
      </c>
      <c r="P10">
        <v>74.650000000000006</v>
      </c>
      <c r="Q10">
        <v>204.18</v>
      </c>
      <c r="R10">
        <v>32.880000000000003</v>
      </c>
      <c r="S10">
        <v>17.37</v>
      </c>
      <c r="T10">
        <v>5589.44</v>
      </c>
      <c r="U10">
        <v>0.53</v>
      </c>
      <c r="V10">
        <v>0.72</v>
      </c>
      <c r="W10">
        <v>1.17</v>
      </c>
      <c r="X10">
        <v>0.35</v>
      </c>
      <c r="Y10">
        <v>1</v>
      </c>
      <c r="Z10">
        <v>10</v>
      </c>
    </row>
    <row r="11" spans="1:26" x14ac:dyDescent="0.3">
      <c r="A11">
        <v>9</v>
      </c>
      <c r="B11">
        <v>65</v>
      </c>
      <c r="C11" t="s">
        <v>26</v>
      </c>
      <c r="D11">
        <v>10.304600000000001</v>
      </c>
      <c r="E11">
        <v>9.6999999999999993</v>
      </c>
      <c r="F11">
        <v>7.03</v>
      </c>
      <c r="G11">
        <v>23.45</v>
      </c>
      <c r="H11">
        <v>0.42</v>
      </c>
      <c r="I11">
        <v>18</v>
      </c>
      <c r="J11">
        <v>136.22999999999999</v>
      </c>
      <c r="K11">
        <v>46.47</v>
      </c>
      <c r="L11">
        <v>3.25</v>
      </c>
      <c r="M11">
        <v>16</v>
      </c>
      <c r="N11">
        <v>21.52</v>
      </c>
      <c r="O11">
        <v>17036.16</v>
      </c>
      <c r="P11">
        <v>74.239999999999995</v>
      </c>
      <c r="Q11">
        <v>204.14</v>
      </c>
      <c r="R11">
        <v>32.58</v>
      </c>
      <c r="S11">
        <v>17.37</v>
      </c>
      <c r="T11">
        <v>5440.01</v>
      </c>
      <c r="U11">
        <v>0.53</v>
      </c>
      <c r="V11">
        <v>0.73</v>
      </c>
      <c r="W11">
        <v>1.1599999999999999</v>
      </c>
      <c r="X11">
        <v>0.34</v>
      </c>
      <c r="Y11">
        <v>1</v>
      </c>
      <c r="Z11">
        <v>10</v>
      </c>
    </row>
    <row r="12" spans="1:26" x14ac:dyDescent="0.3">
      <c r="A12">
        <v>10</v>
      </c>
      <c r="B12">
        <v>65</v>
      </c>
      <c r="C12" t="s">
        <v>26</v>
      </c>
      <c r="D12">
        <v>10.3558</v>
      </c>
      <c r="E12">
        <v>9.66</v>
      </c>
      <c r="F12">
        <v>7.01</v>
      </c>
      <c r="G12">
        <v>24.75</v>
      </c>
      <c r="H12">
        <v>0.45</v>
      </c>
      <c r="I12">
        <v>17</v>
      </c>
      <c r="J12">
        <v>136.57</v>
      </c>
      <c r="K12">
        <v>46.47</v>
      </c>
      <c r="L12">
        <v>3.5</v>
      </c>
      <c r="M12">
        <v>15</v>
      </c>
      <c r="N12">
        <v>21.6</v>
      </c>
      <c r="O12">
        <v>17077.72</v>
      </c>
      <c r="P12">
        <v>73.900000000000006</v>
      </c>
      <c r="Q12">
        <v>204.14</v>
      </c>
      <c r="R12">
        <v>31.88</v>
      </c>
      <c r="S12">
        <v>17.37</v>
      </c>
      <c r="T12">
        <v>5099.1099999999997</v>
      </c>
      <c r="U12">
        <v>0.54</v>
      </c>
      <c r="V12">
        <v>0.73</v>
      </c>
      <c r="W12">
        <v>1.1599999999999999</v>
      </c>
      <c r="X12">
        <v>0.32</v>
      </c>
      <c r="Y12">
        <v>1</v>
      </c>
      <c r="Z12">
        <v>10</v>
      </c>
    </row>
    <row r="13" spans="1:26" x14ac:dyDescent="0.3">
      <c r="A13">
        <v>11</v>
      </c>
      <c r="B13">
        <v>65</v>
      </c>
      <c r="C13" t="s">
        <v>26</v>
      </c>
      <c r="D13">
        <v>10.4381</v>
      </c>
      <c r="E13">
        <v>9.58</v>
      </c>
      <c r="F13">
        <v>6.99</v>
      </c>
      <c r="G13">
        <v>27.97</v>
      </c>
      <c r="H13">
        <v>0.48</v>
      </c>
      <c r="I13">
        <v>15</v>
      </c>
      <c r="J13">
        <v>136.91</v>
      </c>
      <c r="K13">
        <v>46.47</v>
      </c>
      <c r="L13">
        <v>3.75</v>
      </c>
      <c r="M13">
        <v>13</v>
      </c>
      <c r="N13">
        <v>21.69</v>
      </c>
      <c r="O13">
        <v>17119.3</v>
      </c>
      <c r="P13">
        <v>73.27</v>
      </c>
      <c r="Q13">
        <v>204.14</v>
      </c>
      <c r="R13">
        <v>31.23</v>
      </c>
      <c r="S13">
        <v>17.37</v>
      </c>
      <c r="T13">
        <v>4780.25</v>
      </c>
      <c r="U13">
        <v>0.56000000000000005</v>
      </c>
      <c r="V13">
        <v>0.73</v>
      </c>
      <c r="W13">
        <v>1.1599999999999999</v>
      </c>
      <c r="X13">
        <v>0.3</v>
      </c>
      <c r="Y13">
        <v>1</v>
      </c>
      <c r="Z13">
        <v>10</v>
      </c>
    </row>
    <row r="14" spans="1:26" x14ac:dyDescent="0.3">
      <c r="A14">
        <v>12</v>
      </c>
      <c r="B14">
        <v>65</v>
      </c>
      <c r="C14" t="s">
        <v>26</v>
      </c>
      <c r="D14">
        <v>10.5024</v>
      </c>
      <c r="E14">
        <v>9.52</v>
      </c>
      <c r="F14">
        <v>6.96</v>
      </c>
      <c r="G14">
        <v>29.83</v>
      </c>
      <c r="H14">
        <v>0.52</v>
      </c>
      <c r="I14">
        <v>14</v>
      </c>
      <c r="J14">
        <v>137.25</v>
      </c>
      <c r="K14">
        <v>46.47</v>
      </c>
      <c r="L14">
        <v>4</v>
      </c>
      <c r="M14">
        <v>12</v>
      </c>
      <c r="N14">
        <v>21.78</v>
      </c>
      <c r="O14">
        <v>17160.919999999998</v>
      </c>
      <c r="P14">
        <v>72.67</v>
      </c>
      <c r="Q14">
        <v>204.14</v>
      </c>
      <c r="R14">
        <v>30.25</v>
      </c>
      <c r="S14">
        <v>17.37</v>
      </c>
      <c r="T14">
        <v>4299.38</v>
      </c>
      <c r="U14">
        <v>0.56999999999999995</v>
      </c>
      <c r="V14">
        <v>0.73</v>
      </c>
      <c r="W14">
        <v>1.1599999999999999</v>
      </c>
      <c r="X14">
        <v>0.27</v>
      </c>
      <c r="Y14">
        <v>1</v>
      </c>
      <c r="Z14">
        <v>10</v>
      </c>
    </row>
    <row r="15" spans="1:26" x14ac:dyDescent="0.3">
      <c r="A15">
        <v>13</v>
      </c>
      <c r="B15">
        <v>65</v>
      </c>
      <c r="C15" t="s">
        <v>26</v>
      </c>
      <c r="D15">
        <v>10.507</v>
      </c>
      <c r="E15">
        <v>9.52</v>
      </c>
      <c r="F15">
        <v>6.96</v>
      </c>
      <c r="G15">
        <v>29.81</v>
      </c>
      <c r="H15">
        <v>0.55000000000000004</v>
      </c>
      <c r="I15">
        <v>14</v>
      </c>
      <c r="J15">
        <v>137.58000000000001</v>
      </c>
      <c r="K15">
        <v>46.47</v>
      </c>
      <c r="L15">
        <v>4.25</v>
      </c>
      <c r="M15">
        <v>12</v>
      </c>
      <c r="N15">
        <v>21.87</v>
      </c>
      <c r="O15">
        <v>17202.57</v>
      </c>
      <c r="P15">
        <v>72.45</v>
      </c>
      <c r="Q15">
        <v>204.18</v>
      </c>
      <c r="R15">
        <v>30.08</v>
      </c>
      <c r="S15">
        <v>17.37</v>
      </c>
      <c r="T15">
        <v>4210.13</v>
      </c>
      <c r="U15">
        <v>0.57999999999999996</v>
      </c>
      <c r="V15">
        <v>0.73</v>
      </c>
      <c r="W15">
        <v>1.1599999999999999</v>
      </c>
      <c r="X15">
        <v>0.26</v>
      </c>
      <c r="Y15">
        <v>1</v>
      </c>
      <c r="Z15">
        <v>10</v>
      </c>
    </row>
    <row r="16" spans="1:26" x14ac:dyDescent="0.3">
      <c r="A16">
        <v>14</v>
      </c>
      <c r="B16">
        <v>65</v>
      </c>
      <c r="C16" t="s">
        <v>26</v>
      </c>
      <c r="D16">
        <v>10.5746</v>
      </c>
      <c r="E16">
        <v>9.4600000000000009</v>
      </c>
      <c r="F16">
        <v>6.92</v>
      </c>
      <c r="G16">
        <v>31.95</v>
      </c>
      <c r="H16">
        <v>0.57999999999999996</v>
      </c>
      <c r="I16">
        <v>13</v>
      </c>
      <c r="J16">
        <v>137.91999999999999</v>
      </c>
      <c r="K16">
        <v>46.47</v>
      </c>
      <c r="L16">
        <v>4.5</v>
      </c>
      <c r="M16">
        <v>11</v>
      </c>
      <c r="N16">
        <v>21.95</v>
      </c>
      <c r="O16">
        <v>17244.240000000002</v>
      </c>
      <c r="P16">
        <v>71.95</v>
      </c>
      <c r="Q16">
        <v>204.14</v>
      </c>
      <c r="R16">
        <v>29</v>
      </c>
      <c r="S16">
        <v>17.37</v>
      </c>
      <c r="T16">
        <v>3676.83</v>
      </c>
      <c r="U16">
        <v>0.6</v>
      </c>
      <c r="V16">
        <v>0.74</v>
      </c>
      <c r="W16">
        <v>1.1599999999999999</v>
      </c>
      <c r="X16">
        <v>0.23</v>
      </c>
      <c r="Y16">
        <v>1</v>
      </c>
      <c r="Z16">
        <v>10</v>
      </c>
    </row>
    <row r="17" spans="1:26" x14ac:dyDescent="0.3">
      <c r="A17">
        <v>15</v>
      </c>
      <c r="B17">
        <v>65</v>
      </c>
      <c r="C17" t="s">
        <v>26</v>
      </c>
      <c r="D17">
        <v>10.6073</v>
      </c>
      <c r="E17">
        <v>9.43</v>
      </c>
      <c r="F17">
        <v>6.92</v>
      </c>
      <c r="G17">
        <v>34.6</v>
      </c>
      <c r="H17">
        <v>0.61</v>
      </c>
      <c r="I17">
        <v>12</v>
      </c>
      <c r="J17">
        <v>138.26</v>
      </c>
      <c r="K17">
        <v>46.47</v>
      </c>
      <c r="L17">
        <v>4.75</v>
      </c>
      <c r="M17">
        <v>10</v>
      </c>
      <c r="N17">
        <v>22.04</v>
      </c>
      <c r="O17">
        <v>17285.95</v>
      </c>
      <c r="P17">
        <v>71.650000000000006</v>
      </c>
      <c r="Q17">
        <v>204.26</v>
      </c>
      <c r="R17">
        <v>28.96</v>
      </c>
      <c r="S17">
        <v>17.37</v>
      </c>
      <c r="T17">
        <v>3663</v>
      </c>
      <c r="U17">
        <v>0.6</v>
      </c>
      <c r="V17">
        <v>0.74</v>
      </c>
      <c r="W17">
        <v>1.1599999999999999</v>
      </c>
      <c r="X17">
        <v>0.23</v>
      </c>
      <c r="Y17">
        <v>1</v>
      </c>
      <c r="Z17">
        <v>10</v>
      </c>
    </row>
    <row r="18" spans="1:26" x14ac:dyDescent="0.3">
      <c r="A18">
        <v>16</v>
      </c>
      <c r="B18">
        <v>65</v>
      </c>
      <c r="C18" t="s">
        <v>26</v>
      </c>
      <c r="D18">
        <v>10.6213</v>
      </c>
      <c r="E18">
        <v>9.41</v>
      </c>
      <c r="F18">
        <v>6.91</v>
      </c>
      <c r="G18">
        <v>34.54</v>
      </c>
      <c r="H18">
        <v>0.64</v>
      </c>
      <c r="I18">
        <v>12</v>
      </c>
      <c r="J18">
        <v>138.6</v>
      </c>
      <c r="K18">
        <v>46.47</v>
      </c>
      <c r="L18">
        <v>5</v>
      </c>
      <c r="M18">
        <v>10</v>
      </c>
      <c r="N18">
        <v>22.13</v>
      </c>
      <c r="O18">
        <v>17327.689999999999</v>
      </c>
      <c r="P18">
        <v>71.099999999999994</v>
      </c>
      <c r="Q18">
        <v>204.16</v>
      </c>
      <c r="R18">
        <v>28.67</v>
      </c>
      <c r="S18">
        <v>17.37</v>
      </c>
      <c r="T18">
        <v>3518.9</v>
      </c>
      <c r="U18">
        <v>0.61</v>
      </c>
      <c r="V18">
        <v>0.74</v>
      </c>
      <c r="W18">
        <v>1.1499999999999999</v>
      </c>
      <c r="X18">
        <v>0.22</v>
      </c>
      <c r="Y18">
        <v>1</v>
      </c>
      <c r="Z18">
        <v>10</v>
      </c>
    </row>
    <row r="19" spans="1:26" x14ac:dyDescent="0.3">
      <c r="A19">
        <v>17</v>
      </c>
      <c r="B19">
        <v>65</v>
      </c>
      <c r="C19" t="s">
        <v>26</v>
      </c>
      <c r="D19">
        <v>10.6866</v>
      </c>
      <c r="E19">
        <v>9.36</v>
      </c>
      <c r="F19">
        <v>6.88</v>
      </c>
      <c r="G19">
        <v>37.520000000000003</v>
      </c>
      <c r="H19">
        <v>0.67</v>
      </c>
      <c r="I19">
        <v>11</v>
      </c>
      <c r="J19">
        <v>138.94</v>
      </c>
      <c r="K19">
        <v>46.47</v>
      </c>
      <c r="L19">
        <v>5.25</v>
      </c>
      <c r="M19">
        <v>9</v>
      </c>
      <c r="N19">
        <v>22.22</v>
      </c>
      <c r="O19">
        <v>17369.47</v>
      </c>
      <c r="P19">
        <v>70.569999999999993</v>
      </c>
      <c r="Q19">
        <v>204.14</v>
      </c>
      <c r="R19">
        <v>27.65</v>
      </c>
      <c r="S19">
        <v>17.37</v>
      </c>
      <c r="T19">
        <v>3010.31</v>
      </c>
      <c r="U19">
        <v>0.63</v>
      </c>
      <c r="V19">
        <v>0.74</v>
      </c>
      <c r="W19">
        <v>1.1499999999999999</v>
      </c>
      <c r="X19">
        <v>0.19</v>
      </c>
      <c r="Y19">
        <v>1</v>
      </c>
      <c r="Z19">
        <v>10</v>
      </c>
    </row>
    <row r="20" spans="1:26" x14ac:dyDescent="0.3">
      <c r="A20">
        <v>18</v>
      </c>
      <c r="B20">
        <v>65</v>
      </c>
      <c r="C20" t="s">
        <v>26</v>
      </c>
      <c r="D20">
        <v>10.676500000000001</v>
      </c>
      <c r="E20">
        <v>9.3699999999999992</v>
      </c>
      <c r="F20">
        <v>6.89</v>
      </c>
      <c r="G20">
        <v>37.56</v>
      </c>
      <c r="H20">
        <v>0.7</v>
      </c>
      <c r="I20">
        <v>11</v>
      </c>
      <c r="J20">
        <v>139.28</v>
      </c>
      <c r="K20">
        <v>46.47</v>
      </c>
      <c r="L20">
        <v>5.5</v>
      </c>
      <c r="M20">
        <v>9</v>
      </c>
      <c r="N20">
        <v>22.31</v>
      </c>
      <c r="O20">
        <v>17411.27</v>
      </c>
      <c r="P20">
        <v>70.239999999999995</v>
      </c>
      <c r="Q20">
        <v>204.15</v>
      </c>
      <c r="R20">
        <v>27.9</v>
      </c>
      <c r="S20">
        <v>17.37</v>
      </c>
      <c r="T20">
        <v>3136.71</v>
      </c>
      <c r="U20">
        <v>0.62</v>
      </c>
      <c r="V20">
        <v>0.74</v>
      </c>
      <c r="W20">
        <v>1.1499999999999999</v>
      </c>
      <c r="X20">
        <v>0.2</v>
      </c>
      <c r="Y20">
        <v>1</v>
      </c>
      <c r="Z20">
        <v>10</v>
      </c>
    </row>
    <row r="21" spans="1:26" x14ac:dyDescent="0.3">
      <c r="A21">
        <v>19</v>
      </c>
      <c r="B21">
        <v>65</v>
      </c>
      <c r="C21" t="s">
        <v>26</v>
      </c>
      <c r="D21">
        <v>10.7258</v>
      </c>
      <c r="E21">
        <v>9.32</v>
      </c>
      <c r="F21">
        <v>6.87</v>
      </c>
      <c r="G21">
        <v>41.23</v>
      </c>
      <c r="H21">
        <v>0.73</v>
      </c>
      <c r="I21">
        <v>10</v>
      </c>
      <c r="J21">
        <v>139.61000000000001</v>
      </c>
      <c r="K21">
        <v>46.47</v>
      </c>
      <c r="L21">
        <v>5.75</v>
      </c>
      <c r="M21">
        <v>8</v>
      </c>
      <c r="N21">
        <v>22.4</v>
      </c>
      <c r="O21">
        <v>17453.099999999999</v>
      </c>
      <c r="P21">
        <v>69.709999999999994</v>
      </c>
      <c r="Q21">
        <v>204.14</v>
      </c>
      <c r="R21">
        <v>27.46</v>
      </c>
      <c r="S21">
        <v>17.37</v>
      </c>
      <c r="T21">
        <v>2920.34</v>
      </c>
      <c r="U21">
        <v>0.63</v>
      </c>
      <c r="V21">
        <v>0.74</v>
      </c>
      <c r="W21">
        <v>1.1499999999999999</v>
      </c>
      <c r="X21">
        <v>0.18</v>
      </c>
      <c r="Y21">
        <v>1</v>
      </c>
      <c r="Z21">
        <v>10</v>
      </c>
    </row>
    <row r="22" spans="1:26" x14ac:dyDescent="0.3">
      <c r="A22">
        <v>20</v>
      </c>
      <c r="B22">
        <v>65</v>
      </c>
      <c r="C22" t="s">
        <v>26</v>
      </c>
      <c r="D22">
        <v>10.737</v>
      </c>
      <c r="E22">
        <v>9.31</v>
      </c>
      <c r="F22">
        <v>6.86</v>
      </c>
      <c r="G22">
        <v>41.17</v>
      </c>
      <c r="H22">
        <v>0.76</v>
      </c>
      <c r="I22">
        <v>10</v>
      </c>
      <c r="J22">
        <v>139.94999999999999</v>
      </c>
      <c r="K22">
        <v>46.47</v>
      </c>
      <c r="L22">
        <v>6</v>
      </c>
      <c r="M22">
        <v>8</v>
      </c>
      <c r="N22">
        <v>22.49</v>
      </c>
      <c r="O22">
        <v>17494.97</v>
      </c>
      <c r="P22">
        <v>69.67</v>
      </c>
      <c r="Q22">
        <v>204.14</v>
      </c>
      <c r="R22">
        <v>27.08</v>
      </c>
      <c r="S22">
        <v>17.37</v>
      </c>
      <c r="T22">
        <v>2734.28</v>
      </c>
      <c r="U22">
        <v>0.64</v>
      </c>
      <c r="V22">
        <v>0.74</v>
      </c>
      <c r="W22">
        <v>1.1499999999999999</v>
      </c>
      <c r="X22">
        <v>0.17</v>
      </c>
      <c r="Y22">
        <v>1</v>
      </c>
      <c r="Z22">
        <v>10</v>
      </c>
    </row>
    <row r="23" spans="1:26" x14ac:dyDescent="0.3">
      <c r="A23">
        <v>21</v>
      </c>
      <c r="B23">
        <v>65</v>
      </c>
      <c r="C23" t="s">
        <v>26</v>
      </c>
      <c r="D23">
        <v>10.777799999999999</v>
      </c>
      <c r="E23">
        <v>9.2799999999999994</v>
      </c>
      <c r="F23">
        <v>6.85</v>
      </c>
      <c r="G23">
        <v>45.69</v>
      </c>
      <c r="H23">
        <v>0.79</v>
      </c>
      <c r="I23">
        <v>9</v>
      </c>
      <c r="J23">
        <v>140.29</v>
      </c>
      <c r="K23">
        <v>46.47</v>
      </c>
      <c r="L23">
        <v>6.25</v>
      </c>
      <c r="M23">
        <v>7</v>
      </c>
      <c r="N23">
        <v>22.58</v>
      </c>
      <c r="O23">
        <v>17536.87</v>
      </c>
      <c r="P23">
        <v>69.11</v>
      </c>
      <c r="Q23">
        <v>204.14</v>
      </c>
      <c r="R23">
        <v>26.84</v>
      </c>
      <c r="S23">
        <v>17.37</v>
      </c>
      <c r="T23">
        <v>2616.9299999999998</v>
      </c>
      <c r="U23">
        <v>0.65</v>
      </c>
      <c r="V23">
        <v>0.75</v>
      </c>
      <c r="W23">
        <v>1.1499999999999999</v>
      </c>
      <c r="X23">
        <v>0.16</v>
      </c>
      <c r="Y23">
        <v>1</v>
      </c>
      <c r="Z23">
        <v>10</v>
      </c>
    </row>
    <row r="24" spans="1:26" x14ac:dyDescent="0.3">
      <c r="A24">
        <v>22</v>
      </c>
      <c r="B24">
        <v>65</v>
      </c>
      <c r="C24" t="s">
        <v>26</v>
      </c>
      <c r="D24">
        <v>10.7707</v>
      </c>
      <c r="E24">
        <v>9.2799999999999994</v>
      </c>
      <c r="F24">
        <v>6.86</v>
      </c>
      <c r="G24">
        <v>45.73</v>
      </c>
      <c r="H24">
        <v>0.82</v>
      </c>
      <c r="I24">
        <v>9</v>
      </c>
      <c r="J24">
        <v>140.63</v>
      </c>
      <c r="K24">
        <v>46.47</v>
      </c>
      <c r="L24">
        <v>6.5</v>
      </c>
      <c r="M24">
        <v>7</v>
      </c>
      <c r="N24">
        <v>22.67</v>
      </c>
      <c r="O24">
        <v>17578.8</v>
      </c>
      <c r="P24">
        <v>69.33</v>
      </c>
      <c r="Q24">
        <v>204.15</v>
      </c>
      <c r="R24">
        <v>26.96</v>
      </c>
      <c r="S24">
        <v>17.37</v>
      </c>
      <c r="T24">
        <v>2678.81</v>
      </c>
      <c r="U24">
        <v>0.64</v>
      </c>
      <c r="V24">
        <v>0.74</v>
      </c>
      <c r="W24">
        <v>1.1499999999999999</v>
      </c>
      <c r="X24">
        <v>0.17</v>
      </c>
      <c r="Y24">
        <v>1</v>
      </c>
      <c r="Z24">
        <v>10</v>
      </c>
    </row>
    <row r="25" spans="1:26" x14ac:dyDescent="0.3">
      <c r="A25">
        <v>23</v>
      </c>
      <c r="B25">
        <v>65</v>
      </c>
      <c r="C25" t="s">
        <v>26</v>
      </c>
      <c r="D25">
        <v>10.7723</v>
      </c>
      <c r="E25">
        <v>9.2799999999999994</v>
      </c>
      <c r="F25">
        <v>6.86</v>
      </c>
      <c r="G25">
        <v>45.72</v>
      </c>
      <c r="H25">
        <v>0.85</v>
      </c>
      <c r="I25">
        <v>9</v>
      </c>
      <c r="J25">
        <v>140.97</v>
      </c>
      <c r="K25">
        <v>46.47</v>
      </c>
      <c r="L25">
        <v>6.75</v>
      </c>
      <c r="M25">
        <v>7</v>
      </c>
      <c r="N25">
        <v>22.76</v>
      </c>
      <c r="O25">
        <v>17620.759999999998</v>
      </c>
      <c r="P25">
        <v>68.819999999999993</v>
      </c>
      <c r="Q25">
        <v>204.15</v>
      </c>
      <c r="R25">
        <v>27.14</v>
      </c>
      <c r="S25">
        <v>17.37</v>
      </c>
      <c r="T25">
        <v>2768.03</v>
      </c>
      <c r="U25">
        <v>0.64</v>
      </c>
      <c r="V25">
        <v>0.74</v>
      </c>
      <c r="W25">
        <v>1.1499999999999999</v>
      </c>
      <c r="X25">
        <v>0.17</v>
      </c>
      <c r="Y25">
        <v>1</v>
      </c>
      <c r="Z25">
        <v>10</v>
      </c>
    </row>
    <row r="26" spans="1:26" x14ac:dyDescent="0.3">
      <c r="A26">
        <v>24</v>
      </c>
      <c r="B26">
        <v>65</v>
      </c>
      <c r="C26" t="s">
        <v>26</v>
      </c>
      <c r="D26">
        <v>10.8329</v>
      </c>
      <c r="E26">
        <v>9.23</v>
      </c>
      <c r="F26">
        <v>6.83</v>
      </c>
      <c r="G26">
        <v>51.25</v>
      </c>
      <c r="H26">
        <v>0.88</v>
      </c>
      <c r="I26">
        <v>8</v>
      </c>
      <c r="J26">
        <v>141.31</v>
      </c>
      <c r="K26">
        <v>46.47</v>
      </c>
      <c r="L26">
        <v>7</v>
      </c>
      <c r="M26">
        <v>6</v>
      </c>
      <c r="N26">
        <v>22.85</v>
      </c>
      <c r="O26">
        <v>17662.75</v>
      </c>
      <c r="P26">
        <v>68.09</v>
      </c>
      <c r="Q26">
        <v>204.14</v>
      </c>
      <c r="R26">
        <v>26.35</v>
      </c>
      <c r="S26">
        <v>17.37</v>
      </c>
      <c r="T26">
        <v>2376.91</v>
      </c>
      <c r="U26">
        <v>0.66</v>
      </c>
      <c r="V26">
        <v>0.75</v>
      </c>
      <c r="W26">
        <v>1.1499999999999999</v>
      </c>
      <c r="X26">
        <v>0.14000000000000001</v>
      </c>
      <c r="Y26">
        <v>1</v>
      </c>
      <c r="Z26">
        <v>10</v>
      </c>
    </row>
    <row r="27" spans="1:26" x14ac:dyDescent="0.3">
      <c r="A27">
        <v>25</v>
      </c>
      <c r="B27">
        <v>65</v>
      </c>
      <c r="C27" t="s">
        <v>26</v>
      </c>
      <c r="D27">
        <v>10.8444</v>
      </c>
      <c r="E27">
        <v>9.2200000000000006</v>
      </c>
      <c r="F27">
        <v>6.82</v>
      </c>
      <c r="G27">
        <v>51.17</v>
      </c>
      <c r="H27">
        <v>0.91</v>
      </c>
      <c r="I27">
        <v>8</v>
      </c>
      <c r="J27">
        <v>141.66</v>
      </c>
      <c r="K27">
        <v>46.47</v>
      </c>
      <c r="L27">
        <v>7.25</v>
      </c>
      <c r="M27">
        <v>6</v>
      </c>
      <c r="N27">
        <v>22.94</v>
      </c>
      <c r="O27">
        <v>17704.77</v>
      </c>
      <c r="P27">
        <v>67.62</v>
      </c>
      <c r="Q27">
        <v>204.15</v>
      </c>
      <c r="R27">
        <v>25.89</v>
      </c>
      <c r="S27">
        <v>17.37</v>
      </c>
      <c r="T27">
        <v>2145.8200000000002</v>
      </c>
      <c r="U27">
        <v>0.67</v>
      </c>
      <c r="V27">
        <v>0.75</v>
      </c>
      <c r="W27">
        <v>1.1499999999999999</v>
      </c>
      <c r="X27">
        <v>0.13</v>
      </c>
      <c r="Y27">
        <v>1</v>
      </c>
      <c r="Z27">
        <v>10</v>
      </c>
    </row>
    <row r="28" spans="1:26" x14ac:dyDescent="0.3">
      <c r="A28">
        <v>26</v>
      </c>
      <c r="B28">
        <v>65</v>
      </c>
      <c r="C28" t="s">
        <v>26</v>
      </c>
      <c r="D28">
        <v>10.837199999999999</v>
      </c>
      <c r="E28">
        <v>9.23</v>
      </c>
      <c r="F28">
        <v>6.83</v>
      </c>
      <c r="G28">
        <v>51.22</v>
      </c>
      <c r="H28">
        <v>0.93</v>
      </c>
      <c r="I28">
        <v>8</v>
      </c>
      <c r="J28">
        <v>142</v>
      </c>
      <c r="K28">
        <v>46.47</v>
      </c>
      <c r="L28">
        <v>7.5</v>
      </c>
      <c r="M28">
        <v>6</v>
      </c>
      <c r="N28">
        <v>23.03</v>
      </c>
      <c r="O28">
        <v>17746.830000000002</v>
      </c>
      <c r="P28">
        <v>67.319999999999993</v>
      </c>
      <c r="Q28">
        <v>204.15</v>
      </c>
      <c r="R28">
        <v>26.1</v>
      </c>
      <c r="S28">
        <v>17.37</v>
      </c>
      <c r="T28">
        <v>2254.17</v>
      </c>
      <c r="U28">
        <v>0.67</v>
      </c>
      <c r="V28">
        <v>0.75</v>
      </c>
      <c r="W28">
        <v>1.1499999999999999</v>
      </c>
      <c r="X28">
        <v>0.14000000000000001</v>
      </c>
      <c r="Y28">
        <v>1</v>
      </c>
      <c r="Z28">
        <v>10</v>
      </c>
    </row>
    <row r="29" spans="1:26" x14ac:dyDescent="0.3">
      <c r="A29">
        <v>27</v>
      </c>
      <c r="B29">
        <v>65</v>
      </c>
      <c r="C29" t="s">
        <v>26</v>
      </c>
      <c r="D29">
        <v>10.833299999999999</v>
      </c>
      <c r="E29">
        <v>9.23</v>
      </c>
      <c r="F29">
        <v>6.83</v>
      </c>
      <c r="G29">
        <v>51.25</v>
      </c>
      <c r="H29">
        <v>0.96</v>
      </c>
      <c r="I29">
        <v>8</v>
      </c>
      <c r="J29">
        <v>142.34</v>
      </c>
      <c r="K29">
        <v>46.47</v>
      </c>
      <c r="L29">
        <v>7.75</v>
      </c>
      <c r="M29">
        <v>6</v>
      </c>
      <c r="N29">
        <v>23.12</v>
      </c>
      <c r="O29">
        <v>17788.919999999998</v>
      </c>
      <c r="P29">
        <v>67.13</v>
      </c>
      <c r="Q29">
        <v>204.14</v>
      </c>
      <c r="R29">
        <v>26.18</v>
      </c>
      <c r="S29">
        <v>17.37</v>
      </c>
      <c r="T29">
        <v>2293.09</v>
      </c>
      <c r="U29">
        <v>0.66</v>
      </c>
      <c r="V29">
        <v>0.75</v>
      </c>
      <c r="W29">
        <v>1.1499999999999999</v>
      </c>
      <c r="X29">
        <v>0.14000000000000001</v>
      </c>
      <c r="Y29">
        <v>1</v>
      </c>
      <c r="Z29">
        <v>10</v>
      </c>
    </row>
    <row r="30" spans="1:26" x14ac:dyDescent="0.3">
      <c r="A30">
        <v>28</v>
      </c>
      <c r="B30">
        <v>65</v>
      </c>
      <c r="C30" t="s">
        <v>26</v>
      </c>
      <c r="D30">
        <v>10.901199999999999</v>
      </c>
      <c r="E30">
        <v>9.17</v>
      </c>
      <c r="F30">
        <v>6.8</v>
      </c>
      <c r="G30">
        <v>58.31</v>
      </c>
      <c r="H30">
        <v>0.99</v>
      </c>
      <c r="I30">
        <v>7</v>
      </c>
      <c r="J30">
        <v>142.68</v>
      </c>
      <c r="K30">
        <v>46.47</v>
      </c>
      <c r="L30">
        <v>8</v>
      </c>
      <c r="M30">
        <v>5</v>
      </c>
      <c r="N30">
        <v>23.21</v>
      </c>
      <c r="O30">
        <v>17831.04</v>
      </c>
      <c r="P30">
        <v>66.47</v>
      </c>
      <c r="Q30">
        <v>204.16</v>
      </c>
      <c r="R30">
        <v>25.27</v>
      </c>
      <c r="S30">
        <v>17.37</v>
      </c>
      <c r="T30">
        <v>1841.67</v>
      </c>
      <c r="U30">
        <v>0.69</v>
      </c>
      <c r="V30">
        <v>0.75</v>
      </c>
      <c r="W30">
        <v>1.1499999999999999</v>
      </c>
      <c r="X30">
        <v>0.11</v>
      </c>
      <c r="Y30">
        <v>1</v>
      </c>
      <c r="Z30">
        <v>10</v>
      </c>
    </row>
    <row r="31" spans="1:26" x14ac:dyDescent="0.3">
      <c r="A31">
        <v>29</v>
      </c>
      <c r="B31">
        <v>65</v>
      </c>
      <c r="C31" t="s">
        <v>26</v>
      </c>
      <c r="D31">
        <v>10.900499999999999</v>
      </c>
      <c r="E31">
        <v>9.17</v>
      </c>
      <c r="F31">
        <v>6.8</v>
      </c>
      <c r="G31">
        <v>58.31</v>
      </c>
      <c r="H31">
        <v>1.02</v>
      </c>
      <c r="I31">
        <v>7</v>
      </c>
      <c r="J31">
        <v>143.02000000000001</v>
      </c>
      <c r="K31">
        <v>46.47</v>
      </c>
      <c r="L31">
        <v>8.25</v>
      </c>
      <c r="M31">
        <v>5</v>
      </c>
      <c r="N31">
        <v>23.3</v>
      </c>
      <c r="O31">
        <v>17873.189999999999</v>
      </c>
      <c r="P31">
        <v>66.75</v>
      </c>
      <c r="Q31">
        <v>204.17</v>
      </c>
      <c r="R31">
        <v>25.33</v>
      </c>
      <c r="S31">
        <v>17.37</v>
      </c>
      <c r="T31">
        <v>1872.83</v>
      </c>
      <c r="U31">
        <v>0.69</v>
      </c>
      <c r="V31">
        <v>0.75</v>
      </c>
      <c r="W31">
        <v>1.1499999999999999</v>
      </c>
      <c r="X31">
        <v>0.11</v>
      </c>
      <c r="Y31">
        <v>1</v>
      </c>
      <c r="Z31">
        <v>10</v>
      </c>
    </row>
    <row r="32" spans="1:26" x14ac:dyDescent="0.3">
      <c r="A32">
        <v>30</v>
      </c>
      <c r="B32">
        <v>65</v>
      </c>
      <c r="C32" t="s">
        <v>26</v>
      </c>
      <c r="D32">
        <v>10.887600000000001</v>
      </c>
      <c r="E32">
        <v>9.18</v>
      </c>
      <c r="F32">
        <v>6.81</v>
      </c>
      <c r="G32">
        <v>58.4</v>
      </c>
      <c r="H32">
        <v>1.05</v>
      </c>
      <c r="I32">
        <v>7</v>
      </c>
      <c r="J32">
        <v>143.36000000000001</v>
      </c>
      <c r="K32">
        <v>46.47</v>
      </c>
      <c r="L32">
        <v>8.5</v>
      </c>
      <c r="M32">
        <v>5</v>
      </c>
      <c r="N32">
        <v>23.4</v>
      </c>
      <c r="O32">
        <v>17915.37</v>
      </c>
      <c r="P32">
        <v>66.599999999999994</v>
      </c>
      <c r="Q32">
        <v>204.15</v>
      </c>
      <c r="R32">
        <v>25.63</v>
      </c>
      <c r="S32">
        <v>17.37</v>
      </c>
      <c r="T32">
        <v>2023.79</v>
      </c>
      <c r="U32">
        <v>0.68</v>
      </c>
      <c r="V32">
        <v>0.75</v>
      </c>
      <c r="W32">
        <v>1.1499999999999999</v>
      </c>
      <c r="X32">
        <v>0.12</v>
      </c>
      <c r="Y32">
        <v>1</v>
      </c>
      <c r="Z32">
        <v>10</v>
      </c>
    </row>
    <row r="33" spans="1:26" x14ac:dyDescent="0.3">
      <c r="A33">
        <v>31</v>
      </c>
      <c r="B33">
        <v>65</v>
      </c>
      <c r="C33" t="s">
        <v>26</v>
      </c>
      <c r="D33">
        <v>10.8909</v>
      </c>
      <c r="E33">
        <v>9.18</v>
      </c>
      <c r="F33">
        <v>6.81</v>
      </c>
      <c r="G33">
        <v>58.38</v>
      </c>
      <c r="H33">
        <v>1.08</v>
      </c>
      <c r="I33">
        <v>7</v>
      </c>
      <c r="J33">
        <v>143.69999999999999</v>
      </c>
      <c r="K33">
        <v>46.47</v>
      </c>
      <c r="L33">
        <v>8.75</v>
      </c>
      <c r="M33">
        <v>5</v>
      </c>
      <c r="N33">
        <v>23.49</v>
      </c>
      <c r="O33">
        <v>17957.59</v>
      </c>
      <c r="P33">
        <v>66.22</v>
      </c>
      <c r="Q33">
        <v>204.14</v>
      </c>
      <c r="R33">
        <v>25.59</v>
      </c>
      <c r="S33">
        <v>17.37</v>
      </c>
      <c r="T33">
        <v>2003.8</v>
      </c>
      <c r="U33">
        <v>0.68</v>
      </c>
      <c r="V33">
        <v>0.75</v>
      </c>
      <c r="W33">
        <v>1.1499999999999999</v>
      </c>
      <c r="X33">
        <v>0.12</v>
      </c>
      <c r="Y33">
        <v>1</v>
      </c>
      <c r="Z33">
        <v>10</v>
      </c>
    </row>
    <row r="34" spans="1:26" x14ac:dyDescent="0.3">
      <c r="A34">
        <v>32</v>
      </c>
      <c r="B34">
        <v>65</v>
      </c>
      <c r="C34" t="s">
        <v>26</v>
      </c>
      <c r="D34">
        <v>10.882099999999999</v>
      </c>
      <c r="E34">
        <v>9.19</v>
      </c>
      <c r="F34">
        <v>6.82</v>
      </c>
      <c r="G34">
        <v>58.45</v>
      </c>
      <c r="H34">
        <v>1.1100000000000001</v>
      </c>
      <c r="I34">
        <v>7</v>
      </c>
      <c r="J34">
        <v>144.05000000000001</v>
      </c>
      <c r="K34">
        <v>46.47</v>
      </c>
      <c r="L34">
        <v>9</v>
      </c>
      <c r="M34">
        <v>5</v>
      </c>
      <c r="N34">
        <v>23.58</v>
      </c>
      <c r="O34">
        <v>17999.830000000002</v>
      </c>
      <c r="P34">
        <v>65.73</v>
      </c>
      <c r="Q34">
        <v>204.14</v>
      </c>
      <c r="R34">
        <v>25.86</v>
      </c>
      <c r="S34">
        <v>17.37</v>
      </c>
      <c r="T34">
        <v>2137.75</v>
      </c>
      <c r="U34">
        <v>0.67</v>
      </c>
      <c r="V34">
        <v>0.75</v>
      </c>
      <c r="W34">
        <v>1.1499999999999999</v>
      </c>
      <c r="X34">
        <v>0.13</v>
      </c>
      <c r="Y34">
        <v>1</v>
      </c>
      <c r="Z34">
        <v>10</v>
      </c>
    </row>
    <row r="35" spans="1:26" x14ac:dyDescent="0.3">
      <c r="A35">
        <v>33</v>
      </c>
      <c r="B35">
        <v>65</v>
      </c>
      <c r="C35" t="s">
        <v>26</v>
      </c>
      <c r="D35">
        <v>10.898899999999999</v>
      </c>
      <c r="E35">
        <v>9.18</v>
      </c>
      <c r="F35">
        <v>6.8</v>
      </c>
      <c r="G35">
        <v>58.32</v>
      </c>
      <c r="H35">
        <v>1.1299999999999999</v>
      </c>
      <c r="I35">
        <v>7</v>
      </c>
      <c r="J35">
        <v>144.38999999999999</v>
      </c>
      <c r="K35">
        <v>46.47</v>
      </c>
      <c r="L35">
        <v>9.25</v>
      </c>
      <c r="M35">
        <v>5</v>
      </c>
      <c r="N35">
        <v>23.67</v>
      </c>
      <c r="O35">
        <v>18042.12</v>
      </c>
      <c r="P35">
        <v>65.09</v>
      </c>
      <c r="Q35">
        <v>204.14</v>
      </c>
      <c r="R35">
        <v>25.43</v>
      </c>
      <c r="S35">
        <v>17.37</v>
      </c>
      <c r="T35">
        <v>1921.82</v>
      </c>
      <c r="U35">
        <v>0.68</v>
      </c>
      <c r="V35">
        <v>0.75</v>
      </c>
      <c r="W35">
        <v>1.1499999999999999</v>
      </c>
      <c r="X35">
        <v>0.11</v>
      </c>
      <c r="Y35">
        <v>1</v>
      </c>
      <c r="Z35">
        <v>10</v>
      </c>
    </row>
    <row r="36" spans="1:26" x14ac:dyDescent="0.3">
      <c r="A36">
        <v>34</v>
      </c>
      <c r="B36">
        <v>65</v>
      </c>
      <c r="C36" t="s">
        <v>26</v>
      </c>
      <c r="D36">
        <v>10.9506</v>
      </c>
      <c r="E36">
        <v>9.1300000000000008</v>
      </c>
      <c r="F36">
        <v>6.79</v>
      </c>
      <c r="G36">
        <v>67.88</v>
      </c>
      <c r="H36">
        <v>1.1599999999999999</v>
      </c>
      <c r="I36">
        <v>6</v>
      </c>
      <c r="J36">
        <v>144.72999999999999</v>
      </c>
      <c r="K36">
        <v>46.47</v>
      </c>
      <c r="L36">
        <v>9.5</v>
      </c>
      <c r="M36">
        <v>4</v>
      </c>
      <c r="N36">
        <v>23.77</v>
      </c>
      <c r="O36">
        <v>18084.43</v>
      </c>
      <c r="P36">
        <v>64.7</v>
      </c>
      <c r="Q36">
        <v>204.14</v>
      </c>
      <c r="R36">
        <v>24.86</v>
      </c>
      <c r="S36">
        <v>17.37</v>
      </c>
      <c r="T36">
        <v>1643.79</v>
      </c>
      <c r="U36">
        <v>0.7</v>
      </c>
      <c r="V36">
        <v>0.75</v>
      </c>
      <c r="W36">
        <v>1.1499999999999999</v>
      </c>
      <c r="X36">
        <v>0.1</v>
      </c>
      <c r="Y36">
        <v>1</v>
      </c>
      <c r="Z36">
        <v>10</v>
      </c>
    </row>
    <row r="37" spans="1:26" x14ac:dyDescent="0.3">
      <c r="A37">
        <v>35</v>
      </c>
      <c r="B37">
        <v>65</v>
      </c>
      <c r="C37" t="s">
        <v>26</v>
      </c>
      <c r="D37">
        <v>10.9499</v>
      </c>
      <c r="E37">
        <v>9.1300000000000008</v>
      </c>
      <c r="F37">
        <v>6.79</v>
      </c>
      <c r="G37">
        <v>67.89</v>
      </c>
      <c r="H37">
        <v>1.19</v>
      </c>
      <c r="I37">
        <v>6</v>
      </c>
      <c r="J37">
        <v>145.08000000000001</v>
      </c>
      <c r="K37">
        <v>46.47</v>
      </c>
      <c r="L37">
        <v>9.75</v>
      </c>
      <c r="M37">
        <v>4</v>
      </c>
      <c r="N37">
        <v>23.86</v>
      </c>
      <c r="O37">
        <v>18126.77</v>
      </c>
      <c r="P37">
        <v>64.75</v>
      </c>
      <c r="Q37">
        <v>204.15</v>
      </c>
      <c r="R37">
        <v>24.93</v>
      </c>
      <c r="S37">
        <v>17.37</v>
      </c>
      <c r="T37">
        <v>1675.47</v>
      </c>
      <c r="U37">
        <v>0.7</v>
      </c>
      <c r="V37">
        <v>0.75</v>
      </c>
      <c r="W37">
        <v>1.1399999999999999</v>
      </c>
      <c r="X37">
        <v>0.1</v>
      </c>
      <c r="Y37">
        <v>1</v>
      </c>
      <c r="Z37">
        <v>10</v>
      </c>
    </row>
    <row r="38" spans="1:26" x14ac:dyDescent="0.3">
      <c r="A38">
        <v>36</v>
      </c>
      <c r="B38">
        <v>65</v>
      </c>
      <c r="C38" t="s">
        <v>26</v>
      </c>
      <c r="D38">
        <v>10.9559</v>
      </c>
      <c r="E38">
        <v>9.1300000000000008</v>
      </c>
      <c r="F38">
        <v>6.78</v>
      </c>
      <c r="G38">
        <v>67.84</v>
      </c>
      <c r="H38">
        <v>1.22</v>
      </c>
      <c r="I38">
        <v>6</v>
      </c>
      <c r="J38">
        <v>145.41999999999999</v>
      </c>
      <c r="K38">
        <v>46.47</v>
      </c>
      <c r="L38">
        <v>10</v>
      </c>
      <c r="M38">
        <v>4</v>
      </c>
      <c r="N38">
        <v>23.95</v>
      </c>
      <c r="O38">
        <v>18169.150000000001</v>
      </c>
      <c r="P38">
        <v>64.56</v>
      </c>
      <c r="Q38">
        <v>204.16</v>
      </c>
      <c r="R38">
        <v>24.69</v>
      </c>
      <c r="S38">
        <v>17.37</v>
      </c>
      <c r="T38">
        <v>1559.7</v>
      </c>
      <c r="U38">
        <v>0.7</v>
      </c>
      <c r="V38">
        <v>0.75</v>
      </c>
      <c r="W38">
        <v>1.1499999999999999</v>
      </c>
      <c r="X38">
        <v>0.09</v>
      </c>
      <c r="Y38">
        <v>1</v>
      </c>
      <c r="Z38">
        <v>10</v>
      </c>
    </row>
    <row r="39" spans="1:26" x14ac:dyDescent="0.3">
      <c r="A39">
        <v>37</v>
      </c>
      <c r="B39">
        <v>65</v>
      </c>
      <c r="C39" t="s">
        <v>26</v>
      </c>
      <c r="D39">
        <v>10.9582</v>
      </c>
      <c r="E39">
        <v>9.1300000000000008</v>
      </c>
      <c r="F39">
        <v>6.78</v>
      </c>
      <c r="G39">
        <v>67.819999999999993</v>
      </c>
      <c r="H39">
        <v>1.24</v>
      </c>
      <c r="I39">
        <v>6</v>
      </c>
      <c r="J39">
        <v>145.76</v>
      </c>
      <c r="K39">
        <v>46.47</v>
      </c>
      <c r="L39">
        <v>10.25</v>
      </c>
      <c r="M39">
        <v>4</v>
      </c>
      <c r="N39">
        <v>24.05</v>
      </c>
      <c r="O39">
        <v>18211.560000000001</v>
      </c>
      <c r="P39">
        <v>64</v>
      </c>
      <c r="Q39">
        <v>204.18</v>
      </c>
      <c r="R39">
        <v>24.72</v>
      </c>
      <c r="S39">
        <v>17.37</v>
      </c>
      <c r="T39">
        <v>1574.61</v>
      </c>
      <c r="U39">
        <v>0.7</v>
      </c>
      <c r="V39">
        <v>0.75</v>
      </c>
      <c r="W39">
        <v>1.1399999999999999</v>
      </c>
      <c r="X39">
        <v>0.09</v>
      </c>
      <c r="Y39">
        <v>1</v>
      </c>
      <c r="Z39">
        <v>10</v>
      </c>
    </row>
    <row r="40" spans="1:26" x14ac:dyDescent="0.3">
      <c r="A40">
        <v>38</v>
      </c>
      <c r="B40">
        <v>65</v>
      </c>
      <c r="C40" t="s">
        <v>26</v>
      </c>
      <c r="D40">
        <v>10.9482</v>
      </c>
      <c r="E40">
        <v>9.1300000000000008</v>
      </c>
      <c r="F40">
        <v>6.79</v>
      </c>
      <c r="G40">
        <v>67.900000000000006</v>
      </c>
      <c r="H40">
        <v>1.27</v>
      </c>
      <c r="I40">
        <v>6</v>
      </c>
      <c r="J40">
        <v>146.11000000000001</v>
      </c>
      <c r="K40">
        <v>46.47</v>
      </c>
      <c r="L40">
        <v>10.5</v>
      </c>
      <c r="M40">
        <v>4</v>
      </c>
      <c r="N40">
        <v>24.14</v>
      </c>
      <c r="O40">
        <v>18254.009999999998</v>
      </c>
      <c r="P40">
        <v>63.69</v>
      </c>
      <c r="Q40">
        <v>204.15</v>
      </c>
      <c r="R40">
        <v>24.96</v>
      </c>
      <c r="S40">
        <v>17.37</v>
      </c>
      <c r="T40">
        <v>1693.36</v>
      </c>
      <c r="U40">
        <v>0.7</v>
      </c>
      <c r="V40">
        <v>0.75</v>
      </c>
      <c r="W40">
        <v>1.1399999999999999</v>
      </c>
      <c r="X40">
        <v>0.1</v>
      </c>
      <c r="Y40">
        <v>1</v>
      </c>
      <c r="Z40">
        <v>10</v>
      </c>
    </row>
    <row r="41" spans="1:26" x14ac:dyDescent="0.3">
      <c r="A41">
        <v>39</v>
      </c>
      <c r="B41">
        <v>65</v>
      </c>
      <c r="C41" t="s">
        <v>26</v>
      </c>
      <c r="D41">
        <v>10.9496</v>
      </c>
      <c r="E41">
        <v>9.1300000000000008</v>
      </c>
      <c r="F41">
        <v>6.79</v>
      </c>
      <c r="G41">
        <v>67.89</v>
      </c>
      <c r="H41">
        <v>1.3</v>
      </c>
      <c r="I41">
        <v>6</v>
      </c>
      <c r="J41">
        <v>146.44999999999999</v>
      </c>
      <c r="K41">
        <v>46.47</v>
      </c>
      <c r="L41">
        <v>10.75</v>
      </c>
      <c r="M41">
        <v>4</v>
      </c>
      <c r="N41">
        <v>24.24</v>
      </c>
      <c r="O41">
        <v>18296.48</v>
      </c>
      <c r="P41">
        <v>63.48</v>
      </c>
      <c r="Q41">
        <v>204.15</v>
      </c>
      <c r="R41">
        <v>24.89</v>
      </c>
      <c r="S41">
        <v>17.37</v>
      </c>
      <c r="T41">
        <v>1655.2</v>
      </c>
      <c r="U41">
        <v>0.7</v>
      </c>
      <c r="V41">
        <v>0.75</v>
      </c>
      <c r="W41">
        <v>1.1499999999999999</v>
      </c>
      <c r="X41">
        <v>0.1</v>
      </c>
      <c r="Y41">
        <v>1</v>
      </c>
      <c r="Z41">
        <v>10</v>
      </c>
    </row>
    <row r="42" spans="1:26" x14ac:dyDescent="0.3">
      <c r="A42">
        <v>40</v>
      </c>
      <c r="B42">
        <v>65</v>
      </c>
      <c r="C42" t="s">
        <v>26</v>
      </c>
      <c r="D42">
        <v>10.940300000000001</v>
      </c>
      <c r="E42">
        <v>9.14</v>
      </c>
      <c r="F42">
        <v>6.8</v>
      </c>
      <c r="G42">
        <v>67.97</v>
      </c>
      <c r="H42">
        <v>1.33</v>
      </c>
      <c r="I42">
        <v>6</v>
      </c>
      <c r="J42">
        <v>146.80000000000001</v>
      </c>
      <c r="K42">
        <v>46.47</v>
      </c>
      <c r="L42">
        <v>11</v>
      </c>
      <c r="M42">
        <v>4</v>
      </c>
      <c r="N42">
        <v>24.33</v>
      </c>
      <c r="O42">
        <v>18338.990000000002</v>
      </c>
      <c r="P42">
        <v>62.77</v>
      </c>
      <c r="Q42">
        <v>204.14</v>
      </c>
      <c r="R42">
        <v>25.09</v>
      </c>
      <c r="S42">
        <v>17.37</v>
      </c>
      <c r="T42">
        <v>1759.69</v>
      </c>
      <c r="U42">
        <v>0.69</v>
      </c>
      <c r="V42">
        <v>0.75</v>
      </c>
      <c r="W42">
        <v>1.1499999999999999</v>
      </c>
      <c r="X42">
        <v>0.11</v>
      </c>
      <c r="Y42">
        <v>1</v>
      </c>
      <c r="Z42">
        <v>10</v>
      </c>
    </row>
    <row r="43" spans="1:26" x14ac:dyDescent="0.3">
      <c r="A43">
        <v>41</v>
      </c>
      <c r="B43">
        <v>65</v>
      </c>
      <c r="C43" t="s">
        <v>26</v>
      </c>
      <c r="D43">
        <v>11.0008</v>
      </c>
      <c r="E43">
        <v>9.09</v>
      </c>
      <c r="F43">
        <v>6.77</v>
      </c>
      <c r="G43">
        <v>81.290000000000006</v>
      </c>
      <c r="H43">
        <v>1.35</v>
      </c>
      <c r="I43">
        <v>5</v>
      </c>
      <c r="J43">
        <v>147.13999999999999</v>
      </c>
      <c r="K43">
        <v>46.47</v>
      </c>
      <c r="L43">
        <v>11.25</v>
      </c>
      <c r="M43">
        <v>3</v>
      </c>
      <c r="N43">
        <v>24.43</v>
      </c>
      <c r="O43">
        <v>18381.53</v>
      </c>
      <c r="P43">
        <v>62.28</v>
      </c>
      <c r="Q43">
        <v>204.14</v>
      </c>
      <c r="R43">
        <v>24.48</v>
      </c>
      <c r="S43">
        <v>17.37</v>
      </c>
      <c r="T43">
        <v>1456.76</v>
      </c>
      <c r="U43">
        <v>0.71</v>
      </c>
      <c r="V43">
        <v>0.75</v>
      </c>
      <c r="W43">
        <v>1.1399999999999999</v>
      </c>
      <c r="X43">
        <v>0.08</v>
      </c>
      <c r="Y43">
        <v>1</v>
      </c>
      <c r="Z43">
        <v>10</v>
      </c>
    </row>
    <row r="44" spans="1:26" x14ac:dyDescent="0.3">
      <c r="A44">
        <v>42</v>
      </c>
      <c r="B44">
        <v>65</v>
      </c>
      <c r="C44" t="s">
        <v>26</v>
      </c>
      <c r="D44">
        <v>11.0008</v>
      </c>
      <c r="E44">
        <v>9.09</v>
      </c>
      <c r="F44">
        <v>6.77</v>
      </c>
      <c r="G44">
        <v>81.290000000000006</v>
      </c>
      <c r="H44">
        <v>1.38</v>
      </c>
      <c r="I44">
        <v>5</v>
      </c>
      <c r="J44">
        <v>147.49</v>
      </c>
      <c r="K44">
        <v>46.47</v>
      </c>
      <c r="L44">
        <v>11.5</v>
      </c>
      <c r="M44">
        <v>3</v>
      </c>
      <c r="N44">
        <v>24.52</v>
      </c>
      <c r="O44">
        <v>18424.11</v>
      </c>
      <c r="P44">
        <v>62.44</v>
      </c>
      <c r="Q44">
        <v>204.14</v>
      </c>
      <c r="R44">
        <v>24.48</v>
      </c>
      <c r="S44">
        <v>17.37</v>
      </c>
      <c r="T44">
        <v>1455.9</v>
      </c>
      <c r="U44">
        <v>0.71</v>
      </c>
      <c r="V44">
        <v>0.75</v>
      </c>
      <c r="W44">
        <v>1.1399999999999999</v>
      </c>
      <c r="X44">
        <v>0.08</v>
      </c>
      <c r="Y44">
        <v>1</v>
      </c>
      <c r="Z44">
        <v>10</v>
      </c>
    </row>
    <row r="45" spans="1:26" x14ac:dyDescent="0.3">
      <c r="A45">
        <v>43</v>
      </c>
      <c r="B45">
        <v>65</v>
      </c>
      <c r="C45" t="s">
        <v>26</v>
      </c>
      <c r="D45">
        <v>11.0001</v>
      </c>
      <c r="E45">
        <v>9.09</v>
      </c>
      <c r="F45">
        <v>6.77</v>
      </c>
      <c r="G45">
        <v>81.290000000000006</v>
      </c>
      <c r="H45">
        <v>1.41</v>
      </c>
      <c r="I45">
        <v>5</v>
      </c>
      <c r="J45">
        <v>147.83000000000001</v>
      </c>
      <c r="K45">
        <v>46.47</v>
      </c>
      <c r="L45">
        <v>11.75</v>
      </c>
      <c r="M45">
        <v>3</v>
      </c>
      <c r="N45">
        <v>24.62</v>
      </c>
      <c r="O45">
        <v>18466.71</v>
      </c>
      <c r="P45">
        <v>62.49</v>
      </c>
      <c r="Q45">
        <v>204.14</v>
      </c>
      <c r="R45">
        <v>24.53</v>
      </c>
      <c r="S45">
        <v>17.37</v>
      </c>
      <c r="T45">
        <v>1481.11</v>
      </c>
      <c r="U45">
        <v>0.71</v>
      </c>
      <c r="V45">
        <v>0.75</v>
      </c>
      <c r="W45">
        <v>1.1399999999999999</v>
      </c>
      <c r="X45">
        <v>0.08</v>
      </c>
      <c r="Y45">
        <v>1</v>
      </c>
      <c r="Z45">
        <v>10</v>
      </c>
    </row>
    <row r="46" spans="1:26" x14ac:dyDescent="0.3">
      <c r="A46">
        <v>44</v>
      </c>
      <c r="B46">
        <v>65</v>
      </c>
      <c r="C46" t="s">
        <v>26</v>
      </c>
      <c r="D46">
        <v>10.9964</v>
      </c>
      <c r="E46">
        <v>9.09</v>
      </c>
      <c r="F46">
        <v>6.78</v>
      </c>
      <c r="G46">
        <v>81.33</v>
      </c>
      <c r="H46">
        <v>1.43</v>
      </c>
      <c r="I46">
        <v>5</v>
      </c>
      <c r="J46">
        <v>148.18</v>
      </c>
      <c r="K46">
        <v>46.47</v>
      </c>
      <c r="L46">
        <v>12</v>
      </c>
      <c r="M46">
        <v>3</v>
      </c>
      <c r="N46">
        <v>24.71</v>
      </c>
      <c r="O46">
        <v>18509.36</v>
      </c>
      <c r="P46">
        <v>62.14</v>
      </c>
      <c r="Q46">
        <v>204.14</v>
      </c>
      <c r="R46">
        <v>24.51</v>
      </c>
      <c r="S46">
        <v>17.37</v>
      </c>
      <c r="T46">
        <v>1470.71</v>
      </c>
      <c r="U46">
        <v>0.71</v>
      </c>
      <c r="V46">
        <v>0.75</v>
      </c>
      <c r="W46">
        <v>1.1499999999999999</v>
      </c>
      <c r="X46">
        <v>0.09</v>
      </c>
      <c r="Y46">
        <v>1</v>
      </c>
      <c r="Z46">
        <v>10</v>
      </c>
    </row>
    <row r="47" spans="1:26" x14ac:dyDescent="0.3">
      <c r="A47">
        <v>45</v>
      </c>
      <c r="B47">
        <v>65</v>
      </c>
      <c r="C47" t="s">
        <v>26</v>
      </c>
      <c r="D47">
        <v>11.005100000000001</v>
      </c>
      <c r="E47">
        <v>9.09</v>
      </c>
      <c r="F47">
        <v>6.77</v>
      </c>
      <c r="G47">
        <v>81.239999999999995</v>
      </c>
      <c r="H47">
        <v>1.46</v>
      </c>
      <c r="I47">
        <v>5</v>
      </c>
      <c r="J47">
        <v>148.52000000000001</v>
      </c>
      <c r="K47">
        <v>46.47</v>
      </c>
      <c r="L47">
        <v>12.25</v>
      </c>
      <c r="M47">
        <v>3</v>
      </c>
      <c r="N47">
        <v>24.81</v>
      </c>
      <c r="O47">
        <v>18552.03</v>
      </c>
      <c r="P47">
        <v>61.64</v>
      </c>
      <c r="Q47">
        <v>204.14</v>
      </c>
      <c r="R47">
        <v>24.34</v>
      </c>
      <c r="S47">
        <v>17.37</v>
      </c>
      <c r="T47">
        <v>1388.26</v>
      </c>
      <c r="U47">
        <v>0.71</v>
      </c>
      <c r="V47">
        <v>0.75</v>
      </c>
      <c r="W47">
        <v>1.1399999999999999</v>
      </c>
      <c r="X47">
        <v>0.08</v>
      </c>
      <c r="Y47">
        <v>1</v>
      </c>
      <c r="Z47">
        <v>10</v>
      </c>
    </row>
    <row r="48" spans="1:26" x14ac:dyDescent="0.3">
      <c r="A48">
        <v>46</v>
      </c>
      <c r="B48">
        <v>65</v>
      </c>
      <c r="C48" t="s">
        <v>26</v>
      </c>
      <c r="D48">
        <v>11.0092</v>
      </c>
      <c r="E48">
        <v>9.08</v>
      </c>
      <c r="F48">
        <v>6.77</v>
      </c>
      <c r="G48">
        <v>81.2</v>
      </c>
      <c r="H48">
        <v>1.49</v>
      </c>
      <c r="I48">
        <v>5</v>
      </c>
      <c r="J48">
        <v>148.87</v>
      </c>
      <c r="K48">
        <v>46.47</v>
      </c>
      <c r="L48">
        <v>12.5</v>
      </c>
      <c r="M48">
        <v>2</v>
      </c>
      <c r="N48">
        <v>24.9</v>
      </c>
      <c r="O48">
        <v>18594.740000000002</v>
      </c>
      <c r="P48">
        <v>61.15</v>
      </c>
      <c r="Q48">
        <v>204.14</v>
      </c>
      <c r="R48">
        <v>24.23</v>
      </c>
      <c r="S48">
        <v>17.37</v>
      </c>
      <c r="T48">
        <v>1331.1</v>
      </c>
      <c r="U48">
        <v>0.72</v>
      </c>
      <c r="V48">
        <v>0.75</v>
      </c>
      <c r="W48">
        <v>1.1399999999999999</v>
      </c>
      <c r="X48">
        <v>0.08</v>
      </c>
      <c r="Y48">
        <v>1</v>
      </c>
      <c r="Z48">
        <v>10</v>
      </c>
    </row>
    <row r="49" spans="1:26" x14ac:dyDescent="0.3">
      <c r="A49">
        <v>47</v>
      </c>
      <c r="B49">
        <v>65</v>
      </c>
      <c r="C49" t="s">
        <v>26</v>
      </c>
      <c r="D49">
        <v>11.006500000000001</v>
      </c>
      <c r="E49">
        <v>9.09</v>
      </c>
      <c r="F49">
        <v>6.77</v>
      </c>
      <c r="G49">
        <v>81.23</v>
      </c>
      <c r="H49">
        <v>1.51</v>
      </c>
      <c r="I49">
        <v>5</v>
      </c>
      <c r="J49">
        <v>149.22</v>
      </c>
      <c r="K49">
        <v>46.47</v>
      </c>
      <c r="L49">
        <v>12.75</v>
      </c>
      <c r="M49">
        <v>2</v>
      </c>
      <c r="N49">
        <v>25</v>
      </c>
      <c r="O49">
        <v>18637.48</v>
      </c>
      <c r="P49">
        <v>61.01</v>
      </c>
      <c r="Q49">
        <v>204.14</v>
      </c>
      <c r="R49">
        <v>24.19</v>
      </c>
      <c r="S49">
        <v>17.37</v>
      </c>
      <c r="T49">
        <v>1312.23</v>
      </c>
      <c r="U49">
        <v>0.72</v>
      </c>
      <c r="V49">
        <v>0.75</v>
      </c>
      <c r="W49">
        <v>1.1499999999999999</v>
      </c>
      <c r="X49">
        <v>0.08</v>
      </c>
      <c r="Y49">
        <v>1</v>
      </c>
      <c r="Z49">
        <v>10</v>
      </c>
    </row>
    <row r="50" spans="1:26" x14ac:dyDescent="0.3">
      <c r="A50">
        <v>48</v>
      </c>
      <c r="B50">
        <v>65</v>
      </c>
      <c r="C50" t="s">
        <v>26</v>
      </c>
      <c r="D50">
        <v>11.0092</v>
      </c>
      <c r="E50">
        <v>9.08</v>
      </c>
      <c r="F50">
        <v>6.77</v>
      </c>
      <c r="G50">
        <v>81.2</v>
      </c>
      <c r="H50">
        <v>1.54</v>
      </c>
      <c r="I50">
        <v>5</v>
      </c>
      <c r="J50">
        <v>149.56</v>
      </c>
      <c r="K50">
        <v>46.47</v>
      </c>
      <c r="L50">
        <v>13</v>
      </c>
      <c r="M50">
        <v>2</v>
      </c>
      <c r="N50">
        <v>25.1</v>
      </c>
      <c r="O50">
        <v>18680.25</v>
      </c>
      <c r="P50">
        <v>60.61</v>
      </c>
      <c r="Q50">
        <v>204.14</v>
      </c>
      <c r="R50">
        <v>24.23</v>
      </c>
      <c r="S50">
        <v>17.37</v>
      </c>
      <c r="T50">
        <v>1334.61</v>
      </c>
      <c r="U50">
        <v>0.72</v>
      </c>
      <c r="V50">
        <v>0.75</v>
      </c>
      <c r="W50">
        <v>1.1399999999999999</v>
      </c>
      <c r="X50">
        <v>0.08</v>
      </c>
      <c r="Y50">
        <v>1</v>
      </c>
      <c r="Z50">
        <v>10</v>
      </c>
    </row>
    <row r="51" spans="1:26" x14ac:dyDescent="0.3">
      <c r="A51">
        <v>49</v>
      </c>
      <c r="B51">
        <v>65</v>
      </c>
      <c r="C51" t="s">
        <v>26</v>
      </c>
      <c r="D51">
        <v>11.0082</v>
      </c>
      <c r="E51">
        <v>9.08</v>
      </c>
      <c r="F51">
        <v>6.77</v>
      </c>
      <c r="G51">
        <v>81.209999999999994</v>
      </c>
      <c r="H51">
        <v>1.56</v>
      </c>
      <c r="I51">
        <v>5</v>
      </c>
      <c r="J51">
        <v>149.91</v>
      </c>
      <c r="K51">
        <v>46.47</v>
      </c>
      <c r="L51">
        <v>13.25</v>
      </c>
      <c r="M51">
        <v>2</v>
      </c>
      <c r="N51">
        <v>25.19</v>
      </c>
      <c r="O51">
        <v>18723.060000000001</v>
      </c>
      <c r="P51">
        <v>60.22</v>
      </c>
      <c r="Q51">
        <v>204.14</v>
      </c>
      <c r="R51">
        <v>24.19</v>
      </c>
      <c r="S51">
        <v>17.37</v>
      </c>
      <c r="T51">
        <v>1313.15</v>
      </c>
      <c r="U51">
        <v>0.72</v>
      </c>
      <c r="V51">
        <v>0.75</v>
      </c>
      <c r="W51">
        <v>1.1399999999999999</v>
      </c>
      <c r="X51">
        <v>0.08</v>
      </c>
      <c r="Y51">
        <v>1</v>
      </c>
      <c r="Z51">
        <v>10</v>
      </c>
    </row>
    <row r="52" spans="1:26" x14ac:dyDescent="0.3">
      <c r="A52">
        <v>50</v>
      </c>
      <c r="B52">
        <v>65</v>
      </c>
      <c r="C52" t="s">
        <v>26</v>
      </c>
      <c r="D52">
        <v>11.0061</v>
      </c>
      <c r="E52">
        <v>9.09</v>
      </c>
      <c r="F52">
        <v>6.77</v>
      </c>
      <c r="G52">
        <v>81.23</v>
      </c>
      <c r="H52">
        <v>1.59</v>
      </c>
      <c r="I52">
        <v>5</v>
      </c>
      <c r="J52">
        <v>150.26</v>
      </c>
      <c r="K52">
        <v>46.47</v>
      </c>
      <c r="L52">
        <v>13.5</v>
      </c>
      <c r="M52">
        <v>1</v>
      </c>
      <c r="N52">
        <v>25.29</v>
      </c>
      <c r="O52">
        <v>18765.900000000001</v>
      </c>
      <c r="P52">
        <v>60.05</v>
      </c>
      <c r="Q52">
        <v>204.14</v>
      </c>
      <c r="R52">
        <v>24.21</v>
      </c>
      <c r="S52">
        <v>17.37</v>
      </c>
      <c r="T52">
        <v>1321.72</v>
      </c>
      <c r="U52">
        <v>0.72</v>
      </c>
      <c r="V52">
        <v>0.75</v>
      </c>
      <c r="W52">
        <v>1.1499999999999999</v>
      </c>
      <c r="X52">
        <v>0.08</v>
      </c>
      <c r="Y52">
        <v>1</v>
      </c>
      <c r="Z52">
        <v>10</v>
      </c>
    </row>
    <row r="53" spans="1:26" x14ac:dyDescent="0.3">
      <c r="A53">
        <v>51</v>
      </c>
      <c r="B53">
        <v>65</v>
      </c>
      <c r="C53" t="s">
        <v>26</v>
      </c>
      <c r="D53">
        <v>11.010899999999999</v>
      </c>
      <c r="E53">
        <v>9.08</v>
      </c>
      <c r="F53">
        <v>6.77</v>
      </c>
      <c r="G53">
        <v>81.19</v>
      </c>
      <c r="H53">
        <v>1.62</v>
      </c>
      <c r="I53">
        <v>5</v>
      </c>
      <c r="J53">
        <v>150.61000000000001</v>
      </c>
      <c r="K53">
        <v>46.47</v>
      </c>
      <c r="L53">
        <v>13.75</v>
      </c>
      <c r="M53">
        <v>1</v>
      </c>
      <c r="N53">
        <v>25.39</v>
      </c>
      <c r="O53">
        <v>18808.78</v>
      </c>
      <c r="P53">
        <v>59.83</v>
      </c>
      <c r="Q53">
        <v>204.14</v>
      </c>
      <c r="R53">
        <v>24.09</v>
      </c>
      <c r="S53">
        <v>17.37</v>
      </c>
      <c r="T53">
        <v>1260.81</v>
      </c>
      <c r="U53">
        <v>0.72</v>
      </c>
      <c r="V53">
        <v>0.75</v>
      </c>
      <c r="W53">
        <v>1.1499999999999999</v>
      </c>
      <c r="X53">
        <v>7.0000000000000007E-2</v>
      </c>
      <c r="Y53">
        <v>1</v>
      </c>
      <c r="Z53">
        <v>10</v>
      </c>
    </row>
    <row r="54" spans="1:26" x14ac:dyDescent="0.3">
      <c r="A54">
        <v>52</v>
      </c>
      <c r="B54">
        <v>65</v>
      </c>
      <c r="C54" t="s">
        <v>26</v>
      </c>
      <c r="D54">
        <v>11.0055</v>
      </c>
      <c r="E54">
        <v>9.09</v>
      </c>
      <c r="F54">
        <v>6.77</v>
      </c>
      <c r="G54">
        <v>81.239999999999995</v>
      </c>
      <c r="H54">
        <v>1.64</v>
      </c>
      <c r="I54">
        <v>5</v>
      </c>
      <c r="J54">
        <v>150.94999999999999</v>
      </c>
      <c r="K54">
        <v>46.47</v>
      </c>
      <c r="L54">
        <v>14</v>
      </c>
      <c r="M54">
        <v>0</v>
      </c>
      <c r="N54">
        <v>25.49</v>
      </c>
      <c r="O54">
        <v>18851.689999999999</v>
      </c>
      <c r="P54">
        <v>59.75</v>
      </c>
      <c r="Q54">
        <v>204.14</v>
      </c>
      <c r="R54">
        <v>24.19</v>
      </c>
      <c r="S54">
        <v>17.37</v>
      </c>
      <c r="T54">
        <v>1310.45</v>
      </c>
      <c r="U54">
        <v>0.72</v>
      </c>
      <c r="V54">
        <v>0.75</v>
      </c>
      <c r="W54">
        <v>1.1499999999999999</v>
      </c>
      <c r="X54">
        <v>0.08</v>
      </c>
      <c r="Y54">
        <v>1</v>
      </c>
      <c r="Z54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Planilha26"/>
  <dimension ref="A1:Z158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130</v>
      </c>
      <c r="C2" t="s">
        <v>26</v>
      </c>
      <c r="D2">
        <v>5.9394999999999998</v>
      </c>
      <c r="E2">
        <v>16.84</v>
      </c>
      <c r="F2">
        <v>8.85</v>
      </c>
      <c r="G2">
        <v>5.01</v>
      </c>
      <c r="H2">
        <v>7.0000000000000007E-2</v>
      </c>
      <c r="I2">
        <v>106</v>
      </c>
      <c r="J2">
        <v>252.85</v>
      </c>
      <c r="K2">
        <v>59.19</v>
      </c>
      <c r="L2">
        <v>1</v>
      </c>
      <c r="M2">
        <v>104</v>
      </c>
      <c r="N2">
        <v>62.65</v>
      </c>
      <c r="O2">
        <v>31418.63</v>
      </c>
      <c r="P2">
        <v>145.99</v>
      </c>
      <c r="Q2">
        <v>204.26</v>
      </c>
      <c r="R2">
        <v>89.24</v>
      </c>
      <c r="S2">
        <v>17.37</v>
      </c>
      <c r="T2">
        <v>33331.03</v>
      </c>
      <c r="U2">
        <v>0.19</v>
      </c>
      <c r="V2">
        <v>0.57999999999999996</v>
      </c>
      <c r="W2">
        <v>1.3</v>
      </c>
      <c r="X2">
        <v>2.16</v>
      </c>
      <c r="Y2">
        <v>1</v>
      </c>
      <c r="Z2">
        <v>10</v>
      </c>
    </row>
    <row r="3" spans="1:26" x14ac:dyDescent="0.3">
      <c r="A3">
        <v>1</v>
      </c>
      <c r="B3">
        <v>130</v>
      </c>
      <c r="C3" t="s">
        <v>26</v>
      </c>
      <c r="D3">
        <v>6.66</v>
      </c>
      <c r="E3">
        <v>15.02</v>
      </c>
      <c r="F3">
        <v>8.3000000000000007</v>
      </c>
      <c r="G3">
        <v>6.22</v>
      </c>
      <c r="H3">
        <v>0.09</v>
      </c>
      <c r="I3">
        <v>80</v>
      </c>
      <c r="J3">
        <v>253.3</v>
      </c>
      <c r="K3">
        <v>59.19</v>
      </c>
      <c r="L3">
        <v>1.25</v>
      </c>
      <c r="M3">
        <v>78</v>
      </c>
      <c r="N3">
        <v>62.86</v>
      </c>
      <c r="O3">
        <v>31474.5</v>
      </c>
      <c r="P3">
        <v>136.82</v>
      </c>
      <c r="Q3">
        <v>204.23</v>
      </c>
      <c r="R3">
        <v>72.069999999999993</v>
      </c>
      <c r="S3">
        <v>17.37</v>
      </c>
      <c r="T3">
        <v>24874.91</v>
      </c>
      <c r="U3">
        <v>0.24</v>
      </c>
      <c r="V3">
        <v>0.62</v>
      </c>
      <c r="W3">
        <v>1.27</v>
      </c>
      <c r="X3">
        <v>1.61</v>
      </c>
      <c r="Y3">
        <v>1</v>
      </c>
      <c r="Z3">
        <v>10</v>
      </c>
    </row>
    <row r="4" spans="1:26" x14ac:dyDescent="0.3">
      <c r="A4">
        <v>2</v>
      </c>
      <c r="B4">
        <v>130</v>
      </c>
      <c r="C4" t="s">
        <v>26</v>
      </c>
      <c r="D4">
        <v>7.18</v>
      </c>
      <c r="E4">
        <v>13.93</v>
      </c>
      <c r="F4">
        <v>7.99</v>
      </c>
      <c r="G4">
        <v>7.49</v>
      </c>
      <c r="H4">
        <v>0.11</v>
      </c>
      <c r="I4">
        <v>64</v>
      </c>
      <c r="J4">
        <v>253.75</v>
      </c>
      <c r="K4">
        <v>59.19</v>
      </c>
      <c r="L4">
        <v>1.5</v>
      </c>
      <c r="M4">
        <v>62</v>
      </c>
      <c r="N4">
        <v>63.06</v>
      </c>
      <c r="O4">
        <v>31530.44</v>
      </c>
      <c r="P4">
        <v>131.66999999999999</v>
      </c>
      <c r="Q4">
        <v>204.21</v>
      </c>
      <c r="R4">
        <v>62.17</v>
      </c>
      <c r="S4">
        <v>17.37</v>
      </c>
      <c r="T4">
        <v>20008.77</v>
      </c>
      <c r="U4">
        <v>0.28000000000000003</v>
      </c>
      <c r="V4">
        <v>0.64</v>
      </c>
      <c r="W4">
        <v>1.25</v>
      </c>
      <c r="X4">
        <v>1.3</v>
      </c>
      <c r="Y4">
        <v>1</v>
      </c>
      <c r="Z4">
        <v>10</v>
      </c>
    </row>
    <row r="5" spans="1:26" x14ac:dyDescent="0.3">
      <c r="A5">
        <v>3</v>
      </c>
      <c r="B5">
        <v>130</v>
      </c>
      <c r="C5" t="s">
        <v>26</v>
      </c>
      <c r="D5">
        <v>7.5636999999999999</v>
      </c>
      <c r="E5">
        <v>13.22</v>
      </c>
      <c r="F5">
        <v>7.78</v>
      </c>
      <c r="G5">
        <v>8.64</v>
      </c>
      <c r="H5">
        <v>0.12</v>
      </c>
      <c r="I5">
        <v>54</v>
      </c>
      <c r="J5">
        <v>254.21</v>
      </c>
      <c r="K5">
        <v>59.19</v>
      </c>
      <c r="L5">
        <v>1.75</v>
      </c>
      <c r="M5">
        <v>52</v>
      </c>
      <c r="N5">
        <v>63.26</v>
      </c>
      <c r="O5">
        <v>31586.46</v>
      </c>
      <c r="P5">
        <v>127.99</v>
      </c>
      <c r="Q5">
        <v>204.21</v>
      </c>
      <c r="R5">
        <v>55.58</v>
      </c>
      <c r="S5">
        <v>17.37</v>
      </c>
      <c r="T5">
        <v>16762.560000000001</v>
      </c>
      <c r="U5">
        <v>0.31</v>
      </c>
      <c r="V5">
        <v>0.66</v>
      </c>
      <c r="W5">
        <v>1.22</v>
      </c>
      <c r="X5">
        <v>1.08</v>
      </c>
      <c r="Y5">
        <v>1</v>
      </c>
      <c r="Z5">
        <v>10</v>
      </c>
    </row>
    <row r="6" spans="1:26" x14ac:dyDescent="0.3">
      <c r="A6">
        <v>4</v>
      </c>
      <c r="B6">
        <v>130</v>
      </c>
      <c r="C6" t="s">
        <v>26</v>
      </c>
      <c r="D6">
        <v>7.9065000000000003</v>
      </c>
      <c r="E6">
        <v>12.65</v>
      </c>
      <c r="F6">
        <v>7.59</v>
      </c>
      <c r="G6">
        <v>9.91</v>
      </c>
      <c r="H6">
        <v>0.14000000000000001</v>
      </c>
      <c r="I6">
        <v>46</v>
      </c>
      <c r="J6">
        <v>254.66</v>
      </c>
      <c r="K6">
        <v>59.19</v>
      </c>
      <c r="L6">
        <v>2</v>
      </c>
      <c r="M6">
        <v>44</v>
      </c>
      <c r="N6">
        <v>63.47</v>
      </c>
      <c r="O6">
        <v>31642.55</v>
      </c>
      <c r="P6">
        <v>124.9</v>
      </c>
      <c r="Q6">
        <v>204.2</v>
      </c>
      <c r="R6">
        <v>49.64</v>
      </c>
      <c r="S6">
        <v>17.37</v>
      </c>
      <c r="T6">
        <v>13834.18</v>
      </c>
      <c r="U6">
        <v>0.35</v>
      </c>
      <c r="V6">
        <v>0.67</v>
      </c>
      <c r="W6">
        <v>1.22</v>
      </c>
      <c r="X6">
        <v>0.9</v>
      </c>
      <c r="Y6">
        <v>1</v>
      </c>
      <c r="Z6">
        <v>10</v>
      </c>
    </row>
    <row r="7" spans="1:26" x14ac:dyDescent="0.3">
      <c r="A7">
        <v>5</v>
      </c>
      <c r="B7">
        <v>130</v>
      </c>
      <c r="C7" t="s">
        <v>26</v>
      </c>
      <c r="D7">
        <v>8.1196000000000002</v>
      </c>
      <c r="E7">
        <v>12.32</v>
      </c>
      <c r="F7">
        <v>7.51</v>
      </c>
      <c r="G7">
        <v>10.98</v>
      </c>
      <c r="H7">
        <v>0.16</v>
      </c>
      <c r="I7">
        <v>41</v>
      </c>
      <c r="J7">
        <v>255.12</v>
      </c>
      <c r="K7">
        <v>59.19</v>
      </c>
      <c r="L7">
        <v>2.25</v>
      </c>
      <c r="M7">
        <v>39</v>
      </c>
      <c r="N7">
        <v>63.67</v>
      </c>
      <c r="O7">
        <v>31698.720000000001</v>
      </c>
      <c r="P7">
        <v>123.35</v>
      </c>
      <c r="Q7">
        <v>204.19</v>
      </c>
      <c r="R7">
        <v>47.11</v>
      </c>
      <c r="S7">
        <v>17.37</v>
      </c>
      <c r="T7">
        <v>12592.62</v>
      </c>
      <c r="U7">
        <v>0.37</v>
      </c>
      <c r="V7">
        <v>0.68</v>
      </c>
      <c r="W7">
        <v>1.21</v>
      </c>
      <c r="X7">
        <v>0.81</v>
      </c>
      <c r="Y7">
        <v>1</v>
      </c>
      <c r="Z7">
        <v>10</v>
      </c>
    </row>
    <row r="8" spans="1:26" x14ac:dyDescent="0.3">
      <c r="A8">
        <v>6</v>
      </c>
      <c r="B8">
        <v>130</v>
      </c>
      <c r="C8" t="s">
        <v>26</v>
      </c>
      <c r="D8">
        <v>8.3592999999999993</v>
      </c>
      <c r="E8">
        <v>11.96</v>
      </c>
      <c r="F8">
        <v>7.4</v>
      </c>
      <c r="G8">
        <v>12.33</v>
      </c>
      <c r="H8">
        <v>0.17</v>
      </c>
      <c r="I8">
        <v>36</v>
      </c>
      <c r="J8">
        <v>255.57</v>
      </c>
      <c r="K8">
        <v>59.19</v>
      </c>
      <c r="L8">
        <v>2.5</v>
      </c>
      <c r="M8">
        <v>34</v>
      </c>
      <c r="N8">
        <v>63.88</v>
      </c>
      <c r="O8">
        <v>31754.97</v>
      </c>
      <c r="P8">
        <v>121.52</v>
      </c>
      <c r="Q8">
        <v>204.15</v>
      </c>
      <c r="R8">
        <v>43.73</v>
      </c>
      <c r="S8">
        <v>17.37</v>
      </c>
      <c r="T8">
        <v>10929.82</v>
      </c>
      <c r="U8">
        <v>0.4</v>
      </c>
      <c r="V8">
        <v>0.69</v>
      </c>
      <c r="W8">
        <v>1.2</v>
      </c>
      <c r="X8">
        <v>0.71</v>
      </c>
      <c r="Y8">
        <v>1</v>
      </c>
      <c r="Z8">
        <v>10</v>
      </c>
    </row>
    <row r="9" spans="1:26" x14ac:dyDescent="0.3">
      <c r="A9">
        <v>7</v>
      </c>
      <c r="B9">
        <v>130</v>
      </c>
      <c r="C9" t="s">
        <v>26</v>
      </c>
      <c r="D9">
        <v>8.5042000000000009</v>
      </c>
      <c r="E9">
        <v>11.76</v>
      </c>
      <c r="F9">
        <v>7.34</v>
      </c>
      <c r="G9">
        <v>13.35</v>
      </c>
      <c r="H9">
        <v>0.19</v>
      </c>
      <c r="I9">
        <v>33</v>
      </c>
      <c r="J9">
        <v>256.02999999999997</v>
      </c>
      <c r="K9">
        <v>59.19</v>
      </c>
      <c r="L9">
        <v>2.75</v>
      </c>
      <c r="M9">
        <v>31</v>
      </c>
      <c r="N9">
        <v>64.09</v>
      </c>
      <c r="O9">
        <v>31811.29</v>
      </c>
      <c r="P9">
        <v>120.46</v>
      </c>
      <c r="Q9">
        <v>204.23</v>
      </c>
      <c r="R9">
        <v>42.15</v>
      </c>
      <c r="S9">
        <v>17.37</v>
      </c>
      <c r="T9">
        <v>10152.549999999999</v>
      </c>
      <c r="U9">
        <v>0.41</v>
      </c>
      <c r="V9">
        <v>0.7</v>
      </c>
      <c r="W9">
        <v>1.19</v>
      </c>
      <c r="X9">
        <v>0.65</v>
      </c>
      <c r="Y9">
        <v>1</v>
      </c>
      <c r="Z9">
        <v>10</v>
      </c>
    </row>
    <row r="10" spans="1:26" x14ac:dyDescent="0.3">
      <c r="A10">
        <v>8</v>
      </c>
      <c r="B10">
        <v>130</v>
      </c>
      <c r="C10" t="s">
        <v>26</v>
      </c>
      <c r="D10">
        <v>8.6577999999999999</v>
      </c>
      <c r="E10">
        <v>11.55</v>
      </c>
      <c r="F10">
        <v>7.28</v>
      </c>
      <c r="G10">
        <v>14.56</v>
      </c>
      <c r="H10">
        <v>0.21</v>
      </c>
      <c r="I10">
        <v>30</v>
      </c>
      <c r="J10">
        <v>256.49</v>
      </c>
      <c r="K10">
        <v>59.19</v>
      </c>
      <c r="L10">
        <v>3</v>
      </c>
      <c r="M10">
        <v>28</v>
      </c>
      <c r="N10">
        <v>64.290000000000006</v>
      </c>
      <c r="O10">
        <v>31867.69</v>
      </c>
      <c r="P10">
        <v>119.35</v>
      </c>
      <c r="Q10">
        <v>204.14</v>
      </c>
      <c r="R10">
        <v>40.119999999999997</v>
      </c>
      <c r="S10">
        <v>17.37</v>
      </c>
      <c r="T10">
        <v>9152.73</v>
      </c>
      <c r="U10">
        <v>0.43</v>
      </c>
      <c r="V10">
        <v>0.7</v>
      </c>
      <c r="W10">
        <v>1.19</v>
      </c>
      <c r="X10">
        <v>0.59</v>
      </c>
      <c r="Y10">
        <v>1</v>
      </c>
      <c r="Z10">
        <v>10</v>
      </c>
    </row>
    <row r="11" spans="1:26" x14ac:dyDescent="0.3">
      <c r="A11">
        <v>9</v>
      </c>
      <c r="B11">
        <v>130</v>
      </c>
      <c r="C11" t="s">
        <v>26</v>
      </c>
      <c r="D11">
        <v>8.7592999999999996</v>
      </c>
      <c r="E11">
        <v>11.42</v>
      </c>
      <c r="F11">
        <v>7.24</v>
      </c>
      <c r="G11">
        <v>15.52</v>
      </c>
      <c r="H11">
        <v>0.23</v>
      </c>
      <c r="I11">
        <v>28</v>
      </c>
      <c r="J11">
        <v>256.95</v>
      </c>
      <c r="K11">
        <v>59.19</v>
      </c>
      <c r="L11">
        <v>3.25</v>
      </c>
      <c r="M11">
        <v>26</v>
      </c>
      <c r="N11">
        <v>64.5</v>
      </c>
      <c r="O11">
        <v>31924.29</v>
      </c>
      <c r="P11">
        <v>118.63</v>
      </c>
      <c r="Q11">
        <v>204.25</v>
      </c>
      <c r="R11">
        <v>38.81</v>
      </c>
      <c r="S11">
        <v>17.37</v>
      </c>
      <c r="T11">
        <v>8508.3700000000008</v>
      </c>
      <c r="U11">
        <v>0.45</v>
      </c>
      <c r="V11">
        <v>0.71</v>
      </c>
      <c r="W11">
        <v>1.19</v>
      </c>
      <c r="X11">
        <v>0.55000000000000004</v>
      </c>
      <c r="Y11">
        <v>1</v>
      </c>
      <c r="Z11">
        <v>10</v>
      </c>
    </row>
    <row r="12" spans="1:26" x14ac:dyDescent="0.3">
      <c r="A12">
        <v>10</v>
      </c>
      <c r="B12">
        <v>130</v>
      </c>
      <c r="C12" t="s">
        <v>26</v>
      </c>
      <c r="D12">
        <v>8.9283000000000001</v>
      </c>
      <c r="E12">
        <v>11.2</v>
      </c>
      <c r="F12">
        <v>7.17</v>
      </c>
      <c r="G12">
        <v>17.22</v>
      </c>
      <c r="H12">
        <v>0.24</v>
      </c>
      <c r="I12">
        <v>25</v>
      </c>
      <c r="J12">
        <v>257.41000000000003</v>
      </c>
      <c r="K12">
        <v>59.19</v>
      </c>
      <c r="L12">
        <v>3.5</v>
      </c>
      <c r="M12">
        <v>23</v>
      </c>
      <c r="N12">
        <v>64.709999999999994</v>
      </c>
      <c r="O12">
        <v>31980.84</v>
      </c>
      <c r="P12">
        <v>117.4</v>
      </c>
      <c r="Q12">
        <v>204.17</v>
      </c>
      <c r="R12">
        <v>36.869999999999997</v>
      </c>
      <c r="S12">
        <v>17.37</v>
      </c>
      <c r="T12">
        <v>7554.18</v>
      </c>
      <c r="U12">
        <v>0.47</v>
      </c>
      <c r="V12">
        <v>0.71</v>
      </c>
      <c r="W12">
        <v>1.18</v>
      </c>
      <c r="X12">
        <v>0.48</v>
      </c>
      <c r="Y12">
        <v>1</v>
      </c>
      <c r="Z12">
        <v>10</v>
      </c>
    </row>
    <row r="13" spans="1:26" x14ac:dyDescent="0.3">
      <c r="A13">
        <v>11</v>
      </c>
      <c r="B13">
        <v>130</v>
      </c>
      <c r="C13" t="s">
        <v>26</v>
      </c>
      <c r="D13">
        <v>8.9772999999999996</v>
      </c>
      <c r="E13">
        <v>11.14</v>
      </c>
      <c r="F13">
        <v>7.16</v>
      </c>
      <c r="G13">
        <v>17.899999999999999</v>
      </c>
      <c r="H13">
        <v>0.26</v>
      </c>
      <c r="I13">
        <v>24</v>
      </c>
      <c r="J13">
        <v>257.86</v>
      </c>
      <c r="K13">
        <v>59.19</v>
      </c>
      <c r="L13">
        <v>3.75</v>
      </c>
      <c r="M13">
        <v>22</v>
      </c>
      <c r="N13">
        <v>64.92</v>
      </c>
      <c r="O13">
        <v>32037.48</v>
      </c>
      <c r="P13">
        <v>117.11</v>
      </c>
      <c r="Q13">
        <v>204.2</v>
      </c>
      <c r="R13">
        <v>36.590000000000003</v>
      </c>
      <c r="S13">
        <v>17.37</v>
      </c>
      <c r="T13">
        <v>7417.39</v>
      </c>
      <c r="U13">
        <v>0.47</v>
      </c>
      <c r="V13">
        <v>0.71</v>
      </c>
      <c r="W13">
        <v>1.17</v>
      </c>
      <c r="X13">
        <v>0.47</v>
      </c>
      <c r="Y13">
        <v>1</v>
      </c>
      <c r="Z13">
        <v>10</v>
      </c>
    </row>
    <row r="14" spans="1:26" x14ac:dyDescent="0.3">
      <c r="A14">
        <v>12</v>
      </c>
      <c r="B14">
        <v>130</v>
      </c>
      <c r="C14" t="s">
        <v>26</v>
      </c>
      <c r="D14">
        <v>9.0970999999999993</v>
      </c>
      <c r="E14">
        <v>10.99</v>
      </c>
      <c r="F14">
        <v>7.11</v>
      </c>
      <c r="G14">
        <v>19.399999999999999</v>
      </c>
      <c r="H14">
        <v>0.28000000000000003</v>
      </c>
      <c r="I14">
        <v>22</v>
      </c>
      <c r="J14">
        <v>258.32</v>
      </c>
      <c r="K14">
        <v>59.19</v>
      </c>
      <c r="L14">
        <v>4</v>
      </c>
      <c r="M14">
        <v>20</v>
      </c>
      <c r="N14">
        <v>65.13</v>
      </c>
      <c r="O14">
        <v>32094.19</v>
      </c>
      <c r="P14">
        <v>116.28</v>
      </c>
      <c r="Q14">
        <v>204.16</v>
      </c>
      <c r="R14">
        <v>34.869999999999997</v>
      </c>
      <c r="S14">
        <v>17.37</v>
      </c>
      <c r="T14">
        <v>6568.91</v>
      </c>
      <c r="U14">
        <v>0.5</v>
      </c>
      <c r="V14">
        <v>0.72</v>
      </c>
      <c r="W14">
        <v>1.17</v>
      </c>
      <c r="X14">
        <v>0.42</v>
      </c>
      <c r="Y14">
        <v>1</v>
      </c>
      <c r="Z14">
        <v>10</v>
      </c>
    </row>
    <row r="15" spans="1:26" x14ac:dyDescent="0.3">
      <c r="A15">
        <v>13</v>
      </c>
      <c r="B15">
        <v>130</v>
      </c>
      <c r="C15" t="s">
        <v>26</v>
      </c>
      <c r="D15">
        <v>9.1562999999999999</v>
      </c>
      <c r="E15">
        <v>10.92</v>
      </c>
      <c r="F15">
        <v>7.09</v>
      </c>
      <c r="G15">
        <v>20.260000000000002</v>
      </c>
      <c r="H15">
        <v>0.28999999999999998</v>
      </c>
      <c r="I15">
        <v>21</v>
      </c>
      <c r="J15">
        <v>258.77999999999997</v>
      </c>
      <c r="K15">
        <v>59.19</v>
      </c>
      <c r="L15">
        <v>4.25</v>
      </c>
      <c r="M15">
        <v>19</v>
      </c>
      <c r="N15">
        <v>65.34</v>
      </c>
      <c r="O15">
        <v>32150.98</v>
      </c>
      <c r="P15">
        <v>115.77</v>
      </c>
      <c r="Q15">
        <v>204.14</v>
      </c>
      <c r="R15">
        <v>34.270000000000003</v>
      </c>
      <c r="S15">
        <v>17.37</v>
      </c>
      <c r="T15">
        <v>6271.21</v>
      </c>
      <c r="U15">
        <v>0.51</v>
      </c>
      <c r="V15">
        <v>0.72</v>
      </c>
      <c r="W15">
        <v>1.17</v>
      </c>
      <c r="X15">
        <v>0.4</v>
      </c>
      <c r="Y15">
        <v>1</v>
      </c>
      <c r="Z15">
        <v>10</v>
      </c>
    </row>
    <row r="16" spans="1:26" x14ac:dyDescent="0.3">
      <c r="A16">
        <v>14</v>
      </c>
      <c r="B16">
        <v>130</v>
      </c>
      <c r="C16" t="s">
        <v>26</v>
      </c>
      <c r="D16">
        <v>9.2082999999999995</v>
      </c>
      <c r="E16">
        <v>10.86</v>
      </c>
      <c r="F16">
        <v>7.08</v>
      </c>
      <c r="G16">
        <v>21.23</v>
      </c>
      <c r="H16">
        <v>0.31</v>
      </c>
      <c r="I16">
        <v>20</v>
      </c>
      <c r="J16">
        <v>259.25</v>
      </c>
      <c r="K16">
        <v>59.19</v>
      </c>
      <c r="L16">
        <v>4.5</v>
      </c>
      <c r="M16">
        <v>18</v>
      </c>
      <c r="N16">
        <v>65.55</v>
      </c>
      <c r="O16">
        <v>32207.85</v>
      </c>
      <c r="P16">
        <v>115.48</v>
      </c>
      <c r="Q16">
        <v>204.14</v>
      </c>
      <c r="R16">
        <v>33.71</v>
      </c>
      <c r="S16">
        <v>17.37</v>
      </c>
      <c r="T16">
        <v>5996.62</v>
      </c>
      <c r="U16">
        <v>0.52</v>
      </c>
      <c r="V16">
        <v>0.72</v>
      </c>
      <c r="W16">
        <v>1.17</v>
      </c>
      <c r="X16">
        <v>0.39</v>
      </c>
      <c r="Y16">
        <v>1</v>
      </c>
      <c r="Z16">
        <v>10</v>
      </c>
    </row>
    <row r="17" spans="1:26" x14ac:dyDescent="0.3">
      <c r="A17">
        <v>15</v>
      </c>
      <c r="B17">
        <v>130</v>
      </c>
      <c r="C17" t="s">
        <v>26</v>
      </c>
      <c r="D17">
        <v>9.2670999999999992</v>
      </c>
      <c r="E17">
        <v>10.79</v>
      </c>
      <c r="F17">
        <v>7.06</v>
      </c>
      <c r="G17">
        <v>22.29</v>
      </c>
      <c r="H17">
        <v>0.33</v>
      </c>
      <c r="I17">
        <v>19</v>
      </c>
      <c r="J17">
        <v>259.70999999999998</v>
      </c>
      <c r="K17">
        <v>59.19</v>
      </c>
      <c r="L17">
        <v>4.75</v>
      </c>
      <c r="M17">
        <v>17</v>
      </c>
      <c r="N17">
        <v>65.760000000000005</v>
      </c>
      <c r="O17">
        <v>32264.79</v>
      </c>
      <c r="P17">
        <v>115.1</v>
      </c>
      <c r="Q17">
        <v>204.18</v>
      </c>
      <c r="R17">
        <v>33.28</v>
      </c>
      <c r="S17">
        <v>17.37</v>
      </c>
      <c r="T17">
        <v>5787.82</v>
      </c>
      <c r="U17">
        <v>0.52</v>
      </c>
      <c r="V17">
        <v>0.72</v>
      </c>
      <c r="W17">
        <v>1.17</v>
      </c>
      <c r="X17">
        <v>0.36</v>
      </c>
      <c r="Y17">
        <v>1</v>
      </c>
      <c r="Z17">
        <v>10</v>
      </c>
    </row>
    <row r="18" spans="1:26" x14ac:dyDescent="0.3">
      <c r="A18">
        <v>16</v>
      </c>
      <c r="B18">
        <v>130</v>
      </c>
      <c r="C18" t="s">
        <v>26</v>
      </c>
      <c r="D18">
        <v>9.3368000000000002</v>
      </c>
      <c r="E18">
        <v>10.71</v>
      </c>
      <c r="F18">
        <v>7.03</v>
      </c>
      <c r="G18">
        <v>23.42</v>
      </c>
      <c r="H18">
        <v>0.34</v>
      </c>
      <c r="I18">
        <v>18</v>
      </c>
      <c r="J18">
        <v>260.17</v>
      </c>
      <c r="K18">
        <v>59.19</v>
      </c>
      <c r="L18">
        <v>5</v>
      </c>
      <c r="M18">
        <v>16</v>
      </c>
      <c r="N18">
        <v>65.98</v>
      </c>
      <c r="O18">
        <v>32321.82</v>
      </c>
      <c r="P18">
        <v>114.45</v>
      </c>
      <c r="Q18">
        <v>204.18</v>
      </c>
      <c r="R18">
        <v>32.26</v>
      </c>
      <c r="S18">
        <v>17.37</v>
      </c>
      <c r="T18">
        <v>5280.25</v>
      </c>
      <c r="U18">
        <v>0.54</v>
      </c>
      <c r="V18">
        <v>0.73</v>
      </c>
      <c r="W18">
        <v>1.1599999999999999</v>
      </c>
      <c r="X18">
        <v>0.33</v>
      </c>
      <c r="Y18">
        <v>1</v>
      </c>
      <c r="Z18">
        <v>10</v>
      </c>
    </row>
    <row r="19" spans="1:26" x14ac:dyDescent="0.3">
      <c r="A19">
        <v>17</v>
      </c>
      <c r="B19">
        <v>130</v>
      </c>
      <c r="C19" t="s">
        <v>26</v>
      </c>
      <c r="D19">
        <v>9.3805999999999994</v>
      </c>
      <c r="E19">
        <v>10.66</v>
      </c>
      <c r="F19">
        <v>7.02</v>
      </c>
      <c r="G19">
        <v>24.79</v>
      </c>
      <c r="H19">
        <v>0.36</v>
      </c>
      <c r="I19">
        <v>17</v>
      </c>
      <c r="J19">
        <v>260.63</v>
      </c>
      <c r="K19">
        <v>59.19</v>
      </c>
      <c r="L19">
        <v>5.25</v>
      </c>
      <c r="M19">
        <v>15</v>
      </c>
      <c r="N19">
        <v>66.19</v>
      </c>
      <c r="O19">
        <v>32378.93</v>
      </c>
      <c r="P19">
        <v>114.4</v>
      </c>
      <c r="Q19">
        <v>204.19</v>
      </c>
      <c r="R19">
        <v>32.18</v>
      </c>
      <c r="S19">
        <v>17.37</v>
      </c>
      <c r="T19">
        <v>5245.25</v>
      </c>
      <c r="U19">
        <v>0.54</v>
      </c>
      <c r="V19">
        <v>0.73</v>
      </c>
      <c r="W19">
        <v>1.17</v>
      </c>
      <c r="X19">
        <v>0.33</v>
      </c>
      <c r="Y19">
        <v>1</v>
      </c>
      <c r="Z19">
        <v>10</v>
      </c>
    </row>
    <row r="20" spans="1:26" x14ac:dyDescent="0.3">
      <c r="A20">
        <v>18</v>
      </c>
      <c r="B20">
        <v>130</v>
      </c>
      <c r="C20" t="s">
        <v>26</v>
      </c>
      <c r="D20">
        <v>9.4501000000000008</v>
      </c>
      <c r="E20">
        <v>10.58</v>
      </c>
      <c r="F20">
        <v>6.99</v>
      </c>
      <c r="G20">
        <v>26.23</v>
      </c>
      <c r="H20">
        <v>0.37</v>
      </c>
      <c r="I20">
        <v>16</v>
      </c>
      <c r="J20">
        <v>261.10000000000002</v>
      </c>
      <c r="K20">
        <v>59.19</v>
      </c>
      <c r="L20">
        <v>5.5</v>
      </c>
      <c r="M20">
        <v>14</v>
      </c>
      <c r="N20">
        <v>66.400000000000006</v>
      </c>
      <c r="O20">
        <v>32436.11</v>
      </c>
      <c r="P20">
        <v>113.81</v>
      </c>
      <c r="Q20">
        <v>204.17</v>
      </c>
      <c r="R20">
        <v>31.22</v>
      </c>
      <c r="S20">
        <v>17.37</v>
      </c>
      <c r="T20">
        <v>4772.92</v>
      </c>
      <c r="U20">
        <v>0.56000000000000005</v>
      </c>
      <c r="V20">
        <v>0.73</v>
      </c>
      <c r="W20">
        <v>1.1599999999999999</v>
      </c>
      <c r="X20">
        <v>0.3</v>
      </c>
      <c r="Y20">
        <v>1</v>
      </c>
      <c r="Z20">
        <v>10</v>
      </c>
    </row>
    <row r="21" spans="1:26" x14ac:dyDescent="0.3">
      <c r="A21">
        <v>19</v>
      </c>
      <c r="B21">
        <v>130</v>
      </c>
      <c r="C21" t="s">
        <v>26</v>
      </c>
      <c r="D21">
        <v>9.4387000000000008</v>
      </c>
      <c r="E21">
        <v>10.59</v>
      </c>
      <c r="F21">
        <v>7.01</v>
      </c>
      <c r="G21">
        <v>26.28</v>
      </c>
      <c r="H21">
        <v>0.39</v>
      </c>
      <c r="I21">
        <v>16</v>
      </c>
      <c r="J21">
        <v>261.56</v>
      </c>
      <c r="K21">
        <v>59.19</v>
      </c>
      <c r="L21">
        <v>5.75</v>
      </c>
      <c r="M21">
        <v>14</v>
      </c>
      <c r="N21">
        <v>66.62</v>
      </c>
      <c r="O21">
        <v>32493.38</v>
      </c>
      <c r="P21">
        <v>113.99</v>
      </c>
      <c r="Q21">
        <v>204.17</v>
      </c>
      <c r="R21">
        <v>31.77</v>
      </c>
      <c r="S21">
        <v>17.37</v>
      </c>
      <c r="T21">
        <v>5046.74</v>
      </c>
      <c r="U21">
        <v>0.55000000000000004</v>
      </c>
      <c r="V21">
        <v>0.73</v>
      </c>
      <c r="W21">
        <v>1.1599999999999999</v>
      </c>
      <c r="X21">
        <v>0.32</v>
      </c>
      <c r="Y21">
        <v>1</v>
      </c>
      <c r="Z21">
        <v>10</v>
      </c>
    </row>
    <row r="22" spans="1:26" x14ac:dyDescent="0.3">
      <c r="A22">
        <v>20</v>
      </c>
      <c r="B22">
        <v>130</v>
      </c>
      <c r="C22" t="s">
        <v>26</v>
      </c>
      <c r="D22">
        <v>9.5266000000000002</v>
      </c>
      <c r="E22">
        <v>10.5</v>
      </c>
      <c r="F22">
        <v>6.96</v>
      </c>
      <c r="G22">
        <v>27.83</v>
      </c>
      <c r="H22">
        <v>0.41</v>
      </c>
      <c r="I22">
        <v>15</v>
      </c>
      <c r="J22">
        <v>262.02999999999997</v>
      </c>
      <c r="K22">
        <v>59.19</v>
      </c>
      <c r="L22">
        <v>6</v>
      </c>
      <c r="M22">
        <v>13</v>
      </c>
      <c r="N22">
        <v>66.83</v>
      </c>
      <c r="O22">
        <v>32550.720000000001</v>
      </c>
      <c r="P22">
        <v>113.09</v>
      </c>
      <c r="Q22">
        <v>204.15</v>
      </c>
      <c r="R22">
        <v>30.23</v>
      </c>
      <c r="S22">
        <v>17.37</v>
      </c>
      <c r="T22">
        <v>4280.72</v>
      </c>
      <c r="U22">
        <v>0.56999999999999995</v>
      </c>
      <c r="V22">
        <v>0.73</v>
      </c>
      <c r="W22">
        <v>1.1599999999999999</v>
      </c>
      <c r="X22">
        <v>0.27</v>
      </c>
      <c r="Y22">
        <v>1</v>
      </c>
      <c r="Z22">
        <v>10</v>
      </c>
    </row>
    <row r="23" spans="1:26" x14ac:dyDescent="0.3">
      <c r="A23">
        <v>21</v>
      </c>
      <c r="B23">
        <v>130</v>
      </c>
      <c r="C23" t="s">
        <v>26</v>
      </c>
      <c r="D23">
        <v>9.5724</v>
      </c>
      <c r="E23">
        <v>10.45</v>
      </c>
      <c r="F23">
        <v>6.96</v>
      </c>
      <c r="G23">
        <v>29.82</v>
      </c>
      <c r="H23">
        <v>0.42</v>
      </c>
      <c r="I23">
        <v>14</v>
      </c>
      <c r="J23">
        <v>262.49</v>
      </c>
      <c r="K23">
        <v>59.19</v>
      </c>
      <c r="L23">
        <v>6.25</v>
      </c>
      <c r="M23">
        <v>12</v>
      </c>
      <c r="N23">
        <v>67.05</v>
      </c>
      <c r="O23">
        <v>32608.15</v>
      </c>
      <c r="P23">
        <v>112.9</v>
      </c>
      <c r="Q23">
        <v>204.14</v>
      </c>
      <c r="R23">
        <v>30.17</v>
      </c>
      <c r="S23">
        <v>17.37</v>
      </c>
      <c r="T23">
        <v>4259.1000000000004</v>
      </c>
      <c r="U23">
        <v>0.57999999999999996</v>
      </c>
      <c r="V23">
        <v>0.73</v>
      </c>
      <c r="W23">
        <v>1.1599999999999999</v>
      </c>
      <c r="X23">
        <v>0.27</v>
      </c>
      <c r="Y23">
        <v>1</v>
      </c>
      <c r="Z23">
        <v>10</v>
      </c>
    </row>
    <row r="24" spans="1:26" x14ac:dyDescent="0.3">
      <c r="A24">
        <v>22</v>
      </c>
      <c r="B24">
        <v>130</v>
      </c>
      <c r="C24" t="s">
        <v>26</v>
      </c>
      <c r="D24">
        <v>9.5760000000000005</v>
      </c>
      <c r="E24">
        <v>10.44</v>
      </c>
      <c r="F24">
        <v>6.95</v>
      </c>
      <c r="G24">
        <v>29.8</v>
      </c>
      <c r="H24">
        <v>0.44</v>
      </c>
      <c r="I24">
        <v>14</v>
      </c>
      <c r="J24">
        <v>262.95999999999998</v>
      </c>
      <c r="K24">
        <v>59.19</v>
      </c>
      <c r="L24">
        <v>6.5</v>
      </c>
      <c r="M24">
        <v>12</v>
      </c>
      <c r="N24">
        <v>67.260000000000005</v>
      </c>
      <c r="O24">
        <v>32665.66</v>
      </c>
      <c r="P24">
        <v>112.92</v>
      </c>
      <c r="Q24">
        <v>204.14</v>
      </c>
      <c r="R24">
        <v>29.82</v>
      </c>
      <c r="S24">
        <v>17.37</v>
      </c>
      <c r="T24">
        <v>4081.31</v>
      </c>
      <c r="U24">
        <v>0.57999999999999996</v>
      </c>
      <c r="V24">
        <v>0.73</v>
      </c>
      <c r="W24">
        <v>1.1599999999999999</v>
      </c>
      <c r="X24">
        <v>0.26</v>
      </c>
      <c r="Y24">
        <v>1</v>
      </c>
      <c r="Z24">
        <v>10</v>
      </c>
    </row>
    <row r="25" spans="1:26" x14ac:dyDescent="0.3">
      <c r="A25">
        <v>23</v>
      </c>
      <c r="B25">
        <v>130</v>
      </c>
      <c r="C25" t="s">
        <v>26</v>
      </c>
      <c r="D25">
        <v>9.6434999999999995</v>
      </c>
      <c r="E25">
        <v>10.37</v>
      </c>
      <c r="F25">
        <v>6.93</v>
      </c>
      <c r="G25">
        <v>31.98</v>
      </c>
      <c r="H25">
        <v>0.46</v>
      </c>
      <c r="I25">
        <v>13</v>
      </c>
      <c r="J25">
        <v>263.42</v>
      </c>
      <c r="K25">
        <v>59.19</v>
      </c>
      <c r="L25">
        <v>6.75</v>
      </c>
      <c r="M25">
        <v>11</v>
      </c>
      <c r="N25">
        <v>67.48</v>
      </c>
      <c r="O25">
        <v>32723.25</v>
      </c>
      <c r="P25">
        <v>112.29</v>
      </c>
      <c r="Q25">
        <v>204.15</v>
      </c>
      <c r="R25">
        <v>29.27</v>
      </c>
      <c r="S25">
        <v>17.37</v>
      </c>
      <c r="T25">
        <v>3812.12</v>
      </c>
      <c r="U25">
        <v>0.59</v>
      </c>
      <c r="V25">
        <v>0.74</v>
      </c>
      <c r="W25">
        <v>1.1599999999999999</v>
      </c>
      <c r="X25">
        <v>0.24</v>
      </c>
      <c r="Y25">
        <v>1</v>
      </c>
      <c r="Z25">
        <v>10</v>
      </c>
    </row>
    <row r="26" spans="1:26" x14ac:dyDescent="0.3">
      <c r="A26">
        <v>24</v>
      </c>
      <c r="B26">
        <v>130</v>
      </c>
      <c r="C26" t="s">
        <v>26</v>
      </c>
      <c r="D26">
        <v>9.6515000000000004</v>
      </c>
      <c r="E26">
        <v>10.36</v>
      </c>
      <c r="F26">
        <v>6.92</v>
      </c>
      <c r="G26">
        <v>31.94</v>
      </c>
      <c r="H26">
        <v>0.47</v>
      </c>
      <c r="I26">
        <v>13</v>
      </c>
      <c r="J26">
        <v>263.89</v>
      </c>
      <c r="K26">
        <v>59.19</v>
      </c>
      <c r="L26">
        <v>7</v>
      </c>
      <c r="M26">
        <v>11</v>
      </c>
      <c r="N26">
        <v>67.7</v>
      </c>
      <c r="O26">
        <v>32780.92</v>
      </c>
      <c r="P26">
        <v>112.19</v>
      </c>
      <c r="Q26">
        <v>204.14</v>
      </c>
      <c r="R26">
        <v>28.92</v>
      </c>
      <c r="S26">
        <v>17.37</v>
      </c>
      <c r="T26">
        <v>3636.6</v>
      </c>
      <c r="U26">
        <v>0.6</v>
      </c>
      <c r="V26">
        <v>0.74</v>
      </c>
      <c r="W26">
        <v>1.1599999999999999</v>
      </c>
      <c r="X26">
        <v>0.23</v>
      </c>
      <c r="Y26">
        <v>1</v>
      </c>
      <c r="Z26">
        <v>10</v>
      </c>
    </row>
    <row r="27" spans="1:26" x14ac:dyDescent="0.3">
      <c r="A27">
        <v>25</v>
      </c>
      <c r="B27">
        <v>130</v>
      </c>
      <c r="C27" t="s">
        <v>26</v>
      </c>
      <c r="D27">
        <v>9.6374999999999993</v>
      </c>
      <c r="E27">
        <v>10.38</v>
      </c>
      <c r="F27">
        <v>6.94</v>
      </c>
      <c r="G27">
        <v>32.01</v>
      </c>
      <c r="H27">
        <v>0.49</v>
      </c>
      <c r="I27">
        <v>13</v>
      </c>
      <c r="J27">
        <v>264.36</v>
      </c>
      <c r="K27">
        <v>59.19</v>
      </c>
      <c r="L27">
        <v>7.25</v>
      </c>
      <c r="M27">
        <v>11</v>
      </c>
      <c r="N27">
        <v>67.92</v>
      </c>
      <c r="O27">
        <v>32838.68</v>
      </c>
      <c r="P27">
        <v>112.23</v>
      </c>
      <c r="Q27">
        <v>204.14</v>
      </c>
      <c r="R27">
        <v>29.32</v>
      </c>
      <c r="S27">
        <v>17.37</v>
      </c>
      <c r="T27">
        <v>3836.01</v>
      </c>
      <c r="U27">
        <v>0.59</v>
      </c>
      <c r="V27">
        <v>0.74</v>
      </c>
      <c r="W27">
        <v>1.1599999999999999</v>
      </c>
      <c r="X27">
        <v>0.24</v>
      </c>
      <c r="Y27">
        <v>1</v>
      </c>
      <c r="Z27">
        <v>10</v>
      </c>
    </row>
    <row r="28" spans="1:26" x14ac:dyDescent="0.3">
      <c r="A28">
        <v>26</v>
      </c>
      <c r="B28">
        <v>130</v>
      </c>
      <c r="C28" t="s">
        <v>26</v>
      </c>
      <c r="D28">
        <v>9.7029999999999994</v>
      </c>
      <c r="E28">
        <v>10.31</v>
      </c>
      <c r="F28">
        <v>6.91</v>
      </c>
      <c r="G28">
        <v>34.57</v>
      </c>
      <c r="H28">
        <v>0.5</v>
      </c>
      <c r="I28">
        <v>12</v>
      </c>
      <c r="J28">
        <v>264.83</v>
      </c>
      <c r="K28">
        <v>59.19</v>
      </c>
      <c r="L28">
        <v>7.5</v>
      </c>
      <c r="M28">
        <v>10</v>
      </c>
      <c r="N28">
        <v>68.14</v>
      </c>
      <c r="O28">
        <v>32896.51</v>
      </c>
      <c r="P28">
        <v>111.97</v>
      </c>
      <c r="Q28">
        <v>204.14</v>
      </c>
      <c r="R28">
        <v>28.87</v>
      </c>
      <c r="S28">
        <v>17.37</v>
      </c>
      <c r="T28">
        <v>3617.8</v>
      </c>
      <c r="U28">
        <v>0.6</v>
      </c>
      <c r="V28">
        <v>0.74</v>
      </c>
      <c r="W28">
        <v>1.1499999999999999</v>
      </c>
      <c r="X28">
        <v>0.22</v>
      </c>
      <c r="Y28">
        <v>1</v>
      </c>
      <c r="Z28">
        <v>10</v>
      </c>
    </row>
    <row r="29" spans="1:26" x14ac:dyDescent="0.3">
      <c r="A29">
        <v>27</v>
      </c>
      <c r="B29">
        <v>130</v>
      </c>
      <c r="C29" t="s">
        <v>26</v>
      </c>
      <c r="D29">
        <v>9.7025000000000006</v>
      </c>
      <c r="E29">
        <v>10.31</v>
      </c>
      <c r="F29">
        <v>6.92</v>
      </c>
      <c r="G29">
        <v>34.58</v>
      </c>
      <c r="H29">
        <v>0.52</v>
      </c>
      <c r="I29">
        <v>12</v>
      </c>
      <c r="J29">
        <v>265.3</v>
      </c>
      <c r="K29">
        <v>59.19</v>
      </c>
      <c r="L29">
        <v>7.75</v>
      </c>
      <c r="M29">
        <v>10</v>
      </c>
      <c r="N29">
        <v>68.36</v>
      </c>
      <c r="O29">
        <v>32954.43</v>
      </c>
      <c r="P29">
        <v>111.85</v>
      </c>
      <c r="Q29">
        <v>204.14</v>
      </c>
      <c r="R29">
        <v>28.8</v>
      </c>
      <c r="S29">
        <v>17.37</v>
      </c>
      <c r="T29">
        <v>3584.27</v>
      </c>
      <c r="U29">
        <v>0.6</v>
      </c>
      <c r="V29">
        <v>0.74</v>
      </c>
      <c r="W29">
        <v>1.1599999999999999</v>
      </c>
      <c r="X29">
        <v>0.22</v>
      </c>
      <c r="Y29">
        <v>1</v>
      </c>
      <c r="Z29">
        <v>10</v>
      </c>
    </row>
    <row r="30" spans="1:26" x14ac:dyDescent="0.3">
      <c r="A30">
        <v>28</v>
      </c>
      <c r="B30">
        <v>130</v>
      </c>
      <c r="C30" t="s">
        <v>26</v>
      </c>
      <c r="D30">
        <v>9.7775999999999996</v>
      </c>
      <c r="E30">
        <v>10.23</v>
      </c>
      <c r="F30">
        <v>6.88</v>
      </c>
      <c r="G30">
        <v>37.549999999999997</v>
      </c>
      <c r="H30">
        <v>0.54</v>
      </c>
      <c r="I30">
        <v>11</v>
      </c>
      <c r="J30">
        <v>265.77</v>
      </c>
      <c r="K30">
        <v>59.19</v>
      </c>
      <c r="L30">
        <v>8</v>
      </c>
      <c r="M30">
        <v>9</v>
      </c>
      <c r="N30">
        <v>68.58</v>
      </c>
      <c r="O30">
        <v>33012.44</v>
      </c>
      <c r="P30">
        <v>111.04</v>
      </c>
      <c r="Q30">
        <v>204.19</v>
      </c>
      <c r="R30">
        <v>27.7</v>
      </c>
      <c r="S30">
        <v>17.37</v>
      </c>
      <c r="T30">
        <v>3037.64</v>
      </c>
      <c r="U30">
        <v>0.63</v>
      </c>
      <c r="V30">
        <v>0.74</v>
      </c>
      <c r="W30">
        <v>1.1599999999999999</v>
      </c>
      <c r="X30">
        <v>0.19</v>
      </c>
      <c r="Y30">
        <v>1</v>
      </c>
      <c r="Z30">
        <v>10</v>
      </c>
    </row>
    <row r="31" spans="1:26" x14ac:dyDescent="0.3">
      <c r="A31">
        <v>29</v>
      </c>
      <c r="B31">
        <v>130</v>
      </c>
      <c r="C31" t="s">
        <v>26</v>
      </c>
      <c r="D31">
        <v>9.7822999999999993</v>
      </c>
      <c r="E31">
        <v>10.220000000000001</v>
      </c>
      <c r="F31">
        <v>6.88</v>
      </c>
      <c r="G31">
        <v>37.53</v>
      </c>
      <c r="H31">
        <v>0.55000000000000004</v>
      </c>
      <c r="I31">
        <v>11</v>
      </c>
      <c r="J31">
        <v>266.24</v>
      </c>
      <c r="K31">
        <v>59.19</v>
      </c>
      <c r="L31">
        <v>8.25</v>
      </c>
      <c r="M31">
        <v>9</v>
      </c>
      <c r="N31">
        <v>68.8</v>
      </c>
      <c r="O31">
        <v>33070.519999999997</v>
      </c>
      <c r="P31">
        <v>110.93</v>
      </c>
      <c r="Q31">
        <v>204.14</v>
      </c>
      <c r="R31">
        <v>27.8</v>
      </c>
      <c r="S31">
        <v>17.37</v>
      </c>
      <c r="T31">
        <v>3088.23</v>
      </c>
      <c r="U31">
        <v>0.62</v>
      </c>
      <c r="V31">
        <v>0.74</v>
      </c>
      <c r="W31">
        <v>1.1499999999999999</v>
      </c>
      <c r="X31">
        <v>0.19</v>
      </c>
      <c r="Y31">
        <v>1</v>
      </c>
      <c r="Z31">
        <v>10</v>
      </c>
    </row>
    <row r="32" spans="1:26" x14ac:dyDescent="0.3">
      <c r="A32">
        <v>30</v>
      </c>
      <c r="B32">
        <v>130</v>
      </c>
      <c r="C32" t="s">
        <v>26</v>
      </c>
      <c r="D32">
        <v>9.7728000000000002</v>
      </c>
      <c r="E32">
        <v>10.23</v>
      </c>
      <c r="F32">
        <v>6.89</v>
      </c>
      <c r="G32">
        <v>37.58</v>
      </c>
      <c r="H32">
        <v>0.56999999999999995</v>
      </c>
      <c r="I32">
        <v>11</v>
      </c>
      <c r="J32">
        <v>266.70999999999998</v>
      </c>
      <c r="K32">
        <v>59.19</v>
      </c>
      <c r="L32">
        <v>8.5</v>
      </c>
      <c r="M32">
        <v>9</v>
      </c>
      <c r="N32">
        <v>69.02</v>
      </c>
      <c r="O32">
        <v>33128.699999999997</v>
      </c>
      <c r="P32">
        <v>111.12</v>
      </c>
      <c r="Q32">
        <v>204.16</v>
      </c>
      <c r="R32">
        <v>28.1</v>
      </c>
      <c r="S32">
        <v>17.37</v>
      </c>
      <c r="T32">
        <v>3237.52</v>
      </c>
      <c r="U32">
        <v>0.62</v>
      </c>
      <c r="V32">
        <v>0.74</v>
      </c>
      <c r="W32">
        <v>1.1499999999999999</v>
      </c>
      <c r="X32">
        <v>0.2</v>
      </c>
      <c r="Y32">
        <v>1</v>
      </c>
      <c r="Z32">
        <v>10</v>
      </c>
    </row>
    <row r="33" spans="1:26" x14ac:dyDescent="0.3">
      <c r="A33">
        <v>31</v>
      </c>
      <c r="B33">
        <v>130</v>
      </c>
      <c r="C33" t="s">
        <v>26</v>
      </c>
      <c r="D33">
        <v>9.7736000000000001</v>
      </c>
      <c r="E33">
        <v>10.23</v>
      </c>
      <c r="F33">
        <v>6.89</v>
      </c>
      <c r="G33">
        <v>37.58</v>
      </c>
      <c r="H33">
        <v>0.57999999999999996</v>
      </c>
      <c r="I33">
        <v>11</v>
      </c>
      <c r="J33">
        <v>267.18</v>
      </c>
      <c r="K33">
        <v>59.19</v>
      </c>
      <c r="L33">
        <v>8.75</v>
      </c>
      <c r="M33">
        <v>9</v>
      </c>
      <c r="N33">
        <v>69.239999999999995</v>
      </c>
      <c r="O33">
        <v>33186.949999999997</v>
      </c>
      <c r="P33">
        <v>110.86</v>
      </c>
      <c r="Q33">
        <v>204.15</v>
      </c>
      <c r="R33">
        <v>27.87</v>
      </c>
      <c r="S33">
        <v>17.37</v>
      </c>
      <c r="T33">
        <v>3121.3</v>
      </c>
      <c r="U33">
        <v>0.62</v>
      </c>
      <c r="V33">
        <v>0.74</v>
      </c>
      <c r="W33">
        <v>1.1599999999999999</v>
      </c>
      <c r="X33">
        <v>0.2</v>
      </c>
      <c r="Y33">
        <v>1</v>
      </c>
      <c r="Z33">
        <v>10</v>
      </c>
    </row>
    <row r="34" spans="1:26" x14ac:dyDescent="0.3">
      <c r="A34">
        <v>32</v>
      </c>
      <c r="B34">
        <v>130</v>
      </c>
      <c r="C34" t="s">
        <v>26</v>
      </c>
      <c r="D34">
        <v>9.8430999999999997</v>
      </c>
      <c r="E34">
        <v>10.16</v>
      </c>
      <c r="F34">
        <v>6.87</v>
      </c>
      <c r="G34">
        <v>41.19</v>
      </c>
      <c r="H34">
        <v>0.6</v>
      </c>
      <c r="I34">
        <v>10</v>
      </c>
      <c r="J34">
        <v>267.66000000000003</v>
      </c>
      <c r="K34">
        <v>59.19</v>
      </c>
      <c r="L34">
        <v>9</v>
      </c>
      <c r="M34">
        <v>8</v>
      </c>
      <c r="N34">
        <v>69.459999999999994</v>
      </c>
      <c r="O34">
        <v>33245.29</v>
      </c>
      <c r="P34">
        <v>110.39</v>
      </c>
      <c r="Q34">
        <v>204.14</v>
      </c>
      <c r="R34">
        <v>27.25</v>
      </c>
      <c r="S34">
        <v>17.37</v>
      </c>
      <c r="T34">
        <v>2816.95</v>
      </c>
      <c r="U34">
        <v>0.64</v>
      </c>
      <c r="V34">
        <v>0.74</v>
      </c>
      <c r="W34">
        <v>1.1499999999999999</v>
      </c>
      <c r="X34">
        <v>0.17</v>
      </c>
      <c r="Y34">
        <v>1</v>
      </c>
      <c r="Z34">
        <v>10</v>
      </c>
    </row>
    <row r="35" spans="1:26" x14ac:dyDescent="0.3">
      <c r="A35">
        <v>33</v>
      </c>
      <c r="B35">
        <v>130</v>
      </c>
      <c r="C35" t="s">
        <v>26</v>
      </c>
      <c r="D35">
        <v>9.8414000000000001</v>
      </c>
      <c r="E35">
        <v>10.16</v>
      </c>
      <c r="F35">
        <v>6.87</v>
      </c>
      <c r="G35">
        <v>41.2</v>
      </c>
      <c r="H35">
        <v>0.61</v>
      </c>
      <c r="I35">
        <v>10</v>
      </c>
      <c r="J35">
        <v>268.13</v>
      </c>
      <c r="K35">
        <v>59.19</v>
      </c>
      <c r="L35">
        <v>9.25</v>
      </c>
      <c r="M35">
        <v>8</v>
      </c>
      <c r="N35">
        <v>69.69</v>
      </c>
      <c r="O35">
        <v>33303.72</v>
      </c>
      <c r="P35">
        <v>110.41</v>
      </c>
      <c r="Q35">
        <v>204.15</v>
      </c>
      <c r="R35">
        <v>27.31</v>
      </c>
      <c r="S35">
        <v>17.37</v>
      </c>
      <c r="T35">
        <v>2847.53</v>
      </c>
      <c r="U35">
        <v>0.64</v>
      </c>
      <c r="V35">
        <v>0.74</v>
      </c>
      <c r="W35">
        <v>1.1499999999999999</v>
      </c>
      <c r="X35">
        <v>0.18</v>
      </c>
      <c r="Y35">
        <v>1</v>
      </c>
      <c r="Z35">
        <v>10</v>
      </c>
    </row>
    <row r="36" spans="1:26" x14ac:dyDescent="0.3">
      <c r="A36">
        <v>34</v>
      </c>
      <c r="B36">
        <v>130</v>
      </c>
      <c r="C36" t="s">
        <v>26</v>
      </c>
      <c r="D36">
        <v>9.8462999999999994</v>
      </c>
      <c r="E36">
        <v>10.16</v>
      </c>
      <c r="F36">
        <v>6.86</v>
      </c>
      <c r="G36">
        <v>41.17</v>
      </c>
      <c r="H36">
        <v>0.63</v>
      </c>
      <c r="I36">
        <v>10</v>
      </c>
      <c r="J36">
        <v>268.61</v>
      </c>
      <c r="K36">
        <v>59.19</v>
      </c>
      <c r="L36">
        <v>9.5</v>
      </c>
      <c r="M36">
        <v>8</v>
      </c>
      <c r="N36">
        <v>69.91</v>
      </c>
      <c r="O36">
        <v>33362.230000000003</v>
      </c>
      <c r="P36">
        <v>110.47</v>
      </c>
      <c r="Q36">
        <v>204.16</v>
      </c>
      <c r="R36">
        <v>27.08</v>
      </c>
      <c r="S36">
        <v>17.37</v>
      </c>
      <c r="T36">
        <v>2734.32</v>
      </c>
      <c r="U36">
        <v>0.64</v>
      </c>
      <c r="V36">
        <v>0.74</v>
      </c>
      <c r="W36">
        <v>1.1499999999999999</v>
      </c>
      <c r="X36">
        <v>0.17</v>
      </c>
      <c r="Y36">
        <v>1</v>
      </c>
      <c r="Z36">
        <v>10</v>
      </c>
    </row>
    <row r="37" spans="1:26" x14ac:dyDescent="0.3">
      <c r="A37">
        <v>35</v>
      </c>
      <c r="B37">
        <v>130</v>
      </c>
      <c r="C37" t="s">
        <v>26</v>
      </c>
      <c r="D37">
        <v>9.8370999999999995</v>
      </c>
      <c r="E37">
        <v>10.17</v>
      </c>
      <c r="F37">
        <v>6.87</v>
      </c>
      <c r="G37">
        <v>41.23</v>
      </c>
      <c r="H37">
        <v>0.64</v>
      </c>
      <c r="I37">
        <v>10</v>
      </c>
      <c r="J37">
        <v>269.08</v>
      </c>
      <c r="K37">
        <v>59.19</v>
      </c>
      <c r="L37">
        <v>9.75</v>
      </c>
      <c r="M37">
        <v>8</v>
      </c>
      <c r="N37">
        <v>70.14</v>
      </c>
      <c r="O37">
        <v>33420.83</v>
      </c>
      <c r="P37">
        <v>110.29</v>
      </c>
      <c r="Q37">
        <v>204.15</v>
      </c>
      <c r="R37">
        <v>27.45</v>
      </c>
      <c r="S37">
        <v>17.37</v>
      </c>
      <c r="T37">
        <v>2918.13</v>
      </c>
      <c r="U37">
        <v>0.63</v>
      </c>
      <c r="V37">
        <v>0.74</v>
      </c>
      <c r="W37">
        <v>1.1499999999999999</v>
      </c>
      <c r="X37">
        <v>0.18</v>
      </c>
      <c r="Y37">
        <v>1</v>
      </c>
      <c r="Z37">
        <v>10</v>
      </c>
    </row>
    <row r="38" spans="1:26" x14ac:dyDescent="0.3">
      <c r="A38">
        <v>36</v>
      </c>
      <c r="B38">
        <v>130</v>
      </c>
      <c r="C38" t="s">
        <v>26</v>
      </c>
      <c r="D38">
        <v>9.9045000000000005</v>
      </c>
      <c r="E38">
        <v>10.1</v>
      </c>
      <c r="F38">
        <v>6.85</v>
      </c>
      <c r="G38">
        <v>45.68</v>
      </c>
      <c r="H38">
        <v>0.66</v>
      </c>
      <c r="I38">
        <v>9</v>
      </c>
      <c r="J38">
        <v>269.56</v>
      </c>
      <c r="K38">
        <v>59.19</v>
      </c>
      <c r="L38">
        <v>10</v>
      </c>
      <c r="M38">
        <v>7</v>
      </c>
      <c r="N38">
        <v>70.36</v>
      </c>
      <c r="O38">
        <v>33479.51</v>
      </c>
      <c r="P38">
        <v>109.98</v>
      </c>
      <c r="Q38">
        <v>204.14</v>
      </c>
      <c r="R38">
        <v>26.88</v>
      </c>
      <c r="S38">
        <v>17.37</v>
      </c>
      <c r="T38">
        <v>2637.49</v>
      </c>
      <c r="U38">
        <v>0.65</v>
      </c>
      <c r="V38">
        <v>0.75</v>
      </c>
      <c r="W38">
        <v>1.1499999999999999</v>
      </c>
      <c r="X38">
        <v>0.16</v>
      </c>
      <c r="Y38">
        <v>1</v>
      </c>
      <c r="Z38">
        <v>10</v>
      </c>
    </row>
    <row r="39" spans="1:26" x14ac:dyDescent="0.3">
      <c r="A39">
        <v>37</v>
      </c>
      <c r="B39">
        <v>130</v>
      </c>
      <c r="C39" t="s">
        <v>26</v>
      </c>
      <c r="D39">
        <v>9.8985000000000003</v>
      </c>
      <c r="E39">
        <v>10.1</v>
      </c>
      <c r="F39">
        <v>6.86</v>
      </c>
      <c r="G39">
        <v>45.72</v>
      </c>
      <c r="H39">
        <v>0.68</v>
      </c>
      <c r="I39">
        <v>9</v>
      </c>
      <c r="J39">
        <v>270.02999999999997</v>
      </c>
      <c r="K39">
        <v>59.19</v>
      </c>
      <c r="L39">
        <v>10.25</v>
      </c>
      <c r="M39">
        <v>7</v>
      </c>
      <c r="N39">
        <v>70.59</v>
      </c>
      <c r="O39">
        <v>33538.28</v>
      </c>
      <c r="P39">
        <v>110.25</v>
      </c>
      <c r="Q39">
        <v>204.14</v>
      </c>
      <c r="R39">
        <v>27.18</v>
      </c>
      <c r="S39">
        <v>17.37</v>
      </c>
      <c r="T39">
        <v>2788.77</v>
      </c>
      <c r="U39">
        <v>0.64</v>
      </c>
      <c r="V39">
        <v>0.74</v>
      </c>
      <c r="W39">
        <v>1.1499999999999999</v>
      </c>
      <c r="X39">
        <v>0.17</v>
      </c>
      <c r="Y39">
        <v>1</v>
      </c>
      <c r="Z39">
        <v>10</v>
      </c>
    </row>
    <row r="40" spans="1:26" x14ac:dyDescent="0.3">
      <c r="A40">
        <v>38</v>
      </c>
      <c r="B40">
        <v>130</v>
      </c>
      <c r="C40" t="s">
        <v>26</v>
      </c>
      <c r="D40">
        <v>9.8999000000000006</v>
      </c>
      <c r="E40">
        <v>10.1</v>
      </c>
      <c r="F40">
        <v>6.86</v>
      </c>
      <c r="G40">
        <v>45.71</v>
      </c>
      <c r="H40">
        <v>0.69</v>
      </c>
      <c r="I40">
        <v>9</v>
      </c>
      <c r="J40">
        <v>270.51</v>
      </c>
      <c r="K40">
        <v>59.19</v>
      </c>
      <c r="L40">
        <v>10.5</v>
      </c>
      <c r="M40">
        <v>7</v>
      </c>
      <c r="N40">
        <v>70.819999999999993</v>
      </c>
      <c r="O40">
        <v>33597.14</v>
      </c>
      <c r="P40">
        <v>110.18</v>
      </c>
      <c r="Q40">
        <v>204.17</v>
      </c>
      <c r="R40">
        <v>26.97</v>
      </c>
      <c r="S40">
        <v>17.37</v>
      </c>
      <c r="T40">
        <v>2683.62</v>
      </c>
      <c r="U40">
        <v>0.64</v>
      </c>
      <c r="V40">
        <v>0.74</v>
      </c>
      <c r="W40">
        <v>1.1499999999999999</v>
      </c>
      <c r="X40">
        <v>0.16</v>
      </c>
      <c r="Y40">
        <v>1</v>
      </c>
      <c r="Z40">
        <v>10</v>
      </c>
    </row>
    <row r="41" spans="1:26" x14ac:dyDescent="0.3">
      <c r="A41">
        <v>39</v>
      </c>
      <c r="B41">
        <v>130</v>
      </c>
      <c r="C41" t="s">
        <v>26</v>
      </c>
      <c r="D41">
        <v>9.8995999999999995</v>
      </c>
      <c r="E41">
        <v>10.1</v>
      </c>
      <c r="F41">
        <v>6.86</v>
      </c>
      <c r="G41">
        <v>45.71</v>
      </c>
      <c r="H41">
        <v>0.71</v>
      </c>
      <c r="I41">
        <v>9</v>
      </c>
      <c r="J41">
        <v>270.99</v>
      </c>
      <c r="K41">
        <v>59.19</v>
      </c>
      <c r="L41">
        <v>10.75</v>
      </c>
      <c r="M41">
        <v>7</v>
      </c>
      <c r="N41">
        <v>71.040000000000006</v>
      </c>
      <c r="O41">
        <v>33656.080000000002</v>
      </c>
      <c r="P41">
        <v>109.99</v>
      </c>
      <c r="Q41">
        <v>204.14</v>
      </c>
      <c r="R41">
        <v>27.03</v>
      </c>
      <c r="S41">
        <v>17.37</v>
      </c>
      <c r="T41">
        <v>2712.01</v>
      </c>
      <c r="U41">
        <v>0.64</v>
      </c>
      <c r="V41">
        <v>0.74</v>
      </c>
      <c r="W41">
        <v>1.1499999999999999</v>
      </c>
      <c r="X41">
        <v>0.17</v>
      </c>
      <c r="Y41">
        <v>1</v>
      </c>
      <c r="Z41">
        <v>10</v>
      </c>
    </row>
    <row r="42" spans="1:26" x14ac:dyDescent="0.3">
      <c r="A42">
        <v>40</v>
      </c>
      <c r="B42">
        <v>130</v>
      </c>
      <c r="C42" t="s">
        <v>26</v>
      </c>
      <c r="D42">
        <v>9.9021000000000008</v>
      </c>
      <c r="E42">
        <v>10.1</v>
      </c>
      <c r="F42">
        <v>6.85</v>
      </c>
      <c r="G42">
        <v>45.69</v>
      </c>
      <c r="H42">
        <v>0.72</v>
      </c>
      <c r="I42">
        <v>9</v>
      </c>
      <c r="J42">
        <v>271.47000000000003</v>
      </c>
      <c r="K42">
        <v>59.19</v>
      </c>
      <c r="L42">
        <v>11</v>
      </c>
      <c r="M42">
        <v>7</v>
      </c>
      <c r="N42">
        <v>71.27</v>
      </c>
      <c r="O42">
        <v>33715.11</v>
      </c>
      <c r="P42">
        <v>109.75</v>
      </c>
      <c r="Q42">
        <v>204.15</v>
      </c>
      <c r="R42">
        <v>27</v>
      </c>
      <c r="S42">
        <v>17.37</v>
      </c>
      <c r="T42">
        <v>2697.38</v>
      </c>
      <c r="U42">
        <v>0.64</v>
      </c>
      <c r="V42">
        <v>0.75</v>
      </c>
      <c r="W42">
        <v>1.1499999999999999</v>
      </c>
      <c r="X42">
        <v>0.16</v>
      </c>
      <c r="Y42">
        <v>1</v>
      </c>
      <c r="Z42">
        <v>10</v>
      </c>
    </row>
    <row r="43" spans="1:26" x14ac:dyDescent="0.3">
      <c r="A43">
        <v>41</v>
      </c>
      <c r="B43">
        <v>130</v>
      </c>
      <c r="C43" t="s">
        <v>26</v>
      </c>
      <c r="D43">
        <v>9.9679000000000002</v>
      </c>
      <c r="E43">
        <v>10.029999999999999</v>
      </c>
      <c r="F43">
        <v>6.84</v>
      </c>
      <c r="G43">
        <v>51.27</v>
      </c>
      <c r="H43">
        <v>0.74</v>
      </c>
      <c r="I43">
        <v>8</v>
      </c>
      <c r="J43">
        <v>271.95</v>
      </c>
      <c r="K43">
        <v>59.19</v>
      </c>
      <c r="L43">
        <v>11.25</v>
      </c>
      <c r="M43">
        <v>6</v>
      </c>
      <c r="N43">
        <v>71.5</v>
      </c>
      <c r="O43">
        <v>33774.230000000003</v>
      </c>
      <c r="P43">
        <v>109.29</v>
      </c>
      <c r="Q43">
        <v>204.19</v>
      </c>
      <c r="R43">
        <v>26.37</v>
      </c>
      <c r="S43">
        <v>17.37</v>
      </c>
      <c r="T43">
        <v>2385.36</v>
      </c>
      <c r="U43">
        <v>0.66</v>
      </c>
      <c r="V43">
        <v>0.75</v>
      </c>
      <c r="W43">
        <v>1.1499999999999999</v>
      </c>
      <c r="X43">
        <v>0.14000000000000001</v>
      </c>
      <c r="Y43">
        <v>1</v>
      </c>
      <c r="Z43">
        <v>10</v>
      </c>
    </row>
    <row r="44" spans="1:26" x14ac:dyDescent="0.3">
      <c r="A44">
        <v>42</v>
      </c>
      <c r="B44">
        <v>130</v>
      </c>
      <c r="C44" t="s">
        <v>26</v>
      </c>
      <c r="D44">
        <v>9.9831000000000003</v>
      </c>
      <c r="E44">
        <v>10.02</v>
      </c>
      <c r="F44">
        <v>6.82</v>
      </c>
      <c r="G44">
        <v>51.16</v>
      </c>
      <c r="H44">
        <v>0.75</v>
      </c>
      <c r="I44">
        <v>8</v>
      </c>
      <c r="J44">
        <v>272.43</v>
      </c>
      <c r="K44">
        <v>59.19</v>
      </c>
      <c r="L44">
        <v>11.5</v>
      </c>
      <c r="M44">
        <v>6</v>
      </c>
      <c r="N44">
        <v>71.73</v>
      </c>
      <c r="O44">
        <v>33833.57</v>
      </c>
      <c r="P44">
        <v>109.08</v>
      </c>
      <c r="Q44">
        <v>204.15</v>
      </c>
      <c r="R44">
        <v>25.8</v>
      </c>
      <c r="S44">
        <v>17.37</v>
      </c>
      <c r="T44">
        <v>2102.46</v>
      </c>
      <c r="U44">
        <v>0.67</v>
      </c>
      <c r="V44">
        <v>0.75</v>
      </c>
      <c r="W44">
        <v>1.1499999999999999</v>
      </c>
      <c r="X44">
        <v>0.13</v>
      </c>
      <c r="Y44">
        <v>1</v>
      </c>
      <c r="Z44">
        <v>10</v>
      </c>
    </row>
    <row r="45" spans="1:26" x14ac:dyDescent="0.3">
      <c r="A45">
        <v>43</v>
      </c>
      <c r="B45">
        <v>130</v>
      </c>
      <c r="C45" t="s">
        <v>26</v>
      </c>
      <c r="D45">
        <v>9.9824999999999999</v>
      </c>
      <c r="E45">
        <v>10.02</v>
      </c>
      <c r="F45">
        <v>6.82</v>
      </c>
      <c r="G45">
        <v>51.16</v>
      </c>
      <c r="H45">
        <v>0.77</v>
      </c>
      <c r="I45">
        <v>8</v>
      </c>
      <c r="J45">
        <v>272.91000000000003</v>
      </c>
      <c r="K45">
        <v>59.19</v>
      </c>
      <c r="L45">
        <v>11.75</v>
      </c>
      <c r="M45">
        <v>6</v>
      </c>
      <c r="N45">
        <v>71.959999999999994</v>
      </c>
      <c r="O45">
        <v>33892.870000000003</v>
      </c>
      <c r="P45">
        <v>108.91</v>
      </c>
      <c r="Q45">
        <v>204.16</v>
      </c>
      <c r="R45">
        <v>25.89</v>
      </c>
      <c r="S45">
        <v>17.37</v>
      </c>
      <c r="T45">
        <v>2145.5700000000002</v>
      </c>
      <c r="U45">
        <v>0.67</v>
      </c>
      <c r="V45">
        <v>0.75</v>
      </c>
      <c r="W45">
        <v>1.1499999999999999</v>
      </c>
      <c r="X45">
        <v>0.13</v>
      </c>
      <c r="Y45">
        <v>1</v>
      </c>
      <c r="Z45">
        <v>10</v>
      </c>
    </row>
    <row r="46" spans="1:26" x14ac:dyDescent="0.3">
      <c r="A46">
        <v>44</v>
      </c>
      <c r="B46">
        <v>130</v>
      </c>
      <c r="C46" t="s">
        <v>26</v>
      </c>
      <c r="D46">
        <v>9.9728999999999992</v>
      </c>
      <c r="E46">
        <v>10.029999999999999</v>
      </c>
      <c r="F46">
        <v>6.83</v>
      </c>
      <c r="G46">
        <v>51.23</v>
      </c>
      <c r="H46">
        <v>0.78</v>
      </c>
      <c r="I46">
        <v>8</v>
      </c>
      <c r="J46">
        <v>273.39</v>
      </c>
      <c r="K46">
        <v>59.19</v>
      </c>
      <c r="L46">
        <v>12</v>
      </c>
      <c r="M46">
        <v>6</v>
      </c>
      <c r="N46">
        <v>72.2</v>
      </c>
      <c r="O46">
        <v>33952.26</v>
      </c>
      <c r="P46">
        <v>108.92</v>
      </c>
      <c r="Q46">
        <v>204.18</v>
      </c>
      <c r="R46">
        <v>26.28</v>
      </c>
      <c r="S46">
        <v>17.37</v>
      </c>
      <c r="T46">
        <v>2344.0100000000002</v>
      </c>
      <c r="U46">
        <v>0.66</v>
      </c>
      <c r="V46">
        <v>0.75</v>
      </c>
      <c r="W46">
        <v>1.1499999999999999</v>
      </c>
      <c r="X46">
        <v>0.14000000000000001</v>
      </c>
      <c r="Y46">
        <v>1</v>
      </c>
      <c r="Z46">
        <v>10</v>
      </c>
    </row>
    <row r="47" spans="1:26" x14ac:dyDescent="0.3">
      <c r="A47">
        <v>45</v>
      </c>
      <c r="B47">
        <v>130</v>
      </c>
      <c r="C47" t="s">
        <v>26</v>
      </c>
      <c r="D47">
        <v>9.9778000000000002</v>
      </c>
      <c r="E47">
        <v>10.02</v>
      </c>
      <c r="F47">
        <v>6.83</v>
      </c>
      <c r="G47">
        <v>51.2</v>
      </c>
      <c r="H47">
        <v>0.8</v>
      </c>
      <c r="I47">
        <v>8</v>
      </c>
      <c r="J47">
        <v>273.87</v>
      </c>
      <c r="K47">
        <v>59.19</v>
      </c>
      <c r="L47">
        <v>12.25</v>
      </c>
      <c r="M47">
        <v>6</v>
      </c>
      <c r="N47">
        <v>72.430000000000007</v>
      </c>
      <c r="O47">
        <v>34011.74</v>
      </c>
      <c r="P47">
        <v>108.8</v>
      </c>
      <c r="Q47">
        <v>204.14</v>
      </c>
      <c r="R47">
        <v>26.14</v>
      </c>
      <c r="S47">
        <v>17.37</v>
      </c>
      <c r="T47">
        <v>2272.12</v>
      </c>
      <c r="U47">
        <v>0.66</v>
      </c>
      <c r="V47">
        <v>0.75</v>
      </c>
      <c r="W47">
        <v>1.1499999999999999</v>
      </c>
      <c r="X47">
        <v>0.14000000000000001</v>
      </c>
      <c r="Y47">
        <v>1</v>
      </c>
      <c r="Z47">
        <v>10</v>
      </c>
    </row>
    <row r="48" spans="1:26" x14ac:dyDescent="0.3">
      <c r="A48">
        <v>46</v>
      </c>
      <c r="B48">
        <v>130</v>
      </c>
      <c r="C48" t="s">
        <v>26</v>
      </c>
      <c r="D48">
        <v>9.9802999999999997</v>
      </c>
      <c r="E48">
        <v>10.02</v>
      </c>
      <c r="F48">
        <v>6.82</v>
      </c>
      <c r="G48">
        <v>51.18</v>
      </c>
      <c r="H48">
        <v>0.81</v>
      </c>
      <c r="I48">
        <v>8</v>
      </c>
      <c r="J48">
        <v>274.35000000000002</v>
      </c>
      <c r="K48">
        <v>59.19</v>
      </c>
      <c r="L48">
        <v>12.5</v>
      </c>
      <c r="M48">
        <v>6</v>
      </c>
      <c r="N48">
        <v>72.66</v>
      </c>
      <c r="O48">
        <v>34071.31</v>
      </c>
      <c r="P48">
        <v>108.7</v>
      </c>
      <c r="Q48">
        <v>204.15</v>
      </c>
      <c r="R48">
        <v>25.99</v>
      </c>
      <c r="S48">
        <v>17.37</v>
      </c>
      <c r="T48">
        <v>2196.23</v>
      </c>
      <c r="U48">
        <v>0.67</v>
      </c>
      <c r="V48">
        <v>0.75</v>
      </c>
      <c r="W48">
        <v>1.1499999999999999</v>
      </c>
      <c r="X48">
        <v>0.13</v>
      </c>
      <c r="Y48">
        <v>1</v>
      </c>
      <c r="Z48">
        <v>10</v>
      </c>
    </row>
    <row r="49" spans="1:26" x14ac:dyDescent="0.3">
      <c r="A49">
        <v>47</v>
      </c>
      <c r="B49">
        <v>130</v>
      </c>
      <c r="C49" t="s">
        <v>26</v>
      </c>
      <c r="D49">
        <v>9.9745000000000008</v>
      </c>
      <c r="E49">
        <v>10.029999999999999</v>
      </c>
      <c r="F49">
        <v>6.83</v>
      </c>
      <c r="G49">
        <v>51.22</v>
      </c>
      <c r="H49">
        <v>0.83</v>
      </c>
      <c r="I49">
        <v>8</v>
      </c>
      <c r="J49">
        <v>274.83999999999997</v>
      </c>
      <c r="K49">
        <v>59.19</v>
      </c>
      <c r="L49">
        <v>12.75</v>
      </c>
      <c r="M49">
        <v>6</v>
      </c>
      <c r="N49">
        <v>72.89</v>
      </c>
      <c r="O49">
        <v>34130.980000000003</v>
      </c>
      <c r="P49">
        <v>108.56</v>
      </c>
      <c r="Q49">
        <v>204.14</v>
      </c>
      <c r="R49">
        <v>26.09</v>
      </c>
      <c r="S49">
        <v>17.37</v>
      </c>
      <c r="T49">
        <v>2245.1</v>
      </c>
      <c r="U49">
        <v>0.67</v>
      </c>
      <c r="V49">
        <v>0.75</v>
      </c>
      <c r="W49">
        <v>1.1499999999999999</v>
      </c>
      <c r="X49">
        <v>0.14000000000000001</v>
      </c>
      <c r="Y49">
        <v>1</v>
      </c>
      <c r="Z49">
        <v>10</v>
      </c>
    </row>
    <row r="50" spans="1:26" x14ac:dyDescent="0.3">
      <c r="A50">
        <v>48</v>
      </c>
      <c r="B50">
        <v>130</v>
      </c>
      <c r="C50" t="s">
        <v>26</v>
      </c>
      <c r="D50">
        <v>10.0474</v>
      </c>
      <c r="E50">
        <v>9.9499999999999993</v>
      </c>
      <c r="F50">
        <v>6.81</v>
      </c>
      <c r="G50">
        <v>58.33</v>
      </c>
      <c r="H50">
        <v>0.84</v>
      </c>
      <c r="I50">
        <v>7</v>
      </c>
      <c r="J50">
        <v>275.32</v>
      </c>
      <c r="K50">
        <v>59.19</v>
      </c>
      <c r="L50">
        <v>13</v>
      </c>
      <c r="M50">
        <v>5</v>
      </c>
      <c r="N50">
        <v>73.13</v>
      </c>
      <c r="O50">
        <v>34190.730000000003</v>
      </c>
      <c r="P50">
        <v>108.09</v>
      </c>
      <c r="Q50">
        <v>204.14</v>
      </c>
      <c r="R50">
        <v>25.26</v>
      </c>
      <c r="S50">
        <v>17.37</v>
      </c>
      <c r="T50">
        <v>1837.19</v>
      </c>
      <c r="U50">
        <v>0.69</v>
      </c>
      <c r="V50">
        <v>0.75</v>
      </c>
      <c r="W50">
        <v>1.1499999999999999</v>
      </c>
      <c r="X50">
        <v>0.11</v>
      </c>
      <c r="Y50">
        <v>1</v>
      </c>
      <c r="Z50">
        <v>10</v>
      </c>
    </row>
    <row r="51" spans="1:26" x14ac:dyDescent="0.3">
      <c r="A51">
        <v>49</v>
      </c>
      <c r="B51">
        <v>130</v>
      </c>
      <c r="C51" t="s">
        <v>26</v>
      </c>
      <c r="D51">
        <v>10.050000000000001</v>
      </c>
      <c r="E51">
        <v>9.9499999999999993</v>
      </c>
      <c r="F51">
        <v>6.8</v>
      </c>
      <c r="G51">
        <v>58.31</v>
      </c>
      <c r="H51">
        <v>0.86</v>
      </c>
      <c r="I51">
        <v>7</v>
      </c>
      <c r="J51">
        <v>275.81</v>
      </c>
      <c r="K51">
        <v>59.19</v>
      </c>
      <c r="L51">
        <v>13.25</v>
      </c>
      <c r="M51">
        <v>5</v>
      </c>
      <c r="N51">
        <v>73.36</v>
      </c>
      <c r="O51">
        <v>34250.57</v>
      </c>
      <c r="P51">
        <v>108.22</v>
      </c>
      <c r="Q51">
        <v>204.14</v>
      </c>
      <c r="R51">
        <v>25.27</v>
      </c>
      <c r="S51">
        <v>17.37</v>
      </c>
      <c r="T51">
        <v>1842.24</v>
      </c>
      <c r="U51">
        <v>0.69</v>
      </c>
      <c r="V51">
        <v>0.75</v>
      </c>
      <c r="W51">
        <v>1.1499999999999999</v>
      </c>
      <c r="X51">
        <v>0.11</v>
      </c>
      <c r="Y51">
        <v>1</v>
      </c>
      <c r="Z51">
        <v>10</v>
      </c>
    </row>
    <row r="52" spans="1:26" x14ac:dyDescent="0.3">
      <c r="A52">
        <v>50</v>
      </c>
      <c r="B52">
        <v>130</v>
      </c>
      <c r="C52" t="s">
        <v>26</v>
      </c>
      <c r="D52">
        <v>10.0517</v>
      </c>
      <c r="E52">
        <v>9.9499999999999993</v>
      </c>
      <c r="F52">
        <v>6.8</v>
      </c>
      <c r="G52">
        <v>58.3</v>
      </c>
      <c r="H52">
        <v>0.87</v>
      </c>
      <c r="I52">
        <v>7</v>
      </c>
      <c r="J52">
        <v>276.29000000000002</v>
      </c>
      <c r="K52">
        <v>59.19</v>
      </c>
      <c r="L52">
        <v>13.5</v>
      </c>
      <c r="M52">
        <v>5</v>
      </c>
      <c r="N52">
        <v>73.599999999999994</v>
      </c>
      <c r="O52">
        <v>34310.51</v>
      </c>
      <c r="P52">
        <v>108.39</v>
      </c>
      <c r="Q52">
        <v>204.17</v>
      </c>
      <c r="R52">
        <v>25.3</v>
      </c>
      <c r="S52">
        <v>17.37</v>
      </c>
      <c r="T52">
        <v>1859.13</v>
      </c>
      <c r="U52">
        <v>0.69</v>
      </c>
      <c r="V52">
        <v>0.75</v>
      </c>
      <c r="W52">
        <v>1.1399999999999999</v>
      </c>
      <c r="X52">
        <v>0.11</v>
      </c>
      <c r="Y52">
        <v>1</v>
      </c>
      <c r="Z52">
        <v>10</v>
      </c>
    </row>
    <row r="53" spans="1:26" x14ac:dyDescent="0.3">
      <c r="A53">
        <v>51</v>
      </c>
      <c r="B53">
        <v>130</v>
      </c>
      <c r="C53" t="s">
        <v>26</v>
      </c>
      <c r="D53">
        <v>10.0458</v>
      </c>
      <c r="E53">
        <v>9.9499999999999993</v>
      </c>
      <c r="F53">
        <v>6.81</v>
      </c>
      <c r="G53">
        <v>58.35</v>
      </c>
      <c r="H53">
        <v>0.88</v>
      </c>
      <c r="I53">
        <v>7</v>
      </c>
      <c r="J53">
        <v>276.77999999999997</v>
      </c>
      <c r="K53">
        <v>59.19</v>
      </c>
      <c r="L53">
        <v>13.75</v>
      </c>
      <c r="M53">
        <v>5</v>
      </c>
      <c r="N53">
        <v>73.84</v>
      </c>
      <c r="O53">
        <v>34370.54</v>
      </c>
      <c r="P53">
        <v>108.43</v>
      </c>
      <c r="Q53">
        <v>204.14</v>
      </c>
      <c r="R53">
        <v>25.53</v>
      </c>
      <c r="S53">
        <v>17.37</v>
      </c>
      <c r="T53">
        <v>1972.36</v>
      </c>
      <c r="U53">
        <v>0.68</v>
      </c>
      <c r="V53">
        <v>0.75</v>
      </c>
      <c r="W53">
        <v>1.1399999999999999</v>
      </c>
      <c r="X53">
        <v>0.12</v>
      </c>
      <c r="Y53">
        <v>1</v>
      </c>
      <c r="Z53">
        <v>10</v>
      </c>
    </row>
    <row r="54" spans="1:26" x14ac:dyDescent="0.3">
      <c r="A54">
        <v>52</v>
      </c>
      <c r="B54">
        <v>130</v>
      </c>
      <c r="C54" t="s">
        <v>26</v>
      </c>
      <c r="D54">
        <v>10.039300000000001</v>
      </c>
      <c r="E54">
        <v>9.9600000000000009</v>
      </c>
      <c r="F54">
        <v>6.81</v>
      </c>
      <c r="G54">
        <v>58.4</v>
      </c>
      <c r="H54">
        <v>0.9</v>
      </c>
      <c r="I54">
        <v>7</v>
      </c>
      <c r="J54">
        <v>277.27</v>
      </c>
      <c r="K54">
        <v>59.19</v>
      </c>
      <c r="L54">
        <v>14</v>
      </c>
      <c r="M54">
        <v>5</v>
      </c>
      <c r="N54">
        <v>74.069999999999993</v>
      </c>
      <c r="O54">
        <v>34430.660000000003</v>
      </c>
      <c r="P54">
        <v>108.53</v>
      </c>
      <c r="Q54">
        <v>204.16</v>
      </c>
      <c r="R54">
        <v>25.62</v>
      </c>
      <c r="S54">
        <v>17.37</v>
      </c>
      <c r="T54">
        <v>2018.18</v>
      </c>
      <c r="U54">
        <v>0.68</v>
      </c>
      <c r="V54">
        <v>0.75</v>
      </c>
      <c r="W54">
        <v>1.1499999999999999</v>
      </c>
      <c r="X54">
        <v>0.12</v>
      </c>
      <c r="Y54">
        <v>1</v>
      </c>
      <c r="Z54">
        <v>10</v>
      </c>
    </row>
    <row r="55" spans="1:26" x14ac:dyDescent="0.3">
      <c r="A55">
        <v>53</v>
      </c>
      <c r="B55">
        <v>130</v>
      </c>
      <c r="C55" t="s">
        <v>26</v>
      </c>
      <c r="D55">
        <v>10.0404</v>
      </c>
      <c r="E55">
        <v>9.9600000000000009</v>
      </c>
      <c r="F55">
        <v>6.81</v>
      </c>
      <c r="G55">
        <v>58.39</v>
      </c>
      <c r="H55">
        <v>0.91</v>
      </c>
      <c r="I55">
        <v>7</v>
      </c>
      <c r="J55">
        <v>277.76</v>
      </c>
      <c r="K55">
        <v>59.19</v>
      </c>
      <c r="L55">
        <v>14.25</v>
      </c>
      <c r="M55">
        <v>5</v>
      </c>
      <c r="N55">
        <v>74.31</v>
      </c>
      <c r="O55">
        <v>34490.870000000003</v>
      </c>
      <c r="P55">
        <v>108.38</v>
      </c>
      <c r="Q55">
        <v>204.14</v>
      </c>
      <c r="R55">
        <v>25.64</v>
      </c>
      <c r="S55">
        <v>17.37</v>
      </c>
      <c r="T55">
        <v>2026.26</v>
      </c>
      <c r="U55">
        <v>0.68</v>
      </c>
      <c r="V55">
        <v>0.75</v>
      </c>
      <c r="W55">
        <v>1.1499999999999999</v>
      </c>
      <c r="X55">
        <v>0.12</v>
      </c>
      <c r="Y55">
        <v>1</v>
      </c>
      <c r="Z55">
        <v>10</v>
      </c>
    </row>
    <row r="56" spans="1:26" x14ac:dyDescent="0.3">
      <c r="A56">
        <v>54</v>
      </c>
      <c r="B56">
        <v>130</v>
      </c>
      <c r="C56" t="s">
        <v>26</v>
      </c>
      <c r="D56">
        <v>10.041600000000001</v>
      </c>
      <c r="E56">
        <v>9.9600000000000009</v>
      </c>
      <c r="F56">
        <v>6.81</v>
      </c>
      <c r="G56">
        <v>58.38</v>
      </c>
      <c r="H56">
        <v>0.93</v>
      </c>
      <c r="I56">
        <v>7</v>
      </c>
      <c r="J56">
        <v>278.25</v>
      </c>
      <c r="K56">
        <v>59.19</v>
      </c>
      <c r="L56">
        <v>14.5</v>
      </c>
      <c r="M56">
        <v>5</v>
      </c>
      <c r="N56">
        <v>74.55</v>
      </c>
      <c r="O56">
        <v>34551.18</v>
      </c>
      <c r="P56">
        <v>108.16</v>
      </c>
      <c r="Q56">
        <v>204.14</v>
      </c>
      <c r="R56">
        <v>25.57</v>
      </c>
      <c r="S56">
        <v>17.37</v>
      </c>
      <c r="T56">
        <v>1989.87</v>
      </c>
      <c r="U56">
        <v>0.68</v>
      </c>
      <c r="V56">
        <v>0.75</v>
      </c>
      <c r="W56">
        <v>1.1499999999999999</v>
      </c>
      <c r="X56">
        <v>0.12</v>
      </c>
      <c r="Y56">
        <v>1</v>
      </c>
      <c r="Z56">
        <v>10</v>
      </c>
    </row>
    <row r="57" spans="1:26" x14ac:dyDescent="0.3">
      <c r="A57">
        <v>55</v>
      </c>
      <c r="B57">
        <v>130</v>
      </c>
      <c r="C57" t="s">
        <v>26</v>
      </c>
      <c r="D57">
        <v>10.0304</v>
      </c>
      <c r="E57">
        <v>9.9700000000000006</v>
      </c>
      <c r="F57">
        <v>6.82</v>
      </c>
      <c r="G57">
        <v>58.48</v>
      </c>
      <c r="H57">
        <v>0.94</v>
      </c>
      <c r="I57">
        <v>7</v>
      </c>
      <c r="J57">
        <v>278.74</v>
      </c>
      <c r="K57">
        <v>59.19</v>
      </c>
      <c r="L57">
        <v>14.75</v>
      </c>
      <c r="M57">
        <v>5</v>
      </c>
      <c r="N57">
        <v>74.790000000000006</v>
      </c>
      <c r="O57">
        <v>34611.589999999997</v>
      </c>
      <c r="P57">
        <v>108.18</v>
      </c>
      <c r="Q57">
        <v>204.14</v>
      </c>
      <c r="R57">
        <v>25.78</v>
      </c>
      <c r="S57">
        <v>17.37</v>
      </c>
      <c r="T57">
        <v>2096.5100000000002</v>
      </c>
      <c r="U57">
        <v>0.67</v>
      </c>
      <c r="V57">
        <v>0.75</v>
      </c>
      <c r="W57">
        <v>1.1499999999999999</v>
      </c>
      <c r="X57">
        <v>0.13</v>
      </c>
      <c r="Y57">
        <v>1</v>
      </c>
      <c r="Z57">
        <v>10</v>
      </c>
    </row>
    <row r="58" spans="1:26" x14ac:dyDescent="0.3">
      <c r="A58">
        <v>56</v>
      </c>
      <c r="B58">
        <v>130</v>
      </c>
      <c r="C58" t="s">
        <v>26</v>
      </c>
      <c r="D58">
        <v>10.0421</v>
      </c>
      <c r="E58">
        <v>9.9600000000000009</v>
      </c>
      <c r="F58">
        <v>6.81</v>
      </c>
      <c r="G58">
        <v>58.38</v>
      </c>
      <c r="H58">
        <v>0.96</v>
      </c>
      <c r="I58">
        <v>7</v>
      </c>
      <c r="J58">
        <v>279.23</v>
      </c>
      <c r="K58">
        <v>59.19</v>
      </c>
      <c r="L58">
        <v>15</v>
      </c>
      <c r="M58">
        <v>5</v>
      </c>
      <c r="N58">
        <v>75.03</v>
      </c>
      <c r="O58">
        <v>34672.080000000002</v>
      </c>
      <c r="P58">
        <v>107.8</v>
      </c>
      <c r="Q58">
        <v>204.14</v>
      </c>
      <c r="R58">
        <v>25.66</v>
      </c>
      <c r="S58">
        <v>17.37</v>
      </c>
      <c r="T58">
        <v>2038.88</v>
      </c>
      <c r="U58">
        <v>0.68</v>
      </c>
      <c r="V58">
        <v>0.75</v>
      </c>
      <c r="W58">
        <v>1.1499999999999999</v>
      </c>
      <c r="X58">
        <v>0.12</v>
      </c>
      <c r="Y58">
        <v>1</v>
      </c>
      <c r="Z58">
        <v>10</v>
      </c>
    </row>
    <row r="59" spans="1:26" x14ac:dyDescent="0.3">
      <c r="A59">
        <v>57</v>
      </c>
      <c r="B59">
        <v>130</v>
      </c>
      <c r="C59" t="s">
        <v>26</v>
      </c>
      <c r="D59">
        <v>10.0444</v>
      </c>
      <c r="E59">
        <v>9.9600000000000009</v>
      </c>
      <c r="F59">
        <v>6.81</v>
      </c>
      <c r="G59">
        <v>58.36</v>
      </c>
      <c r="H59">
        <v>0.97</v>
      </c>
      <c r="I59">
        <v>7</v>
      </c>
      <c r="J59">
        <v>279.72000000000003</v>
      </c>
      <c r="K59">
        <v>59.19</v>
      </c>
      <c r="L59">
        <v>15.25</v>
      </c>
      <c r="M59">
        <v>5</v>
      </c>
      <c r="N59">
        <v>75.27</v>
      </c>
      <c r="O59">
        <v>34732.68</v>
      </c>
      <c r="P59">
        <v>107.52</v>
      </c>
      <c r="Q59">
        <v>204.14</v>
      </c>
      <c r="R59">
        <v>25.46</v>
      </c>
      <c r="S59">
        <v>17.37</v>
      </c>
      <c r="T59">
        <v>1935.58</v>
      </c>
      <c r="U59">
        <v>0.68</v>
      </c>
      <c r="V59">
        <v>0.75</v>
      </c>
      <c r="W59">
        <v>1.1499999999999999</v>
      </c>
      <c r="X59">
        <v>0.12</v>
      </c>
      <c r="Y59">
        <v>1</v>
      </c>
      <c r="Z59">
        <v>10</v>
      </c>
    </row>
    <row r="60" spans="1:26" x14ac:dyDescent="0.3">
      <c r="A60">
        <v>58</v>
      </c>
      <c r="B60">
        <v>130</v>
      </c>
      <c r="C60" t="s">
        <v>26</v>
      </c>
      <c r="D60">
        <v>10.1175</v>
      </c>
      <c r="E60">
        <v>9.8800000000000008</v>
      </c>
      <c r="F60">
        <v>6.79</v>
      </c>
      <c r="G60">
        <v>67.86</v>
      </c>
      <c r="H60">
        <v>0.98</v>
      </c>
      <c r="I60">
        <v>6</v>
      </c>
      <c r="J60">
        <v>280.20999999999998</v>
      </c>
      <c r="K60">
        <v>59.19</v>
      </c>
      <c r="L60">
        <v>15.5</v>
      </c>
      <c r="M60">
        <v>4</v>
      </c>
      <c r="N60">
        <v>75.52</v>
      </c>
      <c r="O60">
        <v>34793.360000000001</v>
      </c>
      <c r="P60">
        <v>107.09</v>
      </c>
      <c r="Q60">
        <v>204.15</v>
      </c>
      <c r="R60">
        <v>24.72</v>
      </c>
      <c r="S60">
        <v>17.37</v>
      </c>
      <c r="T60">
        <v>1573.13</v>
      </c>
      <c r="U60">
        <v>0.7</v>
      </c>
      <c r="V60">
        <v>0.75</v>
      </c>
      <c r="W60">
        <v>1.1499999999999999</v>
      </c>
      <c r="X60">
        <v>0.09</v>
      </c>
      <c r="Y60">
        <v>1</v>
      </c>
      <c r="Z60">
        <v>10</v>
      </c>
    </row>
    <row r="61" spans="1:26" x14ac:dyDescent="0.3">
      <c r="A61">
        <v>59</v>
      </c>
      <c r="B61">
        <v>130</v>
      </c>
      <c r="C61" t="s">
        <v>26</v>
      </c>
      <c r="D61">
        <v>10.1135</v>
      </c>
      <c r="E61">
        <v>9.89</v>
      </c>
      <c r="F61">
        <v>6.79</v>
      </c>
      <c r="G61">
        <v>67.89</v>
      </c>
      <c r="H61">
        <v>1</v>
      </c>
      <c r="I61">
        <v>6</v>
      </c>
      <c r="J61">
        <v>280.7</v>
      </c>
      <c r="K61">
        <v>59.19</v>
      </c>
      <c r="L61">
        <v>15.75</v>
      </c>
      <c r="M61">
        <v>4</v>
      </c>
      <c r="N61">
        <v>75.760000000000005</v>
      </c>
      <c r="O61">
        <v>34854.15</v>
      </c>
      <c r="P61">
        <v>107.22</v>
      </c>
      <c r="Q61">
        <v>204.14</v>
      </c>
      <c r="R61">
        <v>24.79</v>
      </c>
      <c r="S61">
        <v>17.37</v>
      </c>
      <c r="T61">
        <v>1608.58</v>
      </c>
      <c r="U61">
        <v>0.7</v>
      </c>
      <c r="V61">
        <v>0.75</v>
      </c>
      <c r="W61">
        <v>1.1499999999999999</v>
      </c>
      <c r="X61">
        <v>0.1</v>
      </c>
      <c r="Y61">
        <v>1</v>
      </c>
      <c r="Z61">
        <v>10</v>
      </c>
    </row>
    <row r="62" spans="1:26" x14ac:dyDescent="0.3">
      <c r="A62">
        <v>60</v>
      </c>
      <c r="B62">
        <v>130</v>
      </c>
      <c r="C62" t="s">
        <v>26</v>
      </c>
      <c r="D62">
        <v>10.1143</v>
      </c>
      <c r="E62">
        <v>9.89</v>
      </c>
      <c r="F62">
        <v>6.79</v>
      </c>
      <c r="G62">
        <v>67.89</v>
      </c>
      <c r="H62">
        <v>1.01</v>
      </c>
      <c r="I62">
        <v>6</v>
      </c>
      <c r="J62">
        <v>281.2</v>
      </c>
      <c r="K62">
        <v>59.19</v>
      </c>
      <c r="L62">
        <v>16</v>
      </c>
      <c r="M62">
        <v>4</v>
      </c>
      <c r="N62">
        <v>76</v>
      </c>
      <c r="O62">
        <v>34915.03</v>
      </c>
      <c r="P62">
        <v>107.22</v>
      </c>
      <c r="Q62">
        <v>204.14</v>
      </c>
      <c r="R62">
        <v>24.84</v>
      </c>
      <c r="S62">
        <v>17.37</v>
      </c>
      <c r="T62">
        <v>1632.47</v>
      </c>
      <c r="U62">
        <v>0.7</v>
      </c>
      <c r="V62">
        <v>0.75</v>
      </c>
      <c r="W62">
        <v>1.1499999999999999</v>
      </c>
      <c r="X62">
        <v>0.1</v>
      </c>
      <c r="Y62">
        <v>1</v>
      </c>
      <c r="Z62">
        <v>10</v>
      </c>
    </row>
    <row r="63" spans="1:26" x14ac:dyDescent="0.3">
      <c r="A63">
        <v>61</v>
      </c>
      <c r="B63">
        <v>130</v>
      </c>
      <c r="C63" t="s">
        <v>26</v>
      </c>
      <c r="D63">
        <v>10.113799999999999</v>
      </c>
      <c r="E63">
        <v>9.89</v>
      </c>
      <c r="F63">
        <v>6.79</v>
      </c>
      <c r="G63">
        <v>67.89</v>
      </c>
      <c r="H63">
        <v>1.03</v>
      </c>
      <c r="I63">
        <v>6</v>
      </c>
      <c r="J63">
        <v>281.69</v>
      </c>
      <c r="K63">
        <v>59.19</v>
      </c>
      <c r="L63">
        <v>16.25</v>
      </c>
      <c r="M63">
        <v>4</v>
      </c>
      <c r="N63">
        <v>76.25</v>
      </c>
      <c r="O63">
        <v>34976</v>
      </c>
      <c r="P63">
        <v>107.37</v>
      </c>
      <c r="Q63">
        <v>204.14</v>
      </c>
      <c r="R63">
        <v>24.87</v>
      </c>
      <c r="S63">
        <v>17.37</v>
      </c>
      <c r="T63">
        <v>1648.11</v>
      </c>
      <c r="U63">
        <v>0.7</v>
      </c>
      <c r="V63">
        <v>0.75</v>
      </c>
      <c r="W63">
        <v>1.1499999999999999</v>
      </c>
      <c r="X63">
        <v>0.1</v>
      </c>
      <c r="Y63">
        <v>1</v>
      </c>
      <c r="Z63">
        <v>10</v>
      </c>
    </row>
    <row r="64" spans="1:26" x14ac:dyDescent="0.3">
      <c r="A64">
        <v>62</v>
      </c>
      <c r="B64">
        <v>130</v>
      </c>
      <c r="C64" t="s">
        <v>26</v>
      </c>
      <c r="D64">
        <v>10.110099999999999</v>
      </c>
      <c r="E64">
        <v>9.89</v>
      </c>
      <c r="F64">
        <v>6.79</v>
      </c>
      <c r="G64">
        <v>67.930000000000007</v>
      </c>
      <c r="H64">
        <v>1.04</v>
      </c>
      <c r="I64">
        <v>6</v>
      </c>
      <c r="J64">
        <v>282.19</v>
      </c>
      <c r="K64">
        <v>59.19</v>
      </c>
      <c r="L64">
        <v>16.5</v>
      </c>
      <c r="M64">
        <v>4</v>
      </c>
      <c r="N64">
        <v>76.489999999999995</v>
      </c>
      <c r="O64">
        <v>35037.08</v>
      </c>
      <c r="P64">
        <v>107.46</v>
      </c>
      <c r="Q64">
        <v>204.15</v>
      </c>
      <c r="R64">
        <v>25.04</v>
      </c>
      <c r="S64">
        <v>17.37</v>
      </c>
      <c r="T64">
        <v>1730.21</v>
      </c>
      <c r="U64">
        <v>0.69</v>
      </c>
      <c r="V64">
        <v>0.75</v>
      </c>
      <c r="W64">
        <v>1.1499999999999999</v>
      </c>
      <c r="X64">
        <v>0.1</v>
      </c>
      <c r="Y64">
        <v>1</v>
      </c>
      <c r="Z64">
        <v>10</v>
      </c>
    </row>
    <row r="65" spans="1:26" x14ac:dyDescent="0.3">
      <c r="A65">
        <v>63</v>
      </c>
      <c r="B65">
        <v>130</v>
      </c>
      <c r="C65" t="s">
        <v>26</v>
      </c>
      <c r="D65">
        <v>10.122299999999999</v>
      </c>
      <c r="E65">
        <v>9.8800000000000008</v>
      </c>
      <c r="F65">
        <v>6.78</v>
      </c>
      <c r="G65">
        <v>67.81</v>
      </c>
      <c r="H65">
        <v>1.06</v>
      </c>
      <c r="I65">
        <v>6</v>
      </c>
      <c r="J65">
        <v>282.68</v>
      </c>
      <c r="K65">
        <v>59.19</v>
      </c>
      <c r="L65">
        <v>16.75</v>
      </c>
      <c r="M65">
        <v>4</v>
      </c>
      <c r="N65">
        <v>76.739999999999995</v>
      </c>
      <c r="O65">
        <v>35098.25</v>
      </c>
      <c r="P65">
        <v>107.22</v>
      </c>
      <c r="Q65">
        <v>204.14</v>
      </c>
      <c r="R65">
        <v>24.65</v>
      </c>
      <c r="S65">
        <v>17.37</v>
      </c>
      <c r="T65">
        <v>1535.1</v>
      </c>
      <c r="U65">
        <v>0.7</v>
      </c>
      <c r="V65">
        <v>0.75</v>
      </c>
      <c r="W65">
        <v>1.1399999999999999</v>
      </c>
      <c r="X65">
        <v>0.09</v>
      </c>
      <c r="Y65">
        <v>1</v>
      </c>
      <c r="Z65">
        <v>10</v>
      </c>
    </row>
    <row r="66" spans="1:26" x14ac:dyDescent="0.3">
      <c r="A66">
        <v>64</v>
      </c>
      <c r="B66">
        <v>130</v>
      </c>
      <c r="C66" t="s">
        <v>26</v>
      </c>
      <c r="D66">
        <v>10.121499999999999</v>
      </c>
      <c r="E66">
        <v>9.8800000000000008</v>
      </c>
      <c r="F66">
        <v>6.78</v>
      </c>
      <c r="G66">
        <v>67.819999999999993</v>
      </c>
      <c r="H66">
        <v>1.07</v>
      </c>
      <c r="I66">
        <v>6</v>
      </c>
      <c r="J66">
        <v>283.18</v>
      </c>
      <c r="K66">
        <v>59.19</v>
      </c>
      <c r="L66">
        <v>17</v>
      </c>
      <c r="M66">
        <v>4</v>
      </c>
      <c r="N66">
        <v>76.98</v>
      </c>
      <c r="O66">
        <v>35159.519999999997</v>
      </c>
      <c r="P66">
        <v>107.06</v>
      </c>
      <c r="Q66">
        <v>204.14</v>
      </c>
      <c r="R66">
        <v>24.64</v>
      </c>
      <c r="S66">
        <v>17.37</v>
      </c>
      <c r="T66">
        <v>1531.24</v>
      </c>
      <c r="U66">
        <v>0.71</v>
      </c>
      <c r="V66">
        <v>0.75</v>
      </c>
      <c r="W66">
        <v>1.1399999999999999</v>
      </c>
      <c r="X66">
        <v>0.09</v>
      </c>
      <c r="Y66">
        <v>1</v>
      </c>
      <c r="Z66">
        <v>10</v>
      </c>
    </row>
    <row r="67" spans="1:26" x14ac:dyDescent="0.3">
      <c r="A67">
        <v>65</v>
      </c>
      <c r="B67">
        <v>130</v>
      </c>
      <c r="C67" t="s">
        <v>26</v>
      </c>
      <c r="D67">
        <v>10.1166</v>
      </c>
      <c r="E67">
        <v>9.8800000000000008</v>
      </c>
      <c r="F67">
        <v>6.79</v>
      </c>
      <c r="G67">
        <v>67.86</v>
      </c>
      <c r="H67">
        <v>1.08</v>
      </c>
      <c r="I67">
        <v>6</v>
      </c>
      <c r="J67">
        <v>283.68</v>
      </c>
      <c r="K67">
        <v>59.19</v>
      </c>
      <c r="L67">
        <v>17.25</v>
      </c>
      <c r="M67">
        <v>4</v>
      </c>
      <c r="N67">
        <v>77.23</v>
      </c>
      <c r="O67">
        <v>35220.89</v>
      </c>
      <c r="P67">
        <v>107.01</v>
      </c>
      <c r="Q67">
        <v>204.14</v>
      </c>
      <c r="R67">
        <v>24.82</v>
      </c>
      <c r="S67">
        <v>17.37</v>
      </c>
      <c r="T67">
        <v>1621.54</v>
      </c>
      <c r="U67">
        <v>0.7</v>
      </c>
      <c r="V67">
        <v>0.75</v>
      </c>
      <c r="W67">
        <v>1.1399999999999999</v>
      </c>
      <c r="X67">
        <v>0.1</v>
      </c>
      <c r="Y67">
        <v>1</v>
      </c>
      <c r="Z67">
        <v>10</v>
      </c>
    </row>
    <row r="68" spans="1:26" x14ac:dyDescent="0.3">
      <c r="A68">
        <v>66</v>
      </c>
      <c r="B68">
        <v>130</v>
      </c>
      <c r="C68" t="s">
        <v>26</v>
      </c>
      <c r="D68">
        <v>10.1084</v>
      </c>
      <c r="E68">
        <v>9.89</v>
      </c>
      <c r="F68">
        <v>6.79</v>
      </c>
      <c r="G68">
        <v>67.94</v>
      </c>
      <c r="H68">
        <v>1.1000000000000001</v>
      </c>
      <c r="I68">
        <v>6</v>
      </c>
      <c r="J68">
        <v>284.17</v>
      </c>
      <c r="K68">
        <v>59.19</v>
      </c>
      <c r="L68">
        <v>17.5</v>
      </c>
      <c r="M68">
        <v>4</v>
      </c>
      <c r="N68">
        <v>77.48</v>
      </c>
      <c r="O68">
        <v>35282.36</v>
      </c>
      <c r="P68">
        <v>107.12</v>
      </c>
      <c r="Q68">
        <v>204.18</v>
      </c>
      <c r="R68">
        <v>25.04</v>
      </c>
      <c r="S68">
        <v>17.37</v>
      </c>
      <c r="T68">
        <v>1733.57</v>
      </c>
      <c r="U68">
        <v>0.69</v>
      </c>
      <c r="V68">
        <v>0.75</v>
      </c>
      <c r="W68">
        <v>1.1499999999999999</v>
      </c>
      <c r="X68">
        <v>0.1</v>
      </c>
      <c r="Y68">
        <v>1</v>
      </c>
      <c r="Z68">
        <v>10</v>
      </c>
    </row>
    <row r="69" spans="1:26" x14ac:dyDescent="0.3">
      <c r="A69">
        <v>67</v>
      </c>
      <c r="B69">
        <v>130</v>
      </c>
      <c r="C69" t="s">
        <v>26</v>
      </c>
      <c r="D69">
        <v>10.111499999999999</v>
      </c>
      <c r="E69">
        <v>9.89</v>
      </c>
      <c r="F69">
        <v>6.79</v>
      </c>
      <c r="G69">
        <v>67.91</v>
      </c>
      <c r="H69">
        <v>1.1100000000000001</v>
      </c>
      <c r="I69">
        <v>6</v>
      </c>
      <c r="J69">
        <v>284.67</v>
      </c>
      <c r="K69">
        <v>59.19</v>
      </c>
      <c r="L69">
        <v>17.75</v>
      </c>
      <c r="M69">
        <v>4</v>
      </c>
      <c r="N69">
        <v>77.73</v>
      </c>
      <c r="O69">
        <v>35343.919999999998</v>
      </c>
      <c r="P69">
        <v>106.87</v>
      </c>
      <c r="Q69">
        <v>204.16</v>
      </c>
      <c r="R69">
        <v>25.04</v>
      </c>
      <c r="S69">
        <v>17.37</v>
      </c>
      <c r="T69">
        <v>1733.69</v>
      </c>
      <c r="U69">
        <v>0.69</v>
      </c>
      <c r="V69">
        <v>0.75</v>
      </c>
      <c r="W69">
        <v>1.1399999999999999</v>
      </c>
      <c r="X69">
        <v>0.1</v>
      </c>
      <c r="Y69">
        <v>1</v>
      </c>
      <c r="Z69">
        <v>10</v>
      </c>
    </row>
    <row r="70" spans="1:26" x14ac:dyDescent="0.3">
      <c r="A70">
        <v>68</v>
      </c>
      <c r="B70">
        <v>130</v>
      </c>
      <c r="C70" t="s">
        <v>26</v>
      </c>
      <c r="D70">
        <v>10.1112</v>
      </c>
      <c r="E70">
        <v>9.89</v>
      </c>
      <c r="F70">
        <v>6.79</v>
      </c>
      <c r="G70">
        <v>67.92</v>
      </c>
      <c r="H70">
        <v>1.1200000000000001</v>
      </c>
      <c r="I70">
        <v>6</v>
      </c>
      <c r="J70">
        <v>285.17</v>
      </c>
      <c r="K70">
        <v>59.19</v>
      </c>
      <c r="L70">
        <v>18</v>
      </c>
      <c r="M70">
        <v>4</v>
      </c>
      <c r="N70">
        <v>77.98</v>
      </c>
      <c r="O70">
        <v>35405.589999999997</v>
      </c>
      <c r="P70">
        <v>106.67</v>
      </c>
      <c r="Q70">
        <v>204.18</v>
      </c>
      <c r="R70">
        <v>24.92</v>
      </c>
      <c r="S70">
        <v>17.37</v>
      </c>
      <c r="T70">
        <v>1673.98</v>
      </c>
      <c r="U70">
        <v>0.7</v>
      </c>
      <c r="V70">
        <v>0.75</v>
      </c>
      <c r="W70">
        <v>1.1499999999999999</v>
      </c>
      <c r="X70">
        <v>0.1</v>
      </c>
      <c r="Y70">
        <v>1</v>
      </c>
      <c r="Z70">
        <v>10</v>
      </c>
    </row>
    <row r="71" spans="1:26" x14ac:dyDescent="0.3">
      <c r="A71">
        <v>69</v>
      </c>
      <c r="B71">
        <v>130</v>
      </c>
      <c r="C71" t="s">
        <v>26</v>
      </c>
      <c r="D71">
        <v>10.116099999999999</v>
      </c>
      <c r="E71">
        <v>9.89</v>
      </c>
      <c r="F71">
        <v>6.79</v>
      </c>
      <c r="G71">
        <v>67.87</v>
      </c>
      <c r="H71">
        <v>1.1399999999999999</v>
      </c>
      <c r="I71">
        <v>6</v>
      </c>
      <c r="J71">
        <v>285.67</v>
      </c>
      <c r="K71">
        <v>59.19</v>
      </c>
      <c r="L71">
        <v>18.25</v>
      </c>
      <c r="M71">
        <v>4</v>
      </c>
      <c r="N71">
        <v>78.23</v>
      </c>
      <c r="O71">
        <v>35467.360000000001</v>
      </c>
      <c r="P71">
        <v>106.64</v>
      </c>
      <c r="Q71">
        <v>204.14</v>
      </c>
      <c r="R71">
        <v>24.8</v>
      </c>
      <c r="S71">
        <v>17.37</v>
      </c>
      <c r="T71">
        <v>1611.34</v>
      </c>
      <c r="U71">
        <v>0.7</v>
      </c>
      <c r="V71">
        <v>0.75</v>
      </c>
      <c r="W71">
        <v>1.1499999999999999</v>
      </c>
      <c r="X71">
        <v>0.1</v>
      </c>
      <c r="Y71">
        <v>1</v>
      </c>
      <c r="Z71">
        <v>10</v>
      </c>
    </row>
    <row r="72" spans="1:26" x14ac:dyDescent="0.3">
      <c r="A72">
        <v>70</v>
      </c>
      <c r="B72">
        <v>130</v>
      </c>
      <c r="C72" t="s">
        <v>26</v>
      </c>
      <c r="D72">
        <v>10.1175</v>
      </c>
      <c r="E72">
        <v>9.8800000000000008</v>
      </c>
      <c r="F72">
        <v>6.79</v>
      </c>
      <c r="G72">
        <v>67.86</v>
      </c>
      <c r="H72">
        <v>1.1499999999999999</v>
      </c>
      <c r="I72">
        <v>6</v>
      </c>
      <c r="J72">
        <v>286.18</v>
      </c>
      <c r="K72">
        <v>59.19</v>
      </c>
      <c r="L72">
        <v>18.5</v>
      </c>
      <c r="M72">
        <v>4</v>
      </c>
      <c r="N72">
        <v>78.48</v>
      </c>
      <c r="O72">
        <v>35529.230000000003</v>
      </c>
      <c r="P72">
        <v>106.47</v>
      </c>
      <c r="Q72">
        <v>204.14</v>
      </c>
      <c r="R72">
        <v>24.77</v>
      </c>
      <c r="S72">
        <v>17.37</v>
      </c>
      <c r="T72">
        <v>1599.49</v>
      </c>
      <c r="U72">
        <v>0.7</v>
      </c>
      <c r="V72">
        <v>0.75</v>
      </c>
      <c r="W72">
        <v>1.1499999999999999</v>
      </c>
      <c r="X72">
        <v>0.09</v>
      </c>
      <c r="Y72">
        <v>1</v>
      </c>
      <c r="Z72">
        <v>10</v>
      </c>
    </row>
    <row r="73" spans="1:26" x14ac:dyDescent="0.3">
      <c r="A73">
        <v>71</v>
      </c>
      <c r="B73">
        <v>130</v>
      </c>
      <c r="C73" t="s">
        <v>26</v>
      </c>
      <c r="D73">
        <v>10.106400000000001</v>
      </c>
      <c r="E73">
        <v>9.89</v>
      </c>
      <c r="F73">
        <v>6.8</v>
      </c>
      <c r="G73">
        <v>67.959999999999994</v>
      </c>
      <c r="H73">
        <v>1.1599999999999999</v>
      </c>
      <c r="I73">
        <v>6</v>
      </c>
      <c r="J73">
        <v>286.68</v>
      </c>
      <c r="K73">
        <v>59.19</v>
      </c>
      <c r="L73">
        <v>18.75</v>
      </c>
      <c r="M73">
        <v>4</v>
      </c>
      <c r="N73">
        <v>78.739999999999995</v>
      </c>
      <c r="O73">
        <v>35591.33</v>
      </c>
      <c r="P73">
        <v>106.3</v>
      </c>
      <c r="Q73">
        <v>204.15</v>
      </c>
      <c r="R73">
        <v>25.11</v>
      </c>
      <c r="S73">
        <v>17.37</v>
      </c>
      <c r="T73">
        <v>1767.49</v>
      </c>
      <c r="U73">
        <v>0.69</v>
      </c>
      <c r="V73">
        <v>0.75</v>
      </c>
      <c r="W73">
        <v>1.1499999999999999</v>
      </c>
      <c r="X73">
        <v>0.1</v>
      </c>
      <c r="Y73">
        <v>1</v>
      </c>
      <c r="Z73">
        <v>10</v>
      </c>
    </row>
    <row r="74" spans="1:26" x14ac:dyDescent="0.3">
      <c r="A74">
        <v>72</v>
      </c>
      <c r="B74">
        <v>130</v>
      </c>
      <c r="C74" t="s">
        <v>26</v>
      </c>
      <c r="D74">
        <v>10.1882</v>
      </c>
      <c r="E74">
        <v>9.82</v>
      </c>
      <c r="F74">
        <v>6.77</v>
      </c>
      <c r="G74">
        <v>81.19</v>
      </c>
      <c r="H74">
        <v>1.18</v>
      </c>
      <c r="I74">
        <v>5</v>
      </c>
      <c r="J74">
        <v>287.18</v>
      </c>
      <c r="K74">
        <v>59.19</v>
      </c>
      <c r="L74">
        <v>19</v>
      </c>
      <c r="M74">
        <v>3</v>
      </c>
      <c r="N74">
        <v>78.989999999999995</v>
      </c>
      <c r="O74">
        <v>35653.4</v>
      </c>
      <c r="P74">
        <v>105.51</v>
      </c>
      <c r="Q74">
        <v>204.14</v>
      </c>
      <c r="R74">
        <v>24.24</v>
      </c>
      <c r="S74">
        <v>17.37</v>
      </c>
      <c r="T74">
        <v>1335.12</v>
      </c>
      <c r="U74">
        <v>0.72</v>
      </c>
      <c r="V74">
        <v>0.75</v>
      </c>
      <c r="W74">
        <v>1.1399999999999999</v>
      </c>
      <c r="X74">
        <v>7.0000000000000007E-2</v>
      </c>
      <c r="Y74">
        <v>1</v>
      </c>
      <c r="Z74">
        <v>10</v>
      </c>
    </row>
    <row r="75" spans="1:26" x14ac:dyDescent="0.3">
      <c r="A75">
        <v>73</v>
      </c>
      <c r="B75">
        <v>130</v>
      </c>
      <c r="C75" t="s">
        <v>26</v>
      </c>
      <c r="D75">
        <v>10.1807</v>
      </c>
      <c r="E75">
        <v>9.82</v>
      </c>
      <c r="F75">
        <v>6.77</v>
      </c>
      <c r="G75">
        <v>81.28</v>
      </c>
      <c r="H75">
        <v>1.19</v>
      </c>
      <c r="I75">
        <v>5</v>
      </c>
      <c r="J75">
        <v>287.69</v>
      </c>
      <c r="K75">
        <v>59.19</v>
      </c>
      <c r="L75">
        <v>19.25</v>
      </c>
      <c r="M75">
        <v>3</v>
      </c>
      <c r="N75">
        <v>79.239999999999995</v>
      </c>
      <c r="O75">
        <v>35715.58</v>
      </c>
      <c r="P75">
        <v>105.9</v>
      </c>
      <c r="Q75">
        <v>204.14</v>
      </c>
      <c r="R75">
        <v>24.39</v>
      </c>
      <c r="S75">
        <v>17.37</v>
      </c>
      <c r="T75">
        <v>1413.54</v>
      </c>
      <c r="U75">
        <v>0.71</v>
      </c>
      <c r="V75">
        <v>0.75</v>
      </c>
      <c r="W75">
        <v>1.1399999999999999</v>
      </c>
      <c r="X75">
        <v>0.08</v>
      </c>
      <c r="Y75">
        <v>1</v>
      </c>
      <c r="Z75">
        <v>10</v>
      </c>
    </row>
    <row r="76" spans="1:26" x14ac:dyDescent="0.3">
      <c r="A76">
        <v>74</v>
      </c>
      <c r="B76">
        <v>130</v>
      </c>
      <c r="C76" t="s">
        <v>26</v>
      </c>
      <c r="D76">
        <v>10.1752</v>
      </c>
      <c r="E76">
        <v>9.83</v>
      </c>
      <c r="F76">
        <v>6.78</v>
      </c>
      <c r="G76">
        <v>81.34</v>
      </c>
      <c r="H76">
        <v>1.2</v>
      </c>
      <c r="I76">
        <v>5</v>
      </c>
      <c r="J76">
        <v>288.19</v>
      </c>
      <c r="K76">
        <v>59.19</v>
      </c>
      <c r="L76">
        <v>19.5</v>
      </c>
      <c r="M76">
        <v>3</v>
      </c>
      <c r="N76">
        <v>79.5</v>
      </c>
      <c r="O76">
        <v>35777.86</v>
      </c>
      <c r="P76">
        <v>106.16</v>
      </c>
      <c r="Q76">
        <v>204.15</v>
      </c>
      <c r="R76">
        <v>24.58</v>
      </c>
      <c r="S76">
        <v>17.37</v>
      </c>
      <c r="T76">
        <v>1507.42</v>
      </c>
      <c r="U76">
        <v>0.71</v>
      </c>
      <c r="V76">
        <v>0.75</v>
      </c>
      <c r="W76">
        <v>1.1399999999999999</v>
      </c>
      <c r="X76">
        <v>0.09</v>
      </c>
      <c r="Y76">
        <v>1</v>
      </c>
      <c r="Z76">
        <v>10</v>
      </c>
    </row>
    <row r="77" spans="1:26" x14ac:dyDescent="0.3">
      <c r="A77">
        <v>75</v>
      </c>
      <c r="B77">
        <v>130</v>
      </c>
      <c r="C77" t="s">
        <v>26</v>
      </c>
      <c r="D77">
        <v>10.185600000000001</v>
      </c>
      <c r="E77">
        <v>9.82</v>
      </c>
      <c r="F77">
        <v>6.77</v>
      </c>
      <c r="G77">
        <v>81.22</v>
      </c>
      <c r="H77">
        <v>1.22</v>
      </c>
      <c r="I77">
        <v>5</v>
      </c>
      <c r="J77">
        <v>288.7</v>
      </c>
      <c r="K77">
        <v>59.19</v>
      </c>
      <c r="L77">
        <v>19.75</v>
      </c>
      <c r="M77">
        <v>3</v>
      </c>
      <c r="N77">
        <v>79.75</v>
      </c>
      <c r="O77">
        <v>35840.25</v>
      </c>
      <c r="P77">
        <v>106.04</v>
      </c>
      <c r="Q77">
        <v>204.14</v>
      </c>
      <c r="R77">
        <v>24.34</v>
      </c>
      <c r="S77">
        <v>17.37</v>
      </c>
      <c r="T77">
        <v>1388.53</v>
      </c>
      <c r="U77">
        <v>0.71</v>
      </c>
      <c r="V77">
        <v>0.75</v>
      </c>
      <c r="W77">
        <v>1.1399999999999999</v>
      </c>
      <c r="X77">
        <v>0.08</v>
      </c>
      <c r="Y77">
        <v>1</v>
      </c>
      <c r="Z77">
        <v>10</v>
      </c>
    </row>
    <row r="78" spans="1:26" x14ac:dyDescent="0.3">
      <c r="A78">
        <v>76</v>
      </c>
      <c r="B78">
        <v>130</v>
      </c>
      <c r="C78" t="s">
        <v>26</v>
      </c>
      <c r="D78">
        <v>10.180099999999999</v>
      </c>
      <c r="E78">
        <v>9.82</v>
      </c>
      <c r="F78">
        <v>6.77</v>
      </c>
      <c r="G78">
        <v>81.28</v>
      </c>
      <c r="H78">
        <v>1.23</v>
      </c>
      <c r="I78">
        <v>5</v>
      </c>
      <c r="J78">
        <v>289.2</v>
      </c>
      <c r="K78">
        <v>59.19</v>
      </c>
      <c r="L78">
        <v>20</v>
      </c>
      <c r="M78">
        <v>3</v>
      </c>
      <c r="N78">
        <v>80.010000000000005</v>
      </c>
      <c r="O78">
        <v>35902.74</v>
      </c>
      <c r="P78">
        <v>106.36</v>
      </c>
      <c r="Q78">
        <v>204.14</v>
      </c>
      <c r="R78">
        <v>24.41</v>
      </c>
      <c r="S78">
        <v>17.37</v>
      </c>
      <c r="T78">
        <v>1424.41</v>
      </c>
      <c r="U78">
        <v>0.71</v>
      </c>
      <c r="V78">
        <v>0.75</v>
      </c>
      <c r="W78">
        <v>1.1399999999999999</v>
      </c>
      <c r="X78">
        <v>0.08</v>
      </c>
      <c r="Y78">
        <v>1</v>
      </c>
      <c r="Z78">
        <v>10</v>
      </c>
    </row>
    <row r="79" spans="1:26" x14ac:dyDescent="0.3">
      <c r="A79">
        <v>77</v>
      </c>
      <c r="B79">
        <v>130</v>
      </c>
      <c r="C79" t="s">
        <v>26</v>
      </c>
      <c r="D79">
        <v>10.1798</v>
      </c>
      <c r="E79">
        <v>9.82</v>
      </c>
      <c r="F79">
        <v>6.77</v>
      </c>
      <c r="G79">
        <v>81.290000000000006</v>
      </c>
      <c r="H79">
        <v>1.24</v>
      </c>
      <c r="I79">
        <v>5</v>
      </c>
      <c r="J79">
        <v>289.70999999999998</v>
      </c>
      <c r="K79">
        <v>59.19</v>
      </c>
      <c r="L79">
        <v>20.25</v>
      </c>
      <c r="M79">
        <v>3</v>
      </c>
      <c r="N79">
        <v>80.27</v>
      </c>
      <c r="O79">
        <v>35965.33</v>
      </c>
      <c r="P79">
        <v>106.33</v>
      </c>
      <c r="Q79">
        <v>204.14</v>
      </c>
      <c r="R79">
        <v>24.5</v>
      </c>
      <c r="S79">
        <v>17.37</v>
      </c>
      <c r="T79">
        <v>1467.1</v>
      </c>
      <c r="U79">
        <v>0.71</v>
      </c>
      <c r="V79">
        <v>0.75</v>
      </c>
      <c r="W79">
        <v>1.1399999999999999</v>
      </c>
      <c r="X79">
        <v>0.08</v>
      </c>
      <c r="Y79">
        <v>1</v>
      </c>
      <c r="Z79">
        <v>10</v>
      </c>
    </row>
    <row r="80" spans="1:26" x14ac:dyDescent="0.3">
      <c r="A80">
        <v>78</v>
      </c>
      <c r="B80">
        <v>130</v>
      </c>
      <c r="C80" t="s">
        <v>26</v>
      </c>
      <c r="D80">
        <v>10.182700000000001</v>
      </c>
      <c r="E80">
        <v>9.82</v>
      </c>
      <c r="F80">
        <v>6.77</v>
      </c>
      <c r="G80">
        <v>81.25</v>
      </c>
      <c r="H80">
        <v>1.26</v>
      </c>
      <c r="I80">
        <v>5</v>
      </c>
      <c r="J80">
        <v>290.22000000000003</v>
      </c>
      <c r="K80">
        <v>59.19</v>
      </c>
      <c r="L80">
        <v>20.5</v>
      </c>
      <c r="M80">
        <v>3</v>
      </c>
      <c r="N80">
        <v>80.53</v>
      </c>
      <c r="O80">
        <v>36028.03</v>
      </c>
      <c r="P80">
        <v>106.19</v>
      </c>
      <c r="Q80">
        <v>204.14</v>
      </c>
      <c r="R80">
        <v>24.37</v>
      </c>
      <c r="S80">
        <v>17.37</v>
      </c>
      <c r="T80">
        <v>1400.49</v>
      </c>
      <c r="U80">
        <v>0.71</v>
      </c>
      <c r="V80">
        <v>0.75</v>
      </c>
      <c r="W80">
        <v>1.1399999999999999</v>
      </c>
      <c r="X80">
        <v>0.08</v>
      </c>
      <c r="Y80">
        <v>1</v>
      </c>
      <c r="Z80">
        <v>10</v>
      </c>
    </row>
    <row r="81" spans="1:26" x14ac:dyDescent="0.3">
      <c r="A81">
        <v>79</v>
      </c>
      <c r="B81">
        <v>130</v>
      </c>
      <c r="C81" t="s">
        <v>26</v>
      </c>
      <c r="D81">
        <v>10.180400000000001</v>
      </c>
      <c r="E81">
        <v>9.82</v>
      </c>
      <c r="F81">
        <v>6.77</v>
      </c>
      <c r="G81">
        <v>81.28</v>
      </c>
      <c r="H81">
        <v>1.27</v>
      </c>
      <c r="I81">
        <v>5</v>
      </c>
      <c r="J81">
        <v>290.73</v>
      </c>
      <c r="K81">
        <v>59.19</v>
      </c>
      <c r="L81">
        <v>20.75</v>
      </c>
      <c r="M81">
        <v>3</v>
      </c>
      <c r="N81">
        <v>80.790000000000006</v>
      </c>
      <c r="O81">
        <v>36090.839999999997</v>
      </c>
      <c r="P81">
        <v>106.26</v>
      </c>
      <c r="Q81">
        <v>204.14</v>
      </c>
      <c r="R81">
        <v>24.49</v>
      </c>
      <c r="S81">
        <v>17.37</v>
      </c>
      <c r="T81">
        <v>1462.34</v>
      </c>
      <c r="U81">
        <v>0.71</v>
      </c>
      <c r="V81">
        <v>0.75</v>
      </c>
      <c r="W81">
        <v>1.1399999999999999</v>
      </c>
      <c r="X81">
        <v>0.08</v>
      </c>
      <c r="Y81">
        <v>1</v>
      </c>
      <c r="Z81">
        <v>10</v>
      </c>
    </row>
    <row r="82" spans="1:26" x14ac:dyDescent="0.3">
      <c r="A82">
        <v>80</v>
      </c>
      <c r="B82">
        <v>130</v>
      </c>
      <c r="C82" t="s">
        <v>26</v>
      </c>
      <c r="D82">
        <v>10.178699999999999</v>
      </c>
      <c r="E82">
        <v>9.82</v>
      </c>
      <c r="F82">
        <v>6.78</v>
      </c>
      <c r="G82">
        <v>81.3</v>
      </c>
      <c r="H82">
        <v>1.28</v>
      </c>
      <c r="I82">
        <v>5</v>
      </c>
      <c r="J82">
        <v>291.24</v>
      </c>
      <c r="K82">
        <v>59.19</v>
      </c>
      <c r="L82">
        <v>21</v>
      </c>
      <c r="M82">
        <v>3</v>
      </c>
      <c r="N82">
        <v>81.05</v>
      </c>
      <c r="O82">
        <v>36153.75</v>
      </c>
      <c r="P82">
        <v>106.22</v>
      </c>
      <c r="Q82">
        <v>204.14</v>
      </c>
      <c r="R82">
        <v>24.49</v>
      </c>
      <c r="S82">
        <v>17.37</v>
      </c>
      <c r="T82">
        <v>1460.5</v>
      </c>
      <c r="U82">
        <v>0.71</v>
      </c>
      <c r="V82">
        <v>0.75</v>
      </c>
      <c r="W82">
        <v>1.1399999999999999</v>
      </c>
      <c r="X82">
        <v>0.08</v>
      </c>
      <c r="Y82">
        <v>1</v>
      </c>
      <c r="Z82">
        <v>10</v>
      </c>
    </row>
    <row r="83" spans="1:26" x14ac:dyDescent="0.3">
      <c r="A83">
        <v>81</v>
      </c>
      <c r="B83">
        <v>130</v>
      </c>
      <c r="C83" t="s">
        <v>26</v>
      </c>
      <c r="D83">
        <v>10.176399999999999</v>
      </c>
      <c r="E83">
        <v>9.83</v>
      </c>
      <c r="F83">
        <v>6.78</v>
      </c>
      <c r="G83">
        <v>81.33</v>
      </c>
      <c r="H83">
        <v>1.3</v>
      </c>
      <c r="I83">
        <v>5</v>
      </c>
      <c r="J83">
        <v>291.75</v>
      </c>
      <c r="K83">
        <v>59.19</v>
      </c>
      <c r="L83">
        <v>21.25</v>
      </c>
      <c r="M83">
        <v>3</v>
      </c>
      <c r="N83">
        <v>81.31</v>
      </c>
      <c r="O83">
        <v>36216.769999999997</v>
      </c>
      <c r="P83">
        <v>106.23</v>
      </c>
      <c r="Q83">
        <v>204.14</v>
      </c>
      <c r="R83">
        <v>24.49</v>
      </c>
      <c r="S83">
        <v>17.37</v>
      </c>
      <c r="T83">
        <v>1463.78</v>
      </c>
      <c r="U83">
        <v>0.71</v>
      </c>
      <c r="V83">
        <v>0.75</v>
      </c>
      <c r="W83">
        <v>1.1499999999999999</v>
      </c>
      <c r="X83">
        <v>0.09</v>
      </c>
      <c r="Y83">
        <v>1</v>
      </c>
      <c r="Z83">
        <v>10</v>
      </c>
    </row>
    <row r="84" spans="1:26" x14ac:dyDescent="0.3">
      <c r="A84">
        <v>82</v>
      </c>
      <c r="B84">
        <v>130</v>
      </c>
      <c r="C84" t="s">
        <v>26</v>
      </c>
      <c r="D84">
        <v>10.180099999999999</v>
      </c>
      <c r="E84">
        <v>9.82</v>
      </c>
      <c r="F84">
        <v>6.77</v>
      </c>
      <c r="G84">
        <v>81.28</v>
      </c>
      <c r="H84">
        <v>1.31</v>
      </c>
      <c r="I84">
        <v>5</v>
      </c>
      <c r="J84">
        <v>292.26</v>
      </c>
      <c r="K84">
        <v>59.19</v>
      </c>
      <c r="L84">
        <v>21.5</v>
      </c>
      <c r="M84">
        <v>3</v>
      </c>
      <c r="N84">
        <v>81.569999999999993</v>
      </c>
      <c r="O84">
        <v>36279.9</v>
      </c>
      <c r="P84">
        <v>106.03</v>
      </c>
      <c r="Q84">
        <v>204.14</v>
      </c>
      <c r="R84">
        <v>24.46</v>
      </c>
      <c r="S84">
        <v>17.37</v>
      </c>
      <c r="T84">
        <v>1447.3</v>
      </c>
      <c r="U84">
        <v>0.71</v>
      </c>
      <c r="V84">
        <v>0.75</v>
      </c>
      <c r="W84">
        <v>1.1399999999999999</v>
      </c>
      <c r="X84">
        <v>0.08</v>
      </c>
      <c r="Y84">
        <v>1</v>
      </c>
      <c r="Z84">
        <v>10</v>
      </c>
    </row>
    <row r="85" spans="1:26" x14ac:dyDescent="0.3">
      <c r="A85">
        <v>83</v>
      </c>
      <c r="B85">
        <v>130</v>
      </c>
      <c r="C85" t="s">
        <v>26</v>
      </c>
      <c r="D85">
        <v>10.1813</v>
      </c>
      <c r="E85">
        <v>9.82</v>
      </c>
      <c r="F85">
        <v>6.77</v>
      </c>
      <c r="G85">
        <v>81.27</v>
      </c>
      <c r="H85">
        <v>1.32</v>
      </c>
      <c r="I85">
        <v>5</v>
      </c>
      <c r="J85">
        <v>292.77</v>
      </c>
      <c r="K85">
        <v>59.19</v>
      </c>
      <c r="L85">
        <v>21.75</v>
      </c>
      <c r="M85">
        <v>3</v>
      </c>
      <c r="N85">
        <v>81.83</v>
      </c>
      <c r="O85">
        <v>36343.129999999997</v>
      </c>
      <c r="P85">
        <v>105.97</v>
      </c>
      <c r="Q85">
        <v>204.16</v>
      </c>
      <c r="R85">
        <v>24.36</v>
      </c>
      <c r="S85">
        <v>17.37</v>
      </c>
      <c r="T85">
        <v>1398.07</v>
      </c>
      <c r="U85">
        <v>0.71</v>
      </c>
      <c r="V85">
        <v>0.75</v>
      </c>
      <c r="W85">
        <v>1.1399999999999999</v>
      </c>
      <c r="X85">
        <v>0.08</v>
      </c>
      <c r="Y85">
        <v>1</v>
      </c>
      <c r="Z85">
        <v>10</v>
      </c>
    </row>
    <row r="86" spans="1:26" x14ac:dyDescent="0.3">
      <c r="A86">
        <v>84</v>
      </c>
      <c r="B86">
        <v>130</v>
      </c>
      <c r="C86" t="s">
        <v>26</v>
      </c>
      <c r="D86">
        <v>10.1876</v>
      </c>
      <c r="E86">
        <v>9.82</v>
      </c>
      <c r="F86">
        <v>6.77</v>
      </c>
      <c r="G86">
        <v>81.2</v>
      </c>
      <c r="H86">
        <v>1.34</v>
      </c>
      <c r="I86">
        <v>5</v>
      </c>
      <c r="J86">
        <v>293.29000000000002</v>
      </c>
      <c r="K86">
        <v>59.19</v>
      </c>
      <c r="L86">
        <v>22</v>
      </c>
      <c r="M86">
        <v>3</v>
      </c>
      <c r="N86">
        <v>82.09</v>
      </c>
      <c r="O86">
        <v>36406.47</v>
      </c>
      <c r="P86">
        <v>105.7</v>
      </c>
      <c r="Q86">
        <v>204.14</v>
      </c>
      <c r="R86">
        <v>24.16</v>
      </c>
      <c r="S86">
        <v>17.37</v>
      </c>
      <c r="T86">
        <v>1296.8900000000001</v>
      </c>
      <c r="U86">
        <v>0.72</v>
      </c>
      <c r="V86">
        <v>0.75</v>
      </c>
      <c r="W86">
        <v>1.1499999999999999</v>
      </c>
      <c r="X86">
        <v>0.08</v>
      </c>
      <c r="Y86">
        <v>1</v>
      </c>
      <c r="Z86">
        <v>10</v>
      </c>
    </row>
    <row r="87" spans="1:26" x14ac:dyDescent="0.3">
      <c r="A87">
        <v>85</v>
      </c>
      <c r="B87">
        <v>130</v>
      </c>
      <c r="C87" t="s">
        <v>26</v>
      </c>
      <c r="D87">
        <v>10.1919</v>
      </c>
      <c r="E87">
        <v>9.81</v>
      </c>
      <c r="F87">
        <v>6.76</v>
      </c>
      <c r="G87">
        <v>81.150000000000006</v>
      </c>
      <c r="H87">
        <v>1.35</v>
      </c>
      <c r="I87">
        <v>5</v>
      </c>
      <c r="J87">
        <v>293.8</v>
      </c>
      <c r="K87">
        <v>59.19</v>
      </c>
      <c r="L87">
        <v>22.25</v>
      </c>
      <c r="M87">
        <v>3</v>
      </c>
      <c r="N87">
        <v>82.36</v>
      </c>
      <c r="O87">
        <v>36469.919999999998</v>
      </c>
      <c r="P87">
        <v>105.34</v>
      </c>
      <c r="Q87">
        <v>204.14</v>
      </c>
      <c r="R87">
        <v>24.11</v>
      </c>
      <c r="S87">
        <v>17.37</v>
      </c>
      <c r="T87">
        <v>1270.01</v>
      </c>
      <c r="U87">
        <v>0.72</v>
      </c>
      <c r="V87">
        <v>0.76</v>
      </c>
      <c r="W87">
        <v>1.1399999999999999</v>
      </c>
      <c r="X87">
        <v>7.0000000000000007E-2</v>
      </c>
      <c r="Y87">
        <v>1</v>
      </c>
      <c r="Z87">
        <v>10</v>
      </c>
    </row>
    <row r="88" spans="1:26" x14ac:dyDescent="0.3">
      <c r="A88">
        <v>86</v>
      </c>
      <c r="B88">
        <v>130</v>
      </c>
      <c r="C88" t="s">
        <v>26</v>
      </c>
      <c r="D88">
        <v>10.191700000000001</v>
      </c>
      <c r="E88">
        <v>9.81</v>
      </c>
      <c r="F88">
        <v>6.76</v>
      </c>
      <c r="G88">
        <v>81.150000000000006</v>
      </c>
      <c r="H88">
        <v>1.36</v>
      </c>
      <c r="I88">
        <v>5</v>
      </c>
      <c r="J88">
        <v>294.32</v>
      </c>
      <c r="K88">
        <v>59.19</v>
      </c>
      <c r="L88">
        <v>22.5</v>
      </c>
      <c r="M88">
        <v>3</v>
      </c>
      <c r="N88">
        <v>82.62</v>
      </c>
      <c r="O88">
        <v>36533.49</v>
      </c>
      <c r="P88">
        <v>105.11</v>
      </c>
      <c r="Q88">
        <v>204.15</v>
      </c>
      <c r="R88">
        <v>24.05</v>
      </c>
      <c r="S88">
        <v>17.37</v>
      </c>
      <c r="T88">
        <v>1240.8599999999999</v>
      </c>
      <c r="U88">
        <v>0.72</v>
      </c>
      <c r="V88">
        <v>0.76</v>
      </c>
      <c r="W88">
        <v>1.1399999999999999</v>
      </c>
      <c r="X88">
        <v>7.0000000000000007E-2</v>
      </c>
      <c r="Y88">
        <v>1</v>
      </c>
      <c r="Z88">
        <v>10</v>
      </c>
    </row>
    <row r="89" spans="1:26" x14ac:dyDescent="0.3">
      <c r="A89">
        <v>87</v>
      </c>
      <c r="B89">
        <v>130</v>
      </c>
      <c r="C89" t="s">
        <v>26</v>
      </c>
      <c r="D89">
        <v>10.188499999999999</v>
      </c>
      <c r="E89">
        <v>9.82</v>
      </c>
      <c r="F89">
        <v>6.77</v>
      </c>
      <c r="G89">
        <v>81.19</v>
      </c>
      <c r="H89">
        <v>1.37</v>
      </c>
      <c r="I89">
        <v>5</v>
      </c>
      <c r="J89">
        <v>294.83</v>
      </c>
      <c r="K89">
        <v>59.19</v>
      </c>
      <c r="L89">
        <v>22.75</v>
      </c>
      <c r="M89">
        <v>3</v>
      </c>
      <c r="N89">
        <v>82.89</v>
      </c>
      <c r="O89">
        <v>36597.160000000003</v>
      </c>
      <c r="P89">
        <v>104.96</v>
      </c>
      <c r="Q89">
        <v>204.14</v>
      </c>
      <c r="R89">
        <v>24.09</v>
      </c>
      <c r="S89">
        <v>17.37</v>
      </c>
      <c r="T89">
        <v>1264.44</v>
      </c>
      <c r="U89">
        <v>0.72</v>
      </c>
      <c r="V89">
        <v>0.75</v>
      </c>
      <c r="W89">
        <v>1.1499999999999999</v>
      </c>
      <c r="X89">
        <v>7.0000000000000007E-2</v>
      </c>
      <c r="Y89">
        <v>1</v>
      </c>
      <c r="Z89">
        <v>10</v>
      </c>
    </row>
    <row r="90" spans="1:26" x14ac:dyDescent="0.3">
      <c r="A90">
        <v>88</v>
      </c>
      <c r="B90">
        <v>130</v>
      </c>
      <c r="C90" t="s">
        <v>26</v>
      </c>
      <c r="D90">
        <v>10.182700000000001</v>
      </c>
      <c r="E90">
        <v>9.82</v>
      </c>
      <c r="F90">
        <v>6.77</v>
      </c>
      <c r="G90">
        <v>81.25</v>
      </c>
      <c r="H90">
        <v>1.39</v>
      </c>
      <c r="I90">
        <v>5</v>
      </c>
      <c r="J90">
        <v>295.35000000000002</v>
      </c>
      <c r="K90">
        <v>59.19</v>
      </c>
      <c r="L90">
        <v>23</v>
      </c>
      <c r="M90">
        <v>3</v>
      </c>
      <c r="N90">
        <v>83.16</v>
      </c>
      <c r="O90">
        <v>36660.94</v>
      </c>
      <c r="P90">
        <v>104.73</v>
      </c>
      <c r="Q90">
        <v>204.14</v>
      </c>
      <c r="R90">
        <v>24.23</v>
      </c>
      <c r="S90">
        <v>17.37</v>
      </c>
      <c r="T90">
        <v>1333.83</v>
      </c>
      <c r="U90">
        <v>0.72</v>
      </c>
      <c r="V90">
        <v>0.75</v>
      </c>
      <c r="W90">
        <v>1.1499999999999999</v>
      </c>
      <c r="X90">
        <v>0.08</v>
      </c>
      <c r="Y90">
        <v>1</v>
      </c>
      <c r="Z90">
        <v>10</v>
      </c>
    </row>
    <row r="91" spans="1:26" x14ac:dyDescent="0.3">
      <c r="A91">
        <v>89</v>
      </c>
      <c r="B91">
        <v>130</v>
      </c>
      <c r="C91" t="s">
        <v>26</v>
      </c>
      <c r="D91">
        <v>10.1896</v>
      </c>
      <c r="E91">
        <v>9.81</v>
      </c>
      <c r="F91">
        <v>6.76</v>
      </c>
      <c r="G91">
        <v>81.17</v>
      </c>
      <c r="H91">
        <v>1.4</v>
      </c>
      <c r="I91">
        <v>5</v>
      </c>
      <c r="J91">
        <v>295.87</v>
      </c>
      <c r="K91">
        <v>59.19</v>
      </c>
      <c r="L91">
        <v>23.25</v>
      </c>
      <c r="M91">
        <v>3</v>
      </c>
      <c r="N91">
        <v>83.43</v>
      </c>
      <c r="O91">
        <v>36724.83</v>
      </c>
      <c r="P91">
        <v>104.47</v>
      </c>
      <c r="Q91">
        <v>204.17</v>
      </c>
      <c r="R91">
        <v>24.16</v>
      </c>
      <c r="S91">
        <v>17.37</v>
      </c>
      <c r="T91">
        <v>1296.01</v>
      </c>
      <c r="U91">
        <v>0.72</v>
      </c>
      <c r="V91">
        <v>0.75</v>
      </c>
      <c r="W91">
        <v>1.1399999999999999</v>
      </c>
      <c r="X91">
        <v>7.0000000000000007E-2</v>
      </c>
      <c r="Y91">
        <v>1</v>
      </c>
      <c r="Z91">
        <v>10</v>
      </c>
    </row>
    <row r="92" spans="1:26" x14ac:dyDescent="0.3">
      <c r="A92">
        <v>90</v>
      </c>
      <c r="B92">
        <v>130</v>
      </c>
      <c r="C92" t="s">
        <v>26</v>
      </c>
      <c r="D92">
        <v>10.1845</v>
      </c>
      <c r="E92">
        <v>9.82</v>
      </c>
      <c r="F92">
        <v>6.77</v>
      </c>
      <c r="G92">
        <v>81.23</v>
      </c>
      <c r="H92">
        <v>1.41</v>
      </c>
      <c r="I92">
        <v>5</v>
      </c>
      <c r="J92">
        <v>296.39</v>
      </c>
      <c r="K92">
        <v>59.19</v>
      </c>
      <c r="L92">
        <v>23.5</v>
      </c>
      <c r="M92">
        <v>3</v>
      </c>
      <c r="N92">
        <v>83.69</v>
      </c>
      <c r="O92">
        <v>36788.839999999997</v>
      </c>
      <c r="P92">
        <v>104.5</v>
      </c>
      <c r="Q92">
        <v>204.14</v>
      </c>
      <c r="R92">
        <v>24.23</v>
      </c>
      <c r="S92">
        <v>17.37</v>
      </c>
      <c r="T92">
        <v>1334.46</v>
      </c>
      <c r="U92">
        <v>0.72</v>
      </c>
      <c r="V92">
        <v>0.75</v>
      </c>
      <c r="W92">
        <v>1.1499999999999999</v>
      </c>
      <c r="X92">
        <v>0.08</v>
      </c>
      <c r="Y92">
        <v>1</v>
      </c>
      <c r="Z92">
        <v>10</v>
      </c>
    </row>
    <row r="93" spans="1:26" x14ac:dyDescent="0.3">
      <c r="A93">
        <v>91</v>
      </c>
      <c r="B93">
        <v>130</v>
      </c>
      <c r="C93" t="s">
        <v>26</v>
      </c>
      <c r="D93">
        <v>10.185600000000001</v>
      </c>
      <c r="E93">
        <v>9.82</v>
      </c>
      <c r="F93">
        <v>6.77</v>
      </c>
      <c r="G93">
        <v>81.22</v>
      </c>
      <c r="H93">
        <v>1.42</v>
      </c>
      <c r="I93">
        <v>5</v>
      </c>
      <c r="J93">
        <v>296.91000000000003</v>
      </c>
      <c r="K93">
        <v>59.19</v>
      </c>
      <c r="L93">
        <v>23.75</v>
      </c>
      <c r="M93">
        <v>3</v>
      </c>
      <c r="N93">
        <v>83.96</v>
      </c>
      <c r="O93">
        <v>36852.959999999999</v>
      </c>
      <c r="P93">
        <v>104.36</v>
      </c>
      <c r="Q93">
        <v>204.14</v>
      </c>
      <c r="R93">
        <v>24.28</v>
      </c>
      <c r="S93">
        <v>17.37</v>
      </c>
      <c r="T93">
        <v>1356.29</v>
      </c>
      <c r="U93">
        <v>0.72</v>
      </c>
      <c r="V93">
        <v>0.75</v>
      </c>
      <c r="W93">
        <v>1.1399999999999999</v>
      </c>
      <c r="X93">
        <v>0.08</v>
      </c>
      <c r="Y93">
        <v>1</v>
      </c>
      <c r="Z93">
        <v>10</v>
      </c>
    </row>
    <row r="94" spans="1:26" x14ac:dyDescent="0.3">
      <c r="A94">
        <v>92</v>
      </c>
      <c r="B94">
        <v>130</v>
      </c>
      <c r="C94" t="s">
        <v>26</v>
      </c>
      <c r="D94">
        <v>10.1793</v>
      </c>
      <c r="E94">
        <v>9.82</v>
      </c>
      <c r="F94">
        <v>6.77</v>
      </c>
      <c r="G94">
        <v>81.290000000000006</v>
      </c>
      <c r="H94">
        <v>1.44</v>
      </c>
      <c r="I94">
        <v>5</v>
      </c>
      <c r="J94">
        <v>297.43</v>
      </c>
      <c r="K94">
        <v>59.19</v>
      </c>
      <c r="L94">
        <v>24</v>
      </c>
      <c r="M94">
        <v>3</v>
      </c>
      <c r="N94">
        <v>84.24</v>
      </c>
      <c r="O94">
        <v>36917.19</v>
      </c>
      <c r="P94">
        <v>104.35</v>
      </c>
      <c r="Q94">
        <v>204.14</v>
      </c>
      <c r="R94">
        <v>24.41</v>
      </c>
      <c r="S94">
        <v>17.37</v>
      </c>
      <c r="T94">
        <v>1421.27</v>
      </c>
      <c r="U94">
        <v>0.71</v>
      </c>
      <c r="V94">
        <v>0.75</v>
      </c>
      <c r="W94">
        <v>1.1499999999999999</v>
      </c>
      <c r="X94">
        <v>0.08</v>
      </c>
      <c r="Y94">
        <v>1</v>
      </c>
      <c r="Z94">
        <v>10</v>
      </c>
    </row>
    <row r="95" spans="1:26" x14ac:dyDescent="0.3">
      <c r="A95">
        <v>93</v>
      </c>
      <c r="B95">
        <v>130</v>
      </c>
      <c r="C95" t="s">
        <v>26</v>
      </c>
      <c r="D95">
        <v>10.186199999999999</v>
      </c>
      <c r="E95">
        <v>9.82</v>
      </c>
      <c r="F95">
        <v>6.77</v>
      </c>
      <c r="G95">
        <v>81.209999999999994</v>
      </c>
      <c r="H95">
        <v>1.45</v>
      </c>
      <c r="I95">
        <v>5</v>
      </c>
      <c r="J95">
        <v>297.95</v>
      </c>
      <c r="K95">
        <v>59.19</v>
      </c>
      <c r="L95">
        <v>24.25</v>
      </c>
      <c r="M95">
        <v>3</v>
      </c>
      <c r="N95">
        <v>84.51</v>
      </c>
      <c r="O95">
        <v>36981.53</v>
      </c>
      <c r="P95">
        <v>103.94</v>
      </c>
      <c r="Q95">
        <v>204.14</v>
      </c>
      <c r="R95">
        <v>24.27</v>
      </c>
      <c r="S95">
        <v>17.37</v>
      </c>
      <c r="T95">
        <v>1352.12</v>
      </c>
      <c r="U95">
        <v>0.72</v>
      </c>
      <c r="V95">
        <v>0.75</v>
      </c>
      <c r="W95">
        <v>1.1399999999999999</v>
      </c>
      <c r="X95">
        <v>0.08</v>
      </c>
      <c r="Y95">
        <v>1</v>
      </c>
      <c r="Z95">
        <v>10</v>
      </c>
    </row>
    <row r="96" spans="1:26" x14ac:dyDescent="0.3">
      <c r="A96">
        <v>94</v>
      </c>
      <c r="B96">
        <v>130</v>
      </c>
      <c r="C96" t="s">
        <v>26</v>
      </c>
      <c r="D96">
        <v>10.184699999999999</v>
      </c>
      <c r="E96">
        <v>9.82</v>
      </c>
      <c r="F96">
        <v>6.77</v>
      </c>
      <c r="G96">
        <v>81.23</v>
      </c>
      <c r="H96">
        <v>1.46</v>
      </c>
      <c r="I96">
        <v>5</v>
      </c>
      <c r="J96">
        <v>298.47000000000003</v>
      </c>
      <c r="K96">
        <v>59.19</v>
      </c>
      <c r="L96">
        <v>24.5</v>
      </c>
      <c r="M96">
        <v>3</v>
      </c>
      <c r="N96">
        <v>84.78</v>
      </c>
      <c r="O96">
        <v>37045.99</v>
      </c>
      <c r="P96">
        <v>103.7</v>
      </c>
      <c r="Q96">
        <v>204.15</v>
      </c>
      <c r="R96">
        <v>24.19</v>
      </c>
      <c r="S96">
        <v>17.37</v>
      </c>
      <c r="T96">
        <v>1314.02</v>
      </c>
      <c r="U96">
        <v>0.72</v>
      </c>
      <c r="V96">
        <v>0.75</v>
      </c>
      <c r="W96">
        <v>1.1499999999999999</v>
      </c>
      <c r="X96">
        <v>0.08</v>
      </c>
      <c r="Y96">
        <v>1</v>
      </c>
      <c r="Z96">
        <v>10</v>
      </c>
    </row>
    <row r="97" spans="1:26" x14ac:dyDescent="0.3">
      <c r="A97">
        <v>95</v>
      </c>
      <c r="B97">
        <v>130</v>
      </c>
      <c r="C97" t="s">
        <v>26</v>
      </c>
      <c r="D97">
        <v>10.260199999999999</v>
      </c>
      <c r="E97">
        <v>9.75</v>
      </c>
      <c r="F97">
        <v>6.75</v>
      </c>
      <c r="G97">
        <v>101.19</v>
      </c>
      <c r="H97">
        <v>1.47</v>
      </c>
      <c r="I97">
        <v>4</v>
      </c>
      <c r="J97">
        <v>299</v>
      </c>
      <c r="K97">
        <v>59.19</v>
      </c>
      <c r="L97">
        <v>24.75</v>
      </c>
      <c r="M97">
        <v>2</v>
      </c>
      <c r="N97">
        <v>85.05</v>
      </c>
      <c r="O97">
        <v>37110.57</v>
      </c>
      <c r="P97">
        <v>103.21</v>
      </c>
      <c r="Q97">
        <v>204.14</v>
      </c>
      <c r="R97">
        <v>23.45</v>
      </c>
      <c r="S97">
        <v>17.37</v>
      </c>
      <c r="T97">
        <v>949.73</v>
      </c>
      <c r="U97">
        <v>0.74</v>
      </c>
      <c r="V97">
        <v>0.76</v>
      </c>
      <c r="W97">
        <v>1.1399999999999999</v>
      </c>
      <c r="X97">
        <v>0.05</v>
      </c>
      <c r="Y97">
        <v>1</v>
      </c>
      <c r="Z97">
        <v>10</v>
      </c>
    </row>
    <row r="98" spans="1:26" x14ac:dyDescent="0.3">
      <c r="A98">
        <v>96</v>
      </c>
      <c r="B98">
        <v>130</v>
      </c>
      <c r="C98" t="s">
        <v>26</v>
      </c>
      <c r="D98">
        <v>10.2628</v>
      </c>
      <c r="E98">
        <v>9.74</v>
      </c>
      <c r="F98">
        <v>6.74</v>
      </c>
      <c r="G98">
        <v>101.15</v>
      </c>
      <c r="H98">
        <v>1.49</v>
      </c>
      <c r="I98">
        <v>4</v>
      </c>
      <c r="J98">
        <v>299.52</v>
      </c>
      <c r="K98">
        <v>59.19</v>
      </c>
      <c r="L98">
        <v>25</v>
      </c>
      <c r="M98">
        <v>2</v>
      </c>
      <c r="N98">
        <v>85.33</v>
      </c>
      <c r="O98">
        <v>37175.379999999997</v>
      </c>
      <c r="P98">
        <v>103.21</v>
      </c>
      <c r="Q98">
        <v>204.14</v>
      </c>
      <c r="R98">
        <v>23.49</v>
      </c>
      <c r="S98">
        <v>17.37</v>
      </c>
      <c r="T98">
        <v>964.91</v>
      </c>
      <c r="U98">
        <v>0.74</v>
      </c>
      <c r="V98">
        <v>0.76</v>
      </c>
      <c r="W98">
        <v>1.1399999999999999</v>
      </c>
      <c r="X98">
        <v>0.05</v>
      </c>
      <c r="Y98">
        <v>1</v>
      </c>
      <c r="Z98">
        <v>10</v>
      </c>
    </row>
    <row r="99" spans="1:26" x14ac:dyDescent="0.3">
      <c r="A99">
        <v>97</v>
      </c>
      <c r="B99">
        <v>130</v>
      </c>
      <c r="C99" t="s">
        <v>26</v>
      </c>
      <c r="D99">
        <v>10.2608</v>
      </c>
      <c r="E99">
        <v>9.75</v>
      </c>
      <c r="F99">
        <v>6.75</v>
      </c>
      <c r="G99">
        <v>101.18</v>
      </c>
      <c r="H99">
        <v>1.5</v>
      </c>
      <c r="I99">
        <v>4</v>
      </c>
      <c r="J99">
        <v>300.05</v>
      </c>
      <c r="K99">
        <v>59.19</v>
      </c>
      <c r="L99">
        <v>25.25</v>
      </c>
      <c r="M99">
        <v>2</v>
      </c>
      <c r="N99">
        <v>85.6</v>
      </c>
      <c r="O99">
        <v>37240.19</v>
      </c>
      <c r="P99">
        <v>103.3</v>
      </c>
      <c r="Q99">
        <v>204.14</v>
      </c>
      <c r="R99">
        <v>23.48</v>
      </c>
      <c r="S99">
        <v>17.37</v>
      </c>
      <c r="T99">
        <v>963.92</v>
      </c>
      <c r="U99">
        <v>0.74</v>
      </c>
      <c r="V99">
        <v>0.76</v>
      </c>
      <c r="W99">
        <v>1.1399999999999999</v>
      </c>
      <c r="X99">
        <v>0.05</v>
      </c>
      <c r="Y99">
        <v>1</v>
      </c>
      <c r="Z99">
        <v>10</v>
      </c>
    </row>
    <row r="100" spans="1:26" x14ac:dyDescent="0.3">
      <c r="A100">
        <v>98</v>
      </c>
      <c r="B100">
        <v>130</v>
      </c>
      <c r="C100" t="s">
        <v>26</v>
      </c>
      <c r="D100">
        <v>10.2547</v>
      </c>
      <c r="E100">
        <v>9.75</v>
      </c>
      <c r="F100">
        <v>6.75</v>
      </c>
      <c r="G100">
        <v>101.27</v>
      </c>
      <c r="H100">
        <v>1.51</v>
      </c>
      <c r="I100">
        <v>4</v>
      </c>
      <c r="J100">
        <v>300.57</v>
      </c>
      <c r="K100">
        <v>59.19</v>
      </c>
      <c r="L100">
        <v>25.5</v>
      </c>
      <c r="M100">
        <v>2</v>
      </c>
      <c r="N100">
        <v>85.88</v>
      </c>
      <c r="O100">
        <v>37305.120000000003</v>
      </c>
      <c r="P100">
        <v>103.6</v>
      </c>
      <c r="Q100">
        <v>204.14</v>
      </c>
      <c r="R100">
        <v>23.68</v>
      </c>
      <c r="S100">
        <v>17.37</v>
      </c>
      <c r="T100">
        <v>1063.47</v>
      </c>
      <c r="U100">
        <v>0.73</v>
      </c>
      <c r="V100">
        <v>0.76</v>
      </c>
      <c r="W100">
        <v>1.1399999999999999</v>
      </c>
      <c r="X100">
        <v>0.06</v>
      </c>
      <c r="Y100">
        <v>1</v>
      </c>
      <c r="Z100">
        <v>10</v>
      </c>
    </row>
    <row r="101" spans="1:26" x14ac:dyDescent="0.3">
      <c r="A101">
        <v>99</v>
      </c>
      <c r="B101">
        <v>130</v>
      </c>
      <c r="C101" t="s">
        <v>26</v>
      </c>
      <c r="D101">
        <v>10.257</v>
      </c>
      <c r="E101">
        <v>9.75</v>
      </c>
      <c r="F101">
        <v>6.75</v>
      </c>
      <c r="G101">
        <v>101.23</v>
      </c>
      <c r="H101">
        <v>1.52</v>
      </c>
      <c r="I101">
        <v>4</v>
      </c>
      <c r="J101">
        <v>301.10000000000002</v>
      </c>
      <c r="K101">
        <v>59.19</v>
      </c>
      <c r="L101">
        <v>25.75</v>
      </c>
      <c r="M101">
        <v>2</v>
      </c>
      <c r="N101">
        <v>86.16</v>
      </c>
      <c r="O101">
        <v>37370.160000000003</v>
      </c>
      <c r="P101">
        <v>103.71</v>
      </c>
      <c r="Q101">
        <v>204.14</v>
      </c>
      <c r="R101">
        <v>23.64</v>
      </c>
      <c r="S101">
        <v>17.37</v>
      </c>
      <c r="T101">
        <v>1043.25</v>
      </c>
      <c r="U101">
        <v>0.73</v>
      </c>
      <c r="V101">
        <v>0.76</v>
      </c>
      <c r="W101">
        <v>1.1399999999999999</v>
      </c>
      <c r="X101">
        <v>0.06</v>
      </c>
      <c r="Y101">
        <v>1</v>
      </c>
      <c r="Z101">
        <v>10</v>
      </c>
    </row>
    <row r="102" spans="1:26" x14ac:dyDescent="0.3">
      <c r="A102">
        <v>100</v>
      </c>
      <c r="B102">
        <v>130</v>
      </c>
      <c r="C102" t="s">
        <v>26</v>
      </c>
      <c r="D102">
        <v>10.2567</v>
      </c>
      <c r="E102">
        <v>9.75</v>
      </c>
      <c r="F102">
        <v>6.75</v>
      </c>
      <c r="G102">
        <v>101.24</v>
      </c>
      <c r="H102">
        <v>1.54</v>
      </c>
      <c r="I102">
        <v>4</v>
      </c>
      <c r="J102">
        <v>301.63</v>
      </c>
      <c r="K102">
        <v>59.19</v>
      </c>
      <c r="L102">
        <v>26</v>
      </c>
      <c r="M102">
        <v>2</v>
      </c>
      <c r="N102">
        <v>86.44</v>
      </c>
      <c r="O102">
        <v>37435.32</v>
      </c>
      <c r="P102">
        <v>103.83</v>
      </c>
      <c r="Q102">
        <v>204.14</v>
      </c>
      <c r="R102">
        <v>23.64</v>
      </c>
      <c r="S102">
        <v>17.37</v>
      </c>
      <c r="T102">
        <v>1040.77</v>
      </c>
      <c r="U102">
        <v>0.74</v>
      </c>
      <c r="V102">
        <v>0.76</v>
      </c>
      <c r="W102">
        <v>1.1399999999999999</v>
      </c>
      <c r="X102">
        <v>0.06</v>
      </c>
      <c r="Y102">
        <v>1</v>
      </c>
      <c r="Z102">
        <v>10</v>
      </c>
    </row>
    <row r="103" spans="1:26" x14ac:dyDescent="0.3">
      <c r="A103">
        <v>101</v>
      </c>
      <c r="B103">
        <v>130</v>
      </c>
      <c r="C103" t="s">
        <v>26</v>
      </c>
      <c r="D103">
        <v>10.2538</v>
      </c>
      <c r="E103">
        <v>9.75</v>
      </c>
      <c r="F103">
        <v>6.75</v>
      </c>
      <c r="G103">
        <v>101.28</v>
      </c>
      <c r="H103">
        <v>1.55</v>
      </c>
      <c r="I103">
        <v>4</v>
      </c>
      <c r="J103">
        <v>302.16000000000003</v>
      </c>
      <c r="K103">
        <v>59.19</v>
      </c>
      <c r="L103">
        <v>26.25</v>
      </c>
      <c r="M103">
        <v>2</v>
      </c>
      <c r="N103">
        <v>86.72</v>
      </c>
      <c r="O103">
        <v>37500.6</v>
      </c>
      <c r="P103">
        <v>103.93</v>
      </c>
      <c r="Q103">
        <v>204.14</v>
      </c>
      <c r="R103">
        <v>23.73</v>
      </c>
      <c r="S103">
        <v>17.37</v>
      </c>
      <c r="T103">
        <v>1088.44</v>
      </c>
      <c r="U103">
        <v>0.73</v>
      </c>
      <c r="V103">
        <v>0.76</v>
      </c>
      <c r="W103">
        <v>1.1399999999999999</v>
      </c>
      <c r="X103">
        <v>0.06</v>
      </c>
      <c r="Y103">
        <v>1</v>
      </c>
      <c r="Z103">
        <v>10</v>
      </c>
    </row>
    <row r="104" spans="1:26" x14ac:dyDescent="0.3">
      <c r="A104">
        <v>102</v>
      </c>
      <c r="B104">
        <v>130</v>
      </c>
      <c r="C104" t="s">
        <v>26</v>
      </c>
      <c r="D104">
        <v>10.259600000000001</v>
      </c>
      <c r="E104">
        <v>9.75</v>
      </c>
      <c r="F104">
        <v>6.75</v>
      </c>
      <c r="G104">
        <v>101.2</v>
      </c>
      <c r="H104">
        <v>1.56</v>
      </c>
      <c r="I104">
        <v>4</v>
      </c>
      <c r="J104">
        <v>302.69</v>
      </c>
      <c r="K104">
        <v>59.19</v>
      </c>
      <c r="L104">
        <v>26.5</v>
      </c>
      <c r="M104">
        <v>2</v>
      </c>
      <c r="N104">
        <v>87</v>
      </c>
      <c r="O104">
        <v>37566</v>
      </c>
      <c r="P104">
        <v>104.07</v>
      </c>
      <c r="Q104">
        <v>204.14</v>
      </c>
      <c r="R104">
        <v>23.61</v>
      </c>
      <c r="S104">
        <v>17.37</v>
      </c>
      <c r="T104">
        <v>1027.3599999999999</v>
      </c>
      <c r="U104">
        <v>0.74</v>
      </c>
      <c r="V104">
        <v>0.76</v>
      </c>
      <c r="W104">
        <v>1.1399999999999999</v>
      </c>
      <c r="X104">
        <v>0.06</v>
      </c>
      <c r="Y104">
        <v>1</v>
      </c>
      <c r="Z104">
        <v>10</v>
      </c>
    </row>
    <row r="105" spans="1:26" x14ac:dyDescent="0.3">
      <c r="A105">
        <v>103</v>
      </c>
      <c r="B105">
        <v>130</v>
      </c>
      <c r="C105" t="s">
        <v>26</v>
      </c>
      <c r="D105">
        <v>10.261100000000001</v>
      </c>
      <c r="E105">
        <v>9.75</v>
      </c>
      <c r="F105">
        <v>6.75</v>
      </c>
      <c r="G105">
        <v>101.17</v>
      </c>
      <c r="H105">
        <v>1.57</v>
      </c>
      <c r="I105">
        <v>4</v>
      </c>
      <c r="J105">
        <v>303.22000000000003</v>
      </c>
      <c r="K105">
        <v>59.19</v>
      </c>
      <c r="L105">
        <v>26.75</v>
      </c>
      <c r="M105">
        <v>2</v>
      </c>
      <c r="N105">
        <v>87.28</v>
      </c>
      <c r="O105">
        <v>37631.519999999997</v>
      </c>
      <c r="P105">
        <v>104.03</v>
      </c>
      <c r="Q105">
        <v>204.14</v>
      </c>
      <c r="R105">
        <v>23.51</v>
      </c>
      <c r="S105">
        <v>17.37</v>
      </c>
      <c r="T105">
        <v>976.8</v>
      </c>
      <c r="U105">
        <v>0.74</v>
      </c>
      <c r="V105">
        <v>0.76</v>
      </c>
      <c r="W105">
        <v>1.1399999999999999</v>
      </c>
      <c r="X105">
        <v>0.05</v>
      </c>
      <c r="Y105">
        <v>1</v>
      </c>
      <c r="Z105">
        <v>10</v>
      </c>
    </row>
    <row r="106" spans="1:26" x14ac:dyDescent="0.3">
      <c r="A106">
        <v>104</v>
      </c>
      <c r="B106">
        <v>130</v>
      </c>
      <c r="C106" t="s">
        <v>26</v>
      </c>
      <c r="D106">
        <v>10.264900000000001</v>
      </c>
      <c r="E106">
        <v>9.74</v>
      </c>
      <c r="F106">
        <v>6.74</v>
      </c>
      <c r="G106">
        <v>101.12</v>
      </c>
      <c r="H106">
        <v>1.58</v>
      </c>
      <c r="I106">
        <v>4</v>
      </c>
      <c r="J106">
        <v>303.75</v>
      </c>
      <c r="K106">
        <v>59.19</v>
      </c>
      <c r="L106">
        <v>27</v>
      </c>
      <c r="M106">
        <v>2</v>
      </c>
      <c r="N106">
        <v>87.56</v>
      </c>
      <c r="O106">
        <v>37697.160000000003</v>
      </c>
      <c r="P106">
        <v>104.1</v>
      </c>
      <c r="Q106">
        <v>204.14</v>
      </c>
      <c r="R106">
        <v>23.44</v>
      </c>
      <c r="S106">
        <v>17.37</v>
      </c>
      <c r="T106">
        <v>940.22</v>
      </c>
      <c r="U106">
        <v>0.74</v>
      </c>
      <c r="V106">
        <v>0.76</v>
      </c>
      <c r="W106">
        <v>1.1399999999999999</v>
      </c>
      <c r="X106">
        <v>0.05</v>
      </c>
      <c r="Y106">
        <v>1</v>
      </c>
      <c r="Z106">
        <v>10</v>
      </c>
    </row>
    <row r="107" spans="1:26" x14ac:dyDescent="0.3">
      <c r="A107">
        <v>105</v>
      </c>
      <c r="B107">
        <v>130</v>
      </c>
      <c r="C107" t="s">
        <v>26</v>
      </c>
      <c r="D107">
        <v>10.259600000000001</v>
      </c>
      <c r="E107">
        <v>9.75</v>
      </c>
      <c r="F107">
        <v>6.75</v>
      </c>
      <c r="G107">
        <v>101.2</v>
      </c>
      <c r="H107">
        <v>1.6</v>
      </c>
      <c r="I107">
        <v>4</v>
      </c>
      <c r="J107">
        <v>304.29000000000002</v>
      </c>
      <c r="K107">
        <v>59.19</v>
      </c>
      <c r="L107">
        <v>27.25</v>
      </c>
      <c r="M107">
        <v>2</v>
      </c>
      <c r="N107">
        <v>87.84</v>
      </c>
      <c r="O107">
        <v>37762.92</v>
      </c>
      <c r="P107">
        <v>104.22</v>
      </c>
      <c r="Q107">
        <v>204.14</v>
      </c>
      <c r="R107">
        <v>23.51</v>
      </c>
      <c r="S107">
        <v>17.37</v>
      </c>
      <c r="T107">
        <v>975.13</v>
      </c>
      <c r="U107">
        <v>0.74</v>
      </c>
      <c r="V107">
        <v>0.76</v>
      </c>
      <c r="W107">
        <v>1.1399999999999999</v>
      </c>
      <c r="X107">
        <v>0.06</v>
      </c>
      <c r="Y107">
        <v>1</v>
      </c>
      <c r="Z107">
        <v>10</v>
      </c>
    </row>
    <row r="108" spans="1:26" x14ac:dyDescent="0.3">
      <c r="A108">
        <v>106</v>
      </c>
      <c r="B108">
        <v>130</v>
      </c>
      <c r="C108" t="s">
        <v>26</v>
      </c>
      <c r="D108">
        <v>10.2593</v>
      </c>
      <c r="E108">
        <v>9.75</v>
      </c>
      <c r="F108">
        <v>6.75</v>
      </c>
      <c r="G108">
        <v>101.2</v>
      </c>
      <c r="H108">
        <v>1.61</v>
      </c>
      <c r="I108">
        <v>4</v>
      </c>
      <c r="J108">
        <v>304.82</v>
      </c>
      <c r="K108">
        <v>59.19</v>
      </c>
      <c r="L108">
        <v>27.5</v>
      </c>
      <c r="M108">
        <v>2</v>
      </c>
      <c r="N108">
        <v>88.13</v>
      </c>
      <c r="O108">
        <v>37828.81</v>
      </c>
      <c r="P108">
        <v>104.21</v>
      </c>
      <c r="Q108">
        <v>204.14</v>
      </c>
      <c r="R108">
        <v>23.55</v>
      </c>
      <c r="S108">
        <v>17.37</v>
      </c>
      <c r="T108">
        <v>999.67</v>
      </c>
      <c r="U108">
        <v>0.74</v>
      </c>
      <c r="V108">
        <v>0.76</v>
      </c>
      <c r="W108">
        <v>1.1399999999999999</v>
      </c>
      <c r="X108">
        <v>0.06</v>
      </c>
      <c r="Y108">
        <v>1</v>
      </c>
      <c r="Z108">
        <v>10</v>
      </c>
    </row>
    <row r="109" spans="1:26" x14ac:dyDescent="0.3">
      <c r="A109">
        <v>107</v>
      </c>
      <c r="B109">
        <v>130</v>
      </c>
      <c r="C109" t="s">
        <v>26</v>
      </c>
      <c r="D109">
        <v>10.2523</v>
      </c>
      <c r="E109">
        <v>9.75</v>
      </c>
      <c r="F109">
        <v>6.75</v>
      </c>
      <c r="G109">
        <v>101.3</v>
      </c>
      <c r="H109">
        <v>1.62</v>
      </c>
      <c r="I109">
        <v>4</v>
      </c>
      <c r="J109">
        <v>305.36</v>
      </c>
      <c r="K109">
        <v>59.19</v>
      </c>
      <c r="L109">
        <v>27.75</v>
      </c>
      <c r="M109">
        <v>2</v>
      </c>
      <c r="N109">
        <v>88.41</v>
      </c>
      <c r="O109">
        <v>37894.82</v>
      </c>
      <c r="P109">
        <v>104.31</v>
      </c>
      <c r="Q109">
        <v>204.14</v>
      </c>
      <c r="R109">
        <v>23.75</v>
      </c>
      <c r="S109">
        <v>17.37</v>
      </c>
      <c r="T109">
        <v>1099.26</v>
      </c>
      <c r="U109">
        <v>0.73</v>
      </c>
      <c r="V109">
        <v>0.76</v>
      </c>
      <c r="W109">
        <v>1.1399999999999999</v>
      </c>
      <c r="X109">
        <v>0.06</v>
      </c>
      <c r="Y109">
        <v>1</v>
      </c>
      <c r="Z109">
        <v>10</v>
      </c>
    </row>
    <row r="110" spans="1:26" x14ac:dyDescent="0.3">
      <c r="A110">
        <v>108</v>
      </c>
      <c r="B110">
        <v>130</v>
      </c>
      <c r="C110" t="s">
        <v>26</v>
      </c>
      <c r="D110">
        <v>10.257899999999999</v>
      </c>
      <c r="E110">
        <v>9.75</v>
      </c>
      <c r="F110">
        <v>6.75</v>
      </c>
      <c r="G110">
        <v>101.22</v>
      </c>
      <c r="H110">
        <v>1.63</v>
      </c>
      <c r="I110">
        <v>4</v>
      </c>
      <c r="J110">
        <v>305.89</v>
      </c>
      <c r="K110">
        <v>59.19</v>
      </c>
      <c r="L110">
        <v>28</v>
      </c>
      <c r="M110">
        <v>2</v>
      </c>
      <c r="N110">
        <v>88.7</v>
      </c>
      <c r="O110">
        <v>37960.949999999997</v>
      </c>
      <c r="P110">
        <v>104.22</v>
      </c>
      <c r="Q110">
        <v>204.14</v>
      </c>
      <c r="R110">
        <v>23.65</v>
      </c>
      <c r="S110">
        <v>17.37</v>
      </c>
      <c r="T110">
        <v>1045.03</v>
      </c>
      <c r="U110">
        <v>0.73</v>
      </c>
      <c r="V110">
        <v>0.76</v>
      </c>
      <c r="W110">
        <v>1.1399999999999999</v>
      </c>
      <c r="X110">
        <v>0.06</v>
      </c>
      <c r="Y110">
        <v>1</v>
      </c>
      <c r="Z110">
        <v>10</v>
      </c>
    </row>
    <row r="111" spans="1:26" x14ac:dyDescent="0.3">
      <c r="A111">
        <v>109</v>
      </c>
      <c r="B111">
        <v>130</v>
      </c>
      <c r="C111" t="s">
        <v>26</v>
      </c>
      <c r="D111">
        <v>10.255800000000001</v>
      </c>
      <c r="E111">
        <v>9.75</v>
      </c>
      <c r="F111">
        <v>6.75</v>
      </c>
      <c r="G111">
        <v>101.25</v>
      </c>
      <c r="H111">
        <v>1.64</v>
      </c>
      <c r="I111">
        <v>4</v>
      </c>
      <c r="J111">
        <v>306.43</v>
      </c>
      <c r="K111">
        <v>59.19</v>
      </c>
      <c r="L111">
        <v>28.25</v>
      </c>
      <c r="M111">
        <v>2</v>
      </c>
      <c r="N111">
        <v>88.99</v>
      </c>
      <c r="O111">
        <v>38027.199999999997</v>
      </c>
      <c r="P111">
        <v>104.22</v>
      </c>
      <c r="Q111">
        <v>204.14</v>
      </c>
      <c r="R111">
        <v>23.75</v>
      </c>
      <c r="S111">
        <v>17.37</v>
      </c>
      <c r="T111">
        <v>1096.74</v>
      </c>
      <c r="U111">
        <v>0.73</v>
      </c>
      <c r="V111">
        <v>0.76</v>
      </c>
      <c r="W111">
        <v>1.1399999999999999</v>
      </c>
      <c r="X111">
        <v>0.06</v>
      </c>
      <c r="Y111">
        <v>1</v>
      </c>
      <c r="Z111">
        <v>10</v>
      </c>
    </row>
    <row r="112" spans="1:26" x14ac:dyDescent="0.3">
      <c r="A112">
        <v>110</v>
      </c>
      <c r="B112">
        <v>130</v>
      </c>
      <c r="C112" t="s">
        <v>26</v>
      </c>
      <c r="D112">
        <v>10.2567</v>
      </c>
      <c r="E112">
        <v>9.75</v>
      </c>
      <c r="F112">
        <v>6.75</v>
      </c>
      <c r="G112">
        <v>101.24</v>
      </c>
      <c r="H112">
        <v>1.65</v>
      </c>
      <c r="I112">
        <v>4</v>
      </c>
      <c r="J112">
        <v>306.97000000000003</v>
      </c>
      <c r="K112">
        <v>59.19</v>
      </c>
      <c r="L112">
        <v>28.5</v>
      </c>
      <c r="M112">
        <v>2</v>
      </c>
      <c r="N112">
        <v>89.27</v>
      </c>
      <c r="O112">
        <v>38093.58</v>
      </c>
      <c r="P112">
        <v>104.21</v>
      </c>
      <c r="Q112">
        <v>204.14</v>
      </c>
      <c r="R112">
        <v>23.62</v>
      </c>
      <c r="S112">
        <v>17.37</v>
      </c>
      <c r="T112">
        <v>1032.08</v>
      </c>
      <c r="U112">
        <v>0.74</v>
      </c>
      <c r="V112">
        <v>0.76</v>
      </c>
      <c r="W112">
        <v>1.1399999999999999</v>
      </c>
      <c r="X112">
        <v>0.06</v>
      </c>
      <c r="Y112">
        <v>1</v>
      </c>
      <c r="Z112">
        <v>10</v>
      </c>
    </row>
    <row r="113" spans="1:26" x14ac:dyDescent="0.3">
      <c r="A113">
        <v>111</v>
      </c>
      <c r="B113">
        <v>130</v>
      </c>
      <c r="C113" t="s">
        <v>26</v>
      </c>
      <c r="D113">
        <v>10.2582</v>
      </c>
      <c r="E113">
        <v>9.75</v>
      </c>
      <c r="F113">
        <v>6.75</v>
      </c>
      <c r="G113">
        <v>101.22</v>
      </c>
      <c r="H113">
        <v>1.67</v>
      </c>
      <c r="I113">
        <v>4</v>
      </c>
      <c r="J113">
        <v>307.51</v>
      </c>
      <c r="K113">
        <v>59.19</v>
      </c>
      <c r="L113">
        <v>28.75</v>
      </c>
      <c r="M113">
        <v>2</v>
      </c>
      <c r="N113">
        <v>89.56</v>
      </c>
      <c r="O113">
        <v>38160.089999999997</v>
      </c>
      <c r="P113">
        <v>104.05</v>
      </c>
      <c r="Q113">
        <v>204.15</v>
      </c>
      <c r="R113">
        <v>23.57</v>
      </c>
      <c r="S113">
        <v>17.37</v>
      </c>
      <c r="T113">
        <v>1006.54</v>
      </c>
      <c r="U113">
        <v>0.74</v>
      </c>
      <c r="V113">
        <v>0.76</v>
      </c>
      <c r="W113">
        <v>1.1399999999999999</v>
      </c>
      <c r="X113">
        <v>0.06</v>
      </c>
      <c r="Y113">
        <v>1</v>
      </c>
      <c r="Z113">
        <v>10</v>
      </c>
    </row>
    <row r="114" spans="1:26" x14ac:dyDescent="0.3">
      <c r="A114">
        <v>112</v>
      </c>
      <c r="B114">
        <v>130</v>
      </c>
      <c r="C114" t="s">
        <v>26</v>
      </c>
      <c r="D114">
        <v>10.2585</v>
      </c>
      <c r="E114">
        <v>9.75</v>
      </c>
      <c r="F114">
        <v>6.75</v>
      </c>
      <c r="G114">
        <v>101.21</v>
      </c>
      <c r="H114">
        <v>1.68</v>
      </c>
      <c r="I114">
        <v>4</v>
      </c>
      <c r="J114">
        <v>308.05</v>
      </c>
      <c r="K114">
        <v>59.19</v>
      </c>
      <c r="L114">
        <v>29</v>
      </c>
      <c r="M114">
        <v>2</v>
      </c>
      <c r="N114">
        <v>89.85</v>
      </c>
      <c r="O114">
        <v>38226.720000000001</v>
      </c>
      <c r="P114">
        <v>104.08</v>
      </c>
      <c r="Q114">
        <v>204.15</v>
      </c>
      <c r="R114">
        <v>23.54</v>
      </c>
      <c r="S114">
        <v>17.37</v>
      </c>
      <c r="T114">
        <v>993.16</v>
      </c>
      <c r="U114">
        <v>0.74</v>
      </c>
      <c r="V114">
        <v>0.76</v>
      </c>
      <c r="W114">
        <v>1.1399999999999999</v>
      </c>
      <c r="X114">
        <v>0.06</v>
      </c>
      <c r="Y114">
        <v>1</v>
      </c>
      <c r="Z114">
        <v>10</v>
      </c>
    </row>
    <row r="115" spans="1:26" x14ac:dyDescent="0.3">
      <c r="A115">
        <v>113</v>
      </c>
      <c r="B115">
        <v>130</v>
      </c>
      <c r="C115" t="s">
        <v>26</v>
      </c>
      <c r="D115">
        <v>10.2646</v>
      </c>
      <c r="E115">
        <v>9.74</v>
      </c>
      <c r="F115">
        <v>6.74</v>
      </c>
      <c r="G115">
        <v>101.12</v>
      </c>
      <c r="H115">
        <v>1.69</v>
      </c>
      <c r="I115">
        <v>4</v>
      </c>
      <c r="J115">
        <v>308.58999999999997</v>
      </c>
      <c r="K115">
        <v>59.19</v>
      </c>
      <c r="L115">
        <v>29.25</v>
      </c>
      <c r="M115">
        <v>2</v>
      </c>
      <c r="N115">
        <v>90.14</v>
      </c>
      <c r="O115">
        <v>38293.47</v>
      </c>
      <c r="P115">
        <v>103.93</v>
      </c>
      <c r="Q115">
        <v>204.14</v>
      </c>
      <c r="R115">
        <v>23.46</v>
      </c>
      <c r="S115">
        <v>17.37</v>
      </c>
      <c r="T115">
        <v>952.85</v>
      </c>
      <c r="U115">
        <v>0.74</v>
      </c>
      <c r="V115">
        <v>0.76</v>
      </c>
      <c r="W115">
        <v>1.1399999999999999</v>
      </c>
      <c r="X115">
        <v>0.05</v>
      </c>
      <c r="Y115">
        <v>1</v>
      </c>
      <c r="Z115">
        <v>10</v>
      </c>
    </row>
    <row r="116" spans="1:26" x14ac:dyDescent="0.3">
      <c r="A116">
        <v>114</v>
      </c>
      <c r="B116">
        <v>130</v>
      </c>
      <c r="C116" t="s">
        <v>26</v>
      </c>
      <c r="D116">
        <v>10.2661</v>
      </c>
      <c r="E116">
        <v>9.74</v>
      </c>
      <c r="F116">
        <v>6.74</v>
      </c>
      <c r="G116">
        <v>101.1</v>
      </c>
      <c r="H116">
        <v>1.7</v>
      </c>
      <c r="I116">
        <v>4</v>
      </c>
      <c r="J116">
        <v>309.13</v>
      </c>
      <c r="K116">
        <v>59.19</v>
      </c>
      <c r="L116">
        <v>29.5</v>
      </c>
      <c r="M116">
        <v>2</v>
      </c>
      <c r="N116">
        <v>90.44</v>
      </c>
      <c r="O116">
        <v>38360.36</v>
      </c>
      <c r="P116">
        <v>103.81</v>
      </c>
      <c r="Q116">
        <v>204.14</v>
      </c>
      <c r="R116">
        <v>23.35</v>
      </c>
      <c r="S116">
        <v>17.37</v>
      </c>
      <c r="T116">
        <v>898.17</v>
      </c>
      <c r="U116">
        <v>0.74</v>
      </c>
      <c r="V116">
        <v>0.76</v>
      </c>
      <c r="W116">
        <v>1.1399999999999999</v>
      </c>
      <c r="X116">
        <v>0.05</v>
      </c>
      <c r="Y116">
        <v>1</v>
      </c>
      <c r="Z116">
        <v>10</v>
      </c>
    </row>
    <row r="117" spans="1:26" x14ac:dyDescent="0.3">
      <c r="A117">
        <v>115</v>
      </c>
      <c r="B117">
        <v>130</v>
      </c>
      <c r="C117" t="s">
        <v>26</v>
      </c>
      <c r="D117">
        <v>10.261699999999999</v>
      </c>
      <c r="E117">
        <v>9.74</v>
      </c>
      <c r="F117">
        <v>6.74</v>
      </c>
      <c r="G117">
        <v>101.17</v>
      </c>
      <c r="H117">
        <v>1.71</v>
      </c>
      <c r="I117">
        <v>4</v>
      </c>
      <c r="J117">
        <v>309.67</v>
      </c>
      <c r="K117">
        <v>59.19</v>
      </c>
      <c r="L117">
        <v>29.75</v>
      </c>
      <c r="M117">
        <v>2</v>
      </c>
      <c r="N117">
        <v>90.73</v>
      </c>
      <c r="O117">
        <v>38427.370000000003</v>
      </c>
      <c r="P117">
        <v>103.78</v>
      </c>
      <c r="Q117">
        <v>204.14</v>
      </c>
      <c r="R117">
        <v>23.48</v>
      </c>
      <c r="S117">
        <v>17.37</v>
      </c>
      <c r="T117">
        <v>960.86</v>
      </c>
      <c r="U117">
        <v>0.74</v>
      </c>
      <c r="V117">
        <v>0.76</v>
      </c>
      <c r="W117">
        <v>1.1399999999999999</v>
      </c>
      <c r="X117">
        <v>0.05</v>
      </c>
      <c r="Y117">
        <v>1</v>
      </c>
      <c r="Z117">
        <v>10</v>
      </c>
    </row>
    <row r="118" spans="1:26" x14ac:dyDescent="0.3">
      <c r="A118">
        <v>116</v>
      </c>
      <c r="B118">
        <v>130</v>
      </c>
      <c r="C118" t="s">
        <v>26</v>
      </c>
      <c r="D118">
        <v>10.264900000000001</v>
      </c>
      <c r="E118">
        <v>9.74</v>
      </c>
      <c r="F118">
        <v>6.74</v>
      </c>
      <c r="G118">
        <v>101.12</v>
      </c>
      <c r="H118">
        <v>1.72</v>
      </c>
      <c r="I118">
        <v>4</v>
      </c>
      <c r="J118">
        <v>310.22000000000003</v>
      </c>
      <c r="K118">
        <v>59.19</v>
      </c>
      <c r="L118">
        <v>30</v>
      </c>
      <c r="M118">
        <v>2</v>
      </c>
      <c r="N118">
        <v>91.02</v>
      </c>
      <c r="O118">
        <v>38494.519999999997</v>
      </c>
      <c r="P118">
        <v>103.6</v>
      </c>
      <c r="Q118">
        <v>204.14</v>
      </c>
      <c r="R118">
        <v>23.46</v>
      </c>
      <c r="S118">
        <v>17.37</v>
      </c>
      <c r="T118">
        <v>951.73</v>
      </c>
      <c r="U118">
        <v>0.74</v>
      </c>
      <c r="V118">
        <v>0.76</v>
      </c>
      <c r="W118">
        <v>1.1399999999999999</v>
      </c>
      <c r="X118">
        <v>0.05</v>
      </c>
      <c r="Y118">
        <v>1</v>
      </c>
      <c r="Z118">
        <v>10</v>
      </c>
    </row>
    <row r="119" spans="1:26" x14ac:dyDescent="0.3">
      <c r="A119">
        <v>117</v>
      </c>
      <c r="B119">
        <v>130</v>
      </c>
      <c r="C119" t="s">
        <v>26</v>
      </c>
      <c r="D119">
        <v>10.2623</v>
      </c>
      <c r="E119">
        <v>9.74</v>
      </c>
      <c r="F119">
        <v>6.74</v>
      </c>
      <c r="G119">
        <v>101.16</v>
      </c>
      <c r="H119">
        <v>1.73</v>
      </c>
      <c r="I119">
        <v>4</v>
      </c>
      <c r="J119">
        <v>310.76</v>
      </c>
      <c r="K119">
        <v>59.19</v>
      </c>
      <c r="L119">
        <v>30.25</v>
      </c>
      <c r="M119">
        <v>2</v>
      </c>
      <c r="N119">
        <v>91.32</v>
      </c>
      <c r="O119">
        <v>38561.79</v>
      </c>
      <c r="P119">
        <v>103.5</v>
      </c>
      <c r="Q119">
        <v>204.14</v>
      </c>
      <c r="R119">
        <v>23.4</v>
      </c>
      <c r="S119">
        <v>17.37</v>
      </c>
      <c r="T119">
        <v>924.4</v>
      </c>
      <c r="U119">
        <v>0.74</v>
      </c>
      <c r="V119">
        <v>0.76</v>
      </c>
      <c r="W119">
        <v>1.1399999999999999</v>
      </c>
      <c r="X119">
        <v>0.05</v>
      </c>
      <c r="Y119">
        <v>1</v>
      </c>
      <c r="Z119">
        <v>10</v>
      </c>
    </row>
    <row r="120" spans="1:26" x14ac:dyDescent="0.3">
      <c r="A120">
        <v>118</v>
      </c>
      <c r="B120">
        <v>130</v>
      </c>
      <c r="C120" t="s">
        <v>26</v>
      </c>
      <c r="D120">
        <v>10.2628</v>
      </c>
      <c r="E120">
        <v>9.74</v>
      </c>
      <c r="F120">
        <v>6.74</v>
      </c>
      <c r="G120">
        <v>101.15</v>
      </c>
      <c r="H120">
        <v>1.75</v>
      </c>
      <c r="I120">
        <v>4</v>
      </c>
      <c r="J120">
        <v>311.31</v>
      </c>
      <c r="K120">
        <v>59.19</v>
      </c>
      <c r="L120">
        <v>30.5</v>
      </c>
      <c r="M120">
        <v>2</v>
      </c>
      <c r="N120">
        <v>91.62</v>
      </c>
      <c r="O120">
        <v>38629.19</v>
      </c>
      <c r="P120">
        <v>103.44</v>
      </c>
      <c r="Q120">
        <v>204.14</v>
      </c>
      <c r="R120">
        <v>23.39</v>
      </c>
      <c r="S120">
        <v>17.37</v>
      </c>
      <c r="T120">
        <v>916.89</v>
      </c>
      <c r="U120">
        <v>0.74</v>
      </c>
      <c r="V120">
        <v>0.76</v>
      </c>
      <c r="W120">
        <v>1.1399999999999999</v>
      </c>
      <c r="X120">
        <v>0.05</v>
      </c>
      <c r="Y120">
        <v>1</v>
      </c>
      <c r="Z120">
        <v>10</v>
      </c>
    </row>
    <row r="121" spans="1:26" x14ac:dyDescent="0.3">
      <c r="A121">
        <v>119</v>
      </c>
      <c r="B121">
        <v>130</v>
      </c>
      <c r="C121" t="s">
        <v>26</v>
      </c>
      <c r="D121">
        <v>10.264900000000001</v>
      </c>
      <c r="E121">
        <v>9.74</v>
      </c>
      <c r="F121">
        <v>6.74</v>
      </c>
      <c r="G121">
        <v>101.12</v>
      </c>
      <c r="H121">
        <v>1.76</v>
      </c>
      <c r="I121">
        <v>4</v>
      </c>
      <c r="J121">
        <v>311.86</v>
      </c>
      <c r="K121">
        <v>59.19</v>
      </c>
      <c r="L121">
        <v>30.75</v>
      </c>
      <c r="M121">
        <v>2</v>
      </c>
      <c r="N121">
        <v>91.91</v>
      </c>
      <c r="O121">
        <v>38696.85</v>
      </c>
      <c r="P121">
        <v>103.15</v>
      </c>
      <c r="Q121">
        <v>204.14</v>
      </c>
      <c r="R121">
        <v>23.4</v>
      </c>
      <c r="S121">
        <v>17.37</v>
      </c>
      <c r="T121">
        <v>921.2</v>
      </c>
      <c r="U121">
        <v>0.74</v>
      </c>
      <c r="V121">
        <v>0.76</v>
      </c>
      <c r="W121">
        <v>1.1399999999999999</v>
      </c>
      <c r="X121">
        <v>0.05</v>
      </c>
      <c r="Y121">
        <v>1</v>
      </c>
      <c r="Z121">
        <v>10</v>
      </c>
    </row>
    <row r="122" spans="1:26" x14ac:dyDescent="0.3">
      <c r="A122">
        <v>120</v>
      </c>
      <c r="B122">
        <v>130</v>
      </c>
      <c r="C122" t="s">
        <v>26</v>
      </c>
      <c r="D122">
        <v>10.2628</v>
      </c>
      <c r="E122">
        <v>9.74</v>
      </c>
      <c r="F122">
        <v>6.74</v>
      </c>
      <c r="G122">
        <v>101.15</v>
      </c>
      <c r="H122">
        <v>1.77</v>
      </c>
      <c r="I122">
        <v>4</v>
      </c>
      <c r="J122">
        <v>312.41000000000003</v>
      </c>
      <c r="K122">
        <v>59.19</v>
      </c>
      <c r="L122">
        <v>31</v>
      </c>
      <c r="M122">
        <v>2</v>
      </c>
      <c r="N122">
        <v>92.21</v>
      </c>
      <c r="O122">
        <v>38764.53</v>
      </c>
      <c r="P122">
        <v>103.02</v>
      </c>
      <c r="Q122">
        <v>204.14</v>
      </c>
      <c r="R122">
        <v>23.42</v>
      </c>
      <c r="S122">
        <v>17.37</v>
      </c>
      <c r="T122">
        <v>931.77</v>
      </c>
      <c r="U122">
        <v>0.74</v>
      </c>
      <c r="V122">
        <v>0.76</v>
      </c>
      <c r="W122">
        <v>1.1399999999999999</v>
      </c>
      <c r="X122">
        <v>0.05</v>
      </c>
      <c r="Y122">
        <v>1</v>
      </c>
      <c r="Z122">
        <v>10</v>
      </c>
    </row>
    <row r="123" spans="1:26" x14ac:dyDescent="0.3">
      <c r="A123">
        <v>121</v>
      </c>
      <c r="B123">
        <v>130</v>
      </c>
      <c r="C123" t="s">
        <v>26</v>
      </c>
      <c r="D123">
        <v>10.269600000000001</v>
      </c>
      <c r="E123">
        <v>9.74</v>
      </c>
      <c r="F123">
        <v>6.74</v>
      </c>
      <c r="G123">
        <v>101.05</v>
      </c>
      <c r="H123">
        <v>1.78</v>
      </c>
      <c r="I123">
        <v>4</v>
      </c>
      <c r="J123">
        <v>312.95999999999998</v>
      </c>
      <c r="K123">
        <v>59.19</v>
      </c>
      <c r="L123">
        <v>31.25</v>
      </c>
      <c r="M123">
        <v>2</v>
      </c>
      <c r="N123">
        <v>92.51</v>
      </c>
      <c r="O123">
        <v>38832.33</v>
      </c>
      <c r="P123">
        <v>102.79</v>
      </c>
      <c r="Q123">
        <v>204.14</v>
      </c>
      <c r="R123">
        <v>23.16</v>
      </c>
      <c r="S123">
        <v>17.37</v>
      </c>
      <c r="T123">
        <v>803.86</v>
      </c>
      <c r="U123">
        <v>0.75</v>
      </c>
      <c r="V123">
        <v>0.76</v>
      </c>
      <c r="W123">
        <v>1.1399999999999999</v>
      </c>
      <c r="X123">
        <v>0.05</v>
      </c>
      <c r="Y123">
        <v>1</v>
      </c>
      <c r="Z123">
        <v>10</v>
      </c>
    </row>
    <row r="124" spans="1:26" x14ac:dyDescent="0.3">
      <c r="A124">
        <v>122</v>
      </c>
      <c r="B124">
        <v>130</v>
      </c>
      <c r="C124" t="s">
        <v>26</v>
      </c>
      <c r="D124">
        <v>10.2705</v>
      </c>
      <c r="E124">
        <v>9.74</v>
      </c>
      <c r="F124">
        <v>6.74</v>
      </c>
      <c r="G124">
        <v>101.04</v>
      </c>
      <c r="H124">
        <v>1.79</v>
      </c>
      <c r="I124">
        <v>4</v>
      </c>
      <c r="J124">
        <v>313.51</v>
      </c>
      <c r="K124">
        <v>59.19</v>
      </c>
      <c r="L124">
        <v>31.5</v>
      </c>
      <c r="M124">
        <v>2</v>
      </c>
      <c r="N124">
        <v>92.81</v>
      </c>
      <c r="O124">
        <v>38900.269999999997</v>
      </c>
      <c r="P124">
        <v>102.67</v>
      </c>
      <c r="Q124">
        <v>204.15</v>
      </c>
      <c r="R124">
        <v>23.13</v>
      </c>
      <c r="S124">
        <v>17.37</v>
      </c>
      <c r="T124">
        <v>789</v>
      </c>
      <c r="U124">
        <v>0.75</v>
      </c>
      <c r="V124">
        <v>0.76</v>
      </c>
      <c r="W124">
        <v>1.1399999999999999</v>
      </c>
      <c r="X124">
        <v>0.04</v>
      </c>
      <c r="Y124">
        <v>1</v>
      </c>
      <c r="Z124">
        <v>10</v>
      </c>
    </row>
    <row r="125" spans="1:26" x14ac:dyDescent="0.3">
      <c r="A125">
        <v>123</v>
      </c>
      <c r="B125">
        <v>130</v>
      </c>
      <c r="C125" t="s">
        <v>26</v>
      </c>
      <c r="D125">
        <v>10.2713</v>
      </c>
      <c r="E125">
        <v>9.74</v>
      </c>
      <c r="F125">
        <v>6.74</v>
      </c>
      <c r="G125">
        <v>101.03</v>
      </c>
      <c r="H125">
        <v>1.8</v>
      </c>
      <c r="I125">
        <v>4</v>
      </c>
      <c r="J125">
        <v>314.06</v>
      </c>
      <c r="K125">
        <v>59.19</v>
      </c>
      <c r="L125">
        <v>31.75</v>
      </c>
      <c r="M125">
        <v>2</v>
      </c>
      <c r="N125">
        <v>93.12</v>
      </c>
      <c r="O125">
        <v>38968.339999999997</v>
      </c>
      <c r="P125">
        <v>102.48</v>
      </c>
      <c r="Q125">
        <v>204.14</v>
      </c>
      <c r="R125">
        <v>23.11</v>
      </c>
      <c r="S125">
        <v>17.37</v>
      </c>
      <c r="T125">
        <v>778.48</v>
      </c>
      <c r="U125">
        <v>0.75</v>
      </c>
      <c r="V125">
        <v>0.76</v>
      </c>
      <c r="W125">
        <v>1.1399999999999999</v>
      </c>
      <c r="X125">
        <v>0.04</v>
      </c>
      <c r="Y125">
        <v>1</v>
      </c>
      <c r="Z125">
        <v>10</v>
      </c>
    </row>
    <row r="126" spans="1:26" x14ac:dyDescent="0.3">
      <c r="A126">
        <v>124</v>
      </c>
      <c r="B126">
        <v>130</v>
      </c>
      <c r="C126" t="s">
        <v>26</v>
      </c>
      <c r="D126">
        <v>10.271000000000001</v>
      </c>
      <c r="E126">
        <v>9.74</v>
      </c>
      <c r="F126">
        <v>6.74</v>
      </c>
      <c r="G126">
        <v>101.03</v>
      </c>
      <c r="H126">
        <v>1.81</v>
      </c>
      <c r="I126">
        <v>4</v>
      </c>
      <c r="J126">
        <v>314.61</v>
      </c>
      <c r="K126">
        <v>59.19</v>
      </c>
      <c r="L126">
        <v>32</v>
      </c>
      <c r="M126">
        <v>2</v>
      </c>
      <c r="N126">
        <v>93.42</v>
      </c>
      <c r="O126">
        <v>39036.550000000003</v>
      </c>
      <c r="P126">
        <v>102.31</v>
      </c>
      <c r="Q126">
        <v>204.14</v>
      </c>
      <c r="R126">
        <v>23.18</v>
      </c>
      <c r="S126">
        <v>17.37</v>
      </c>
      <c r="T126">
        <v>811.2</v>
      </c>
      <c r="U126">
        <v>0.75</v>
      </c>
      <c r="V126">
        <v>0.76</v>
      </c>
      <c r="W126">
        <v>1.1399999999999999</v>
      </c>
      <c r="X126">
        <v>0.04</v>
      </c>
      <c r="Y126">
        <v>1</v>
      </c>
      <c r="Z126">
        <v>10</v>
      </c>
    </row>
    <row r="127" spans="1:26" x14ac:dyDescent="0.3">
      <c r="A127">
        <v>125</v>
      </c>
      <c r="B127">
        <v>130</v>
      </c>
      <c r="C127" t="s">
        <v>26</v>
      </c>
      <c r="D127">
        <v>10.2699</v>
      </c>
      <c r="E127">
        <v>9.74</v>
      </c>
      <c r="F127">
        <v>6.74</v>
      </c>
      <c r="G127">
        <v>101.05</v>
      </c>
      <c r="H127">
        <v>1.82</v>
      </c>
      <c r="I127">
        <v>4</v>
      </c>
      <c r="J127">
        <v>315.17</v>
      </c>
      <c r="K127">
        <v>59.19</v>
      </c>
      <c r="L127">
        <v>32.25</v>
      </c>
      <c r="M127">
        <v>2</v>
      </c>
      <c r="N127">
        <v>93.72</v>
      </c>
      <c r="O127">
        <v>39104.89</v>
      </c>
      <c r="P127">
        <v>102.14</v>
      </c>
      <c r="Q127">
        <v>204.14</v>
      </c>
      <c r="R127">
        <v>23.23</v>
      </c>
      <c r="S127">
        <v>17.37</v>
      </c>
      <c r="T127">
        <v>838.62</v>
      </c>
      <c r="U127">
        <v>0.75</v>
      </c>
      <c r="V127">
        <v>0.76</v>
      </c>
      <c r="W127">
        <v>1.1399999999999999</v>
      </c>
      <c r="X127">
        <v>0.05</v>
      </c>
      <c r="Y127">
        <v>1</v>
      </c>
      <c r="Z127">
        <v>10</v>
      </c>
    </row>
    <row r="128" spans="1:26" x14ac:dyDescent="0.3">
      <c r="A128">
        <v>126</v>
      </c>
      <c r="B128">
        <v>130</v>
      </c>
      <c r="C128" t="s">
        <v>26</v>
      </c>
      <c r="D128">
        <v>10.2707</v>
      </c>
      <c r="E128">
        <v>9.74</v>
      </c>
      <c r="F128">
        <v>6.74</v>
      </c>
      <c r="G128">
        <v>101.04</v>
      </c>
      <c r="H128">
        <v>1.83</v>
      </c>
      <c r="I128">
        <v>4</v>
      </c>
      <c r="J128">
        <v>315.72000000000003</v>
      </c>
      <c r="K128">
        <v>59.19</v>
      </c>
      <c r="L128">
        <v>32.5</v>
      </c>
      <c r="M128">
        <v>2</v>
      </c>
      <c r="N128">
        <v>94.03</v>
      </c>
      <c r="O128">
        <v>39173.370000000003</v>
      </c>
      <c r="P128">
        <v>102.05</v>
      </c>
      <c r="Q128">
        <v>204.14</v>
      </c>
      <c r="R128">
        <v>23.24</v>
      </c>
      <c r="S128">
        <v>17.37</v>
      </c>
      <c r="T128">
        <v>840.46</v>
      </c>
      <c r="U128">
        <v>0.75</v>
      </c>
      <c r="V128">
        <v>0.76</v>
      </c>
      <c r="W128">
        <v>1.1399999999999999</v>
      </c>
      <c r="X128">
        <v>0.04</v>
      </c>
      <c r="Y128">
        <v>1</v>
      </c>
      <c r="Z128">
        <v>10</v>
      </c>
    </row>
    <row r="129" spans="1:26" x14ac:dyDescent="0.3">
      <c r="A129">
        <v>127</v>
      </c>
      <c r="B129">
        <v>130</v>
      </c>
      <c r="C129" t="s">
        <v>26</v>
      </c>
      <c r="D129">
        <v>10.2658</v>
      </c>
      <c r="E129">
        <v>9.74</v>
      </c>
      <c r="F129">
        <v>6.74</v>
      </c>
      <c r="G129">
        <v>101.11</v>
      </c>
      <c r="H129">
        <v>1.84</v>
      </c>
      <c r="I129">
        <v>4</v>
      </c>
      <c r="J129">
        <v>316.27999999999997</v>
      </c>
      <c r="K129">
        <v>59.19</v>
      </c>
      <c r="L129">
        <v>32.75</v>
      </c>
      <c r="M129">
        <v>2</v>
      </c>
      <c r="N129">
        <v>94.33</v>
      </c>
      <c r="O129">
        <v>39241.99</v>
      </c>
      <c r="P129">
        <v>101.96</v>
      </c>
      <c r="Q129">
        <v>204.14</v>
      </c>
      <c r="R129">
        <v>23.3</v>
      </c>
      <c r="S129">
        <v>17.37</v>
      </c>
      <c r="T129">
        <v>870.52</v>
      </c>
      <c r="U129">
        <v>0.75</v>
      </c>
      <c r="V129">
        <v>0.76</v>
      </c>
      <c r="W129">
        <v>1.1399999999999999</v>
      </c>
      <c r="X129">
        <v>0.05</v>
      </c>
      <c r="Y129">
        <v>1</v>
      </c>
      <c r="Z129">
        <v>10</v>
      </c>
    </row>
    <row r="130" spans="1:26" x14ac:dyDescent="0.3">
      <c r="A130">
        <v>128</v>
      </c>
      <c r="B130">
        <v>130</v>
      </c>
      <c r="C130" t="s">
        <v>26</v>
      </c>
      <c r="D130">
        <v>10.263999999999999</v>
      </c>
      <c r="E130">
        <v>9.74</v>
      </c>
      <c r="F130">
        <v>6.74</v>
      </c>
      <c r="G130">
        <v>101.13</v>
      </c>
      <c r="H130">
        <v>1.86</v>
      </c>
      <c r="I130">
        <v>4</v>
      </c>
      <c r="J130">
        <v>316.83999999999997</v>
      </c>
      <c r="K130">
        <v>59.19</v>
      </c>
      <c r="L130">
        <v>33</v>
      </c>
      <c r="M130">
        <v>2</v>
      </c>
      <c r="N130">
        <v>94.64</v>
      </c>
      <c r="O130">
        <v>39310.75</v>
      </c>
      <c r="P130">
        <v>101.74</v>
      </c>
      <c r="Q130">
        <v>204.14</v>
      </c>
      <c r="R130">
        <v>23.4</v>
      </c>
      <c r="S130">
        <v>17.37</v>
      </c>
      <c r="T130">
        <v>922.46</v>
      </c>
      <c r="U130">
        <v>0.74</v>
      </c>
      <c r="V130">
        <v>0.76</v>
      </c>
      <c r="W130">
        <v>1.1399999999999999</v>
      </c>
      <c r="X130">
        <v>0.05</v>
      </c>
      <c r="Y130">
        <v>1</v>
      </c>
      <c r="Z130">
        <v>10</v>
      </c>
    </row>
    <row r="131" spans="1:26" x14ac:dyDescent="0.3">
      <c r="A131">
        <v>129</v>
      </c>
      <c r="B131">
        <v>130</v>
      </c>
      <c r="C131" t="s">
        <v>26</v>
      </c>
      <c r="D131">
        <v>10.263400000000001</v>
      </c>
      <c r="E131">
        <v>9.74</v>
      </c>
      <c r="F131">
        <v>6.74</v>
      </c>
      <c r="G131">
        <v>101.14</v>
      </c>
      <c r="H131">
        <v>1.87</v>
      </c>
      <c r="I131">
        <v>4</v>
      </c>
      <c r="J131">
        <v>317.39</v>
      </c>
      <c r="K131">
        <v>59.19</v>
      </c>
      <c r="L131">
        <v>33.25</v>
      </c>
      <c r="M131">
        <v>2</v>
      </c>
      <c r="N131">
        <v>94.95</v>
      </c>
      <c r="O131">
        <v>39379.65</v>
      </c>
      <c r="P131">
        <v>101.56</v>
      </c>
      <c r="Q131">
        <v>204.14</v>
      </c>
      <c r="R131">
        <v>23.38</v>
      </c>
      <c r="S131">
        <v>17.37</v>
      </c>
      <c r="T131">
        <v>911.96</v>
      </c>
      <c r="U131">
        <v>0.74</v>
      </c>
      <c r="V131">
        <v>0.76</v>
      </c>
      <c r="W131">
        <v>1.1399999999999999</v>
      </c>
      <c r="X131">
        <v>0.05</v>
      </c>
      <c r="Y131">
        <v>1</v>
      </c>
      <c r="Z131">
        <v>10</v>
      </c>
    </row>
    <row r="132" spans="1:26" x14ac:dyDescent="0.3">
      <c r="A132">
        <v>130</v>
      </c>
      <c r="B132">
        <v>130</v>
      </c>
      <c r="C132" t="s">
        <v>26</v>
      </c>
      <c r="D132">
        <v>10.269600000000001</v>
      </c>
      <c r="E132">
        <v>9.74</v>
      </c>
      <c r="F132">
        <v>6.74</v>
      </c>
      <c r="G132">
        <v>101.05</v>
      </c>
      <c r="H132">
        <v>1.88</v>
      </c>
      <c r="I132">
        <v>4</v>
      </c>
      <c r="J132">
        <v>317.95</v>
      </c>
      <c r="K132">
        <v>59.19</v>
      </c>
      <c r="L132">
        <v>33.5</v>
      </c>
      <c r="M132">
        <v>2</v>
      </c>
      <c r="N132">
        <v>95.26</v>
      </c>
      <c r="O132">
        <v>39448.69</v>
      </c>
      <c r="P132">
        <v>101.29</v>
      </c>
      <c r="Q132">
        <v>204.15</v>
      </c>
      <c r="R132">
        <v>23.26</v>
      </c>
      <c r="S132">
        <v>17.37</v>
      </c>
      <c r="T132">
        <v>854.13</v>
      </c>
      <c r="U132">
        <v>0.75</v>
      </c>
      <c r="V132">
        <v>0.76</v>
      </c>
      <c r="W132">
        <v>1.1399999999999999</v>
      </c>
      <c r="X132">
        <v>0.05</v>
      </c>
      <c r="Y132">
        <v>1</v>
      </c>
      <c r="Z132">
        <v>10</v>
      </c>
    </row>
    <row r="133" spans="1:26" x14ac:dyDescent="0.3">
      <c r="A133">
        <v>131</v>
      </c>
      <c r="B133">
        <v>130</v>
      </c>
      <c r="C133" t="s">
        <v>26</v>
      </c>
      <c r="D133">
        <v>10.2681</v>
      </c>
      <c r="E133">
        <v>9.74</v>
      </c>
      <c r="F133">
        <v>6.74</v>
      </c>
      <c r="G133">
        <v>101.08</v>
      </c>
      <c r="H133">
        <v>1.89</v>
      </c>
      <c r="I133">
        <v>4</v>
      </c>
      <c r="J133">
        <v>318.52</v>
      </c>
      <c r="K133">
        <v>59.19</v>
      </c>
      <c r="L133">
        <v>33.75</v>
      </c>
      <c r="M133">
        <v>2</v>
      </c>
      <c r="N133">
        <v>95.57</v>
      </c>
      <c r="O133">
        <v>39517.870000000003</v>
      </c>
      <c r="P133">
        <v>101.1</v>
      </c>
      <c r="Q133">
        <v>204.14</v>
      </c>
      <c r="R133">
        <v>23.26</v>
      </c>
      <c r="S133">
        <v>17.37</v>
      </c>
      <c r="T133">
        <v>850.26</v>
      </c>
      <c r="U133">
        <v>0.75</v>
      </c>
      <c r="V133">
        <v>0.76</v>
      </c>
      <c r="W133">
        <v>1.1399999999999999</v>
      </c>
      <c r="X133">
        <v>0.05</v>
      </c>
      <c r="Y133">
        <v>1</v>
      </c>
      <c r="Z133">
        <v>10</v>
      </c>
    </row>
    <row r="134" spans="1:26" x14ac:dyDescent="0.3">
      <c r="A134">
        <v>132</v>
      </c>
      <c r="B134">
        <v>130</v>
      </c>
      <c r="C134" t="s">
        <v>26</v>
      </c>
      <c r="D134">
        <v>10.2669</v>
      </c>
      <c r="E134">
        <v>9.74</v>
      </c>
      <c r="F134">
        <v>6.74</v>
      </c>
      <c r="G134">
        <v>101.09</v>
      </c>
      <c r="H134">
        <v>1.9</v>
      </c>
      <c r="I134">
        <v>4</v>
      </c>
      <c r="J134">
        <v>319.08</v>
      </c>
      <c r="K134">
        <v>59.19</v>
      </c>
      <c r="L134">
        <v>34</v>
      </c>
      <c r="M134">
        <v>2</v>
      </c>
      <c r="N134">
        <v>95.88</v>
      </c>
      <c r="O134">
        <v>39587.19</v>
      </c>
      <c r="P134">
        <v>101.05</v>
      </c>
      <c r="Q134">
        <v>204.14</v>
      </c>
      <c r="R134">
        <v>23.32</v>
      </c>
      <c r="S134">
        <v>17.37</v>
      </c>
      <c r="T134">
        <v>881.5</v>
      </c>
      <c r="U134">
        <v>0.75</v>
      </c>
      <c r="V134">
        <v>0.76</v>
      </c>
      <c r="W134">
        <v>1.1399999999999999</v>
      </c>
      <c r="X134">
        <v>0.05</v>
      </c>
      <c r="Y134">
        <v>1</v>
      </c>
      <c r="Z134">
        <v>10</v>
      </c>
    </row>
    <row r="135" spans="1:26" x14ac:dyDescent="0.3">
      <c r="A135">
        <v>133</v>
      </c>
      <c r="B135">
        <v>130</v>
      </c>
      <c r="C135" t="s">
        <v>26</v>
      </c>
      <c r="D135">
        <v>10.267799999999999</v>
      </c>
      <c r="E135">
        <v>9.74</v>
      </c>
      <c r="F135">
        <v>6.74</v>
      </c>
      <c r="G135">
        <v>101.08</v>
      </c>
      <c r="H135">
        <v>1.91</v>
      </c>
      <c r="I135">
        <v>4</v>
      </c>
      <c r="J135">
        <v>319.64</v>
      </c>
      <c r="K135">
        <v>59.19</v>
      </c>
      <c r="L135">
        <v>34.25</v>
      </c>
      <c r="M135">
        <v>2</v>
      </c>
      <c r="N135">
        <v>96.2</v>
      </c>
      <c r="O135">
        <v>39656.65</v>
      </c>
      <c r="P135">
        <v>100.9</v>
      </c>
      <c r="Q135">
        <v>204.16</v>
      </c>
      <c r="R135">
        <v>23.2</v>
      </c>
      <c r="S135">
        <v>17.37</v>
      </c>
      <c r="T135">
        <v>822.86</v>
      </c>
      <c r="U135">
        <v>0.75</v>
      </c>
      <c r="V135">
        <v>0.76</v>
      </c>
      <c r="W135">
        <v>1.1399999999999999</v>
      </c>
      <c r="X135">
        <v>0.05</v>
      </c>
      <c r="Y135">
        <v>1</v>
      </c>
      <c r="Z135">
        <v>10</v>
      </c>
    </row>
    <row r="136" spans="1:26" x14ac:dyDescent="0.3">
      <c r="A136">
        <v>134</v>
      </c>
      <c r="B136">
        <v>130</v>
      </c>
      <c r="C136" t="s">
        <v>26</v>
      </c>
      <c r="D136">
        <v>10.267799999999999</v>
      </c>
      <c r="E136">
        <v>9.74</v>
      </c>
      <c r="F136">
        <v>6.74</v>
      </c>
      <c r="G136">
        <v>101.08</v>
      </c>
      <c r="H136">
        <v>1.92</v>
      </c>
      <c r="I136">
        <v>4</v>
      </c>
      <c r="J136">
        <v>320.20999999999998</v>
      </c>
      <c r="K136">
        <v>59.19</v>
      </c>
      <c r="L136">
        <v>34.5</v>
      </c>
      <c r="M136">
        <v>2</v>
      </c>
      <c r="N136">
        <v>96.51</v>
      </c>
      <c r="O136">
        <v>39726.26</v>
      </c>
      <c r="P136">
        <v>100.62</v>
      </c>
      <c r="Q136">
        <v>204.14</v>
      </c>
      <c r="R136">
        <v>23.31</v>
      </c>
      <c r="S136">
        <v>17.37</v>
      </c>
      <c r="T136">
        <v>875.93</v>
      </c>
      <c r="U136">
        <v>0.75</v>
      </c>
      <c r="V136">
        <v>0.76</v>
      </c>
      <c r="W136">
        <v>1.1399999999999999</v>
      </c>
      <c r="X136">
        <v>0.05</v>
      </c>
      <c r="Y136">
        <v>1</v>
      </c>
      <c r="Z136">
        <v>10</v>
      </c>
    </row>
    <row r="137" spans="1:26" x14ac:dyDescent="0.3">
      <c r="A137">
        <v>135</v>
      </c>
      <c r="B137">
        <v>130</v>
      </c>
      <c r="C137" t="s">
        <v>26</v>
      </c>
      <c r="D137">
        <v>10.2646</v>
      </c>
      <c r="E137">
        <v>9.74</v>
      </c>
      <c r="F137">
        <v>6.74</v>
      </c>
      <c r="G137">
        <v>101.12</v>
      </c>
      <c r="H137">
        <v>1.93</v>
      </c>
      <c r="I137">
        <v>4</v>
      </c>
      <c r="J137">
        <v>320.77</v>
      </c>
      <c r="K137">
        <v>59.19</v>
      </c>
      <c r="L137">
        <v>34.75</v>
      </c>
      <c r="M137">
        <v>2</v>
      </c>
      <c r="N137">
        <v>96.83</v>
      </c>
      <c r="O137">
        <v>39796.01</v>
      </c>
      <c r="P137">
        <v>100.41</v>
      </c>
      <c r="Q137">
        <v>204.14</v>
      </c>
      <c r="R137">
        <v>23.39</v>
      </c>
      <c r="S137">
        <v>17.37</v>
      </c>
      <c r="T137">
        <v>919.19</v>
      </c>
      <c r="U137">
        <v>0.74</v>
      </c>
      <c r="V137">
        <v>0.76</v>
      </c>
      <c r="W137">
        <v>1.1399999999999999</v>
      </c>
      <c r="X137">
        <v>0.05</v>
      </c>
      <c r="Y137">
        <v>1</v>
      </c>
      <c r="Z137">
        <v>10</v>
      </c>
    </row>
    <row r="138" spans="1:26" x14ac:dyDescent="0.3">
      <c r="A138">
        <v>136</v>
      </c>
      <c r="B138">
        <v>130</v>
      </c>
      <c r="C138" t="s">
        <v>26</v>
      </c>
      <c r="D138">
        <v>10.2608</v>
      </c>
      <c r="E138">
        <v>9.75</v>
      </c>
      <c r="F138">
        <v>6.75</v>
      </c>
      <c r="G138">
        <v>101.18</v>
      </c>
      <c r="H138">
        <v>1.94</v>
      </c>
      <c r="I138">
        <v>4</v>
      </c>
      <c r="J138">
        <v>321.33999999999997</v>
      </c>
      <c r="K138">
        <v>59.19</v>
      </c>
      <c r="L138">
        <v>35</v>
      </c>
      <c r="M138">
        <v>2</v>
      </c>
      <c r="N138">
        <v>97.14</v>
      </c>
      <c r="O138">
        <v>39865.910000000003</v>
      </c>
      <c r="P138">
        <v>100.1</v>
      </c>
      <c r="Q138">
        <v>204.14</v>
      </c>
      <c r="R138">
        <v>23.42</v>
      </c>
      <c r="S138">
        <v>17.37</v>
      </c>
      <c r="T138">
        <v>931.39</v>
      </c>
      <c r="U138">
        <v>0.74</v>
      </c>
      <c r="V138">
        <v>0.76</v>
      </c>
      <c r="W138">
        <v>1.1499999999999999</v>
      </c>
      <c r="X138">
        <v>0.05</v>
      </c>
      <c r="Y138">
        <v>1</v>
      </c>
      <c r="Z138">
        <v>10</v>
      </c>
    </row>
    <row r="139" spans="1:26" x14ac:dyDescent="0.3">
      <c r="A139">
        <v>137</v>
      </c>
      <c r="B139">
        <v>130</v>
      </c>
      <c r="C139" t="s">
        <v>26</v>
      </c>
      <c r="D139">
        <v>10.2669</v>
      </c>
      <c r="E139">
        <v>9.74</v>
      </c>
      <c r="F139">
        <v>6.74</v>
      </c>
      <c r="G139">
        <v>101.09</v>
      </c>
      <c r="H139">
        <v>1.95</v>
      </c>
      <c r="I139">
        <v>4</v>
      </c>
      <c r="J139">
        <v>321.91000000000003</v>
      </c>
      <c r="K139">
        <v>59.19</v>
      </c>
      <c r="L139">
        <v>35.25</v>
      </c>
      <c r="M139">
        <v>2</v>
      </c>
      <c r="N139">
        <v>97.46</v>
      </c>
      <c r="O139">
        <v>39935.96</v>
      </c>
      <c r="P139">
        <v>99.82</v>
      </c>
      <c r="Q139">
        <v>204.14</v>
      </c>
      <c r="R139">
        <v>23.33</v>
      </c>
      <c r="S139">
        <v>17.37</v>
      </c>
      <c r="T139">
        <v>889.29</v>
      </c>
      <c r="U139">
        <v>0.74</v>
      </c>
      <c r="V139">
        <v>0.76</v>
      </c>
      <c r="W139">
        <v>1.1399999999999999</v>
      </c>
      <c r="X139">
        <v>0.05</v>
      </c>
      <c r="Y139">
        <v>1</v>
      </c>
      <c r="Z139">
        <v>10</v>
      </c>
    </row>
    <row r="140" spans="1:26" x14ac:dyDescent="0.3">
      <c r="A140">
        <v>138</v>
      </c>
      <c r="B140">
        <v>130</v>
      </c>
      <c r="C140" t="s">
        <v>26</v>
      </c>
      <c r="D140">
        <v>10.3439</v>
      </c>
      <c r="E140">
        <v>9.67</v>
      </c>
      <c r="F140">
        <v>6.72</v>
      </c>
      <c r="G140">
        <v>134.32</v>
      </c>
      <c r="H140">
        <v>1.96</v>
      </c>
      <c r="I140">
        <v>3</v>
      </c>
      <c r="J140">
        <v>322.47000000000003</v>
      </c>
      <c r="K140">
        <v>59.19</v>
      </c>
      <c r="L140">
        <v>35.5</v>
      </c>
      <c r="M140">
        <v>1</v>
      </c>
      <c r="N140">
        <v>97.78</v>
      </c>
      <c r="O140">
        <v>40006.15</v>
      </c>
      <c r="P140">
        <v>99.05</v>
      </c>
      <c r="Q140">
        <v>204.14</v>
      </c>
      <c r="R140">
        <v>22.58</v>
      </c>
      <c r="S140">
        <v>17.37</v>
      </c>
      <c r="T140">
        <v>516.29</v>
      </c>
      <c r="U140">
        <v>0.77</v>
      </c>
      <c r="V140">
        <v>0.76</v>
      </c>
      <c r="W140">
        <v>1.1399999999999999</v>
      </c>
      <c r="X140">
        <v>0.02</v>
      </c>
      <c r="Y140">
        <v>1</v>
      </c>
      <c r="Z140">
        <v>10</v>
      </c>
    </row>
    <row r="141" spans="1:26" x14ac:dyDescent="0.3">
      <c r="A141">
        <v>139</v>
      </c>
      <c r="B141">
        <v>130</v>
      </c>
      <c r="C141" t="s">
        <v>26</v>
      </c>
      <c r="D141">
        <v>10.342700000000001</v>
      </c>
      <c r="E141">
        <v>9.67</v>
      </c>
      <c r="F141">
        <v>6.72</v>
      </c>
      <c r="G141">
        <v>134.34</v>
      </c>
      <c r="H141">
        <v>1.97</v>
      </c>
      <c r="I141">
        <v>3</v>
      </c>
      <c r="J141">
        <v>323.04000000000002</v>
      </c>
      <c r="K141">
        <v>59.19</v>
      </c>
      <c r="L141">
        <v>35.75</v>
      </c>
      <c r="M141">
        <v>1</v>
      </c>
      <c r="N141">
        <v>98.1</v>
      </c>
      <c r="O141">
        <v>40076.49</v>
      </c>
      <c r="P141">
        <v>99.35</v>
      </c>
      <c r="Q141">
        <v>204.14</v>
      </c>
      <c r="R141">
        <v>22.63</v>
      </c>
      <c r="S141">
        <v>17.37</v>
      </c>
      <c r="T141">
        <v>540.03</v>
      </c>
      <c r="U141">
        <v>0.77</v>
      </c>
      <c r="V141">
        <v>0.76</v>
      </c>
      <c r="W141">
        <v>1.1399999999999999</v>
      </c>
      <c r="X141">
        <v>0.03</v>
      </c>
      <c r="Y141">
        <v>1</v>
      </c>
      <c r="Z141">
        <v>10</v>
      </c>
    </row>
    <row r="142" spans="1:26" x14ac:dyDescent="0.3">
      <c r="A142">
        <v>140</v>
      </c>
      <c r="B142">
        <v>130</v>
      </c>
      <c r="C142" t="s">
        <v>26</v>
      </c>
      <c r="D142">
        <v>10.342499999999999</v>
      </c>
      <c r="E142">
        <v>9.67</v>
      </c>
      <c r="F142">
        <v>6.72</v>
      </c>
      <c r="G142">
        <v>134.34</v>
      </c>
      <c r="H142">
        <v>1.98</v>
      </c>
      <c r="I142">
        <v>3</v>
      </c>
      <c r="J142">
        <v>323.62</v>
      </c>
      <c r="K142">
        <v>59.19</v>
      </c>
      <c r="L142">
        <v>36</v>
      </c>
      <c r="M142">
        <v>1</v>
      </c>
      <c r="N142">
        <v>98.42</v>
      </c>
      <c r="O142">
        <v>40147.11</v>
      </c>
      <c r="P142">
        <v>99.54</v>
      </c>
      <c r="Q142">
        <v>204.14</v>
      </c>
      <c r="R142">
        <v>22.64</v>
      </c>
      <c r="S142">
        <v>17.37</v>
      </c>
      <c r="T142">
        <v>546.20000000000005</v>
      </c>
      <c r="U142">
        <v>0.77</v>
      </c>
      <c r="V142">
        <v>0.76</v>
      </c>
      <c r="W142">
        <v>1.1399999999999999</v>
      </c>
      <c r="X142">
        <v>0.03</v>
      </c>
      <c r="Y142">
        <v>1</v>
      </c>
      <c r="Z142">
        <v>10</v>
      </c>
    </row>
    <row r="143" spans="1:26" x14ac:dyDescent="0.3">
      <c r="A143">
        <v>141</v>
      </c>
      <c r="B143">
        <v>130</v>
      </c>
      <c r="C143" t="s">
        <v>26</v>
      </c>
      <c r="D143">
        <v>10.3383</v>
      </c>
      <c r="E143">
        <v>9.67</v>
      </c>
      <c r="F143">
        <v>6.72</v>
      </c>
      <c r="G143">
        <v>134.41999999999999</v>
      </c>
      <c r="H143">
        <v>1.99</v>
      </c>
      <c r="I143">
        <v>3</v>
      </c>
      <c r="J143">
        <v>324.19</v>
      </c>
      <c r="K143">
        <v>59.19</v>
      </c>
      <c r="L143">
        <v>36.25</v>
      </c>
      <c r="M143">
        <v>1</v>
      </c>
      <c r="N143">
        <v>98.75</v>
      </c>
      <c r="O143">
        <v>40217.75</v>
      </c>
      <c r="P143">
        <v>99.8</v>
      </c>
      <c r="Q143">
        <v>204.17</v>
      </c>
      <c r="R143">
        <v>22.7</v>
      </c>
      <c r="S143">
        <v>17.37</v>
      </c>
      <c r="T143">
        <v>576.63</v>
      </c>
      <c r="U143">
        <v>0.77</v>
      </c>
      <c r="V143">
        <v>0.76</v>
      </c>
      <c r="W143">
        <v>1.1399999999999999</v>
      </c>
      <c r="X143">
        <v>0.03</v>
      </c>
      <c r="Y143">
        <v>1</v>
      </c>
      <c r="Z143">
        <v>10</v>
      </c>
    </row>
    <row r="144" spans="1:26" x14ac:dyDescent="0.3">
      <c r="A144">
        <v>142</v>
      </c>
      <c r="B144">
        <v>130</v>
      </c>
      <c r="C144" t="s">
        <v>26</v>
      </c>
      <c r="D144">
        <v>10.340400000000001</v>
      </c>
      <c r="E144">
        <v>9.67</v>
      </c>
      <c r="F144">
        <v>6.72</v>
      </c>
      <c r="G144">
        <v>134.38</v>
      </c>
      <c r="H144">
        <v>2</v>
      </c>
      <c r="I144">
        <v>3</v>
      </c>
      <c r="J144">
        <v>324.76</v>
      </c>
      <c r="K144">
        <v>59.19</v>
      </c>
      <c r="L144">
        <v>36.5</v>
      </c>
      <c r="M144">
        <v>1</v>
      </c>
      <c r="N144">
        <v>99.07</v>
      </c>
      <c r="O144">
        <v>40288.550000000003</v>
      </c>
      <c r="P144">
        <v>99.97</v>
      </c>
      <c r="Q144">
        <v>204.14</v>
      </c>
      <c r="R144">
        <v>22.66</v>
      </c>
      <c r="S144">
        <v>17.37</v>
      </c>
      <c r="T144">
        <v>555.61</v>
      </c>
      <c r="U144">
        <v>0.77</v>
      </c>
      <c r="V144">
        <v>0.76</v>
      </c>
      <c r="W144">
        <v>1.1399999999999999</v>
      </c>
      <c r="X144">
        <v>0.03</v>
      </c>
      <c r="Y144">
        <v>1</v>
      </c>
      <c r="Z144">
        <v>10</v>
      </c>
    </row>
    <row r="145" spans="1:26" x14ac:dyDescent="0.3">
      <c r="A145">
        <v>143</v>
      </c>
      <c r="B145">
        <v>130</v>
      </c>
      <c r="C145" t="s">
        <v>26</v>
      </c>
      <c r="D145">
        <v>10.3401</v>
      </c>
      <c r="E145">
        <v>9.67</v>
      </c>
      <c r="F145">
        <v>6.72</v>
      </c>
      <c r="G145">
        <v>134.38999999999999</v>
      </c>
      <c r="H145">
        <v>2.0099999999999998</v>
      </c>
      <c r="I145">
        <v>3</v>
      </c>
      <c r="J145">
        <v>325.33999999999997</v>
      </c>
      <c r="K145">
        <v>59.19</v>
      </c>
      <c r="L145">
        <v>36.75</v>
      </c>
      <c r="M145">
        <v>1</v>
      </c>
      <c r="N145">
        <v>99.4</v>
      </c>
      <c r="O145">
        <v>40359.5</v>
      </c>
      <c r="P145">
        <v>100.09</v>
      </c>
      <c r="Q145">
        <v>204.14</v>
      </c>
      <c r="R145">
        <v>22.67</v>
      </c>
      <c r="S145">
        <v>17.37</v>
      </c>
      <c r="T145">
        <v>563.67999999999995</v>
      </c>
      <c r="U145">
        <v>0.77</v>
      </c>
      <c r="V145">
        <v>0.76</v>
      </c>
      <c r="W145">
        <v>1.1399999999999999</v>
      </c>
      <c r="X145">
        <v>0.03</v>
      </c>
      <c r="Y145">
        <v>1</v>
      </c>
      <c r="Z145">
        <v>10</v>
      </c>
    </row>
    <row r="146" spans="1:26" x14ac:dyDescent="0.3">
      <c r="A146">
        <v>144</v>
      </c>
      <c r="B146">
        <v>130</v>
      </c>
      <c r="C146" t="s">
        <v>26</v>
      </c>
      <c r="D146">
        <v>10.342499999999999</v>
      </c>
      <c r="E146">
        <v>9.67</v>
      </c>
      <c r="F146">
        <v>6.72</v>
      </c>
      <c r="G146">
        <v>134.34</v>
      </c>
      <c r="H146">
        <v>2.02</v>
      </c>
      <c r="I146">
        <v>3</v>
      </c>
      <c r="J146">
        <v>325.92</v>
      </c>
      <c r="K146">
        <v>59.19</v>
      </c>
      <c r="L146">
        <v>37</v>
      </c>
      <c r="M146">
        <v>1</v>
      </c>
      <c r="N146">
        <v>99.72</v>
      </c>
      <c r="O146">
        <v>40430.6</v>
      </c>
      <c r="P146">
        <v>100.31</v>
      </c>
      <c r="Q146">
        <v>204.14</v>
      </c>
      <c r="R146">
        <v>22.6</v>
      </c>
      <c r="S146">
        <v>17.37</v>
      </c>
      <c r="T146">
        <v>529.62</v>
      </c>
      <c r="U146">
        <v>0.77</v>
      </c>
      <c r="V146">
        <v>0.76</v>
      </c>
      <c r="W146">
        <v>1.1399999999999999</v>
      </c>
      <c r="X146">
        <v>0.03</v>
      </c>
      <c r="Y146">
        <v>1</v>
      </c>
      <c r="Z146">
        <v>10</v>
      </c>
    </row>
    <row r="147" spans="1:26" x14ac:dyDescent="0.3">
      <c r="A147">
        <v>145</v>
      </c>
      <c r="B147">
        <v>130</v>
      </c>
      <c r="C147" t="s">
        <v>26</v>
      </c>
      <c r="D147">
        <v>10.340999999999999</v>
      </c>
      <c r="E147">
        <v>9.67</v>
      </c>
      <c r="F147">
        <v>6.72</v>
      </c>
      <c r="G147">
        <v>134.37</v>
      </c>
      <c r="H147">
        <v>2.0299999999999998</v>
      </c>
      <c r="I147">
        <v>3</v>
      </c>
      <c r="J147">
        <v>326.49</v>
      </c>
      <c r="K147">
        <v>59.19</v>
      </c>
      <c r="L147">
        <v>37.25</v>
      </c>
      <c r="M147">
        <v>1</v>
      </c>
      <c r="N147">
        <v>100.05</v>
      </c>
      <c r="O147">
        <v>40501.85</v>
      </c>
      <c r="P147">
        <v>100.47</v>
      </c>
      <c r="Q147">
        <v>204.15</v>
      </c>
      <c r="R147">
        <v>22.61</v>
      </c>
      <c r="S147">
        <v>17.37</v>
      </c>
      <c r="T147">
        <v>533.16999999999996</v>
      </c>
      <c r="U147">
        <v>0.77</v>
      </c>
      <c r="V147">
        <v>0.76</v>
      </c>
      <c r="W147">
        <v>1.1399999999999999</v>
      </c>
      <c r="X147">
        <v>0.03</v>
      </c>
      <c r="Y147">
        <v>1</v>
      </c>
      <c r="Z147">
        <v>10</v>
      </c>
    </row>
    <row r="148" spans="1:26" x14ac:dyDescent="0.3">
      <c r="A148">
        <v>146</v>
      </c>
      <c r="B148">
        <v>130</v>
      </c>
      <c r="C148" t="s">
        <v>26</v>
      </c>
      <c r="D148">
        <v>10.3413</v>
      </c>
      <c r="E148">
        <v>9.67</v>
      </c>
      <c r="F148">
        <v>6.72</v>
      </c>
      <c r="G148">
        <v>134.37</v>
      </c>
      <c r="H148">
        <v>2.04</v>
      </c>
      <c r="I148">
        <v>3</v>
      </c>
      <c r="J148">
        <v>327.07</v>
      </c>
      <c r="K148">
        <v>59.19</v>
      </c>
      <c r="L148">
        <v>37.5</v>
      </c>
      <c r="M148">
        <v>1</v>
      </c>
      <c r="N148">
        <v>100.38</v>
      </c>
      <c r="O148">
        <v>40573.269999999997</v>
      </c>
      <c r="P148">
        <v>100.54</v>
      </c>
      <c r="Q148">
        <v>204.14</v>
      </c>
      <c r="R148">
        <v>22.67</v>
      </c>
      <c r="S148">
        <v>17.37</v>
      </c>
      <c r="T148">
        <v>561.54</v>
      </c>
      <c r="U148">
        <v>0.77</v>
      </c>
      <c r="V148">
        <v>0.76</v>
      </c>
      <c r="W148">
        <v>1.1399999999999999</v>
      </c>
      <c r="X148">
        <v>0.03</v>
      </c>
      <c r="Y148">
        <v>1</v>
      </c>
      <c r="Z148">
        <v>10</v>
      </c>
    </row>
    <row r="149" spans="1:26" x14ac:dyDescent="0.3">
      <c r="A149">
        <v>147</v>
      </c>
      <c r="B149">
        <v>130</v>
      </c>
      <c r="C149" t="s">
        <v>26</v>
      </c>
      <c r="D149">
        <v>10.3383</v>
      </c>
      <c r="E149">
        <v>9.67</v>
      </c>
      <c r="F149">
        <v>6.72</v>
      </c>
      <c r="G149">
        <v>134.41999999999999</v>
      </c>
      <c r="H149">
        <v>2.0499999999999998</v>
      </c>
      <c r="I149">
        <v>3</v>
      </c>
      <c r="J149">
        <v>327.64999999999998</v>
      </c>
      <c r="K149">
        <v>59.19</v>
      </c>
      <c r="L149">
        <v>37.75</v>
      </c>
      <c r="M149">
        <v>1</v>
      </c>
      <c r="N149">
        <v>100.71</v>
      </c>
      <c r="O149">
        <v>40644.83</v>
      </c>
      <c r="P149">
        <v>100.67</v>
      </c>
      <c r="Q149">
        <v>204.14</v>
      </c>
      <c r="R149">
        <v>22.75</v>
      </c>
      <c r="S149">
        <v>17.37</v>
      </c>
      <c r="T149">
        <v>601.34</v>
      </c>
      <c r="U149">
        <v>0.76</v>
      </c>
      <c r="V149">
        <v>0.76</v>
      </c>
      <c r="W149">
        <v>1.1399999999999999</v>
      </c>
      <c r="X149">
        <v>0.03</v>
      </c>
      <c r="Y149">
        <v>1</v>
      </c>
      <c r="Z149">
        <v>10</v>
      </c>
    </row>
    <row r="150" spans="1:26" x14ac:dyDescent="0.3">
      <c r="A150">
        <v>148</v>
      </c>
      <c r="B150">
        <v>130</v>
      </c>
      <c r="C150" t="s">
        <v>26</v>
      </c>
      <c r="D150">
        <v>10.3386</v>
      </c>
      <c r="E150">
        <v>9.67</v>
      </c>
      <c r="F150">
        <v>6.72</v>
      </c>
      <c r="G150">
        <v>134.41999999999999</v>
      </c>
      <c r="H150">
        <v>2.06</v>
      </c>
      <c r="I150">
        <v>3</v>
      </c>
      <c r="J150">
        <v>328.23</v>
      </c>
      <c r="K150">
        <v>59.19</v>
      </c>
      <c r="L150">
        <v>38</v>
      </c>
      <c r="M150">
        <v>1</v>
      </c>
      <c r="N150">
        <v>101.04</v>
      </c>
      <c r="O150">
        <v>40716.559999999998</v>
      </c>
      <c r="P150">
        <v>100.69</v>
      </c>
      <c r="Q150">
        <v>204.14</v>
      </c>
      <c r="R150">
        <v>22.76</v>
      </c>
      <c r="S150">
        <v>17.37</v>
      </c>
      <c r="T150">
        <v>607.69000000000005</v>
      </c>
      <c r="U150">
        <v>0.76</v>
      </c>
      <c r="V150">
        <v>0.76</v>
      </c>
      <c r="W150">
        <v>1.1399999999999999</v>
      </c>
      <c r="X150">
        <v>0.03</v>
      </c>
      <c r="Y150">
        <v>1</v>
      </c>
      <c r="Z150">
        <v>10</v>
      </c>
    </row>
    <row r="151" spans="1:26" x14ac:dyDescent="0.3">
      <c r="A151">
        <v>149</v>
      </c>
      <c r="B151">
        <v>130</v>
      </c>
      <c r="C151" t="s">
        <v>26</v>
      </c>
      <c r="D151">
        <v>10.3407</v>
      </c>
      <c r="E151">
        <v>9.67</v>
      </c>
      <c r="F151">
        <v>6.72</v>
      </c>
      <c r="G151">
        <v>134.38</v>
      </c>
      <c r="H151">
        <v>2.0699999999999998</v>
      </c>
      <c r="I151">
        <v>3</v>
      </c>
      <c r="J151">
        <v>328.82</v>
      </c>
      <c r="K151">
        <v>59.19</v>
      </c>
      <c r="L151">
        <v>38.25</v>
      </c>
      <c r="M151">
        <v>1</v>
      </c>
      <c r="N151">
        <v>101.37</v>
      </c>
      <c r="O151">
        <v>40788.44</v>
      </c>
      <c r="P151">
        <v>100.76</v>
      </c>
      <c r="Q151">
        <v>204.14</v>
      </c>
      <c r="R151">
        <v>22.69</v>
      </c>
      <c r="S151">
        <v>17.37</v>
      </c>
      <c r="T151">
        <v>570.9</v>
      </c>
      <c r="U151">
        <v>0.77</v>
      </c>
      <c r="V151">
        <v>0.76</v>
      </c>
      <c r="W151">
        <v>1.1399999999999999</v>
      </c>
      <c r="X151">
        <v>0.03</v>
      </c>
      <c r="Y151">
        <v>1</v>
      </c>
      <c r="Z151">
        <v>10</v>
      </c>
    </row>
    <row r="152" spans="1:26" x14ac:dyDescent="0.3">
      <c r="A152">
        <v>150</v>
      </c>
      <c r="B152">
        <v>130</v>
      </c>
      <c r="C152" t="s">
        <v>26</v>
      </c>
      <c r="D152">
        <v>10.339499999999999</v>
      </c>
      <c r="E152">
        <v>9.67</v>
      </c>
      <c r="F152">
        <v>6.72</v>
      </c>
      <c r="G152">
        <v>134.4</v>
      </c>
      <c r="H152">
        <v>2.08</v>
      </c>
      <c r="I152">
        <v>3</v>
      </c>
      <c r="J152">
        <v>329.4</v>
      </c>
      <c r="K152">
        <v>59.19</v>
      </c>
      <c r="L152">
        <v>38.5</v>
      </c>
      <c r="M152">
        <v>1</v>
      </c>
      <c r="N152">
        <v>101.71</v>
      </c>
      <c r="O152">
        <v>40860.49</v>
      </c>
      <c r="P152">
        <v>100.84</v>
      </c>
      <c r="Q152">
        <v>204.14</v>
      </c>
      <c r="R152">
        <v>22.73</v>
      </c>
      <c r="S152">
        <v>17.37</v>
      </c>
      <c r="T152">
        <v>594.47</v>
      </c>
      <c r="U152">
        <v>0.76</v>
      </c>
      <c r="V152">
        <v>0.76</v>
      </c>
      <c r="W152">
        <v>1.1399999999999999</v>
      </c>
      <c r="X152">
        <v>0.03</v>
      </c>
      <c r="Y152">
        <v>1</v>
      </c>
      <c r="Z152">
        <v>10</v>
      </c>
    </row>
    <row r="153" spans="1:26" x14ac:dyDescent="0.3">
      <c r="A153">
        <v>151</v>
      </c>
      <c r="B153">
        <v>130</v>
      </c>
      <c r="C153" t="s">
        <v>26</v>
      </c>
      <c r="D153">
        <v>10.3386</v>
      </c>
      <c r="E153">
        <v>9.67</v>
      </c>
      <c r="F153">
        <v>6.72</v>
      </c>
      <c r="G153">
        <v>134.41999999999999</v>
      </c>
      <c r="H153">
        <v>2.09</v>
      </c>
      <c r="I153">
        <v>3</v>
      </c>
      <c r="J153">
        <v>329.99</v>
      </c>
      <c r="K153">
        <v>59.19</v>
      </c>
      <c r="L153">
        <v>38.75</v>
      </c>
      <c r="M153">
        <v>1</v>
      </c>
      <c r="N153">
        <v>102.04</v>
      </c>
      <c r="O153">
        <v>40932.69</v>
      </c>
      <c r="P153">
        <v>100.97</v>
      </c>
      <c r="Q153">
        <v>204.14</v>
      </c>
      <c r="R153">
        <v>22.75</v>
      </c>
      <c r="S153">
        <v>17.37</v>
      </c>
      <c r="T153">
        <v>603.29</v>
      </c>
      <c r="U153">
        <v>0.76</v>
      </c>
      <c r="V153">
        <v>0.76</v>
      </c>
      <c r="W153">
        <v>1.1399999999999999</v>
      </c>
      <c r="X153">
        <v>0.03</v>
      </c>
      <c r="Y153">
        <v>1</v>
      </c>
      <c r="Z153">
        <v>10</v>
      </c>
    </row>
    <row r="154" spans="1:26" x14ac:dyDescent="0.3">
      <c r="A154">
        <v>152</v>
      </c>
      <c r="B154">
        <v>130</v>
      </c>
      <c r="C154" t="s">
        <v>26</v>
      </c>
      <c r="D154">
        <v>10.3371</v>
      </c>
      <c r="E154">
        <v>9.67</v>
      </c>
      <c r="F154">
        <v>6.72</v>
      </c>
      <c r="G154">
        <v>134.44</v>
      </c>
      <c r="H154">
        <v>2.1</v>
      </c>
      <c r="I154">
        <v>3</v>
      </c>
      <c r="J154">
        <v>330.57</v>
      </c>
      <c r="K154">
        <v>59.19</v>
      </c>
      <c r="L154">
        <v>39</v>
      </c>
      <c r="M154">
        <v>1</v>
      </c>
      <c r="N154">
        <v>102.38</v>
      </c>
      <c r="O154">
        <v>41005.06</v>
      </c>
      <c r="P154">
        <v>101.01</v>
      </c>
      <c r="Q154">
        <v>204.14</v>
      </c>
      <c r="R154">
        <v>22.73</v>
      </c>
      <c r="S154">
        <v>17.37</v>
      </c>
      <c r="T154">
        <v>592.23</v>
      </c>
      <c r="U154">
        <v>0.76</v>
      </c>
      <c r="V154">
        <v>0.76</v>
      </c>
      <c r="W154">
        <v>1.1399999999999999</v>
      </c>
      <c r="X154">
        <v>0.03</v>
      </c>
      <c r="Y154">
        <v>1</v>
      </c>
      <c r="Z154">
        <v>10</v>
      </c>
    </row>
    <row r="155" spans="1:26" x14ac:dyDescent="0.3">
      <c r="A155">
        <v>153</v>
      </c>
      <c r="B155">
        <v>130</v>
      </c>
      <c r="C155" t="s">
        <v>26</v>
      </c>
      <c r="D155">
        <v>10.336499999999999</v>
      </c>
      <c r="E155">
        <v>9.67</v>
      </c>
      <c r="F155">
        <v>6.72</v>
      </c>
      <c r="G155">
        <v>134.46</v>
      </c>
      <c r="H155">
        <v>2.11</v>
      </c>
      <c r="I155">
        <v>3</v>
      </c>
      <c r="J155">
        <v>331.16</v>
      </c>
      <c r="K155">
        <v>59.19</v>
      </c>
      <c r="L155">
        <v>39.25</v>
      </c>
      <c r="M155">
        <v>1</v>
      </c>
      <c r="N155">
        <v>102.72</v>
      </c>
      <c r="O155">
        <v>41077.58</v>
      </c>
      <c r="P155">
        <v>101.14</v>
      </c>
      <c r="Q155">
        <v>204.14</v>
      </c>
      <c r="R155">
        <v>22.81</v>
      </c>
      <c r="S155">
        <v>17.37</v>
      </c>
      <c r="T155">
        <v>631.1</v>
      </c>
      <c r="U155">
        <v>0.76</v>
      </c>
      <c r="V155">
        <v>0.76</v>
      </c>
      <c r="W155">
        <v>1.1399999999999999</v>
      </c>
      <c r="X155">
        <v>0.03</v>
      </c>
      <c r="Y155">
        <v>1</v>
      </c>
      <c r="Z155">
        <v>10</v>
      </c>
    </row>
    <row r="156" spans="1:26" x14ac:dyDescent="0.3">
      <c r="A156">
        <v>154</v>
      </c>
      <c r="B156">
        <v>130</v>
      </c>
      <c r="C156" t="s">
        <v>26</v>
      </c>
      <c r="D156">
        <v>10.3371</v>
      </c>
      <c r="E156">
        <v>9.67</v>
      </c>
      <c r="F156">
        <v>6.72</v>
      </c>
      <c r="G156">
        <v>134.44</v>
      </c>
      <c r="H156">
        <v>2.12</v>
      </c>
      <c r="I156">
        <v>3</v>
      </c>
      <c r="J156">
        <v>331.75</v>
      </c>
      <c r="K156">
        <v>59.19</v>
      </c>
      <c r="L156">
        <v>39.5</v>
      </c>
      <c r="M156">
        <v>1</v>
      </c>
      <c r="N156">
        <v>103.06</v>
      </c>
      <c r="O156">
        <v>41150.28</v>
      </c>
      <c r="P156">
        <v>101.18</v>
      </c>
      <c r="Q156">
        <v>204.14</v>
      </c>
      <c r="R156">
        <v>22.82</v>
      </c>
      <c r="S156">
        <v>17.37</v>
      </c>
      <c r="T156">
        <v>637.74</v>
      </c>
      <c r="U156">
        <v>0.76</v>
      </c>
      <c r="V156">
        <v>0.76</v>
      </c>
      <c r="W156">
        <v>1.1399999999999999</v>
      </c>
      <c r="X156">
        <v>0.03</v>
      </c>
      <c r="Y156">
        <v>1</v>
      </c>
      <c r="Z156">
        <v>10</v>
      </c>
    </row>
    <row r="157" spans="1:26" x14ac:dyDescent="0.3">
      <c r="A157">
        <v>155</v>
      </c>
      <c r="B157">
        <v>130</v>
      </c>
      <c r="C157" t="s">
        <v>26</v>
      </c>
      <c r="D157">
        <v>10.338900000000001</v>
      </c>
      <c r="E157">
        <v>9.67</v>
      </c>
      <c r="F157">
        <v>6.72</v>
      </c>
      <c r="G157">
        <v>134.41</v>
      </c>
      <c r="H157">
        <v>2.13</v>
      </c>
      <c r="I157">
        <v>3</v>
      </c>
      <c r="J157">
        <v>332.34</v>
      </c>
      <c r="K157">
        <v>59.19</v>
      </c>
      <c r="L157">
        <v>39.75</v>
      </c>
      <c r="M157">
        <v>1</v>
      </c>
      <c r="N157">
        <v>103.4</v>
      </c>
      <c r="O157">
        <v>41223.129999999997</v>
      </c>
      <c r="P157">
        <v>101.19</v>
      </c>
      <c r="Q157">
        <v>204.14</v>
      </c>
      <c r="R157">
        <v>22.74</v>
      </c>
      <c r="S157">
        <v>17.37</v>
      </c>
      <c r="T157">
        <v>599.21</v>
      </c>
      <c r="U157">
        <v>0.76</v>
      </c>
      <c r="V157">
        <v>0.76</v>
      </c>
      <c r="W157">
        <v>1.1399999999999999</v>
      </c>
      <c r="X157">
        <v>0.03</v>
      </c>
      <c r="Y157">
        <v>1</v>
      </c>
      <c r="Z157">
        <v>10</v>
      </c>
    </row>
    <row r="158" spans="1:26" x14ac:dyDescent="0.3">
      <c r="A158">
        <v>156</v>
      </c>
      <c r="B158">
        <v>130</v>
      </c>
      <c r="C158" t="s">
        <v>26</v>
      </c>
      <c r="D158">
        <v>10.337999999999999</v>
      </c>
      <c r="E158">
        <v>9.67</v>
      </c>
      <c r="F158">
        <v>6.72</v>
      </c>
      <c r="G158">
        <v>134.43</v>
      </c>
      <c r="H158">
        <v>2.14</v>
      </c>
      <c r="I158">
        <v>3</v>
      </c>
      <c r="J158">
        <v>332.93</v>
      </c>
      <c r="K158">
        <v>59.19</v>
      </c>
      <c r="L158">
        <v>40</v>
      </c>
      <c r="M158">
        <v>1</v>
      </c>
      <c r="N158">
        <v>103.74</v>
      </c>
      <c r="O158">
        <v>41296.160000000003</v>
      </c>
      <c r="P158">
        <v>101.3</v>
      </c>
      <c r="Q158">
        <v>204.15</v>
      </c>
      <c r="R158">
        <v>22.77</v>
      </c>
      <c r="S158">
        <v>17.37</v>
      </c>
      <c r="T158">
        <v>610.62</v>
      </c>
      <c r="U158">
        <v>0.76</v>
      </c>
      <c r="V158">
        <v>0.76</v>
      </c>
      <c r="W158">
        <v>1.1399999999999999</v>
      </c>
      <c r="X158">
        <v>0.03</v>
      </c>
      <c r="Y158">
        <v>1</v>
      </c>
      <c r="Z158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Planilha27"/>
  <dimension ref="A1:Z63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75</v>
      </c>
      <c r="C2" t="s">
        <v>26</v>
      </c>
      <c r="D2">
        <v>7.984</v>
      </c>
      <c r="E2">
        <v>12.52</v>
      </c>
      <c r="F2">
        <v>8.11</v>
      </c>
      <c r="G2">
        <v>6.95</v>
      </c>
      <c r="H2">
        <v>0.12</v>
      </c>
      <c r="I2">
        <v>70</v>
      </c>
      <c r="J2">
        <v>150.44</v>
      </c>
      <c r="K2">
        <v>49.1</v>
      </c>
      <c r="L2">
        <v>1</v>
      </c>
      <c r="M2">
        <v>68</v>
      </c>
      <c r="N2">
        <v>25.34</v>
      </c>
      <c r="O2">
        <v>18787.759999999998</v>
      </c>
      <c r="P2">
        <v>95.81</v>
      </c>
      <c r="Q2">
        <v>204.18</v>
      </c>
      <c r="R2">
        <v>65.91</v>
      </c>
      <c r="S2">
        <v>17.37</v>
      </c>
      <c r="T2">
        <v>21848.44</v>
      </c>
      <c r="U2">
        <v>0.26</v>
      </c>
      <c r="V2">
        <v>0.63</v>
      </c>
      <c r="W2">
        <v>1.25</v>
      </c>
      <c r="X2">
        <v>1.42</v>
      </c>
      <c r="Y2">
        <v>1</v>
      </c>
      <c r="Z2">
        <v>10</v>
      </c>
    </row>
    <row r="3" spans="1:26" x14ac:dyDescent="0.3">
      <c r="A3">
        <v>1</v>
      </c>
      <c r="B3">
        <v>75</v>
      </c>
      <c r="C3" t="s">
        <v>26</v>
      </c>
      <c r="D3">
        <v>8.5403000000000002</v>
      </c>
      <c r="E3">
        <v>11.71</v>
      </c>
      <c r="F3">
        <v>7.78</v>
      </c>
      <c r="G3">
        <v>8.65</v>
      </c>
      <c r="H3">
        <v>0.15</v>
      </c>
      <c r="I3">
        <v>54</v>
      </c>
      <c r="J3">
        <v>150.78</v>
      </c>
      <c r="K3">
        <v>49.1</v>
      </c>
      <c r="L3">
        <v>1.25</v>
      </c>
      <c r="M3">
        <v>52</v>
      </c>
      <c r="N3">
        <v>25.44</v>
      </c>
      <c r="O3">
        <v>18830.650000000001</v>
      </c>
      <c r="P3">
        <v>91.69</v>
      </c>
      <c r="Q3">
        <v>204.19</v>
      </c>
      <c r="R3">
        <v>55.48</v>
      </c>
      <c r="S3">
        <v>17.37</v>
      </c>
      <c r="T3">
        <v>16711.79</v>
      </c>
      <c r="U3">
        <v>0.31</v>
      </c>
      <c r="V3">
        <v>0.66</v>
      </c>
      <c r="W3">
        <v>1.23</v>
      </c>
      <c r="X3">
        <v>1.0900000000000001</v>
      </c>
      <c r="Y3">
        <v>1</v>
      </c>
      <c r="Z3">
        <v>10</v>
      </c>
    </row>
    <row r="4" spans="1:26" x14ac:dyDescent="0.3">
      <c r="A4">
        <v>2</v>
      </c>
      <c r="B4">
        <v>75</v>
      </c>
      <c r="C4" t="s">
        <v>26</v>
      </c>
      <c r="D4">
        <v>8.9382999999999999</v>
      </c>
      <c r="E4">
        <v>11.19</v>
      </c>
      <c r="F4">
        <v>7.57</v>
      </c>
      <c r="G4">
        <v>10.32</v>
      </c>
      <c r="H4">
        <v>0.18</v>
      </c>
      <c r="I4">
        <v>44</v>
      </c>
      <c r="J4">
        <v>151.13</v>
      </c>
      <c r="K4">
        <v>49.1</v>
      </c>
      <c r="L4">
        <v>1.5</v>
      </c>
      <c r="M4">
        <v>42</v>
      </c>
      <c r="N4">
        <v>25.54</v>
      </c>
      <c r="O4">
        <v>18873.580000000002</v>
      </c>
      <c r="P4">
        <v>88.93</v>
      </c>
      <c r="Q4">
        <v>204.26</v>
      </c>
      <c r="R4">
        <v>49.05</v>
      </c>
      <c r="S4">
        <v>17.37</v>
      </c>
      <c r="T4">
        <v>13548</v>
      </c>
      <c r="U4">
        <v>0.35</v>
      </c>
      <c r="V4">
        <v>0.68</v>
      </c>
      <c r="W4">
        <v>1.21</v>
      </c>
      <c r="X4">
        <v>0.87</v>
      </c>
      <c r="Y4">
        <v>1</v>
      </c>
      <c r="Z4">
        <v>10</v>
      </c>
    </row>
    <row r="5" spans="1:26" x14ac:dyDescent="0.3">
      <c r="A5">
        <v>3</v>
      </c>
      <c r="B5">
        <v>75</v>
      </c>
      <c r="C5" t="s">
        <v>26</v>
      </c>
      <c r="D5">
        <v>9.2445000000000004</v>
      </c>
      <c r="E5">
        <v>10.82</v>
      </c>
      <c r="F5">
        <v>7.41</v>
      </c>
      <c r="G5">
        <v>12.02</v>
      </c>
      <c r="H5">
        <v>0.2</v>
      </c>
      <c r="I5">
        <v>37</v>
      </c>
      <c r="J5">
        <v>151.47999999999999</v>
      </c>
      <c r="K5">
        <v>49.1</v>
      </c>
      <c r="L5">
        <v>1.75</v>
      </c>
      <c r="M5">
        <v>35</v>
      </c>
      <c r="N5">
        <v>25.64</v>
      </c>
      <c r="O5">
        <v>18916.54</v>
      </c>
      <c r="P5">
        <v>86.85</v>
      </c>
      <c r="Q5">
        <v>204.17</v>
      </c>
      <c r="R5">
        <v>44.38</v>
      </c>
      <c r="S5">
        <v>17.37</v>
      </c>
      <c r="T5">
        <v>11248.04</v>
      </c>
      <c r="U5">
        <v>0.39</v>
      </c>
      <c r="V5">
        <v>0.69</v>
      </c>
      <c r="W5">
        <v>1.19</v>
      </c>
      <c r="X5">
        <v>0.72</v>
      </c>
      <c r="Y5">
        <v>1</v>
      </c>
      <c r="Z5">
        <v>10</v>
      </c>
    </row>
    <row r="6" spans="1:26" x14ac:dyDescent="0.3">
      <c r="A6">
        <v>4</v>
      </c>
      <c r="B6">
        <v>75</v>
      </c>
      <c r="C6" t="s">
        <v>26</v>
      </c>
      <c r="D6">
        <v>9.4567999999999994</v>
      </c>
      <c r="E6">
        <v>10.57</v>
      </c>
      <c r="F6">
        <v>7.32</v>
      </c>
      <c r="G6">
        <v>13.73</v>
      </c>
      <c r="H6">
        <v>0.23</v>
      </c>
      <c r="I6">
        <v>32</v>
      </c>
      <c r="J6">
        <v>151.83000000000001</v>
      </c>
      <c r="K6">
        <v>49.1</v>
      </c>
      <c r="L6">
        <v>2</v>
      </c>
      <c r="M6">
        <v>30</v>
      </c>
      <c r="N6">
        <v>25.73</v>
      </c>
      <c r="O6">
        <v>18959.54</v>
      </c>
      <c r="P6">
        <v>85.56</v>
      </c>
      <c r="Q6">
        <v>204.22</v>
      </c>
      <c r="R6">
        <v>41.35</v>
      </c>
      <c r="S6">
        <v>17.37</v>
      </c>
      <c r="T6">
        <v>9756.07</v>
      </c>
      <c r="U6">
        <v>0.42</v>
      </c>
      <c r="V6">
        <v>0.7</v>
      </c>
      <c r="W6">
        <v>1.19</v>
      </c>
      <c r="X6">
        <v>0.63</v>
      </c>
      <c r="Y6">
        <v>1</v>
      </c>
      <c r="Z6">
        <v>10</v>
      </c>
    </row>
    <row r="7" spans="1:26" x14ac:dyDescent="0.3">
      <c r="A7">
        <v>5</v>
      </c>
      <c r="B7">
        <v>75</v>
      </c>
      <c r="C7" t="s">
        <v>26</v>
      </c>
      <c r="D7">
        <v>9.6501999999999999</v>
      </c>
      <c r="E7">
        <v>10.36</v>
      </c>
      <c r="F7">
        <v>7.23</v>
      </c>
      <c r="G7">
        <v>15.49</v>
      </c>
      <c r="H7">
        <v>0.26</v>
      </c>
      <c r="I7">
        <v>28</v>
      </c>
      <c r="J7">
        <v>152.18</v>
      </c>
      <c r="K7">
        <v>49.1</v>
      </c>
      <c r="L7">
        <v>2.25</v>
      </c>
      <c r="M7">
        <v>26</v>
      </c>
      <c r="N7">
        <v>25.83</v>
      </c>
      <c r="O7">
        <v>19002.560000000001</v>
      </c>
      <c r="P7">
        <v>84.25</v>
      </c>
      <c r="Q7">
        <v>204.14</v>
      </c>
      <c r="R7">
        <v>38.67</v>
      </c>
      <c r="S7">
        <v>17.37</v>
      </c>
      <c r="T7">
        <v>8436.73</v>
      </c>
      <c r="U7">
        <v>0.45</v>
      </c>
      <c r="V7">
        <v>0.71</v>
      </c>
      <c r="W7">
        <v>1.18</v>
      </c>
      <c r="X7">
        <v>0.54</v>
      </c>
      <c r="Y7">
        <v>1</v>
      </c>
      <c r="Z7">
        <v>10</v>
      </c>
    </row>
    <row r="8" spans="1:26" x14ac:dyDescent="0.3">
      <c r="A8">
        <v>6</v>
      </c>
      <c r="B8">
        <v>75</v>
      </c>
      <c r="C8" t="s">
        <v>26</v>
      </c>
      <c r="D8">
        <v>9.7873999999999999</v>
      </c>
      <c r="E8">
        <v>10.220000000000001</v>
      </c>
      <c r="F8">
        <v>7.18</v>
      </c>
      <c r="G8">
        <v>17.22</v>
      </c>
      <c r="H8">
        <v>0.28999999999999998</v>
      </c>
      <c r="I8">
        <v>25</v>
      </c>
      <c r="J8">
        <v>152.53</v>
      </c>
      <c r="K8">
        <v>49.1</v>
      </c>
      <c r="L8">
        <v>2.5</v>
      </c>
      <c r="M8">
        <v>23</v>
      </c>
      <c r="N8">
        <v>25.93</v>
      </c>
      <c r="O8">
        <v>19045.63</v>
      </c>
      <c r="P8">
        <v>83.43</v>
      </c>
      <c r="Q8">
        <v>204.22</v>
      </c>
      <c r="R8">
        <v>36.880000000000003</v>
      </c>
      <c r="S8">
        <v>17.37</v>
      </c>
      <c r="T8">
        <v>7558.1</v>
      </c>
      <c r="U8">
        <v>0.47</v>
      </c>
      <c r="V8">
        <v>0.71</v>
      </c>
      <c r="W8">
        <v>1.18</v>
      </c>
      <c r="X8">
        <v>0.48</v>
      </c>
      <c r="Y8">
        <v>1</v>
      </c>
      <c r="Z8">
        <v>10</v>
      </c>
    </row>
    <row r="9" spans="1:26" x14ac:dyDescent="0.3">
      <c r="A9">
        <v>7</v>
      </c>
      <c r="B9">
        <v>75</v>
      </c>
      <c r="C9" t="s">
        <v>26</v>
      </c>
      <c r="D9">
        <v>9.8825000000000003</v>
      </c>
      <c r="E9">
        <v>10.119999999999999</v>
      </c>
      <c r="F9">
        <v>7.14</v>
      </c>
      <c r="G9">
        <v>18.63</v>
      </c>
      <c r="H9">
        <v>0.32</v>
      </c>
      <c r="I9">
        <v>23</v>
      </c>
      <c r="J9">
        <v>152.88</v>
      </c>
      <c r="K9">
        <v>49.1</v>
      </c>
      <c r="L9">
        <v>2.75</v>
      </c>
      <c r="M9">
        <v>21</v>
      </c>
      <c r="N9">
        <v>26.03</v>
      </c>
      <c r="O9">
        <v>19088.72</v>
      </c>
      <c r="P9">
        <v>82.86</v>
      </c>
      <c r="Q9">
        <v>204.14</v>
      </c>
      <c r="R9">
        <v>35.659999999999997</v>
      </c>
      <c r="S9">
        <v>17.37</v>
      </c>
      <c r="T9">
        <v>6956.19</v>
      </c>
      <c r="U9">
        <v>0.49</v>
      </c>
      <c r="V9">
        <v>0.72</v>
      </c>
      <c r="W9">
        <v>1.18</v>
      </c>
      <c r="X9">
        <v>0.45</v>
      </c>
      <c r="Y9">
        <v>1</v>
      </c>
      <c r="Z9">
        <v>10</v>
      </c>
    </row>
    <row r="10" spans="1:26" x14ac:dyDescent="0.3">
      <c r="A10">
        <v>8</v>
      </c>
      <c r="B10">
        <v>75</v>
      </c>
      <c r="C10" t="s">
        <v>26</v>
      </c>
      <c r="D10">
        <v>9.9871999999999996</v>
      </c>
      <c r="E10">
        <v>10.01</v>
      </c>
      <c r="F10">
        <v>7.09</v>
      </c>
      <c r="G10">
        <v>20.27</v>
      </c>
      <c r="H10">
        <v>0.35</v>
      </c>
      <c r="I10">
        <v>21</v>
      </c>
      <c r="J10">
        <v>153.22999999999999</v>
      </c>
      <c r="K10">
        <v>49.1</v>
      </c>
      <c r="L10">
        <v>3</v>
      </c>
      <c r="M10">
        <v>19</v>
      </c>
      <c r="N10">
        <v>26.13</v>
      </c>
      <c r="O10">
        <v>19131.849999999999</v>
      </c>
      <c r="P10">
        <v>82.03</v>
      </c>
      <c r="Q10">
        <v>204.15</v>
      </c>
      <c r="R10">
        <v>34.32</v>
      </c>
      <c r="S10">
        <v>17.37</v>
      </c>
      <c r="T10">
        <v>6298.23</v>
      </c>
      <c r="U10">
        <v>0.51</v>
      </c>
      <c r="V10">
        <v>0.72</v>
      </c>
      <c r="W10">
        <v>1.17</v>
      </c>
      <c r="X10">
        <v>0.4</v>
      </c>
      <c r="Y10">
        <v>1</v>
      </c>
      <c r="Z10">
        <v>10</v>
      </c>
    </row>
    <row r="11" spans="1:26" x14ac:dyDescent="0.3">
      <c r="A11">
        <v>9</v>
      </c>
      <c r="B11">
        <v>75</v>
      </c>
      <c r="C11" t="s">
        <v>26</v>
      </c>
      <c r="D11">
        <v>10.091100000000001</v>
      </c>
      <c r="E11">
        <v>9.91</v>
      </c>
      <c r="F11">
        <v>7.05</v>
      </c>
      <c r="G11">
        <v>22.27</v>
      </c>
      <c r="H11">
        <v>0.37</v>
      </c>
      <c r="I11">
        <v>19</v>
      </c>
      <c r="J11">
        <v>153.58000000000001</v>
      </c>
      <c r="K11">
        <v>49.1</v>
      </c>
      <c r="L11">
        <v>3.25</v>
      </c>
      <c r="M11">
        <v>17</v>
      </c>
      <c r="N11">
        <v>26.23</v>
      </c>
      <c r="O11">
        <v>19175.02</v>
      </c>
      <c r="P11">
        <v>81.260000000000005</v>
      </c>
      <c r="Q11">
        <v>204.16</v>
      </c>
      <c r="R11">
        <v>32.93</v>
      </c>
      <c r="S11">
        <v>17.37</v>
      </c>
      <c r="T11">
        <v>5614.25</v>
      </c>
      <c r="U11">
        <v>0.53</v>
      </c>
      <c r="V11">
        <v>0.72</v>
      </c>
      <c r="W11">
        <v>1.17</v>
      </c>
      <c r="X11">
        <v>0.36</v>
      </c>
      <c r="Y11">
        <v>1</v>
      </c>
      <c r="Z11">
        <v>10</v>
      </c>
    </row>
    <row r="12" spans="1:26" x14ac:dyDescent="0.3">
      <c r="A12">
        <v>10</v>
      </c>
      <c r="B12">
        <v>75</v>
      </c>
      <c r="C12" t="s">
        <v>26</v>
      </c>
      <c r="D12">
        <v>10.156599999999999</v>
      </c>
      <c r="E12">
        <v>9.85</v>
      </c>
      <c r="F12">
        <v>7.02</v>
      </c>
      <c r="G12">
        <v>23.4</v>
      </c>
      <c r="H12">
        <v>0.4</v>
      </c>
      <c r="I12">
        <v>18</v>
      </c>
      <c r="J12">
        <v>153.93</v>
      </c>
      <c r="K12">
        <v>49.1</v>
      </c>
      <c r="L12">
        <v>3.5</v>
      </c>
      <c r="M12">
        <v>16</v>
      </c>
      <c r="N12">
        <v>26.33</v>
      </c>
      <c r="O12">
        <v>19218.22</v>
      </c>
      <c r="P12">
        <v>80.75</v>
      </c>
      <c r="Q12">
        <v>204.15</v>
      </c>
      <c r="R12">
        <v>32.06</v>
      </c>
      <c r="S12">
        <v>17.37</v>
      </c>
      <c r="T12">
        <v>5182.12</v>
      </c>
      <c r="U12">
        <v>0.54</v>
      </c>
      <c r="V12">
        <v>0.73</v>
      </c>
      <c r="W12">
        <v>1.1599999999999999</v>
      </c>
      <c r="X12">
        <v>0.33</v>
      </c>
      <c r="Y12">
        <v>1</v>
      </c>
      <c r="Z12">
        <v>10</v>
      </c>
    </row>
    <row r="13" spans="1:26" x14ac:dyDescent="0.3">
      <c r="A13">
        <v>11</v>
      </c>
      <c r="B13">
        <v>75</v>
      </c>
      <c r="C13" t="s">
        <v>26</v>
      </c>
      <c r="D13">
        <v>10.1853</v>
      </c>
      <c r="E13">
        <v>9.82</v>
      </c>
      <c r="F13">
        <v>7.02</v>
      </c>
      <c r="G13">
        <v>24.78</v>
      </c>
      <c r="H13">
        <v>0.43</v>
      </c>
      <c r="I13">
        <v>17</v>
      </c>
      <c r="J13">
        <v>154.28</v>
      </c>
      <c r="K13">
        <v>49.1</v>
      </c>
      <c r="L13">
        <v>3.75</v>
      </c>
      <c r="M13">
        <v>15</v>
      </c>
      <c r="N13">
        <v>26.43</v>
      </c>
      <c r="O13">
        <v>19261.45</v>
      </c>
      <c r="P13">
        <v>80.680000000000007</v>
      </c>
      <c r="Q13">
        <v>204.21</v>
      </c>
      <c r="R13">
        <v>32</v>
      </c>
      <c r="S13">
        <v>17.37</v>
      </c>
      <c r="T13">
        <v>5156.3500000000004</v>
      </c>
      <c r="U13">
        <v>0.54</v>
      </c>
      <c r="V13">
        <v>0.73</v>
      </c>
      <c r="W13">
        <v>1.17</v>
      </c>
      <c r="X13">
        <v>0.33</v>
      </c>
      <c r="Y13">
        <v>1</v>
      </c>
      <c r="Z13">
        <v>10</v>
      </c>
    </row>
    <row r="14" spans="1:26" x14ac:dyDescent="0.3">
      <c r="A14">
        <v>12</v>
      </c>
      <c r="B14">
        <v>75</v>
      </c>
      <c r="C14" t="s">
        <v>26</v>
      </c>
      <c r="D14">
        <v>10.2264</v>
      </c>
      <c r="E14">
        <v>9.7799999999999994</v>
      </c>
      <c r="F14">
        <v>7.01</v>
      </c>
      <c r="G14">
        <v>26.3</v>
      </c>
      <c r="H14">
        <v>0.46</v>
      </c>
      <c r="I14">
        <v>16</v>
      </c>
      <c r="J14">
        <v>154.63</v>
      </c>
      <c r="K14">
        <v>49.1</v>
      </c>
      <c r="L14">
        <v>4</v>
      </c>
      <c r="M14">
        <v>14</v>
      </c>
      <c r="N14">
        <v>26.53</v>
      </c>
      <c r="O14">
        <v>19304.72</v>
      </c>
      <c r="P14">
        <v>80.25</v>
      </c>
      <c r="Q14">
        <v>204.15</v>
      </c>
      <c r="R14">
        <v>31.8</v>
      </c>
      <c r="S14">
        <v>17.37</v>
      </c>
      <c r="T14">
        <v>5060.83</v>
      </c>
      <c r="U14">
        <v>0.55000000000000004</v>
      </c>
      <c r="V14">
        <v>0.73</v>
      </c>
      <c r="W14">
        <v>1.17</v>
      </c>
      <c r="X14">
        <v>0.32</v>
      </c>
      <c r="Y14">
        <v>1</v>
      </c>
      <c r="Z14">
        <v>10</v>
      </c>
    </row>
    <row r="15" spans="1:26" x14ac:dyDescent="0.3">
      <c r="A15">
        <v>13</v>
      </c>
      <c r="B15">
        <v>75</v>
      </c>
      <c r="C15" t="s">
        <v>26</v>
      </c>
      <c r="D15">
        <v>10.3178</v>
      </c>
      <c r="E15">
        <v>9.69</v>
      </c>
      <c r="F15">
        <v>6.96</v>
      </c>
      <c r="G15">
        <v>27.83</v>
      </c>
      <c r="H15">
        <v>0.49</v>
      </c>
      <c r="I15">
        <v>15</v>
      </c>
      <c r="J15">
        <v>154.97999999999999</v>
      </c>
      <c r="K15">
        <v>49.1</v>
      </c>
      <c r="L15">
        <v>4.25</v>
      </c>
      <c r="M15">
        <v>13</v>
      </c>
      <c r="N15">
        <v>26.63</v>
      </c>
      <c r="O15">
        <v>19348.03</v>
      </c>
      <c r="P15">
        <v>79.34</v>
      </c>
      <c r="Q15">
        <v>204.16</v>
      </c>
      <c r="R15">
        <v>30.23</v>
      </c>
      <c r="S15">
        <v>17.37</v>
      </c>
      <c r="T15">
        <v>4282.17</v>
      </c>
      <c r="U15">
        <v>0.56999999999999995</v>
      </c>
      <c r="V15">
        <v>0.73</v>
      </c>
      <c r="W15">
        <v>1.1599999999999999</v>
      </c>
      <c r="X15">
        <v>0.27</v>
      </c>
      <c r="Y15">
        <v>1</v>
      </c>
      <c r="Z15">
        <v>10</v>
      </c>
    </row>
    <row r="16" spans="1:26" x14ac:dyDescent="0.3">
      <c r="A16">
        <v>14</v>
      </c>
      <c r="B16">
        <v>75</v>
      </c>
      <c r="C16" t="s">
        <v>26</v>
      </c>
      <c r="D16">
        <v>10.3567</v>
      </c>
      <c r="E16">
        <v>9.66</v>
      </c>
      <c r="F16">
        <v>6.95</v>
      </c>
      <c r="G16">
        <v>29.79</v>
      </c>
      <c r="H16">
        <v>0.51</v>
      </c>
      <c r="I16">
        <v>14</v>
      </c>
      <c r="J16">
        <v>155.33000000000001</v>
      </c>
      <c r="K16">
        <v>49.1</v>
      </c>
      <c r="L16">
        <v>4.5</v>
      </c>
      <c r="M16">
        <v>12</v>
      </c>
      <c r="N16">
        <v>26.74</v>
      </c>
      <c r="O16">
        <v>19391.36</v>
      </c>
      <c r="P16">
        <v>79.150000000000006</v>
      </c>
      <c r="Q16">
        <v>204.18</v>
      </c>
      <c r="R16">
        <v>29.77</v>
      </c>
      <c r="S16">
        <v>17.37</v>
      </c>
      <c r="T16">
        <v>4056.16</v>
      </c>
      <c r="U16">
        <v>0.57999999999999996</v>
      </c>
      <c r="V16">
        <v>0.73</v>
      </c>
      <c r="W16">
        <v>1.1599999999999999</v>
      </c>
      <c r="X16">
        <v>0.26</v>
      </c>
      <c r="Y16">
        <v>1</v>
      </c>
      <c r="Z16">
        <v>10</v>
      </c>
    </row>
    <row r="17" spans="1:26" x14ac:dyDescent="0.3">
      <c r="A17">
        <v>15</v>
      </c>
      <c r="B17">
        <v>75</v>
      </c>
      <c r="C17" t="s">
        <v>26</v>
      </c>
      <c r="D17">
        <v>10.413399999999999</v>
      </c>
      <c r="E17">
        <v>9.6</v>
      </c>
      <c r="F17">
        <v>6.93</v>
      </c>
      <c r="G17">
        <v>31.98</v>
      </c>
      <c r="H17">
        <v>0.54</v>
      </c>
      <c r="I17">
        <v>13</v>
      </c>
      <c r="J17">
        <v>155.68</v>
      </c>
      <c r="K17">
        <v>49.1</v>
      </c>
      <c r="L17">
        <v>4.75</v>
      </c>
      <c r="M17">
        <v>11</v>
      </c>
      <c r="N17">
        <v>26.84</v>
      </c>
      <c r="O17">
        <v>19434.740000000002</v>
      </c>
      <c r="P17">
        <v>78.61</v>
      </c>
      <c r="Q17">
        <v>204.16</v>
      </c>
      <c r="R17">
        <v>29.35</v>
      </c>
      <c r="S17">
        <v>17.37</v>
      </c>
      <c r="T17">
        <v>3851.36</v>
      </c>
      <c r="U17">
        <v>0.59</v>
      </c>
      <c r="V17">
        <v>0.74</v>
      </c>
      <c r="W17">
        <v>1.1499999999999999</v>
      </c>
      <c r="X17">
        <v>0.24</v>
      </c>
      <c r="Y17">
        <v>1</v>
      </c>
      <c r="Z17">
        <v>10</v>
      </c>
    </row>
    <row r="18" spans="1:26" x14ac:dyDescent="0.3">
      <c r="A18">
        <v>16</v>
      </c>
      <c r="B18">
        <v>75</v>
      </c>
      <c r="C18" t="s">
        <v>26</v>
      </c>
      <c r="D18">
        <v>10.4085</v>
      </c>
      <c r="E18">
        <v>9.61</v>
      </c>
      <c r="F18">
        <v>6.93</v>
      </c>
      <c r="G18">
        <v>32</v>
      </c>
      <c r="H18">
        <v>0.56999999999999995</v>
      </c>
      <c r="I18">
        <v>13</v>
      </c>
      <c r="J18">
        <v>156.03</v>
      </c>
      <c r="K18">
        <v>49.1</v>
      </c>
      <c r="L18">
        <v>5</v>
      </c>
      <c r="M18">
        <v>11</v>
      </c>
      <c r="N18">
        <v>26.94</v>
      </c>
      <c r="O18">
        <v>19478.150000000001</v>
      </c>
      <c r="P18">
        <v>78.41</v>
      </c>
      <c r="Q18">
        <v>204.16</v>
      </c>
      <c r="R18">
        <v>29.43</v>
      </c>
      <c r="S18">
        <v>17.37</v>
      </c>
      <c r="T18">
        <v>3891.39</v>
      </c>
      <c r="U18">
        <v>0.59</v>
      </c>
      <c r="V18">
        <v>0.74</v>
      </c>
      <c r="W18">
        <v>1.1599999999999999</v>
      </c>
      <c r="X18">
        <v>0.24</v>
      </c>
      <c r="Y18">
        <v>1</v>
      </c>
      <c r="Z18">
        <v>10</v>
      </c>
    </row>
    <row r="19" spans="1:26" x14ac:dyDescent="0.3">
      <c r="A19">
        <v>17</v>
      </c>
      <c r="B19">
        <v>75</v>
      </c>
      <c r="C19" t="s">
        <v>26</v>
      </c>
      <c r="D19">
        <v>10.470599999999999</v>
      </c>
      <c r="E19">
        <v>9.5500000000000007</v>
      </c>
      <c r="F19">
        <v>6.91</v>
      </c>
      <c r="G19">
        <v>34.54</v>
      </c>
      <c r="H19">
        <v>0.59</v>
      </c>
      <c r="I19">
        <v>12</v>
      </c>
      <c r="J19">
        <v>156.38999999999999</v>
      </c>
      <c r="K19">
        <v>49.1</v>
      </c>
      <c r="L19">
        <v>5.25</v>
      </c>
      <c r="M19">
        <v>10</v>
      </c>
      <c r="N19">
        <v>27.04</v>
      </c>
      <c r="O19">
        <v>19521.59</v>
      </c>
      <c r="P19">
        <v>78.03</v>
      </c>
      <c r="Q19">
        <v>204.14</v>
      </c>
      <c r="R19">
        <v>28.63</v>
      </c>
      <c r="S19">
        <v>17.37</v>
      </c>
      <c r="T19">
        <v>3495.35</v>
      </c>
      <c r="U19">
        <v>0.61</v>
      </c>
      <c r="V19">
        <v>0.74</v>
      </c>
      <c r="W19">
        <v>1.1499999999999999</v>
      </c>
      <c r="X19">
        <v>0.22</v>
      </c>
      <c r="Y19">
        <v>1</v>
      </c>
      <c r="Z19">
        <v>10</v>
      </c>
    </row>
    <row r="20" spans="1:26" x14ac:dyDescent="0.3">
      <c r="A20">
        <v>18</v>
      </c>
      <c r="B20">
        <v>75</v>
      </c>
      <c r="C20" t="s">
        <v>26</v>
      </c>
      <c r="D20">
        <v>10.47</v>
      </c>
      <c r="E20">
        <v>9.5500000000000007</v>
      </c>
      <c r="F20">
        <v>6.91</v>
      </c>
      <c r="G20">
        <v>34.54</v>
      </c>
      <c r="H20">
        <v>0.62</v>
      </c>
      <c r="I20">
        <v>12</v>
      </c>
      <c r="J20">
        <v>156.74</v>
      </c>
      <c r="K20">
        <v>49.1</v>
      </c>
      <c r="L20">
        <v>5.5</v>
      </c>
      <c r="M20">
        <v>10</v>
      </c>
      <c r="N20">
        <v>27.14</v>
      </c>
      <c r="O20">
        <v>19565.07</v>
      </c>
      <c r="P20">
        <v>77.59</v>
      </c>
      <c r="Q20">
        <v>204.14</v>
      </c>
      <c r="R20">
        <v>28.58</v>
      </c>
      <c r="S20">
        <v>17.37</v>
      </c>
      <c r="T20">
        <v>3470.93</v>
      </c>
      <c r="U20">
        <v>0.61</v>
      </c>
      <c r="V20">
        <v>0.74</v>
      </c>
      <c r="W20">
        <v>1.1599999999999999</v>
      </c>
      <c r="X20">
        <v>0.22</v>
      </c>
      <c r="Y20">
        <v>1</v>
      </c>
      <c r="Z20">
        <v>10</v>
      </c>
    </row>
    <row r="21" spans="1:26" x14ac:dyDescent="0.3">
      <c r="A21">
        <v>19</v>
      </c>
      <c r="B21">
        <v>75</v>
      </c>
      <c r="C21" t="s">
        <v>26</v>
      </c>
      <c r="D21">
        <v>10.5334</v>
      </c>
      <c r="E21">
        <v>9.49</v>
      </c>
      <c r="F21">
        <v>6.88</v>
      </c>
      <c r="G21">
        <v>37.53</v>
      </c>
      <c r="H21">
        <v>0.65</v>
      </c>
      <c r="I21">
        <v>11</v>
      </c>
      <c r="J21">
        <v>157.09</v>
      </c>
      <c r="K21">
        <v>49.1</v>
      </c>
      <c r="L21">
        <v>5.75</v>
      </c>
      <c r="M21">
        <v>9</v>
      </c>
      <c r="N21">
        <v>27.25</v>
      </c>
      <c r="O21">
        <v>19608.580000000002</v>
      </c>
      <c r="P21">
        <v>77.17</v>
      </c>
      <c r="Q21">
        <v>204.14</v>
      </c>
      <c r="R21">
        <v>27.65</v>
      </c>
      <c r="S21">
        <v>17.37</v>
      </c>
      <c r="T21">
        <v>3010.85</v>
      </c>
      <c r="U21">
        <v>0.63</v>
      </c>
      <c r="V21">
        <v>0.74</v>
      </c>
      <c r="W21">
        <v>1.1599999999999999</v>
      </c>
      <c r="X21">
        <v>0.19</v>
      </c>
      <c r="Y21">
        <v>1</v>
      </c>
      <c r="Z21">
        <v>10</v>
      </c>
    </row>
    <row r="22" spans="1:26" x14ac:dyDescent="0.3">
      <c r="A22">
        <v>20</v>
      </c>
      <c r="B22">
        <v>75</v>
      </c>
      <c r="C22" t="s">
        <v>26</v>
      </c>
      <c r="D22">
        <v>10.522</v>
      </c>
      <c r="E22">
        <v>9.5</v>
      </c>
      <c r="F22">
        <v>6.89</v>
      </c>
      <c r="G22">
        <v>37.590000000000003</v>
      </c>
      <c r="H22">
        <v>0.67</v>
      </c>
      <c r="I22">
        <v>11</v>
      </c>
      <c r="J22">
        <v>157.44</v>
      </c>
      <c r="K22">
        <v>49.1</v>
      </c>
      <c r="L22">
        <v>6</v>
      </c>
      <c r="M22">
        <v>9</v>
      </c>
      <c r="N22">
        <v>27.35</v>
      </c>
      <c r="O22">
        <v>19652.13</v>
      </c>
      <c r="P22">
        <v>76.91</v>
      </c>
      <c r="Q22">
        <v>204.15</v>
      </c>
      <c r="R22">
        <v>27.94</v>
      </c>
      <c r="S22">
        <v>17.37</v>
      </c>
      <c r="T22">
        <v>3155.06</v>
      </c>
      <c r="U22">
        <v>0.62</v>
      </c>
      <c r="V22">
        <v>0.74</v>
      </c>
      <c r="W22">
        <v>1.1599999999999999</v>
      </c>
      <c r="X22">
        <v>0.2</v>
      </c>
      <c r="Y22">
        <v>1</v>
      </c>
      <c r="Z22">
        <v>10</v>
      </c>
    </row>
    <row r="23" spans="1:26" x14ac:dyDescent="0.3">
      <c r="A23">
        <v>21</v>
      </c>
      <c r="B23">
        <v>75</v>
      </c>
      <c r="C23" t="s">
        <v>26</v>
      </c>
      <c r="D23">
        <v>10.5814</v>
      </c>
      <c r="E23">
        <v>9.4499999999999993</v>
      </c>
      <c r="F23">
        <v>6.87</v>
      </c>
      <c r="G23">
        <v>41.21</v>
      </c>
      <c r="H23">
        <v>0.7</v>
      </c>
      <c r="I23">
        <v>10</v>
      </c>
      <c r="J23">
        <v>157.80000000000001</v>
      </c>
      <c r="K23">
        <v>49.1</v>
      </c>
      <c r="L23">
        <v>6.25</v>
      </c>
      <c r="M23">
        <v>8</v>
      </c>
      <c r="N23">
        <v>27.45</v>
      </c>
      <c r="O23">
        <v>19695.71</v>
      </c>
      <c r="P23">
        <v>76.33</v>
      </c>
      <c r="Q23">
        <v>204.18</v>
      </c>
      <c r="R23">
        <v>27.39</v>
      </c>
      <c r="S23">
        <v>17.37</v>
      </c>
      <c r="T23">
        <v>2888.12</v>
      </c>
      <c r="U23">
        <v>0.63</v>
      </c>
      <c r="V23">
        <v>0.74</v>
      </c>
      <c r="W23">
        <v>1.1499999999999999</v>
      </c>
      <c r="X23">
        <v>0.18</v>
      </c>
      <c r="Y23">
        <v>1</v>
      </c>
      <c r="Z23">
        <v>10</v>
      </c>
    </row>
    <row r="24" spans="1:26" x14ac:dyDescent="0.3">
      <c r="A24">
        <v>22</v>
      </c>
      <c r="B24">
        <v>75</v>
      </c>
      <c r="C24" t="s">
        <v>26</v>
      </c>
      <c r="D24">
        <v>10.584199999999999</v>
      </c>
      <c r="E24">
        <v>9.4499999999999993</v>
      </c>
      <c r="F24">
        <v>6.87</v>
      </c>
      <c r="G24">
        <v>41.2</v>
      </c>
      <c r="H24">
        <v>0.73</v>
      </c>
      <c r="I24">
        <v>10</v>
      </c>
      <c r="J24">
        <v>158.15</v>
      </c>
      <c r="K24">
        <v>49.1</v>
      </c>
      <c r="L24">
        <v>6.5</v>
      </c>
      <c r="M24">
        <v>8</v>
      </c>
      <c r="N24">
        <v>27.56</v>
      </c>
      <c r="O24">
        <v>19739.330000000002</v>
      </c>
      <c r="P24">
        <v>76.319999999999993</v>
      </c>
      <c r="Q24">
        <v>204.14</v>
      </c>
      <c r="R24">
        <v>27.27</v>
      </c>
      <c r="S24">
        <v>17.37</v>
      </c>
      <c r="T24">
        <v>2827.12</v>
      </c>
      <c r="U24">
        <v>0.64</v>
      </c>
      <c r="V24">
        <v>0.74</v>
      </c>
      <c r="W24">
        <v>1.1499999999999999</v>
      </c>
      <c r="X24">
        <v>0.17</v>
      </c>
      <c r="Y24">
        <v>1</v>
      </c>
      <c r="Z24">
        <v>10</v>
      </c>
    </row>
    <row r="25" spans="1:26" x14ac:dyDescent="0.3">
      <c r="A25">
        <v>23</v>
      </c>
      <c r="B25">
        <v>75</v>
      </c>
      <c r="C25" t="s">
        <v>26</v>
      </c>
      <c r="D25">
        <v>10.648099999999999</v>
      </c>
      <c r="E25">
        <v>9.39</v>
      </c>
      <c r="F25">
        <v>6.84</v>
      </c>
      <c r="G25">
        <v>45.6</v>
      </c>
      <c r="H25">
        <v>0.75</v>
      </c>
      <c r="I25">
        <v>9</v>
      </c>
      <c r="J25">
        <v>158.51</v>
      </c>
      <c r="K25">
        <v>49.1</v>
      </c>
      <c r="L25">
        <v>6.75</v>
      </c>
      <c r="M25">
        <v>7</v>
      </c>
      <c r="N25">
        <v>27.66</v>
      </c>
      <c r="O25">
        <v>19782.990000000002</v>
      </c>
      <c r="P25">
        <v>75.44</v>
      </c>
      <c r="Q25">
        <v>204.15</v>
      </c>
      <c r="R25">
        <v>26.51</v>
      </c>
      <c r="S25">
        <v>17.37</v>
      </c>
      <c r="T25">
        <v>2451.61</v>
      </c>
      <c r="U25">
        <v>0.66</v>
      </c>
      <c r="V25">
        <v>0.75</v>
      </c>
      <c r="W25">
        <v>1.1499999999999999</v>
      </c>
      <c r="X25">
        <v>0.15</v>
      </c>
      <c r="Y25">
        <v>1</v>
      </c>
      <c r="Z25">
        <v>10</v>
      </c>
    </row>
    <row r="26" spans="1:26" x14ac:dyDescent="0.3">
      <c r="A26">
        <v>24</v>
      </c>
      <c r="B26">
        <v>75</v>
      </c>
      <c r="C26" t="s">
        <v>26</v>
      </c>
      <c r="D26">
        <v>10.624499999999999</v>
      </c>
      <c r="E26">
        <v>9.41</v>
      </c>
      <c r="F26">
        <v>6.86</v>
      </c>
      <c r="G26">
        <v>45.74</v>
      </c>
      <c r="H26">
        <v>0.78</v>
      </c>
      <c r="I26">
        <v>9</v>
      </c>
      <c r="J26">
        <v>158.86000000000001</v>
      </c>
      <c r="K26">
        <v>49.1</v>
      </c>
      <c r="L26">
        <v>7</v>
      </c>
      <c r="M26">
        <v>7</v>
      </c>
      <c r="N26">
        <v>27.77</v>
      </c>
      <c r="O26">
        <v>19826.68</v>
      </c>
      <c r="P26">
        <v>75.989999999999995</v>
      </c>
      <c r="Q26">
        <v>204.18</v>
      </c>
      <c r="R26">
        <v>27.15</v>
      </c>
      <c r="S26">
        <v>17.37</v>
      </c>
      <c r="T26">
        <v>2772.48</v>
      </c>
      <c r="U26">
        <v>0.64</v>
      </c>
      <c r="V26">
        <v>0.74</v>
      </c>
      <c r="W26">
        <v>1.1499999999999999</v>
      </c>
      <c r="X26">
        <v>0.17</v>
      </c>
      <c r="Y26">
        <v>1</v>
      </c>
      <c r="Z26">
        <v>10</v>
      </c>
    </row>
    <row r="27" spans="1:26" x14ac:dyDescent="0.3">
      <c r="A27">
        <v>25</v>
      </c>
      <c r="B27">
        <v>75</v>
      </c>
      <c r="C27" t="s">
        <v>26</v>
      </c>
      <c r="D27">
        <v>10.631399999999999</v>
      </c>
      <c r="E27">
        <v>9.41</v>
      </c>
      <c r="F27">
        <v>6.85</v>
      </c>
      <c r="G27">
        <v>45.7</v>
      </c>
      <c r="H27">
        <v>0.81</v>
      </c>
      <c r="I27">
        <v>9</v>
      </c>
      <c r="J27">
        <v>159.22</v>
      </c>
      <c r="K27">
        <v>49.1</v>
      </c>
      <c r="L27">
        <v>7.25</v>
      </c>
      <c r="M27">
        <v>7</v>
      </c>
      <c r="N27">
        <v>27.87</v>
      </c>
      <c r="O27">
        <v>19870.53</v>
      </c>
      <c r="P27">
        <v>75.709999999999994</v>
      </c>
      <c r="Q27">
        <v>204.14</v>
      </c>
      <c r="R27">
        <v>26.93</v>
      </c>
      <c r="S27">
        <v>17.37</v>
      </c>
      <c r="T27">
        <v>2664.75</v>
      </c>
      <c r="U27">
        <v>0.65</v>
      </c>
      <c r="V27">
        <v>0.74</v>
      </c>
      <c r="W27">
        <v>1.1499999999999999</v>
      </c>
      <c r="X27">
        <v>0.16</v>
      </c>
      <c r="Y27">
        <v>1</v>
      </c>
      <c r="Z27">
        <v>10</v>
      </c>
    </row>
    <row r="28" spans="1:26" x14ac:dyDescent="0.3">
      <c r="A28">
        <v>26</v>
      </c>
      <c r="B28">
        <v>75</v>
      </c>
      <c r="C28" t="s">
        <v>26</v>
      </c>
      <c r="D28">
        <v>10.6257</v>
      </c>
      <c r="E28">
        <v>9.41</v>
      </c>
      <c r="F28">
        <v>6.86</v>
      </c>
      <c r="G28">
        <v>45.73</v>
      </c>
      <c r="H28">
        <v>0.83</v>
      </c>
      <c r="I28">
        <v>9</v>
      </c>
      <c r="J28">
        <v>159.57</v>
      </c>
      <c r="K28">
        <v>49.1</v>
      </c>
      <c r="L28">
        <v>7.5</v>
      </c>
      <c r="M28">
        <v>7</v>
      </c>
      <c r="N28">
        <v>27.98</v>
      </c>
      <c r="O28">
        <v>19914.3</v>
      </c>
      <c r="P28">
        <v>75.319999999999993</v>
      </c>
      <c r="Q28">
        <v>204.15</v>
      </c>
      <c r="R28">
        <v>27.1</v>
      </c>
      <c r="S28">
        <v>17.37</v>
      </c>
      <c r="T28">
        <v>2746.04</v>
      </c>
      <c r="U28">
        <v>0.64</v>
      </c>
      <c r="V28">
        <v>0.74</v>
      </c>
      <c r="W28">
        <v>1.1499999999999999</v>
      </c>
      <c r="X28">
        <v>0.17</v>
      </c>
      <c r="Y28">
        <v>1</v>
      </c>
      <c r="Z28">
        <v>10</v>
      </c>
    </row>
    <row r="29" spans="1:26" x14ac:dyDescent="0.3">
      <c r="A29">
        <v>27</v>
      </c>
      <c r="B29">
        <v>75</v>
      </c>
      <c r="C29" t="s">
        <v>26</v>
      </c>
      <c r="D29">
        <v>10.7035</v>
      </c>
      <c r="E29">
        <v>9.34</v>
      </c>
      <c r="F29">
        <v>6.82</v>
      </c>
      <c r="G29">
        <v>51.16</v>
      </c>
      <c r="H29">
        <v>0.86</v>
      </c>
      <c r="I29">
        <v>8</v>
      </c>
      <c r="J29">
        <v>159.91999999999999</v>
      </c>
      <c r="K29">
        <v>49.1</v>
      </c>
      <c r="L29">
        <v>7.75</v>
      </c>
      <c r="M29">
        <v>6</v>
      </c>
      <c r="N29">
        <v>28.08</v>
      </c>
      <c r="O29">
        <v>19958.099999999999</v>
      </c>
      <c r="P29">
        <v>74.61</v>
      </c>
      <c r="Q29">
        <v>204.14</v>
      </c>
      <c r="R29">
        <v>25.97</v>
      </c>
      <c r="S29">
        <v>17.37</v>
      </c>
      <c r="T29">
        <v>2185.33</v>
      </c>
      <c r="U29">
        <v>0.67</v>
      </c>
      <c r="V29">
        <v>0.75</v>
      </c>
      <c r="W29">
        <v>1.1499999999999999</v>
      </c>
      <c r="X29">
        <v>0.13</v>
      </c>
      <c r="Y29">
        <v>1</v>
      </c>
      <c r="Z29">
        <v>10</v>
      </c>
    </row>
    <row r="30" spans="1:26" x14ac:dyDescent="0.3">
      <c r="A30">
        <v>28</v>
      </c>
      <c r="B30">
        <v>75</v>
      </c>
      <c r="C30" t="s">
        <v>26</v>
      </c>
      <c r="D30">
        <v>10.701499999999999</v>
      </c>
      <c r="E30">
        <v>9.34</v>
      </c>
      <c r="F30">
        <v>6.82</v>
      </c>
      <c r="G30">
        <v>51.18</v>
      </c>
      <c r="H30">
        <v>0.88</v>
      </c>
      <c r="I30">
        <v>8</v>
      </c>
      <c r="J30">
        <v>160.28</v>
      </c>
      <c r="K30">
        <v>49.1</v>
      </c>
      <c r="L30">
        <v>8</v>
      </c>
      <c r="M30">
        <v>6</v>
      </c>
      <c r="N30">
        <v>28.19</v>
      </c>
      <c r="O30">
        <v>20001.93</v>
      </c>
      <c r="P30">
        <v>74.31</v>
      </c>
      <c r="Q30">
        <v>204.19</v>
      </c>
      <c r="R30">
        <v>25.9</v>
      </c>
      <c r="S30">
        <v>17.37</v>
      </c>
      <c r="T30">
        <v>2151.9699999999998</v>
      </c>
      <c r="U30">
        <v>0.67</v>
      </c>
      <c r="V30">
        <v>0.75</v>
      </c>
      <c r="W30">
        <v>1.1499999999999999</v>
      </c>
      <c r="X30">
        <v>0.13</v>
      </c>
      <c r="Y30">
        <v>1</v>
      </c>
      <c r="Z30">
        <v>10</v>
      </c>
    </row>
    <row r="31" spans="1:26" x14ac:dyDescent="0.3">
      <c r="A31">
        <v>29</v>
      </c>
      <c r="B31">
        <v>75</v>
      </c>
      <c r="C31" t="s">
        <v>26</v>
      </c>
      <c r="D31">
        <v>10.6942</v>
      </c>
      <c r="E31">
        <v>9.35</v>
      </c>
      <c r="F31">
        <v>6.83</v>
      </c>
      <c r="G31">
        <v>51.23</v>
      </c>
      <c r="H31">
        <v>0.91</v>
      </c>
      <c r="I31">
        <v>8</v>
      </c>
      <c r="J31">
        <v>160.63999999999999</v>
      </c>
      <c r="K31">
        <v>49.1</v>
      </c>
      <c r="L31">
        <v>8.25</v>
      </c>
      <c r="M31">
        <v>6</v>
      </c>
      <c r="N31">
        <v>28.29</v>
      </c>
      <c r="O31">
        <v>20045.810000000001</v>
      </c>
      <c r="P31">
        <v>74.06</v>
      </c>
      <c r="Q31">
        <v>204.15</v>
      </c>
      <c r="R31">
        <v>26.12</v>
      </c>
      <c r="S31">
        <v>17.37</v>
      </c>
      <c r="T31">
        <v>2260.7800000000002</v>
      </c>
      <c r="U31">
        <v>0.67</v>
      </c>
      <c r="V31">
        <v>0.75</v>
      </c>
      <c r="W31">
        <v>1.1499999999999999</v>
      </c>
      <c r="X31">
        <v>0.14000000000000001</v>
      </c>
      <c r="Y31">
        <v>1</v>
      </c>
      <c r="Z31">
        <v>10</v>
      </c>
    </row>
    <row r="32" spans="1:26" x14ac:dyDescent="0.3">
      <c r="A32">
        <v>30</v>
      </c>
      <c r="B32">
        <v>75</v>
      </c>
      <c r="C32" t="s">
        <v>26</v>
      </c>
      <c r="D32">
        <v>10.694599999999999</v>
      </c>
      <c r="E32">
        <v>9.35</v>
      </c>
      <c r="F32">
        <v>6.83</v>
      </c>
      <c r="G32">
        <v>51.22</v>
      </c>
      <c r="H32">
        <v>0.94</v>
      </c>
      <c r="I32">
        <v>8</v>
      </c>
      <c r="J32">
        <v>160.99</v>
      </c>
      <c r="K32">
        <v>49.1</v>
      </c>
      <c r="L32">
        <v>8.5</v>
      </c>
      <c r="M32">
        <v>6</v>
      </c>
      <c r="N32">
        <v>28.4</v>
      </c>
      <c r="O32">
        <v>20089.72</v>
      </c>
      <c r="P32">
        <v>73.86</v>
      </c>
      <c r="Q32">
        <v>204.14</v>
      </c>
      <c r="R32">
        <v>26.12</v>
      </c>
      <c r="S32">
        <v>17.37</v>
      </c>
      <c r="T32">
        <v>2264.2199999999998</v>
      </c>
      <c r="U32">
        <v>0.67</v>
      </c>
      <c r="V32">
        <v>0.75</v>
      </c>
      <c r="W32">
        <v>1.1499999999999999</v>
      </c>
      <c r="X32">
        <v>0.14000000000000001</v>
      </c>
      <c r="Y32">
        <v>1</v>
      </c>
      <c r="Z32">
        <v>10</v>
      </c>
    </row>
    <row r="33" spans="1:26" x14ac:dyDescent="0.3">
      <c r="A33">
        <v>31</v>
      </c>
      <c r="B33">
        <v>75</v>
      </c>
      <c r="C33" t="s">
        <v>26</v>
      </c>
      <c r="D33">
        <v>10.7591</v>
      </c>
      <c r="E33">
        <v>9.2899999999999991</v>
      </c>
      <c r="F33">
        <v>6.8</v>
      </c>
      <c r="G33">
        <v>58.32</v>
      </c>
      <c r="H33">
        <v>0.96</v>
      </c>
      <c r="I33">
        <v>7</v>
      </c>
      <c r="J33">
        <v>161.35</v>
      </c>
      <c r="K33">
        <v>49.1</v>
      </c>
      <c r="L33">
        <v>8.75</v>
      </c>
      <c r="M33">
        <v>5</v>
      </c>
      <c r="N33">
        <v>28.5</v>
      </c>
      <c r="O33">
        <v>20133.66</v>
      </c>
      <c r="P33">
        <v>73.06</v>
      </c>
      <c r="Q33">
        <v>204.14</v>
      </c>
      <c r="R33">
        <v>25.29</v>
      </c>
      <c r="S33">
        <v>17.37</v>
      </c>
      <c r="T33">
        <v>1851.75</v>
      </c>
      <c r="U33">
        <v>0.69</v>
      </c>
      <c r="V33">
        <v>0.75</v>
      </c>
      <c r="W33">
        <v>1.1499999999999999</v>
      </c>
      <c r="X33">
        <v>0.11</v>
      </c>
      <c r="Y33">
        <v>1</v>
      </c>
      <c r="Z33">
        <v>10</v>
      </c>
    </row>
    <row r="34" spans="1:26" x14ac:dyDescent="0.3">
      <c r="A34">
        <v>32</v>
      </c>
      <c r="B34">
        <v>75</v>
      </c>
      <c r="C34" t="s">
        <v>26</v>
      </c>
      <c r="D34">
        <v>10.7514</v>
      </c>
      <c r="E34">
        <v>9.3000000000000007</v>
      </c>
      <c r="F34">
        <v>6.81</v>
      </c>
      <c r="G34">
        <v>58.38</v>
      </c>
      <c r="H34">
        <v>0.99</v>
      </c>
      <c r="I34">
        <v>7</v>
      </c>
      <c r="J34">
        <v>161.71</v>
      </c>
      <c r="K34">
        <v>49.1</v>
      </c>
      <c r="L34">
        <v>9</v>
      </c>
      <c r="M34">
        <v>5</v>
      </c>
      <c r="N34">
        <v>28.61</v>
      </c>
      <c r="O34">
        <v>20177.64</v>
      </c>
      <c r="P34">
        <v>73.37</v>
      </c>
      <c r="Q34">
        <v>204.2</v>
      </c>
      <c r="R34">
        <v>25.58</v>
      </c>
      <c r="S34">
        <v>17.37</v>
      </c>
      <c r="T34">
        <v>1997.19</v>
      </c>
      <c r="U34">
        <v>0.68</v>
      </c>
      <c r="V34">
        <v>0.75</v>
      </c>
      <c r="W34">
        <v>1.1499999999999999</v>
      </c>
      <c r="X34">
        <v>0.12</v>
      </c>
      <c r="Y34">
        <v>1</v>
      </c>
      <c r="Z34">
        <v>10</v>
      </c>
    </row>
    <row r="35" spans="1:26" x14ac:dyDescent="0.3">
      <c r="A35">
        <v>33</v>
      </c>
      <c r="B35">
        <v>75</v>
      </c>
      <c r="C35" t="s">
        <v>26</v>
      </c>
      <c r="D35">
        <v>10.754899999999999</v>
      </c>
      <c r="E35">
        <v>9.3000000000000007</v>
      </c>
      <c r="F35">
        <v>6.81</v>
      </c>
      <c r="G35">
        <v>58.35</v>
      </c>
      <c r="H35">
        <v>1.01</v>
      </c>
      <c r="I35">
        <v>7</v>
      </c>
      <c r="J35">
        <v>162.06</v>
      </c>
      <c r="K35">
        <v>49.1</v>
      </c>
      <c r="L35">
        <v>9.25</v>
      </c>
      <c r="M35">
        <v>5</v>
      </c>
      <c r="N35">
        <v>28.72</v>
      </c>
      <c r="O35">
        <v>20221.66</v>
      </c>
      <c r="P35">
        <v>73.400000000000006</v>
      </c>
      <c r="Q35">
        <v>204.14</v>
      </c>
      <c r="R35">
        <v>25.5</v>
      </c>
      <c r="S35">
        <v>17.37</v>
      </c>
      <c r="T35">
        <v>1957.77</v>
      </c>
      <c r="U35">
        <v>0.68</v>
      </c>
      <c r="V35">
        <v>0.75</v>
      </c>
      <c r="W35">
        <v>1.1499999999999999</v>
      </c>
      <c r="X35">
        <v>0.12</v>
      </c>
      <c r="Y35">
        <v>1</v>
      </c>
      <c r="Z35">
        <v>10</v>
      </c>
    </row>
    <row r="36" spans="1:26" x14ac:dyDescent="0.3">
      <c r="A36">
        <v>34</v>
      </c>
      <c r="B36">
        <v>75</v>
      </c>
      <c r="C36" t="s">
        <v>26</v>
      </c>
      <c r="D36">
        <v>10.755599999999999</v>
      </c>
      <c r="E36">
        <v>9.3000000000000007</v>
      </c>
      <c r="F36">
        <v>6.81</v>
      </c>
      <c r="G36">
        <v>58.35</v>
      </c>
      <c r="H36">
        <v>1.04</v>
      </c>
      <c r="I36">
        <v>7</v>
      </c>
      <c r="J36">
        <v>162.41999999999999</v>
      </c>
      <c r="K36">
        <v>49.1</v>
      </c>
      <c r="L36">
        <v>9.5</v>
      </c>
      <c r="M36">
        <v>5</v>
      </c>
      <c r="N36">
        <v>28.82</v>
      </c>
      <c r="O36">
        <v>20265.72</v>
      </c>
      <c r="P36">
        <v>73.2</v>
      </c>
      <c r="Q36">
        <v>204.14</v>
      </c>
      <c r="R36">
        <v>25.52</v>
      </c>
      <c r="S36">
        <v>17.37</v>
      </c>
      <c r="T36">
        <v>1966</v>
      </c>
      <c r="U36">
        <v>0.68</v>
      </c>
      <c r="V36">
        <v>0.75</v>
      </c>
      <c r="W36">
        <v>1.1499999999999999</v>
      </c>
      <c r="X36">
        <v>0.12</v>
      </c>
      <c r="Y36">
        <v>1</v>
      </c>
      <c r="Z36">
        <v>10</v>
      </c>
    </row>
    <row r="37" spans="1:26" x14ac:dyDescent="0.3">
      <c r="A37">
        <v>35</v>
      </c>
      <c r="B37">
        <v>75</v>
      </c>
      <c r="C37" t="s">
        <v>26</v>
      </c>
      <c r="D37">
        <v>10.7524</v>
      </c>
      <c r="E37">
        <v>9.3000000000000007</v>
      </c>
      <c r="F37">
        <v>6.81</v>
      </c>
      <c r="G37">
        <v>58.37</v>
      </c>
      <c r="H37">
        <v>1.06</v>
      </c>
      <c r="I37">
        <v>7</v>
      </c>
      <c r="J37">
        <v>162.78</v>
      </c>
      <c r="K37">
        <v>49.1</v>
      </c>
      <c r="L37">
        <v>9.75</v>
      </c>
      <c r="M37">
        <v>5</v>
      </c>
      <c r="N37">
        <v>28.93</v>
      </c>
      <c r="O37">
        <v>20309.810000000001</v>
      </c>
      <c r="P37">
        <v>72.77</v>
      </c>
      <c r="Q37">
        <v>204.14</v>
      </c>
      <c r="R37">
        <v>25.58</v>
      </c>
      <c r="S37">
        <v>17.37</v>
      </c>
      <c r="T37">
        <v>1997.77</v>
      </c>
      <c r="U37">
        <v>0.68</v>
      </c>
      <c r="V37">
        <v>0.75</v>
      </c>
      <c r="W37">
        <v>1.1499999999999999</v>
      </c>
      <c r="X37">
        <v>0.12</v>
      </c>
      <c r="Y37">
        <v>1</v>
      </c>
      <c r="Z37">
        <v>10</v>
      </c>
    </row>
    <row r="38" spans="1:26" x14ac:dyDescent="0.3">
      <c r="A38">
        <v>36</v>
      </c>
      <c r="B38">
        <v>75</v>
      </c>
      <c r="C38" t="s">
        <v>26</v>
      </c>
      <c r="D38">
        <v>10.7424</v>
      </c>
      <c r="E38">
        <v>9.31</v>
      </c>
      <c r="F38">
        <v>6.82</v>
      </c>
      <c r="G38">
        <v>58.45</v>
      </c>
      <c r="H38">
        <v>1.0900000000000001</v>
      </c>
      <c r="I38">
        <v>7</v>
      </c>
      <c r="J38">
        <v>163.13</v>
      </c>
      <c r="K38">
        <v>49.1</v>
      </c>
      <c r="L38">
        <v>10</v>
      </c>
      <c r="M38">
        <v>5</v>
      </c>
      <c r="N38">
        <v>29.04</v>
      </c>
      <c r="O38">
        <v>20353.939999999999</v>
      </c>
      <c r="P38">
        <v>72.510000000000005</v>
      </c>
      <c r="Q38">
        <v>204.15</v>
      </c>
      <c r="R38">
        <v>25.76</v>
      </c>
      <c r="S38">
        <v>17.37</v>
      </c>
      <c r="T38">
        <v>2088.4299999999998</v>
      </c>
      <c r="U38">
        <v>0.67</v>
      </c>
      <c r="V38">
        <v>0.75</v>
      </c>
      <c r="W38">
        <v>1.1499999999999999</v>
      </c>
      <c r="X38">
        <v>0.13</v>
      </c>
      <c r="Y38">
        <v>1</v>
      </c>
      <c r="Z38">
        <v>10</v>
      </c>
    </row>
    <row r="39" spans="1:26" x14ac:dyDescent="0.3">
      <c r="A39">
        <v>37</v>
      </c>
      <c r="B39">
        <v>75</v>
      </c>
      <c r="C39" t="s">
        <v>26</v>
      </c>
      <c r="D39">
        <v>10.817600000000001</v>
      </c>
      <c r="E39">
        <v>9.24</v>
      </c>
      <c r="F39">
        <v>6.78</v>
      </c>
      <c r="G39">
        <v>67.84</v>
      </c>
      <c r="H39">
        <v>1.1100000000000001</v>
      </c>
      <c r="I39">
        <v>6</v>
      </c>
      <c r="J39">
        <v>163.49</v>
      </c>
      <c r="K39">
        <v>49.1</v>
      </c>
      <c r="L39">
        <v>10.25</v>
      </c>
      <c r="M39">
        <v>4</v>
      </c>
      <c r="N39">
        <v>29.15</v>
      </c>
      <c r="O39">
        <v>20398.099999999999</v>
      </c>
      <c r="P39">
        <v>71.569999999999993</v>
      </c>
      <c r="Q39">
        <v>204.15</v>
      </c>
      <c r="R39">
        <v>24.75</v>
      </c>
      <c r="S39">
        <v>17.37</v>
      </c>
      <c r="T39">
        <v>1589.55</v>
      </c>
      <c r="U39">
        <v>0.7</v>
      </c>
      <c r="V39">
        <v>0.75</v>
      </c>
      <c r="W39">
        <v>1.1499999999999999</v>
      </c>
      <c r="X39">
        <v>0.09</v>
      </c>
      <c r="Y39">
        <v>1</v>
      </c>
      <c r="Z39">
        <v>10</v>
      </c>
    </row>
    <row r="40" spans="1:26" x14ac:dyDescent="0.3">
      <c r="A40">
        <v>38</v>
      </c>
      <c r="B40">
        <v>75</v>
      </c>
      <c r="C40" t="s">
        <v>26</v>
      </c>
      <c r="D40">
        <v>10.818300000000001</v>
      </c>
      <c r="E40">
        <v>9.24</v>
      </c>
      <c r="F40">
        <v>6.78</v>
      </c>
      <c r="G40">
        <v>67.84</v>
      </c>
      <c r="H40">
        <v>1.1399999999999999</v>
      </c>
      <c r="I40">
        <v>6</v>
      </c>
      <c r="J40">
        <v>163.85</v>
      </c>
      <c r="K40">
        <v>49.1</v>
      </c>
      <c r="L40">
        <v>10.5</v>
      </c>
      <c r="M40">
        <v>4</v>
      </c>
      <c r="N40">
        <v>29.26</v>
      </c>
      <c r="O40">
        <v>20442.3</v>
      </c>
      <c r="P40">
        <v>71.510000000000005</v>
      </c>
      <c r="Q40">
        <v>204.14</v>
      </c>
      <c r="R40">
        <v>24.83</v>
      </c>
      <c r="S40">
        <v>17.37</v>
      </c>
      <c r="T40">
        <v>1628.61</v>
      </c>
      <c r="U40">
        <v>0.7</v>
      </c>
      <c r="V40">
        <v>0.75</v>
      </c>
      <c r="W40">
        <v>1.1399999999999999</v>
      </c>
      <c r="X40">
        <v>0.09</v>
      </c>
      <c r="Y40">
        <v>1</v>
      </c>
      <c r="Z40">
        <v>10</v>
      </c>
    </row>
    <row r="41" spans="1:26" x14ac:dyDescent="0.3">
      <c r="A41">
        <v>39</v>
      </c>
      <c r="B41">
        <v>75</v>
      </c>
      <c r="C41" t="s">
        <v>26</v>
      </c>
      <c r="D41">
        <v>10.8131</v>
      </c>
      <c r="E41">
        <v>9.25</v>
      </c>
      <c r="F41">
        <v>6.79</v>
      </c>
      <c r="G41">
        <v>67.88</v>
      </c>
      <c r="H41">
        <v>1.1599999999999999</v>
      </c>
      <c r="I41">
        <v>6</v>
      </c>
      <c r="J41">
        <v>164.21</v>
      </c>
      <c r="K41">
        <v>49.1</v>
      </c>
      <c r="L41">
        <v>10.75</v>
      </c>
      <c r="M41">
        <v>4</v>
      </c>
      <c r="N41">
        <v>29.36</v>
      </c>
      <c r="O41">
        <v>20486.54</v>
      </c>
      <c r="P41">
        <v>71.63</v>
      </c>
      <c r="Q41">
        <v>204.14</v>
      </c>
      <c r="R41">
        <v>24.86</v>
      </c>
      <c r="S41">
        <v>17.37</v>
      </c>
      <c r="T41">
        <v>1640.72</v>
      </c>
      <c r="U41">
        <v>0.7</v>
      </c>
      <c r="V41">
        <v>0.75</v>
      </c>
      <c r="W41">
        <v>1.1499999999999999</v>
      </c>
      <c r="X41">
        <v>0.1</v>
      </c>
      <c r="Y41">
        <v>1</v>
      </c>
      <c r="Z41">
        <v>10</v>
      </c>
    </row>
    <row r="42" spans="1:26" x14ac:dyDescent="0.3">
      <c r="A42">
        <v>40</v>
      </c>
      <c r="B42">
        <v>75</v>
      </c>
      <c r="C42" t="s">
        <v>26</v>
      </c>
      <c r="D42">
        <v>10.816000000000001</v>
      </c>
      <c r="E42">
        <v>9.25</v>
      </c>
      <c r="F42">
        <v>6.79</v>
      </c>
      <c r="G42">
        <v>67.86</v>
      </c>
      <c r="H42">
        <v>1.18</v>
      </c>
      <c r="I42">
        <v>6</v>
      </c>
      <c r="J42">
        <v>164.57</v>
      </c>
      <c r="K42">
        <v>49.1</v>
      </c>
      <c r="L42">
        <v>11</v>
      </c>
      <c r="M42">
        <v>4</v>
      </c>
      <c r="N42">
        <v>29.47</v>
      </c>
      <c r="O42">
        <v>20530.82</v>
      </c>
      <c r="P42">
        <v>71.540000000000006</v>
      </c>
      <c r="Q42">
        <v>204.14</v>
      </c>
      <c r="R42">
        <v>24.75</v>
      </c>
      <c r="S42">
        <v>17.37</v>
      </c>
      <c r="T42">
        <v>1586.03</v>
      </c>
      <c r="U42">
        <v>0.7</v>
      </c>
      <c r="V42">
        <v>0.75</v>
      </c>
      <c r="W42">
        <v>1.1499999999999999</v>
      </c>
      <c r="X42">
        <v>0.09</v>
      </c>
      <c r="Y42">
        <v>1</v>
      </c>
      <c r="Z42">
        <v>10</v>
      </c>
    </row>
    <row r="43" spans="1:26" x14ac:dyDescent="0.3">
      <c r="A43">
        <v>41</v>
      </c>
      <c r="B43">
        <v>75</v>
      </c>
      <c r="C43" t="s">
        <v>26</v>
      </c>
      <c r="D43">
        <v>10.818300000000001</v>
      </c>
      <c r="E43">
        <v>9.24</v>
      </c>
      <c r="F43">
        <v>6.78</v>
      </c>
      <c r="G43">
        <v>67.84</v>
      </c>
      <c r="H43">
        <v>1.21</v>
      </c>
      <c r="I43">
        <v>6</v>
      </c>
      <c r="J43">
        <v>164.93</v>
      </c>
      <c r="K43">
        <v>49.1</v>
      </c>
      <c r="L43">
        <v>11.25</v>
      </c>
      <c r="M43">
        <v>4</v>
      </c>
      <c r="N43">
        <v>29.58</v>
      </c>
      <c r="O43">
        <v>20575.13</v>
      </c>
      <c r="P43">
        <v>71.02</v>
      </c>
      <c r="Q43">
        <v>204.15</v>
      </c>
      <c r="R43">
        <v>24.62</v>
      </c>
      <c r="S43">
        <v>17.37</v>
      </c>
      <c r="T43">
        <v>1521.82</v>
      </c>
      <c r="U43">
        <v>0.71</v>
      </c>
      <c r="V43">
        <v>0.75</v>
      </c>
      <c r="W43">
        <v>1.1499999999999999</v>
      </c>
      <c r="X43">
        <v>0.09</v>
      </c>
      <c r="Y43">
        <v>1</v>
      </c>
      <c r="Z43">
        <v>10</v>
      </c>
    </row>
    <row r="44" spans="1:26" x14ac:dyDescent="0.3">
      <c r="A44">
        <v>42</v>
      </c>
      <c r="B44">
        <v>75</v>
      </c>
      <c r="C44" t="s">
        <v>26</v>
      </c>
      <c r="D44">
        <v>10.8095</v>
      </c>
      <c r="E44">
        <v>9.25</v>
      </c>
      <c r="F44">
        <v>6.79</v>
      </c>
      <c r="G44">
        <v>67.91</v>
      </c>
      <c r="H44">
        <v>1.23</v>
      </c>
      <c r="I44">
        <v>6</v>
      </c>
      <c r="J44">
        <v>165.29</v>
      </c>
      <c r="K44">
        <v>49.1</v>
      </c>
      <c r="L44">
        <v>11.5</v>
      </c>
      <c r="M44">
        <v>4</v>
      </c>
      <c r="N44">
        <v>29.69</v>
      </c>
      <c r="O44">
        <v>20619.48</v>
      </c>
      <c r="P44">
        <v>70.92</v>
      </c>
      <c r="Q44">
        <v>204.16</v>
      </c>
      <c r="R44">
        <v>24.99</v>
      </c>
      <c r="S44">
        <v>17.37</v>
      </c>
      <c r="T44">
        <v>1709.11</v>
      </c>
      <c r="U44">
        <v>0.7</v>
      </c>
      <c r="V44">
        <v>0.75</v>
      </c>
      <c r="W44">
        <v>1.1499999999999999</v>
      </c>
      <c r="X44">
        <v>0.1</v>
      </c>
      <c r="Y44">
        <v>1</v>
      </c>
      <c r="Z44">
        <v>10</v>
      </c>
    </row>
    <row r="45" spans="1:26" x14ac:dyDescent="0.3">
      <c r="A45">
        <v>43</v>
      </c>
      <c r="B45">
        <v>75</v>
      </c>
      <c r="C45" t="s">
        <v>26</v>
      </c>
      <c r="D45">
        <v>10.8157</v>
      </c>
      <c r="E45">
        <v>9.25</v>
      </c>
      <c r="F45">
        <v>6.79</v>
      </c>
      <c r="G45">
        <v>67.86</v>
      </c>
      <c r="H45">
        <v>1.26</v>
      </c>
      <c r="I45">
        <v>6</v>
      </c>
      <c r="J45">
        <v>165.65</v>
      </c>
      <c r="K45">
        <v>49.1</v>
      </c>
      <c r="L45">
        <v>11.75</v>
      </c>
      <c r="M45">
        <v>4</v>
      </c>
      <c r="N45">
        <v>29.8</v>
      </c>
      <c r="O45">
        <v>20663.87</v>
      </c>
      <c r="P45">
        <v>70.39</v>
      </c>
      <c r="Q45">
        <v>204.14</v>
      </c>
      <c r="R45">
        <v>24.83</v>
      </c>
      <c r="S45">
        <v>17.37</v>
      </c>
      <c r="T45">
        <v>1625.33</v>
      </c>
      <c r="U45">
        <v>0.7</v>
      </c>
      <c r="V45">
        <v>0.75</v>
      </c>
      <c r="W45">
        <v>1.1399999999999999</v>
      </c>
      <c r="X45">
        <v>0.1</v>
      </c>
      <c r="Y45">
        <v>1</v>
      </c>
      <c r="Z45">
        <v>10</v>
      </c>
    </row>
    <row r="46" spans="1:26" x14ac:dyDescent="0.3">
      <c r="A46">
        <v>44</v>
      </c>
      <c r="B46">
        <v>75</v>
      </c>
      <c r="C46" t="s">
        <v>26</v>
      </c>
      <c r="D46">
        <v>10.8147</v>
      </c>
      <c r="E46">
        <v>9.25</v>
      </c>
      <c r="F46">
        <v>6.79</v>
      </c>
      <c r="G46">
        <v>67.87</v>
      </c>
      <c r="H46">
        <v>1.28</v>
      </c>
      <c r="I46">
        <v>6</v>
      </c>
      <c r="J46">
        <v>166.01</v>
      </c>
      <c r="K46">
        <v>49.1</v>
      </c>
      <c r="L46">
        <v>12</v>
      </c>
      <c r="M46">
        <v>4</v>
      </c>
      <c r="N46">
        <v>29.91</v>
      </c>
      <c r="O46">
        <v>20708.3</v>
      </c>
      <c r="P46">
        <v>70.39</v>
      </c>
      <c r="Q46">
        <v>204.15</v>
      </c>
      <c r="R46">
        <v>24.77</v>
      </c>
      <c r="S46">
        <v>17.37</v>
      </c>
      <c r="T46">
        <v>1596.32</v>
      </c>
      <c r="U46">
        <v>0.7</v>
      </c>
      <c r="V46">
        <v>0.75</v>
      </c>
      <c r="W46">
        <v>1.1499999999999999</v>
      </c>
      <c r="X46">
        <v>0.1</v>
      </c>
      <c r="Y46">
        <v>1</v>
      </c>
      <c r="Z46">
        <v>10</v>
      </c>
    </row>
    <row r="47" spans="1:26" x14ac:dyDescent="0.3">
      <c r="A47">
        <v>45</v>
      </c>
      <c r="B47">
        <v>75</v>
      </c>
      <c r="C47" t="s">
        <v>26</v>
      </c>
      <c r="D47">
        <v>10.8072</v>
      </c>
      <c r="E47">
        <v>9.25</v>
      </c>
      <c r="F47">
        <v>6.79</v>
      </c>
      <c r="G47">
        <v>67.930000000000007</v>
      </c>
      <c r="H47">
        <v>1.3</v>
      </c>
      <c r="I47">
        <v>6</v>
      </c>
      <c r="J47">
        <v>166.37</v>
      </c>
      <c r="K47">
        <v>49.1</v>
      </c>
      <c r="L47">
        <v>12.25</v>
      </c>
      <c r="M47">
        <v>4</v>
      </c>
      <c r="N47">
        <v>30.02</v>
      </c>
      <c r="O47">
        <v>20752.759999999998</v>
      </c>
      <c r="P47">
        <v>69.64</v>
      </c>
      <c r="Q47">
        <v>204.14</v>
      </c>
      <c r="R47">
        <v>25.05</v>
      </c>
      <c r="S47">
        <v>17.37</v>
      </c>
      <c r="T47">
        <v>1738.42</v>
      </c>
      <c r="U47">
        <v>0.69</v>
      </c>
      <c r="V47">
        <v>0.75</v>
      </c>
      <c r="W47">
        <v>1.1499999999999999</v>
      </c>
      <c r="X47">
        <v>0.1</v>
      </c>
      <c r="Y47">
        <v>1</v>
      </c>
      <c r="Z47">
        <v>10</v>
      </c>
    </row>
    <row r="48" spans="1:26" x14ac:dyDescent="0.3">
      <c r="A48">
        <v>46</v>
      </c>
      <c r="B48">
        <v>75</v>
      </c>
      <c r="C48" t="s">
        <v>26</v>
      </c>
      <c r="D48">
        <v>10.866899999999999</v>
      </c>
      <c r="E48">
        <v>9.1999999999999993</v>
      </c>
      <c r="F48">
        <v>6.77</v>
      </c>
      <c r="G48">
        <v>81.28</v>
      </c>
      <c r="H48">
        <v>1.33</v>
      </c>
      <c r="I48">
        <v>5</v>
      </c>
      <c r="J48">
        <v>166.73</v>
      </c>
      <c r="K48">
        <v>49.1</v>
      </c>
      <c r="L48">
        <v>12.5</v>
      </c>
      <c r="M48">
        <v>3</v>
      </c>
      <c r="N48">
        <v>30.13</v>
      </c>
      <c r="O48">
        <v>20797.259999999998</v>
      </c>
      <c r="P48">
        <v>69.239999999999995</v>
      </c>
      <c r="Q48">
        <v>204.14</v>
      </c>
      <c r="R48">
        <v>24.42</v>
      </c>
      <c r="S48">
        <v>17.37</v>
      </c>
      <c r="T48">
        <v>1428.29</v>
      </c>
      <c r="U48">
        <v>0.71</v>
      </c>
      <c r="V48">
        <v>0.75</v>
      </c>
      <c r="W48">
        <v>1.1399999999999999</v>
      </c>
      <c r="X48">
        <v>0.08</v>
      </c>
      <c r="Y48">
        <v>1</v>
      </c>
      <c r="Z48">
        <v>10</v>
      </c>
    </row>
    <row r="49" spans="1:26" x14ac:dyDescent="0.3">
      <c r="A49">
        <v>47</v>
      </c>
      <c r="B49">
        <v>75</v>
      </c>
      <c r="C49" t="s">
        <v>26</v>
      </c>
      <c r="D49">
        <v>10.866300000000001</v>
      </c>
      <c r="E49">
        <v>9.1999999999999993</v>
      </c>
      <c r="F49">
        <v>6.77</v>
      </c>
      <c r="G49">
        <v>81.28</v>
      </c>
      <c r="H49">
        <v>1.35</v>
      </c>
      <c r="I49">
        <v>5</v>
      </c>
      <c r="J49">
        <v>167.09</v>
      </c>
      <c r="K49">
        <v>49.1</v>
      </c>
      <c r="L49">
        <v>12.75</v>
      </c>
      <c r="M49">
        <v>3</v>
      </c>
      <c r="N49">
        <v>30.25</v>
      </c>
      <c r="O49">
        <v>20841.8</v>
      </c>
      <c r="P49">
        <v>69.430000000000007</v>
      </c>
      <c r="Q49">
        <v>204.14</v>
      </c>
      <c r="R49">
        <v>24.46</v>
      </c>
      <c r="S49">
        <v>17.37</v>
      </c>
      <c r="T49">
        <v>1444.83</v>
      </c>
      <c r="U49">
        <v>0.71</v>
      </c>
      <c r="V49">
        <v>0.75</v>
      </c>
      <c r="W49">
        <v>1.1399999999999999</v>
      </c>
      <c r="X49">
        <v>0.08</v>
      </c>
      <c r="Y49">
        <v>1</v>
      </c>
      <c r="Z49">
        <v>10</v>
      </c>
    </row>
    <row r="50" spans="1:26" x14ac:dyDescent="0.3">
      <c r="A50">
        <v>48</v>
      </c>
      <c r="B50">
        <v>75</v>
      </c>
      <c r="C50" t="s">
        <v>26</v>
      </c>
      <c r="D50">
        <v>10.862299999999999</v>
      </c>
      <c r="E50">
        <v>9.2100000000000009</v>
      </c>
      <c r="F50">
        <v>6.78</v>
      </c>
      <c r="G50">
        <v>81.319999999999993</v>
      </c>
      <c r="H50">
        <v>1.38</v>
      </c>
      <c r="I50">
        <v>5</v>
      </c>
      <c r="J50">
        <v>167.45</v>
      </c>
      <c r="K50">
        <v>49.1</v>
      </c>
      <c r="L50">
        <v>13</v>
      </c>
      <c r="M50">
        <v>3</v>
      </c>
      <c r="N50">
        <v>30.36</v>
      </c>
      <c r="O50">
        <v>20886.38</v>
      </c>
      <c r="P50">
        <v>69.63</v>
      </c>
      <c r="Q50">
        <v>204.16</v>
      </c>
      <c r="R50">
        <v>24.47</v>
      </c>
      <c r="S50">
        <v>17.37</v>
      </c>
      <c r="T50">
        <v>1453.92</v>
      </c>
      <c r="U50">
        <v>0.71</v>
      </c>
      <c r="V50">
        <v>0.75</v>
      </c>
      <c r="W50">
        <v>1.1499999999999999</v>
      </c>
      <c r="X50">
        <v>0.09</v>
      </c>
      <c r="Y50">
        <v>1</v>
      </c>
      <c r="Z50">
        <v>10</v>
      </c>
    </row>
    <row r="51" spans="1:26" x14ac:dyDescent="0.3">
      <c r="A51">
        <v>49</v>
      </c>
      <c r="B51">
        <v>75</v>
      </c>
      <c r="C51" t="s">
        <v>26</v>
      </c>
      <c r="D51">
        <v>10.865</v>
      </c>
      <c r="E51">
        <v>9.1999999999999993</v>
      </c>
      <c r="F51">
        <v>6.77</v>
      </c>
      <c r="G51">
        <v>81.3</v>
      </c>
      <c r="H51">
        <v>1.4</v>
      </c>
      <c r="I51">
        <v>5</v>
      </c>
      <c r="J51">
        <v>167.81</v>
      </c>
      <c r="K51">
        <v>49.1</v>
      </c>
      <c r="L51">
        <v>13.25</v>
      </c>
      <c r="M51">
        <v>3</v>
      </c>
      <c r="N51">
        <v>30.47</v>
      </c>
      <c r="O51">
        <v>20930.990000000002</v>
      </c>
      <c r="P51">
        <v>69.23</v>
      </c>
      <c r="Q51">
        <v>204.14</v>
      </c>
      <c r="R51">
        <v>24.41</v>
      </c>
      <c r="S51">
        <v>17.37</v>
      </c>
      <c r="T51">
        <v>1421.74</v>
      </c>
      <c r="U51">
        <v>0.71</v>
      </c>
      <c r="V51">
        <v>0.75</v>
      </c>
      <c r="W51">
        <v>1.1499999999999999</v>
      </c>
      <c r="X51">
        <v>0.08</v>
      </c>
      <c r="Y51">
        <v>1</v>
      </c>
      <c r="Z51">
        <v>10</v>
      </c>
    </row>
    <row r="52" spans="1:26" x14ac:dyDescent="0.3">
      <c r="A52">
        <v>50</v>
      </c>
      <c r="B52">
        <v>75</v>
      </c>
      <c r="C52" t="s">
        <v>26</v>
      </c>
      <c r="D52">
        <v>10.866300000000001</v>
      </c>
      <c r="E52">
        <v>9.1999999999999993</v>
      </c>
      <c r="F52">
        <v>6.77</v>
      </c>
      <c r="G52">
        <v>81.28</v>
      </c>
      <c r="H52">
        <v>1.42</v>
      </c>
      <c r="I52">
        <v>5</v>
      </c>
      <c r="J52">
        <v>168.18</v>
      </c>
      <c r="K52">
        <v>49.1</v>
      </c>
      <c r="L52">
        <v>13.5</v>
      </c>
      <c r="M52">
        <v>3</v>
      </c>
      <c r="N52">
        <v>30.58</v>
      </c>
      <c r="O52">
        <v>20975.64</v>
      </c>
      <c r="P52">
        <v>69.03</v>
      </c>
      <c r="Q52">
        <v>204.14</v>
      </c>
      <c r="R52">
        <v>24.5</v>
      </c>
      <c r="S52">
        <v>17.37</v>
      </c>
      <c r="T52">
        <v>1465.91</v>
      </c>
      <c r="U52">
        <v>0.71</v>
      </c>
      <c r="V52">
        <v>0.75</v>
      </c>
      <c r="W52">
        <v>1.1399999999999999</v>
      </c>
      <c r="X52">
        <v>0.08</v>
      </c>
      <c r="Y52">
        <v>1</v>
      </c>
      <c r="Z52">
        <v>10</v>
      </c>
    </row>
    <row r="53" spans="1:26" x14ac:dyDescent="0.3">
      <c r="A53">
        <v>51</v>
      </c>
      <c r="B53">
        <v>75</v>
      </c>
      <c r="C53" t="s">
        <v>26</v>
      </c>
      <c r="D53">
        <v>10.8689</v>
      </c>
      <c r="E53">
        <v>9.1999999999999993</v>
      </c>
      <c r="F53">
        <v>6.77</v>
      </c>
      <c r="G53">
        <v>81.260000000000005</v>
      </c>
      <c r="H53">
        <v>1.45</v>
      </c>
      <c r="I53">
        <v>5</v>
      </c>
      <c r="J53">
        <v>168.54</v>
      </c>
      <c r="K53">
        <v>49.1</v>
      </c>
      <c r="L53">
        <v>13.75</v>
      </c>
      <c r="M53">
        <v>3</v>
      </c>
      <c r="N53">
        <v>30.69</v>
      </c>
      <c r="O53">
        <v>21020.34</v>
      </c>
      <c r="P53">
        <v>68.67</v>
      </c>
      <c r="Q53">
        <v>204.14</v>
      </c>
      <c r="R53">
        <v>24.36</v>
      </c>
      <c r="S53">
        <v>17.37</v>
      </c>
      <c r="T53">
        <v>1396.27</v>
      </c>
      <c r="U53">
        <v>0.71</v>
      </c>
      <c r="V53">
        <v>0.75</v>
      </c>
      <c r="W53">
        <v>1.1399999999999999</v>
      </c>
      <c r="X53">
        <v>0.08</v>
      </c>
      <c r="Y53">
        <v>1</v>
      </c>
      <c r="Z53">
        <v>10</v>
      </c>
    </row>
    <row r="54" spans="1:26" x14ac:dyDescent="0.3">
      <c r="A54">
        <v>52</v>
      </c>
      <c r="B54">
        <v>75</v>
      </c>
      <c r="C54" t="s">
        <v>26</v>
      </c>
      <c r="D54">
        <v>10.8751</v>
      </c>
      <c r="E54">
        <v>9.1999999999999993</v>
      </c>
      <c r="F54">
        <v>6.77</v>
      </c>
      <c r="G54">
        <v>81.19</v>
      </c>
      <c r="H54">
        <v>1.47</v>
      </c>
      <c r="I54">
        <v>5</v>
      </c>
      <c r="J54">
        <v>168.9</v>
      </c>
      <c r="K54">
        <v>49.1</v>
      </c>
      <c r="L54">
        <v>14</v>
      </c>
      <c r="M54">
        <v>3</v>
      </c>
      <c r="N54">
        <v>30.81</v>
      </c>
      <c r="O54">
        <v>21065.06</v>
      </c>
      <c r="P54">
        <v>68.209999999999994</v>
      </c>
      <c r="Q54">
        <v>204.14</v>
      </c>
      <c r="R54">
        <v>24.18</v>
      </c>
      <c r="S54">
        <v>17.37</v>
      </c>
      <c r="T54">
        <v>1306.6600000000001</v>
      </c>
      <c r="U54">
        <v>0.72</v>
      </c>
      <c r="V54">
        <v>0.75</v>
      </c>
      <c r="W54">
        <v>1.1399999999999999</v>
      </c>
      <c r="X54">
        <v>7.0000000000000007E-2</v>
      </c>
      <c r="Y54">
        <v>1</v>
      </c>
      <c r="Z54">
        <v>10</v>
      </c>
    </row>
    <row r="55" spans="1:26" x14ac:dyDescent="0.3">
      <c r="A55">
        <v>53</v>
      </c>
      <c r="B55">
        <v>75</v>
      </c>
      <c r="C55" t="s">
        <v>26</v>
      </c>
      <c r="D55">
        <v>10.8774</v>
      </c>
      <c r="E55">
        <v>9.19</v>
      </c>
      <c r="F55">
        <v>6.76</v>
      </c>
      <c r="G55">
        <v>81.17</v>
      </c>
      <c r="H55">
        <v>1.49</v>
      </c>
      <c r="I55">
        <v>5</v>
      </c>
      <c r="J55">
        <v>169.26</v>
      </c>
      <c r="K55">
        <v>49.1</v>
      </c>
      <c r="L55">
        <v>14.25</v>
      </c>
      <c r="M55">
        <v>3</v>
      </c>
      <c r="N55">
        <v>30.92</v>
      </c>
      <c r="O55">
        <v>21109.83</v>
      </c>
      <c r="P55">
        <v>67.56</v>
      </c>
      <c r="Q55">
        <v>204.14</v>
      </c>
      <c r="R55">
        <v>24.02</v>
      </c>
      <c r="S55">
        <v>17.37</v>
      </c>
      <c r="T55">
        <v>1229.6400000000001</v>
      </c>
      <c r="U55">
        <v>0.72</v>
      </c>
      <c r="V55">
        <v>0.75</v>
      </c>
      <c r="W55">
        <v>1.1499999999999999</v>
      </c>
      <c r="X55">
        <v>7.0000000000000007E-2</v>
      </c>
      <c r="Y55">
        <v>1</v>
      </c>
      <c r="Z55">
        <v>10</v>
      </c>
    </row>
    <row r="56" spans="1:26" x14ac:dyDescent="0.3">
      <c r="A56">
        <v>54</v>
      </c>
      <c r="B56">
        <v>75</v>
      </c>
      <c r="C56" t="s">
        <v>26</v>
      </c>
      <c r="D56">
        <v>10.8751</v>
      </c>
      <c r="E56">
        <v>9.1999999999999993</v>
      </c>
      <c r="F56">
        <v>6.77</v>
      </c>
      <c r="G56">
        <v>81.19</v>
      </c>
      <c r="H56">
        <v>1.52</v>
      </c>
      <c r="I56">
        <v>5</v>
      </c>
      <c r="J56">
        <v>169.63</v>
      </c>
      <c r="K56">
        <v>49.1</v>
      </c>
      <c r="L56">
        <v>14.5</v>
      </c>
      <c r="M56">
        <v>3</v>
      </c>
      <c r="N56">
        <v>31.03</v>
      </c>
      <c r="O56">
        <v>21154.639999999999</v>
      </c>
      <c r="P56">
        <v>66.77</v>
      </c>
      <c r="Q56">
        <v>204.15</v>
      </c>
      <c r="R56">
        <v>24.26</v>
      </c>
      <c r="S56">
        <v>17.37</v>
      </c>
      <c r="T56">
        <v>1345.77</v>
      </c>
      <c r="U56">
        <v>0.72</v>
      </c>
      <c r="V56">
        <v>0.75</v>
      </c>
      <c r="W56">
        <v>1.1399999999999999</v>
      </c>
      <c r="X56">
        <v>7.0000000000000007E-2</v>
      </c>
      <c r="Y56">
        <v>1</v>
      </c>
      <c r="Z56">
        <v>10</v>
      </c>
    </row>
    <row r="57" spans="1:26" x14ac:dyDescent="0.3">
      <c r="A57">
        <v>55</v>
      </c>
      <c r="B57">
        <v>75</v>
      </c>
      <c r="C57" t="s">
        <v>26</v>
      </c>
      <c r="D57">
        <v>10.875500000000001</v>
      </c>
      <c r="E57">
        <v>9.1999999999999993</v>
      </c>
      <c r="F57">
        <v>6.77</v>
      </c>
      <c r="G57">
        <v>81.19</v>
      </c>
      <c r="H57">
        <v>1.54</v>
      </c>
      <c r="I57">
        <v>5</v>
      </c>
      <c r="J57">
        <v>169.99</v>
      </c>
      <c r="K57">
        <v>49.1</v>
      </c>
      <c r="L57">
        <v>14.75</v>
      </c>
      <c r="M57">
        <v>3</v>
      </c>
      <c r="N57">
        <v>31.15</v>
      </c>
      <c r="O57">
        <v>21199.48</v>
      </c>
      <c r="P57">
        <v>66.41</v>
      </c>
      <c r="Q57">
        <v>204.14</v>
      </c>
      <c r="R57">
        <v>24.15</v>
      </c>
      <c r="S57">
        <v>17.37</v>
      </c>
      <c r="T57">
        <v>1290.4000000000001</v>
      </c>
      <c r="U57">
        <v>0.72</v>
      </c>
      <c r="V57">
        <v>0.75</v>
      </c>
      <c r="W57">
        <v>1.1399999999999999</v>
      </c>
      <c r="X57">
        <v>7.0000000000000007E-2</v>
      </c>
      <c r="Y57">
        <v>1</v>
      </c>
      <c r="Z57">
        <v>10</v>
      </c>
    </row>
    <row r="58" spans="1:26" x14ac:dyDescent="0.3">
      <c r="A58">
        <v>56</v>
      </c>
      <c r="B58">
        <v>75</v>
      </c>
      <c r="C58" t="s">
        <v>26</v>
      </c>
      <c r="D58">
        <v>10.8696</v>
      </c>
      <c r="E58">
        <v>9.1999999999999993</v>
      </c>
      <c r="F58">
        <v>6.77</v>
      </c>
      <c r="G58">
        <v>81.25</v>
      </c>
      <c r="H58">
        <v>1.56</v>
      </c>
      <c r="I58">
        <v>5</v>
      </c>
      <c r="J58">
        <v>170.35</v>
      </c>
      <c r="K58">
        <v>49.1</v>
      </c>
      <c r="L58">
        <v>15</v>
      </c>
      <c r="M58">
        <v>3</v>
      </c>
      <c r="N58">
        <v>31.26</v>
      </c>
      <c r="O58">
        <v>21244.37</v>
      </c>
      <c r="P58">
        <v>66.260000000000005</v>
      </c>
      <c r="Q58">
        <v>204.14</v>
      </c>
      <c r="R58">
        <v>24.39</v>
      </c>
      <c r="S58">
        <v>17.37</v>
      </c>
      <c r="T58">
        <v>1413.35</v>
      </c>
      <c r="U58">
        <v>0.71</v>
      </c>
      <c r="V58">
        <v>0.75</v>
      </c>
      <c r="W58">
        <v>1.1399999999999999</v>
      </c>
      <c r="X58">
        <v>0.08</v>
      </c>
      <c r="Y58">
        <v>1</v>
      </c>
      <c r="Z58">
        <v>10</v>
      </c>
    </row>
    <row r="59" spans="1:26" x14ac:dyDescent="0.3">
      <c r="A59">
        <v>57</v>
      </c>
      <c r="B59">
        <v>75</v>
      </c>
      <c r="C59" t="s">
        <v>26</v>
      </c>
      <c r="D59">
        <v>10.868600000000001</v>
      </c>
      <c r="E59">
        <v>9.1999999999999993</v>
      </c>
      <c r="F59">
        <v>6.77</v>
      </c>
      <c r="G59">
        <v>81.260000000000005</v>
      </c>
      <c r="H59">
        <v>1.58</v>
      </c>
      <c r="I59">
        <v>5</v>
      </c>
      <c r="J59">
        <v>170.72</v>
      </c>
      <c r="K59">
        <v>49.1</v>
      </c>
      <c r="L59">
        <v>15.25</v>
      </c>
      <c r="M59">
        <v>3</v>
      </c>
      <c r="N59">
        <v>31.37</v>
      </c>
      <c r="O59">
        <v>21289.29</v>
      </c>
      <c r="P59">
        <v>65.64</v>
      </c>
      <c r="Q59">
        <v>204.14</v>
      </c>
      <c r="R59">
        <v>24.26</v>
      </c>
      <c r="S59">
        <v>17.37</v>
      </c>
      <c r="T59">
        <v>1347.93</v>
      </c>
      <c r="U59">
        <v>0.72</v>
      </c>
      <c r="V59">
        <v>0.75</v>
      </c>
      <c r="W59">
        <v>1.1499999999999999</v>
      </c>
      <c r="X59">
        <v>0.08</v>
      </c>
      <c r="Y59">
        <v>1</v>
      </c>
      <c r="Z59">
        <v>10</v>
      </c>
    </row>
    <row r="60" spans="1:26" x14ac:dyDescent="0.3">
      <c r="A60">
        <v>58</v>
      </c>
      <c r="B60">
        <v>75</v>
      </c>
      <c r="C60" t="s">
        <v>26</v>
      </c>
      <c r="D60">
        <v>10.938599999999999</v>
      </c>
      <c r="E60">
        <v>9.14</v>
      </c>
      <c r="F60">
        <v>6.74</v>
      </c>
      <c r="G60">
        <v>101.15</v>
      </c>
      <c r="H60">
        <v>1.61</v>
      </c>
      <c r="I60">
        <v>4</v>
      </c>
      <c r="J60">
        <v>171.08</v>
      </c>
      <c r="K60">
        <v>49.1</v>
      </c>
      <c r="L60">
        <v>15.5</v>
      </c>
      <c r="M60">
        <v>2</v>
      </c>
      <c r="N60">
        <v>31.49</v>
      </c>
      <c r="O60">
        <v>21334.25</v>
      </c>
      <c r="P60">
        <v>64.599999999999994</v>
      </c>
      <c r="Q60">
        <v>204.14</v>
      </c>
      <c r="R60">
        <v>23.46</v>
      </c>
      <c r="S60">
        <v>17.37</v>
      </c>
      <c r="T60">
        <v>952.58</v>
      </c>
      <c r="U60">
        <v>0.74</v>
      </c>
      <c r="V60">
        <v>0.76</v>
      </c>
      <c r="W60">
        <v>1.1399999999999999</v>
      </c>
      <c r="X60">
        <v>0.05</v>
      </c>
      <c r="Y60">
        <v>1</v>
      </c>
      <c r="Z60">
        <v>10</v>
      </c>
    </row>
    <row r="61" spans="1:26" x14ac:dyDescent="0.3">
      <c r="A61">
        <v>59</v>
      </c>
      <c r="B61">
        <v>75</v>
      </c>
      <c r="C61" t="s">
        <v>26</v>
      </c>
      <c r="D61">
        <v>10.9316</v>
      </c>
      <c r="E61">
        <v>9.15</v>
      </c>
      <c r="F61">
        <v>6.75</v>
      </c>
      <c r="G61">
        <v>101.24</v>
      </c>
      <c r="H61">
        <v>1.63</v>
      </c>
      <c r="I61">
        <v>4</v>
      </c>
      <c r="J61">
        <v>171.45</v>
      </c>
      <c r="K61">
        <v>49.1</v>
      </c>
      <c r="L61">
        <v>15.75</v>
      </c>
      <c r="M61">
        <v>2</v>
      </c>
      <c r="N61">
        <v>31.6</v>
      </c>
      <c r="O61">
        <v>21379.25</v>
      </c>
      <c r="P61">
        <v>64.790000000000006</v>
      </c>
      <c r="Q61">
        <v>204.14</v>
      </c>
      <c r="R61">
        <v>23.63</v>
      </c>
      <c r="S61">
        <v>17.37</v>
      </c>
      <c r="T61">
        <v>1039.3399999999999</v>
      </c>
      <c r="U61">
        <v>0.74</v>
      </c>
      <c r="V61">
        <v>0.76</v>
      </c>
      <c r="W61">
        <v>1.1399999999999999</v>
      </c>
      <c r="X61">
        <v>0.06</v>
      </c>
      <c r="Y61">
        <v>1</v>
      </c>
      <c r="Z61">
        <v>10</v>
      </c>
    </row>
    <row r="62" spans="1:26" x14ac:dyDescent="0.3">
      <c r="A62">
        <v>60</v>
      </c>
      <c r="B62">
        <v>75</v>
      </c>
      <c r="C62" t="s">
        <v>26</v>
      </c>
      <c r="D62">
        <v>10.9306</v>
      </c>
      <c r="E62">
        <v>9.15</v>
      </c>
      <c r="F62">
        <v>6.75</v>
      </c>
      <c r="G62">
        <v>101.25</v>
      </c>
      <c r="H62">
        <v>1.65</v>
      </c>
      <c r="I62">
        <v>4</v>
      </c>
      <c r="J62">
        <v>171.81</v>
      </c>
      <c r="K62">
        <v>49.1</v>
      </c>
      <c r="L62">
        <v>16</v>
      </c>
      <c r="M62">
        <v>1</v>
      </c>
      <c r="N62">
        <v>31.72</v>
      </c>
      <c r="O62">
        <v>21424.29</v>
      </c>
      <c r="P62">
        <v>64.92</v>
      </c>
      <c r="Q62">
        <v>204.16</v>
      </c>
      <c r="R62">
        <v>23.63</v>
      </c>
      <c r="S62">
        <v>17.37</v>
      </c>
      <c r="T62">
        <v>1034.8699999999999</v>
      </c>
      <c r="U62">
        <v>0.74</v>
      </c>
      <c r="V62">
        <v>0.76</v>
      </c>
      <c r="W62">
        <v>1.1399999999999999</v>
      </c>
      <c r="X62">
        <v>0.06</v>
      </c>
      <c r="Y62">
        <v>1</v>
      </c>
      <c r="Z62">
        <v>10</v>
      </c>
    </row>
    <row r="63" spans="1:26" x14ac:dyDescent="0.3">
      <c r="A63">
        <v>61</v>
      </c>
      <c r="B63">
        <v>75</v>
      </c>
      <c r="C63" t="s">
        <v>26</v>
      </c>
      <c r="D63">
        <v>10.93</v>
      </c>
      <c r="E63">
        <v>9.15</v>
      </c>
      <c r="F63">
        <v>6.75</v>
      </c>
      <c r="G63">
        <v>101.26</v>
      </c>
      <c r="H63">
        <v>1.67</v>
      </c>
      <c r="I63">
        <v>4</v>
      </c>
      <c r="J63">
        <v>172.18</v>
      </c>
      <c r="K63">
        <v>49.1</v>
      </c>
      <c r="L63">
        <v>16.25</v>
      </c>
      <c r="M63">
        <v>0</v>
      </c>
      <c r="N63">
        <v>31.83</v>
      </c>
      <c r="O63">
        <v>21469.360000000001</v>
      </c>
      <c r="P63">
        <v>65.03</v>
      </c>
      <c r="Q63">
        <v>204.15</v>
      </c>
      <c r="R63">
        <v>23.57</v>
      </c>
      <c r="S63">
        <v>17.37</v>
      </c>
      <c r="T63">
        <v>1005.46</v>
      </c>
      <c r="U63">
        <v>0.74</v>
      </c>
      <c r="V63">
        <v>0.76</v>
      </c>
      <c r="W63">
        <v>1.1499999999999999</v>
      </c>
      <c r="X63">
        <v>0.06</v>
      </c>
      <c r="Y63">
        <v>1</v>
      </c>
      <c r="Z63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Planilha28"/>
  <dimension ref="A1:Z96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95</v>
      </c>
      <c r="C2" t="s">
        <v>26</v>
      </c>
      <c r="D2">
        <v>7.18</v>
      </c>
      <c r="E2">
        <v>13.93</v>
      </c>
      <c r="F2">
        <v>8.3699999999999992</v>
      </c>
      <c r="G2">
        <v>6.05</v>
      </c>
      <c r="H2">
        <v>0.1</v>
      </c>
      <c r="I2">
        <v>83</v>
      </c>
      <c r="J2">
        <v>185.69</v>
      </c>
      <c r="K2">
        <v>53.44</v>
      </c>
      <c r="L2">
        <v>1</v>
      </c>
      <c r="M2">
        <v>81</v>
      </c>
      <c r="N2">
        <v>36.26</v>
      </c>
      <c r="O2">
        <v>23136.14</v>
      </c>
      <c r="P2">
        <v>113.42</v>
      </c>
      <c r="Q2">
        <v>204.22</v>
      </c>
      <c r="R2">
        <v>74.25</v>
      </c>
      <c r="S2">
        <v>17.37</v>
      </c>
      <c r="T2">
        <v>25951.85</v>
      </c>
      <c r="U2">
        <v>0.23</v>
      </c>
      <c r="V2">
        <v>0.61</v>
      </c>
      <c r="W2">
        <v>1.27</v>
      </c>
      <c r="X2">
        <v>1.68</v>
      </c>
      <c r="Y2">
        <v>1</v>
      </c>
      <c r="Z2">
        <v>10</v>
      </c>
    </row>
    <row r="3" spans="1:26" x14ac:dyDescent="0.3">
      <c r="A3">
        <v>1</v>
      </c>
      <c r="B3">
        <v>95</v>
      </c>
      <c r="C3" t="s">
        <v>26</v>
      </c>
      <c r="D3">
        <v>7.8250999999999999</v>
      </c>
      <c r="E3">
        <v>12.78</v>
      </c>
      <c r="F3">
        <v>7.97</v>
      </c>
      <c r="G3">
        <v>7.59</v>
      </c>
      <c r="H3">
        <v>0.12</v>
      </c>
      <c r="I3">
        <v>63</v>
      </c>
      <c r="J3">
        <v>186.07</v>
      </c>
      <c r="K3">
        <v>53.44</v>
      </c>
      <c r="L3">
        <v>1.25</v>
      </c>
      <c r="M3">
        <v>61</v>
      </c>
      <c r="N3">
        <v>36.39</v>
      </c>
      <c r="O3">
        <v>23182.76</v>
      </c>
      <c r="P3">
        <v>107.76</v>
      </c>
      <c r="Q3">
        <v>204.17</v>
      </c>
      <c r="R3">
        <v>61.45</v>
      </c>
      <c r="S3">
        <v>17.37</v>
      </c>
      <c r="T3">
        <v>19651.02</v>
      </c>
      <c r="U3">
        <v>0.28000000000000003</v>
      </c>
      <c r="V3">
        <v>0.64</v>
      </c>
      <c r="W3">
        <v>1.24</v>
      </c>
      <c r="X3">
        <v>1.27</v>
      </c>
      <c r="Y3">
        <v>1</v>
      </c>
      <c r="Z3">
        <v>10</v>
      </c>
    </row>
    <row r="4" spans="1:26" x14ac:dyDescent="0.3">
      <c r="A4">
        <v>2</v>
      </c>
      <c r="B4">
        <v>95</v>
      </c>
      <c r="C4" t="s">
        <v>26</v>
      </c>
      <c r="D4">
        <v>8.2807999999999993</v>
      </c>
      <c r="E4">
        <v>12.08</v>
      </c>
      <c r="F4">
        <v>7.71</v>
      </c>
      <c r="G4">
        <v>9.07</v>
      </c>
      <c r="H4">
        <v>0.14000000000000001</v>
      </c>
      <c r="I4">
        <v>51</v>
      </c>
      <c r="J4">
        <v>186.45</v>
      </c>
      <c r="K4">
        <v>53.44</v>
      </c>
      <c r="L4">
        <v>1.5</v>
      </c>
      <c r="M4">
        <v>49</v>
      </c>
      <c r="N4">
        <v>36.51</v>
      </c>
      <c r="O4">
        <v>23229.42</v>
      </c>
      <c r="P4">
        <v>104.1</v>
      </c>
      <c r="Q4">
        <v>204.27</v>
      </c>
      <c r="R4">
        <v>53.57</v>
      </c>
      <c r="S4">
        <v>17.37</v>
      </c>
      <c r="T4">
        <v>15770.83</v>
      </c>
      <c r="U4">
        <v>0.32</v>
      </c>
      <c r="V4">
        <v>0.66</v>
      </c>
      <c r="W4">
        <v>1.22</v>
      </c>
      <c r="X4">
        <v>1.02</v>
      </c>
      <c r="Y4">
        <v>1</v>
      </c>
      <c r="Z4">
        <v>10</v>
      </c>
    </row>
    <row r="5" spans="1:26" x14ac:dyDescent="0.3">
      <c r="A5">
        <v>3</v>
      </c>
      <c r="B5">
        <v>95</v>
      </c>
      <c r="C5" t="s">
        <v>26</v>
      </c>
      <c r="D5">
        <v>8.6102000000000007</v>
      </c>
      <c r="E5">
        <v>11.61</v>
      </c>
      <c r="F5">
        <v>7.54</v>
      </c>
      <c r="G5">
        <v>10.53</v>
      </c>
      <c r="H5">
        <v>0.17</v>
      </c>
      <c r="I5">
        <v>43</v>
      </c>
      <c r="J5">
        <v>186.83</v>
      </c>
      <c r="K5">
        <v>53.44</v>
      </c>
      <c r="L5">
        <v>1.75</v>
      </c>
      <c r="M5">
        <v>41</v>
      </c>
      <c r="N5">
        <v>36.64</v>
      </c>
      <c r="O5">
        <v>23276.13</v>
      </c>
      <c r="P5">
        <v>101.75</v>
      </c>
      <c r="Q5">
        <v>204.16</v>
      </c>
      <c r="R5">
        <v>48.45</v>
      </c>
      <c r="S5">
        <v>17.37</v>
      </c>
      <c r="T5">
        <v>13253.53</v>
      </c>
      <c r="U5">
        <v>0.36</v>
      </c>
      <c r="V5">
        <v>0.68</v>
      </c>
      <c r="W5">
        <v>1.21</v>
      </c>
      <c r="X5">
        <v>0.85</v>
      </c>
      <c r="Y5">
        <v>1</v>
      </c>
      <c r="Z5">
        <v>10</v>
      </c>
    </row>
    <row r="6" spans="1:26" x14ac:dyDescent="0.3">
      <c r="A6">
        <v>4</v>
      </c>
      <c r="B6">
        <v>95</v>
      </c>
      <c r="C6" t="s">
        <v>26</v>
      </c>
      <c r="D6">
        <v>8.8803000000000001</v>
      </c>
      <c r="E6">
        <v>11.26</v>
      </c>
      <c r="F6">
        <v>7.42</v>
      </c>
      <c r="G6">
        <v>12.02</v>
      </c>
      <c r="H6">
        <v>0.19</v>
      </c>
      <c r="I6">
        <v>37</v>
      </c>
      <c r="J6">
        <v>187.21</v>
      </c>
      <c r="K6">
        <v>53.44</v>
      </c>
      <c r="L6">
        <v>2</v>
      </c>
      <c r="M6">
        <v>35</v>
      </c>
      <c r="N6">
        <v>36.770000000000003</v>
      </c>
      <c r="O6">
        <v>23322.880000000001</v>
      </c>
      <c r="P6">
        <v>99.8</v>
      </c>
      <c r="Q6">
        <v>204.14</v>
      </c>
      <c r="R6">
        <v>44.42</v>
      </c>
      <c r="S6">
        <v>17.37</v>
      </c>
      <c r="T6">
        <v>11268.53</v>
      </c>
      <c r="U6">
        <v>0.39</v>
      </c>
      <c r="V6">
        <v>0.69</v>
      </c>
      <c r="W6">
        <v>1.2</v>
      </c>
      <c r="X6">
        <v>0.72</v>
      </c>
      <c r="Y6">
        <v>1</v>
      </c>
      <c r="Z6">
        <v>10</v>
      </c>
    </row>
    <row r="7" spans="1:26" x14ac:dyDescent="0.3">
      <c r="A7">
        <v>5</v>
      </c>
      <c r="B7">
        <v>95</v>
      </c>
      <c r="C7" t="s">
        <v>26</v>
      </c>
      <c r="D7">
        <v>9.0561000000000007</v>
      </c>
      <c r="E7">
        <v>11.04</v>
      </c>
      <c r="F7">
        <v>7.35</v>
      </c>
      <c r="G7">
        <v>13.36</v>
      </c>
      <c r="H7">
        <v>0.21</v>
      </c>
      <c r="I7">
        <v>33</v>
      </c>
      <c r="J7">
        <v>187.59</v>
      </c>
      <c r="K7">
        <v>53.44</v>
      </c>
      <c r="L7">
        <v>2.25</v>
      </c>
      <c r="M7">
        <v>31</v>
      </c>
      <c r="N7">
        <v>36.9</v>
      </c>
      <c r="O7">
        <v>23369.68</v>
      </c>
      <c r="P7">
        <v>98.72</v>
      </c>
      <c r="Q7">
        <v>204.19</v>
      </c>
      <c r="R7">
        <v>42.1</v>
      </c>
      <c r="S7">
        <v>17.37</v>
      </c>
      <c r="T7">
        <v>10129.75</v>
      </c>
      <c r="U7">
        <v>0.41</v>
      </c>
      <c r="V7">
        <v>0.7</v>
      </c>
      <c r="W7">
        <v>1.19</v>
      </c>
      <c r="X7">
        <v>0.65</v>
      </c>
      <c r="Y7">
        <v>1</v>
      </c>
      <c r="Z7">
        <v>10</v>
      </c>
    </row>
    <row r="8" spans="1:26" x14ac:dyDescent="0.3">
      <c r="A8">
        <v>6</v>
      </c>
      <c r="B8">
        <v>95</v>
      </c>
      <c r="C8" t="s">
        <v>26</v>
      </c>
      <c r="D8">
        <v>9.2485999999999997</v>
      </c>
      <c r="E8">
        <v>10.81</v>
      </c>
      <c r="F8">
        <v>7.26</v>
      </c>
      <c r="G8">
        <v>15.03</v>
      </c>
      <c r="H8">
        <v>0.24</v>
      </c>
      <c r="I8">
        <v>29</v>
      </c>
      <c r="J8">
        <v>187.97</v>
      </c>
      <c r="K8">
        <v>53.44</v>
      </c>
      <c r="L8">
        <v>2.5</v>
      </c>
      <c r="M8">
        <v>27</v>
      </c>
      <c r="N8">
        <v>37.03</v>
      </c>
      <c r="O8">
        <v>23416.52</v>
      </c>
      <c r="P8">
        <v>97.44</v>
      </c>
      <c r="Q8">
        <v>204.18</v>
      </c>
      <c r="R8">
        <v>39.76</v>
      </c>
      <c r="S8">
        <v>17.37</v>
      </c>
      <c r="T8">
        <v>8978.32</v>
      </c>
      <c r="U8">
        <v>0.44</v>
      </c>
      <c r="V8">
        <v>0.7</v>
      </c>
      <c r="W8">
        <v>1.18</v>
      </c>
      <c r="X8">
        <v>0.56999999999999995</v>
      </c>
      <c r="Y8">
        <v>1</v>
      </c>
      <c r="Z8">
        <v>10</v>
      </c>
    </row>
    <row r="9" spans="1:26" x14ac:dyDescent="0.3">
      <c r="A9">
        <v>7</v>
      </c>
      <c r="B9">
        <v>95</v>
      </c>
      <c r="C9" t="s">
        <v>26</v>
      </c>
      <c r="D9">
        <v>9.3544999999999998</v>
      </c>
      <c r="E9">
        <v>10.69</v>
      </c>
      <c r="F9">
        <v>7.22</v>
      </c>
      <c r="G9">
        <v>16.04</v>
      </c>
      <c r="H9">
        <v>0.26</v>
      </c>
      <c r="I9">
        <v>27</v>
      </c>
      <c r="J9">
        <v>188.35</v>
      </c>
      <c r="K9">
        <v>53.44</v>
      </c>
      <c r="L9">
        <v>2.75</v>
      </c>
      <c r="M9">
        <v>25</v>
      </c>
      <c r="N9">
        <v>37.159999999999997</v>
      </c>
      <c r="O9">
        <v>23463.4</v>
      </c>
      <c r="P9">
        <v>96.67</v>
      </c>
      <c r="Q9">
        <v>204.16</v>
      </c>
      <c r="R9">
        <v>38.06</v>
      </c>
      <c r="S9">
        <v>17.37</v>
      </c>
      <c r="T9">
        <v>8135.14</v>
      </c>
      <c r="U9">
        <v>0.46</v>
      </c>
      <c r="V9">
        <v>0.71</v>
      </c>
      <c r="W9">
        <v>1.19</v>
      </c>
      <c r="X9">
        <v>0.53</v>
      </c>
      <c r="Y9">
        <v>1</v>
      </c>
      <c r="Z9">
        <v>10</v>
      </c>
    </row>
    <row r="10" spans="1:26" x14ac:dyDescent="0.3">
      <c r="A10">
        <v>8</v>
      </c>
      <c r="B10">
        <v>95</v>
      </c>
      <c r="C10" t="s">
        <v>26</v>
      </c>
      <c r="D10">
        <v>9.5116999999999994</v>
      </c>
      <c r="E10">
        <v>10.51</v>
      </c>
      <c r="F10">
        <v>7.15</v>
      </c>
      <c r="G10">
        <v>17.88</v>
      </c>
      <c r="H10">
        <v>0.28000000000000003</v>
      </c>
      <c r="I10">
        <v>24</v>
      </c>
      <c r="J10">
        <v>188.73</v>
      </c>
      <c r="K10">
        <v>53.44</v>
      </c>
      <c r="L10">
        <v>3</v>
      </c>
      <c r="M10">
        <v>22</v>
      </c>
      <c r="N10">
        <v>37.29</v>
      </c>
      <c r="O10">
        <v>23510.33</v>
      </c>
      <c r="P10">
        <v>95.6</v>
      </c>
      <c r="Q10">
        <v>204.15</v>
      </c>
      <c r="R10">
        <v>36.24</v>
      </c>
      <c r="S10">
        <v>17.37</v>
      </c>
      <c r="T10">
        <v>7243.51</v>
      </c>
      <c r="U10">
        <v>0.48</v>
      </c>
      <c r="V10">
        <v>0.71</v>
      </c>
      <c r="W10">
        <v>1.17</v>
      </c>
      <c r="X10">
        <v>0.46</v>
      </c>
      <c r="Y10">
        <v>1</v>
      </c>
      <c r="Z10">
        <v>10</v>
      </c>
    </row>
    <row r="11" spans="1:26" x14ac:dyDescent="0.3">
      <c r="A11">
        <v>9</v>
      </c>
      <c r="B11">
        <v>95</v>
      </c>
      <c r="C11" t="s">
        <v>26</v>
      </c>
      <c r="D11">
        <v>9.6195000000000004</v>
      </c>
      <c r="E11">
        <v>10.4</v>
      </c>
      <c r="F11">
        <v>7.11</v>
      </c>
      <c r="G11">
        <v>19.39</v>
      </c>
      <c r="H11">
        <v>0.3</v>
      </c>
      <c r="I11">
        <v>22</v>
      </c>
      <c r="J11">
        <v>189.11</v>
      </c>
      <c r="K11">
        <v>53.44</v>
      </c>
      <c r="L11">
        <v>3.25</v>
      </c>
      <c r="M11">
        <v>20</v>
      </c>
      <c r="N11">
        <v>37.42</v>
      </c>
      <c r="O11">
        <v>23557.3</v>
      </c>
      <c r="P11">
        <v>94.86</v>
      </c>
      <c r="Q11">
        <v>204.16</v>
      </c>
      <c r="R11">
        <v>34.86</v>
      </c>
      <c r="S11">
        <v>17.37</v>
      </c>
      <c r="T11">
        <v>6562.53</v>
      </c>
      <c r="U11">
        <v>0.5</v>
      </c>
      <c r="V11">
        <v>0.72</v>
      </c>
      <c r="W11">
        <v>1.17</v>
      </c>
      <c r="X11">
        <v>0.42</v>
      </c>
      <c r="Y11">
        <v>1</v>
      </c>
      <c r="Z11">
        <v>10</v>
      </c>
    </row>
    <row r="12" spans="1:26" x14ac:dyDescent="0.3">
      <c r="A12">
        <v>10</v>
      </c>
      <c r="B12">
        <v>95</v>
      </c>
      <c r="C12" t="s">
        <v>26</v>
      </c>
      <c r="D12">
        <v>9.6760999999999999</v>
      </c>
      <c r="E12">
        <v>10.33</v>
      </c>
      <c r="F12">
        <v>7.08</v>
      </c>
      <c r="G12">
        <v>20.239999999999998</v>
      </c>
      <c r="H12">
        <v>0.33</v>
      </c>
      <c r="I12">
        <v>21</v>
      </c>
      <c r="J12">
        <v>189.49</v>
      </c>
      <c r="K12">
        <v>53.44</v>
      </c>
      <c r="L12">
        <v>3.5</v>
      </c>
      <c r="M12">
        <v>19</v>
      </c>
      <c r="N12">
        <v>37.549999999999997</v>
      </c>
      <c r="O12">
        <v>23604.32</v>
      </c>
      <c r="P12">
        <v>94.32</v>
      </c>
      <c r="Q12">
        <v>204.19</v>
      </c>
      <c r="R12">
        <v>34.08</v>
      </c>
      <c r="S12">
        <v>17.37</v>
      </c>
      <c r="T12">
        <v>6177.13</v>
      </c>
      <c r="U12">
        <v>0.51</v>
      </c>
      <c r="V12">
        <v>0.72</v>
      </c>
      <c r="W12">
        <v>1.17</v>
      </c>
      <c r="X12">
        <v>0.39</v>
      </c>
      <c r="Y12">
        <v>1</v>
      </c>
      <c r="Z12">
        <v>10</v>
      </c>
    </row>
    <row r="13" spans="1:26" x14ac:dyDescent="0.3">
      <c r="A13">
        <v>11</v>
      </c>
      <c r="B13">
        <v>95</v>
      </c>
      <c r="C13" t="s">
        <v>26</v>
      </c>
      <c r="D13">
        <v>9.7745999999999995</v>
      </c>
      <c r="E13">
        <v>10.23</v>
      </c>
      <c r="F13">
        <v>7.05</v>
      </c>
      <c r="G13">
        <v>22.28</v>
      </c>
      <c r="H13">
        <v>0.35</v>
      </c>
      <c r="I13">
        <v>19</v>
      </c>
      <c r="J13">
        <v>189.87</v>
      </c>
      <c r="K13">
        <v>53.44</v>
      </c>
      <c r="L13">
        <v>3.75</v>
      </c>
      <c r="M13">
        <v>17</v>
      </c>
      <c r="N13">
        <v>37.69</v>
      </c>
      <c r="O13">
        <v>23651.38</v>
      </c>
      <c r="P13">
        <v>93.76</v>
      </c>
      <c r="Q13">
        <v>204.14</v>
      </c>
      <c r="R13">
        <v>32.94</v>
      </c>
      <c r="S13">
        <v>17.37</v>
      </c>
      <c r="T13">
        <v>5614.93</v>
      </c>
      <c r="U13">
        <v>0.53</v>
      </c>
      <c r="V13">
        <v>0.72</v>
      </c>
      <c r="W13">
        <v>1.17</v>
      </c>
      <c r="X13">
        <v>0.36</v>
      </c>
      <c r="Y13">
        <v>1</v>
      </c>
      <c r="Z13">
        <v>10</v>
      </c>
    </row>
    <row r="14" spans="1:26" x14ac:dyDescent="0.3">
      <c r="A14">
        <v>12</v>
      </c>
      <c r="B14">
        <v>95</v>
      </c>
      <c r="C14" t="s">
        <v>26</v>
      </c>
      <c r="D14">
        <v>9.8430999999999997</v>
      </c>
      <c r="E14">
        <v>10.16</v>
      </c>
      <c r="F14">
        <v>7.02</v>
      </c>
      <c r="G14">
        <v>23.4</v>
      </c>
      <c r="H14">
        <v>0.37</v>
      </c>
      <c r="I14">
        <v>18</v>
      </c>
      <c r="J14">
        <v>190.25</v>
      </c>
      <c r="K14">
        <v>53.44</v>
      </c>
      <c r="L14">
        <v>4</v>
      </c>
      <c r="M14">
        <v>16</v>
      </c>
      <c r="N14">
        <v>37.82</v>
      </c>
      <c r="O14">
        <v>23698.48</v>
      </c>
      <c r="P14">
        <v>93.24</v>
      </c>
      <c r="Q14">
        <v>204.14</v>
      </c>
      <c r="R14">
        <v>32</v>
      </c>
      <c r="S14">
        <v>17.37</v>
      </c>
      <c r="T14">
        <v>5149.87</v>
      </c>
      <c r="U14">
        <v>0.54</v>
      </c>
      <c r="V14">
        <v>0.73</v>
      </c>
      <c r="W14">
        <v>1.17</v>
      </c>
      <c r="X14">
        <v>0.33</v>
      </c>
      <c r="Y14">
        <v>1</v>
      </c>
      <c r="Z14">
        <v>10</v>
      </c>
    </row>
    <row r="15" spans="1:26" x14ac:dyDescent="0.3">
      <c r="A15">
        <v>13</v>
      </c>
      <c r="B15">
        <v>95</v>
      </c>
      <c r="C15" t="s">
        <v>26</v>
      </c>
      <c r="D15">
        <v>9.8787000000000003</v>
      </c>
      <c r="E15">
        <v>10.119999999999999</v>
      </c>
      <c r="F15">
        <v>7.02</v>
      </c>
      <c r="G15">
        <v>24.78</v>
      </c>
      <c r="H15">
        <v>0.4</v>
      </c>
      <c r="I15">
        <v>17</v>
      </c>
      <c r="J15">
        <v>190.63</v>
      </c>
      <c r="K15">
        <v>53.44</v>
      </c>
      <c r="L15">
        <v>4.25</v>
      </c>
      <c r="M15">
        <v>15</v>
      </c>
      <c r="N15">
        <v>37.950000000000003</v>
      </c>
      <c r="O15">
        <v>23745.63</v>
      </c>
      <c r="P15">
        <v>93.05</v>
      </c>
      <c r="Q15">
        <v>204.16</v>
      </c>
      <c r="R15">
        <v>32.11</v>
      </c>
      <c r="S15">
        <v>17.37</v>
      </c>
      <c r="T15">
        <v>5213.8599999999997</v>
      </c>
      <c r="U15">
        <v>0.54</v>
      </c>
      <c r="V15">
        <v>0.73</v>
      </c>
      <c r="W15">
        <v>1.1599999999999999</v>
      </c>
      <c r="X15">
        <v>0.33</v>
      </c>
      <c r="Y15">
        <v>1</v>
      </c>
      <c r="Z15">
        <v>10</v>
      </c>
    </row>
    <row r="16" spans="1:26" x14ac:dyDescent="0.3">
      <c r="A16">
        <v>14</v>
      </c>
      <c r="B16">
        <v>95</v>
      </c>
      <c r="C16" t="s">
        <v>26</v>
      </c>
      <c r="D16">
        <v>9.9395000000000007</v>
      </c>
      <c r="E16">
        <v>10.06</v>
      </c>
      <c r="F16">
        <v>7</v>
      </c>
      <c r="G16">
        <v>26.24</v>
      </c>
      <c r="H16">
        <v>0.42</v>
      </c>
      <c r="I16">
        <v>16</v>
      </c>
      <c r="J16">
        <v>191.02</v>
      </c>
      <c r="K16">
        <v>53.44</v>
      </c>
      <c r="L16">
        <v>4.5</v>
      </c>
      <c r="M16">
        <v>14</v>
      </c>
      <c r="N16">
        <v>38.08</v>
      </c>
      <c r="O16">
        <v>23792.83</v>
      </c>
      <c r="P16">
        <v>92.56</v>
      </c>
      <c r="Q16">
        <v>204.16</v>
      </c>
      <c r="R16">
        <v>31.13</v>
      </c>
      <c r="S16">
        <v>17.37</v>
      </c>
      <c r="T16">
        <v>4728.78</v>
      </c>
      <c r="U16">
        <v>0.56000000000000005</v>
      </c>
      <c r="V16">
        <v>0.73</v>
      </c>
      <c r="W16">
        <v>1.17</v>
      </c>
      <c r="X16">
        <v>0.3</v>
      </c>
      <c r="Y16">
        <v>1</v>
      </c>
      <c r="Z16">
        <v>10</v>
      </c>
    </row>
    <row r="17" spans="1:26" x14ac:dyDescent="0.3">
      <c r="A17">
        <v>15</v>
      </c>
      <c r="B17">
        <v>95</v>
      </c>
      <c r="C17" t="s">
        <v>26</v>
      </c>
      <c r="D17">
        <v>9.9888999999999992</v>
      </c>
      <c r="E17">
        <v>10.01</v>
      </c>
      <c r="F17">
        <v>6.98</v>
      </c>
      <c r="G17">
        <v>27.94</v>
      </c>
      <c r="H17">
        <v>0.44</v>
      </c>
      <c r="I17">
        <v>15</v>
      </c>
      <c r="J17">
        <v>191.4</v>
      </c>
      <c r="K17">
        <v>53.44</v>
      </c>
      <c r="L17">
        <v>4.75</v>
      </c>
      <c r="M17">
        <v>13</v>
      </c>
      <c r="N17">
        <v>38.22</v>
      </c>
      <c r="O17">
        <v>23840.07</v>
      </c>
      <c r="P17">
        <v>92.27</v>
      </c>
      <c r="Q17">
        <v>204.15</v>
      </c>
      <c r="R17">
        <v>31.17</v>
      </c>
      <c r="S17">
        <v>17.37</v>
      </c>
      <c r="T17">
        <v>4753.82</v>
      </c>
      <c r="U17">
        <v>0.56000000000000005</v>
      </c>
      <c r="V17">
        <v>0.73</v>
      </c>
      <c r="W17">
        <v>1.1599999999999999</v>
      </c>
      <c r="X17">
        <v>0.28999999999999998</v>
      </c>
      <c r="Y17">
        <v>1</v>
      </c>
      <c r="Z17">
        <v>10</v>
      </c>
    </row>
    <row r="18" spans="1:26" x14ac:dyDescent="0.3">
      <c r="A18">
        <v>16</v>
      </c>
      <c r="B18">
        <v>95</v>
      </c>
      <c r="C18" t="s">
        <v>26</v>
      </c>
      <c r="D18">
        <v>10.0017</v>
      </c>
      <c r="E18">
        <v>10</v>
      </c>
      <c r="F18">
        <v>6.97</v>
      </c>
      <c r="G18">
        <v>27.89</v>
      </c>
      <c r="H18">
        <v>0.46</v>
      </c>
      <c r="I18">
        <v>15</v>
      </c>
      <c r="J18">
        <v>191.78</v>
      </c>
      <c r="K18">
        <v>53.44</v>
      </c>
      <c r="L18">
        <v>5</v>
      </c>
      <c r="M18">
        <v>13</v>
      </c>
      <c r="N18">
        <v>38.35</v>
      </c>
      <c r="O18">
        <v>23887.360000000001</v>
      </c>
      <c r="P18">
        <v>91.89</v>
      </c>
      <c r="Q18">
        <v>204.22</v>
      </c>
      <c r="R18">
        <v>30.61</v>
      </c>
      <c r="S18">
        <v>17.37</v>
      </c>
      <c r="T18">
        <v>4472.1400000000003</v>
      </c>
      <c r="U18">
        <v>0.56999999999999995</v>
      </c>
      <c r="V18">
        <v>0.73</v>
      </c>
      <c r="W18">
        <v>1.1599999999999999</v>
      </c>
      <c r="X18">
        <v>0.28000000000000003</v>
      </c>
      <c r="Y18">
        <v>1</v>
      </c>
      <c r="Z18">
        <v>10</v>
      </c>
    </row>
    <row r="19" spans="1:26" x14ac:dyDescent="0.3">
      <c r="A19">
        <v>17</v>
      </c>
      <c r="B19">
        <v>95</v>
      </c>
      <c r="C19" t="s">
        <v>26</v>
      </c>
      <c r="D19">
        <v>10.066800000000001</v>
      </c>
      <c r="E19">
        <v>9.93</v>
      </c>
      <c r="F19">
        <v>6.94</v>
      </c>
      <c r="G19">
        <v>29.76</v>
      </c>
      <c r="H19">
        <v>0.48</v>
      </c>
      <c r="I19">
        <v>14</v>
      </c>
      <c r="J19">
        <v>192.17</v>
      </c>
      <c r="K19">
        <v>53.44</v>
      </c>
      <c r="L19">
        <v>5.25</v>
      </c>
      <c r="M19">
        <v>12</v>
      </c>
      <c r="N19">
        <v>38.479999999999997</v>
      </c>
      <c r="O19">
        <v>23934.69</v>
      </c>
      <c r="P19">
        <v>91.5</v>
      </c>
      <c r="Q19">
        <v>204.15</v>
      </c>
      <c r="R19">
        <v>29.65</v>
      </c>
      <c r="S19">
        <v>17.37</v>
      </c>
      <c r="T19">
        <v>3999.21</v>
      </c>
      <c r="U19">
        <v>0.59</v>
      </c>
      <c r="V19">
        <v>0.74</v>
      </c>
      <c r="W19">
        <v>1.1599999999999999</v>
      </c>
      <c r="X19">
        <v>0.25</v>
      </c>
      <c r="Y19">
        <v>1</v>
      </c>
      <c r="Z19">
        <v>10</v>
      </c>
    </row>
    <row r="20" spans="1:26" x14ac:dyDescent="0.3">
      <c r="A20">
        <v>18</v>
      </c>
      <c r="B20">
        <v>95</v>
      </c>
      <c r="C20" t="s">
        <v>26</v>
      </c>
      <c r="D20">
        <v>10.117800000000001</v>
      </c>
      <c r="E20">
        <v>9.8800000000000008</v>
      </c>
      <c r="F20">
        <v>6.93</v>
      </c>
      <c r="G20">
        <v>31.99</v>
      </c>
      <c r="H20">
        <v>0.51</v>
      </c>
      <c r="I20">
        <v>13</v>
      </c>
      <c r="J20">
        <v>192.55</v>
      </c>
      <c r="K20">
        <v>53.44</v>
      </c>
      <c r="L20">
        <v>5.5</v>
      </c>
      <c r="M20">
        <v>11</v>
      </c>
      <c r="N20">
        <v>38.619999999999997</v>
      </c>
      <c r="O20">
        <v>23982.06</v>
      </c>
      <c r="P20">
        <v>91.06</v>
      </c>
      <c r="Q20">
        <v>204.14</v>
      </c>
      <c r="R20">
        <v>29.37</v>
      </c>
      <c r="S20">
        <v>17.37</v>
      </c>
      <c r="T20">
        <v>3864.07</v>
      </c>
      <c r="U20">
        <v>0.59</v>
      </c>
      <c r="V20">
        <v>0.74</v>
      </c>
      <c r="W20">
        <v>1.1599999999999999</v>
      </c>
      <c r="X20">
        <v>0.24</v>
      </c>
      <c r="Y20">
        <v>1</v>
      </c>
      <c r="Z20">
        <v>10</v>
      </c>
    </row>
    <row r="21" spans="1:26" x14ac:dyDescent="0.3">
      <c r="A21">
        <v>19</v>
      </c>
      <c r="B21">
        <v>95</v>
      </c>
      <c r="C21" t="s">
        <v>26</v>
      </c>
      <c r="D21">
        <v>10.122299999999999</v>
      </c>
      <c r="E21">
        <v>9.8800000000000008</v>
      </c>
      <c r="F21">
        <v>6.93</v>
      </c>
      <c r="G21">
        <v>31.97</v>
      </c>
      <c r="H21">
        <v>0.53</v>
      </c>
      <c r="I21">
        <v>13</v>
      </c>
      <c r="J21">
        <v>192.94</v>
      </c>
      <c r="K21">
        <v>53.44</v>
      </c>
      <c r="L21">
        <v>5.75</v>
      </c>
      <c r="M21">
        <v>11</v>
      </c>
      <c r="N21">
        <v>38.75</v>
      </c>
      <c r="O21">
        <v>24029.48</v>
      </c>
      <c r="P21">
        <v>90.93</v>
      </c>
      <c r="Q21">
        <v>204.19</v>
      </c>
      <c r="R21">
        <v>29.07</v>
      </c>
      <c r="S21">
        <v>17.37</v>
      </c>
      <c r="T21">
        <v>3711.51</v>
      </c>
      <c r="U21">
        <v>0.6</v>
      </c>
      <c r="V21">
        <v>0.74</v>
      </c>
      <c r="W21">
        <v>1.1599999999999999</v>
      </c>
      <c r="X21">
        <v>0.23</v>
      </c>
      <c r="Y21">
        <v>1</v>
      </c>
      <c r="Z21">
        <v>10</v>
      </c>
    </row>
    <row r="22" spans="1:26" x14ac:dyDescent="0.3">
      <c r="A22">
        <v>20</v>
      </c>
      <c r="B22">
        <v>95</v>
      </c>
      <c r="C22" t="s">
        <v>26</v>
      </c>
      <c r="D22">
        <v>10.1752</v>
      </c>
      <c r="E22">
        <v>9.83</v>
      </c>
      <c r="F22">
        <v>6.91</v>
      </c>
      <c r="G22">
        <v>34.56</v>
      </c>
      <c r="H22">
        <v>0.55000000000000004</v>
      </c>
      <c r="I22">
        <v>12</v>
      </c>
      <c r="J22">
        <v>193.32</v>
      </c>
      <c r="K22">
        <v>53.44</v>
      </c>
      <c r="L22">
        <v>6</v>
      </c>
      <c r="M22">
        <v>10</v>
      </c>
      <c r="N22">
        <v>38.89</v>
      </c>
      <c r="O22">
        <v>24076.95</v>
      </c>
      <c r="P22">
        <v>90.55</v>
      </c>
      <c r="Q22">
        <v>204.17</v>
      </c>
      <c r="R22">
        <v>28.92</v>
      </c>
      <c r="S22">
        <v>17.37</v>
      </c>
      <c r="T22">
        <v>3644.24</v>
      </c>
      <c r="U22">
        <v>0.6</v>
      </c>
      <c r="V22">
        <v>0.74</v>
      </c>
      <c r="W22">
        <v>1.1499999999999999</v>
      </c>
      <c r="X22">
        <v>0.22</v>
      </c>
      <c r="Y22">
        <v>1</v>
      </c>
      <c r="Z22">
        <v>10</v>
      </c>
    </row>
    <row r="23" spans="1:26" x14ac:dyDescent="0.3">
      <c r="A23">
        <v>21</v>
      </c>
      <c r="B23">
        <v>95</v>
      </c>
      <c r="C23" t="s">
        <v>26</v>
      </c>
      <c r="D23">
        <v>10.1698</v>
      </c>
      <c r="E23">
        <v>9.83</v>
      </c>
      <c r="F23">
        <v>6.92</v>
      </c>
      <c r="G23">
        <v>34.590000000000003</v>
      </c>
      <c r="H23">
        <v>0.56999999999999995</v>
      </c>
      <c r="I23">
        <v>12</v>
      </c>
      <c r="J23">
        <v>193.71</v>
      </c>
      <c r="K23">
        <v>53.44</v>
      </c>
      <c r="L23">
        <v>6.25</v>
      </c>
      <c r="M23">
        <v>10</v>
      </c>
      <c r="N23">
        <v>39.020000000000003</v>
      </c>
      <c r="O23">
        <v>24124.47</v>
      </c>
      <c r="P23">
        <v>90.52</v>
      </c>
      <c r="Q23">
        <v>204.15</v>
      </c>
      <c r="R23">
        <v>28.84</v>
      </c>
      <c r="S23">
        <v>17.37</v>
      </c>
      <c r="T23">
        <v>3603.17</v>
      </c>
      <c r="U23">
        <v>0.6</v>
      </c>
      <c r="V23">
        <v>0.74</v>
      </c>
      <c r="W23">
        <v>1.1599999999999999</v>
      </c>
      <c r="X23">
        <v>0.23</v>
      </c>
      <c r="Y23">
        <v>1</v>
      </c>
      <c r="Z23">
        <v>10</v>
      </c>
    </row>
    <row r="24" spans="1:26" x14ac:dyDescent="0.3">
      <c r="A24">
        <v>22</v>
      </c>
      <c r="B24">
        <v>95</v>
      </c>
      <c r="C24" t="s">
        <v>26</v>
      </c>
      <c r="D24">
        <v>10.248799999999999</v>
      </c>
      <c r="E24">
        <v>9.76</v>
      </c>
      <c r="F24">
        <v>6.88</v>
      </c>
      <c r="G24">
        <v>37.520000000000003</v>
      </c>
      <c r="H24">
        <v>0.59</v>
      </c>
      <c r="I24">
        <v>11</v>
      </c>
      <c r="J24">
        <v>194.09</v>
      </c>
      <c r="K24">
        <v>53.44</v>
      </c>
      <c r="L24">
        <v>6.5</v>
      </c>
      <c r="M24">
        <v>9</v>
      </c>
      <c r="N24">
        <v>39.159999999999997</v>
      </c>
      <c r="O24">
        <v>24172.03</v>
      </c>
      <c r="P24">
        <v>89.61</v>
      </c>
      <c r="Q24">
        <v>204.14</v>
      </c>
      <c r="R24">
        <v>27.64</v>
      </c>
      <c r="S24">
        <v>17.37</v>
      </c>
      <c r="T24">
        <v>3005.83</v>
      </c>
      <c r="U24">
        <v>0.63</v>
      </c>
      <c r="V24">
        <v>0.74</v>
      </c>
      <c r="W24">
        <v>1.1499999999999999</v>
      </c>
      <c r="X24">
        <v>0.19</v>
      </c>
      <c r="Y24">
        <v>1</v>
      </c>
      <c r="Z24">
        <v>10</v>
      </c>
    </row>
    <row r="25" spans="1:26" x14ac:dyDescent="0.3">
      <c r="A25">
        <v>23</v>
      </c>
      <c r="B25">
        <v>95</v>
      </c>
      <c r="C25" t="s">
        <v>26</v>
      </c>
      <c r="D25">
        <v>10.2447</v>
      </c>
      <c r="E25">
        <v>9.76</v>
      </c>
      <c r="F25">
        <v>6.88</v>
      </c>
      <c r="G25">
        <v>37.54</v>
      </c>
      <c r="H25">
        <v>0.62</v>
      </c>
      <c r="I25">
        <v>11</v>
      </c>
      <c r="J25">
        <v>194.48</v>
      </c>
      <c r="K25">
        <v>53.44</v>
      </c>
      <c r="L25">
        <v>6.75</v>
      </c>
      <c r="M25">
        <v>9</v>
      </c>
      <c r="N25">
        <v>39.29</v>
      </c>
      <c r="O25">
        <v>24219.63</v>
      </c>
      <c r="P25">
        <v>89.64</v>
      </c>
      <c r="Q25">
        <v>204.15</v>
      </c>
      <c r="R25">
        <v>27.81</v>
      </c>
      <c r="S25">
        <v>17.37</v>
      </c>
      <c r="T25">
        <v>3091.7</v>
      </c>
      <c r="U25">
        <v>0.62</v>
      </c>
      <c r="V25">
        <v>0.74</v>
      </c>
      <c r="W25">
        <v>1.1499999999999999</v>
      </c>
      <c r="X25">
        <v>0.19</v>
      </c>
      <c r="Y25">
        <v>1</v>
      </c>
      <c r="Z25">
        <v>10</v>
      </c>
    </row>
    <row r="26" spans="1:26" x14ac:dyDescent="0.3">
      <c r="A26">
        <v>24</v>
      </c>
      <c r="B26">
        <v>95</v>
      </c>
      <c r="C26" t="s">
        <v>26</v>
      </c>
      <c r="D26">
        <v>10.242100000000001</v>
      </c>
      <c r="E26">
        <v>9.76</v>
      </c>
      <c r="F26">
        <v>6.89</v>
      </c>
      <c r="G26">
        <v>37.56</v>
      </c>
      <c r="H26">
        <v>0.64</v>
      </c>
      <c r="I26">
        <v>11</v>
      </c>
      <c r="J26">
        <v>194.86</v>
      </c>
      <c r="K26">
        <v>53.44</v>
      </c>
      <c r="L26">
        <v>7</v>
      </c>
      <c r="M26">
        <v>9</v>
      </c>
      <c r="N26">
        <v>39.43</v>
      </c>
      <c r="O26">
        <v>24267.279999999999</v>
      </c>
      <c r="P26">
        <v>89.37</v>
      </c>
      <c r="Q26">
        <v>204.18</v>
      </c>
      <c r="R26">
        <v>27.9</v>
      </c>
      <c r="S26">
        <v>17.37</v>
      </c>
      <c r="T26">
        <v>3139.5</v>
      </c>
      <c r="U26">
        <v>0.62</v>
      </c>
      <c r="V26">
        <v>0.74</v>
      </c>
      <c r="W26">
        <v>1.1499999999999999</v>
      </c>
      <c r="X26">
        <v>0.19</v>
      </c>
      <c r="Y26">
        <v>1</v>
      </c>
      <c r="Z26">
        <v>10</v>
      </c>
    </row>
    <row r="27" spans="1:26" x14ac:dyDescent="0.3">
      <c r="A27">
        <v>25</v>
      </c>
      <c r="B27">
        <v>95</v>
      </c>
      <c r="C27" t="s">
        <v>26</v>
      </c>
      <c r="D27">
        <v>10.303100000000001</v>
      </c>
      <c r="E27">
        <v>9.7100000000000009</v>
      </c>
      <c r="F27">
        <v>6.87</v>
      </c>
      <c r="G27">
        <v>41.19</v>
      </c>
      <c r="H27">
        <v>0.66</v>
      </c>
      <c r="I27">
        <v>10</v>
      </c>
      <c r="J27">
        <v>195.25</v>
      </c>
      <c r="K27">
        <v>53.44</v>
      </c>
      <c r="L27">
        <v>7.25</v>
      </c>
      <c r="M27">
        <v>8</v>
      </c>
      <c r="N27">
        <v>39.57</v>
      </c>
      <c r="O27">
        <v>24314.98</v>
      </c>
      <c r="P27">
        <v>88.83</v>
      </c>
      <c r="Q27">
        <v>204.15</v>
      </c>
      <c r="R27">
        <v>27.3</v>
      </c>
      <c r="S27">
        <v>17.37</v>
      </c>
      <c r="T27">
        <v>2841.04</v>
      </c>
      <c r="U27">
        <v>0.64</v>
      </c>
      <c r="V27">
        <v>0.74</v>
      </c>
      <c r="W27">
        <v>1.1499999999999999</v>
      </c>
      <c r="X27">
        <v>0.17</v>
      </c>
      <c r="Y27">
        <v>1</v>
      </c>
      <c r="Z27">
        <v>10</v>
      </c>
    </row>
    <row r="28" spans="1:26" x14ac:dyDescent="0.3">
      <c r="A28">
        <v>26</v>
      </c>
      <c r="B28">
        <v>95</v>
      </c>
      <c r="C28" t="s">
        <v>26</v>
      </c>
      <c r="D28">
        <v>10.3001</v>
      </c>
      <c r="E28">
        <v>9.7100000000000009</v>
      </c>
      <c r="F28">
        <v>6.87</v>
      </c>
      <c r="G28">
        <v>41.21</v>
      </c>
      <c r="H28">
        <v>0.68</v>
      </c>
      <c r="I28">
        <v>10</v>
      </c>
      <c r="J28">
        <v>195.64</v>
      </c>
      <c r="K28">
        <v>53.44</v>
      </c>
      <c r="L28">
        <v>7.5</v>
      </c>
      <c r="M28">
        <v>8</v>
      </c>
      <c r="N28">
        <v>39.700000000000003</v>
      </c>
      <c r="O28">
        <v>24362.73</v>
      </c>
      <c r="P28">
        <v>88.84</v>
      </c>
      <c r="Q28">
        <v>204.14</v>
      </c>
      <c r="R28">
        <v>27.33</v>
      </c>
      <c r="S28">
        <v>17.37</v>
      </c>
      <c r="T28">
        <v>2855.01</v>
      </c>
      <c r="U28">
        <v>0.64</v>
      </c>
      <c r="V28">
        <v>0.74</v>
      </c>
      <c r="W28">
        <v>1.1499999999999999</v>
      </c>
      <c r="X28">
        <v>0.18</v>
      </c>
      <c r="Y28">
        <v>1</v>
      </c>
      <c r="Z28">
        <v>10</v>
      </c>
    </row>
    <row r="29" spans="1:26" x14ac:dyDescent="0.3">
      <c r="A29">
        <v>27</v>
      </c>
      <c r="B29">
        <v>95</v>
      </c>
      <c r="C29" t="s">
        <v>26</v>
      </c>
      <c r="D29">
        <v>10.300700000000001</v>
      </c>
      <c r="E29">
        <v>9.7100000000000009</v>
      </c>
      <c r="F29">
        <v>6.87</v>
      </c>
      <c r="G29">
        <v>41.2</v>
      </c>
      <c r="H29">
        <v>0.7</v>
      </c>
      <c r="I29">
        <v>10</v>
      </c>
      <c r="J29">
        <v>196.03</v>
      </c>
      <c r="K29">
        <v>53.44</v>
      </c>
      <c r="L29">
        <v>7.75</v>
      </c>
      <c r="M29">
        <v>8</v>
      </c>
      <c r="N29">
        <v>39.840000000000003</v>
      </c>
      <c r="O29">
        <v>24410.52</v>
      </c>
      <c r="P29">
        <v>88.77</v>
      </c>
      <c r="Q29">
        <v>204.17</v>
      </c>
      <c r="R29">
        <v>27.32</v>
      </c>
      <c r="S29">
        <v>17.37</v>
      </c>
      <c r="T29">
        <v>2853.9</v>
      </c>
      <c r="U29">
        <v>0.64</v>
      </c>
      <c r="V29">
        <v>0.74</v>
      </c>
      <c r="W29">
        <v>1.1499999999999999</v>
      </c>
      <c r="X29">
        <v>0.18</v>
      </c>
      <c r="Y29">
        <v>1</v>
      </c>
      <c r="Z29">
        <v>10</v>
      </c>
    </row>
    <row r="30" spans="1:26" x14ac:dyDescent="0.3">
      <c r="A30">
        <v>28</v>
      </c>
      <c r="B30">
        <v>95</v>
      </c>
      <c r="C30" t="s">
        <v>26</v>
      </c>
      <c r="D30">
        <v>10.3546</v>
      </c>
      <c r="E30">
        <v>9.66</v>
      </c>
      <c r="F30">
        <v>6.85</v>
      </c>
      <c r="G30">
        <v>45.69</v>
      </c>
      <c r="H30">
        <v>0.72</v>
      </c>
      <c r="I30">
        <v>9</v>
      </c>
      <c r="J30">
        <v>196.41</v>
      </c>
      <c r="K30">
        <v>53.44</v>
      </c>
      <c r="L30">
        <v>8</v>
      </c>
      <c r="M30">
        <v>7</v>
      </c>
      <c r="N30">
        <v>39.979999999999997</v>
      </c>
      <c r="O30">
        <v>24458.36</v>
      </c>
      <c r="P30">
        <v>88.35</v>
      </c>
      <c r="Q30">
        <v>204.19</v>
      </c>
      <c r="R30">
        <v>26.81</v>
      </c>
      <c r="S30">
        <v>17.37</v>
      </c>
      <c r="T30">
        <v>2601.4299999999998</v>
      </c>
      <c r="U30">
        <v>0.65</v>
      </c>
      <c r="V30">
        <v>0.75</v>
      </c>
      <c r="W30">
        <v>1.1499999999999999</v>
      </c>
      <c r="X30">
        <v>0.16</v>
      </c>
      <c r="Y30">
        <v>1</v>
      </c>
      <c r="Z30">
        <v>10</v>
      </c>
    </row>
    <row r="31" spans="1:26" x14ac:dyDescent="0.3">
      <c r="A31">
        <v>29</v>
      </c>
      <c r="B31">
        <v>95</v>
      </c>
      <c r="C31" t="s">
        <v>26</v>
      </c>
      <c r="D31">
        <v>10.3514</v>
      </c>
      <c r="E31">
        <v>9.66</v>
      </c>
      <c r="F31">
        <v>6.86</v>
      </c>
      <c r="G31">
        <v>45.71</v>
      </c>
      <c r="H31">
        <v>0.74</v>
      </c>
      <c r="I31">
        <v>9</v>
      </c>
      <c r="J31">
        <v>196.8</v>
      </c>
      <c r="K31">
        <v>53.44</v>
      </c>
      <c r="L31">
        <v>8.25</v>
      </c>
      <c r="M31">
        <v>7</v>
      </c>
      <c r="N31">
        <v>40.119999999999997</v>
      </c>
      <c r="O31">
        <v>24506.240000000002</v>
      </c>
      <c r="P31">
        <v>88.52</v>
      </c>
      <c r="Q31">
        <v>204.14</v>
      </c>
      <c r="R31">
        <v>26.98</v>
      </c>
      <c r="S31">
        <v>17.37</v>
      </c>
      <c r="T31">
        <v>2687.88</v>
      </c>
      <c r="U31">
        <v>0.64</v>
      </c>
      <c r="V31">
        <v>0.74</v>
      </c>
      <c r="W31">
        <v>1.1499999999999999</v>
      </c>
      <c r="X31">
        <v>0.17</v>
      </c>
      <c r="Y31">
        <v>1</v>
      </c>
      <c r="Z31">
        <v>10</v>
      </c>
    </row>
    <row r="32" spans="1:26" x14ac:dyDescent="0.3">
      <c r="A32">
        <v>30</v>
      </c>
      <c r="B32">
        <v>95</v>
      </c>
      <c r="C32" t="s">
        <v>26</v>
      </c>
      <c r="D32">
        <v>10.350199999999999</v>
      </c>
      <c r="E32">
        <v>9.66</v>
      </c>
      <c r="F32">
        <v>6.86</v>
      </c>
      <c r="G32">
        <v>45.72</v>
      </c>
      <c r="H32">
        <v>0.77</v>
      </c>
      <c r="I32">
        <v>9</v>
      </c>
      <c r="J32">
        <v>197.19</v>
      </c>
      <c r="K32">
        <v>53.44</v>
      </c>
      <c r="L32">
        <v>8.5</v>
      </c>
      <c r="M32">
        <v>7</v>
      </c>
      <c r="N32">
        <v>40.26</v>
      </c>
      <c r="O32">
        <v>24554.18</v>
      </c>
      <c r="P32">
        <v>88.3</v>
      </c>
      <c r="Q32">
        <v>204.15</v>
      </c>
      <c r="R32">
        <v>26.99</v>
      </c>
      <c r="S32">
        <v>17.37</v>
      </c>
      <c r="T32">
        <v>2691.38</v>
      </c>
      <c r="U32">
        <v>0.64</v>
      </c>
      <c r="V32">
        <v>0.74</v>
      </c>
      <c r="W32">
        <v>1.1499999999999999</v>
      </c>
      <c r="X32">
        <v>0.17</v>
      </c>
      <c r="Y32">
        <v>1</v>
      </c>
      <c r="Z32">
        <v>10</v>
      </c>
    </row>
    <row r="33" spans="1:26" x14ac:dyDescent="0.3">
      <c r="A33">
        <v>31</v>
      </c>
      <c r="B33">
        <v>95</v>
      </c>
      <c r="C33" t="s">
        <v>26</v>
      </c>
      <c r="D33">
        <v>10.352</v>
      </c>
      <c r="E33">
        <v>9.66</v>
      </c>
      <c r="F33">
        <v>6.86</v>
      </c>
      <c r="G33">
        <v>45.71</v>
      </c>
      <c r="H33">
        <v>0.79</v>
      </c>
      <c r="I33">
        <v>9</v>
      </c>
      <c r="J33">
        <v>197.58</v>
      </c>
      <c r="K33">
        <v>53.44</v>
      </c>
      <c r="L33">
        <v>8.75</v>
      </c>
      <c r="M33">
        <v>7</v>
      </c>
      <c r="N33">
        <v>40.39</v>
      </c>
      <c r="O33">
        <v>24602.15</v>
      </c>
      <c r="P33">
        <v>88.04</v>
      </c>
      <c r="Q33">
        <v>204.14</v>
      </c>
      <c r="R33">
        <v>26.99</v>
      </c>
      <c r="S33">
        <v>17.37</v>
      </c>
      <c r="T33">
        <v>2694.76</v>
      </c>
      <c r="U33">
        <v>0.64</v>
      </c>
      <c r="V33">
        <v>0.74</v>
      </c>
      <c r="W33">
        <v>1.1499999999999999</v>
      </c>
      <c r="X33">
        <v>0.17</v>
      </c>
      <c r="Y33">
        <v>1</v>
      </c>
      <c r="Z33">
        <v>10</v>
      </c>
    </row>
    <row r="34" spans="1:26" x14ac:dyDescent="0.3">
      <c r="A34">
        <v>32</v>
      </c>
      <c r="B34">
        <v>95</v>
      </c>
      <c r="C34" t="s">
        <v>26</v>
      </c>
      <c r="D34">
        <v>10.415800000000001</v>
      </c>
      <c r="E34">
        <v>9.6</v>
      </c>
      <c r="F34">
        <v>6.83</v>
      </c>
      <c r="G34">
        <v>51.26</v>
      </c>
      <c r="H34">
        <v>0.81</v>
      </c>
      <c r="I34">
        <v>8</v>
      </c>
      <c r="J34">
        <v>197.97</v>
      </c>
      <c r="K34">
        <v>53.44</v>
      </c>
      <c r="L34">
        <v>9</v>
      </c>
      <c r="M34">
        <v>6</v>
      </c>
      <c r="N34">
        <v>40.53</v>
      </c>
      <c r="O34">
        <v>24650.18</v>
      </c>
      <c r="P34">
        <v>87.47</v>
      </c>
      <c r="Q34">
        <v>204.15</v>
      </c>
      <c r="R34">
        <v>26.34</v>
      </c>
      <c r="S34">
        <v>17.37</v>
      </c>
      <c r="T34">
        <v>2374.4</v>
      </c>
      <c r="U34">
        <v>0.66</v>
      </c>
      <c r="V34">
        <v>0.75</v>
      </c>
      <c r="W34">
        <v>1.1499999999999999</v>
      </c>
      <c r="X34">
        <v>0.14000000000000001</v>
      </c>
      <c r="Y34">
        <v>1</v>
      </c>
      <c r="Z34">
        <v>10</v>
      </c>
    </row>
    <row r="35" spans="1:26" x14ac:dyDescent="0.3">
      <c r="A35">
        <v>33</v>
      </c>
      <c r="B35">
        <v>95</v>
      </c>
      <c r="C35" t="s">
        <v>26</v>
      </c>
      <c r="D35">
        <v>10.432700000000001</v>
      </c>
      <c r="E35">
        <v>9.59</v>
      </c>
      <c r="F35">
        <v>6.82</v>
      </c>
      <c r="G35">
        <v>51.14</v>
      </c>
      <c r="H35">
        <v>0.83</v>
      </c>
      <c r="I35">
        <v>8</v>
      </c>
      <c r="J35">
        <v>198.36</v>
      </c>
      <c r="K35">
        <v>53.44</v>
      </c>
      <c r="L35">
        <v>9.25</v>
      </c>
      <c r="M35">
        <v>6</v>
      </c>
      <c r="N35">
        <v>40.67</v>
      </c>
      <c r="O35">
        <v>24698.26</v>
      </c>
      <c r="P35">
        <v>87.06</v>
      </c>
      <c r="Q35">
        <v>204.15</v>
      </c>
      <c r="R35">
        <v>25.81</v>
      </c>
      <c r="S35">
        <v>17.37</v>
      </c>
      <c r="T35">
        <v>2109.38</v>
      </c>
      <c r="U35">
        <v>0.67</v>
      </c>
      <c r="V35">
        <v>0.75</v>
      </c>
      <c r="W35">
        <v>1.1499999999999999</v>
      </c>
      <c r="X35">
        <v>0.13</v>
      </c>
      <c r="Y35">
        <v>1</v>
      </c>
      <c r="Z35">
        <v>10</v>
      </c>
    </row>
    <row r="36" spans="1:26" x14ac:dyDescent="0.3">
      <c r="A36">
        <v>34</v>
      </c>
      <c r="B36">
        <v>95</v>
      </c>
      <c r="C36" t="s">
        <v>26</v>
      </c>
      <c r="D36">
        <v>10.421200000000001</v>
      </c>
      <c r="E36">
        <v>9.6</v>
      </c>
      <c r="F36">
        <v>6.83</v>
      </c>
      <c r="G36">
        <v>51.22</v>
      </c>
      <c r="H36">
        <v>0.85</v>
      </c>
      <c r="I36">
        <v>8</v>
      </c>
      <c r="J36">
        <v>198.75</v>
      </c>
      <c r="K36">
        <v>53.44</v>
      </c>
      <c r="L36">
        <v>9.5</v>
      </c>
      <c r="M36">
        <v>6</v>
      </c>
      <c r="N36">
        <v>40.81</v>
      </c>
      <c r="O36">
        <v>24746.38</v>
      </c>
      <c r="P36">
        <v>87.03</v>
      </c>
      <c r="Q36">
        <v>204.14</v>
      </c>
      <c r="R36">
        <v>26.09</v>
      </c>
      <c r="S36">
        <v>17.37</v>
      </c>
      <c r="T36">
        <v>2246.7399999999998</v>
      </c>
      <c r="U36">
        <v>0.67</v>
      </c>
      <c r="V36">
        <v>0.75</v>
      </c>
      <c r="W36">
        <v>1.1499999999999999</v>
      </c>
      <c r="X36">
        <v>0.14000000000000001</v>
      </c>
      <c r="Y36">
        <v>1</v>
      </c>
      <c r="Z36">
        <v>10</v>
      </c>
    </row>
    <row r="37" spans="1:26" x14ac:dyDescent="0.3">
      <c r="A37">
        <v>35</v>
      </c>
      <c r="B37">
        <v>95</v>
      </c>
      <c r="C37" t="s">
        <v>26</v>
      </c>
      <c r="D37">
        <v>10.4251</v>
      </c>
      <c r="E37">
        <v>9.59</v>
      </c>
      <c r="F37">
        <v>6.83</v>
      </c>
      <c r="G37">
        <v>51.19</v>
      </c>
      <c r="H37">
        <v>0.87</v>
      </c>
      <c r="I37">
        <v>8</v>
      </c>
      <c r="J37">
        <v>199.14</v>
      </c>
      <c r="K37">
        <v>53.44</v>
      </c>
      <c r="L37">
        <v>9.75</v>
      </c>
      <c r="M37">
        <v>6</v>
      </c>
      <c r="N37">
        <v>40.950000000000003</v>
      </c>
      <c r="O37">
        <v>24794.55</v>
      </c>
      <c r="P37">
        <v>86.78</v>
      </c>
      <c r="Q37">
        <v>204.16</v>
      </c>
      <c r="R37">
        <v>26.13</v>
      </c>
      <c r="S37">
        <v>17.37</v>
      </c>
      <c r="T37">
        <v>2269.6</v>
      </c>
      <c r="U37">
        <v>0.66</v>
      </c>
      <c r="V37">
        <v>0.75</v>
      </c>
      <c r="W37">
        <v>1.1499999999999999</v>
      </c>
      <c r="X37">
        <v>0.13</v>
      </c>
      <c r="Y37">
        <v>1</v>
      </c>
      <c r="Z37">
        <v>10</v>
      </c>
    </row>
    <row r="38" spans="1:26" x14ac:dyDescent="0.3">
      <c r="A38">
        <v>36</v>
      </c>
      <c r="B38">
        <v>95</v>
      </c>
      <c r="C38" t="s">
        <v>26</v>
      </c>
      <c r="D38">
        <v>10.4206</v>
      </c>
      <c r="E38">
        <v>9.6</v>
      </c>
      <c r="F38">
        <v>6.83</v>
      </c>
      <c r="G38">
        <v>51.23</v>
      </c>
      <c r="H38">
        <v>0.89</v>
      </c>
      <c r="I38">
        <v>8</v>
      </c>
      <c r="J38">
        <v>199.53</v>
      </c>
      <c r="K38">
        <v>53.44</v>
      </c>
      <c r="L38">
        <v>10</v>
      </c>
      <c r="M38">
        <v>6</v>
      </c>
      <c r="N38">
        <v>41.1</v>
      </c>
      <c r="O38">
        <v>24842.77</v>
      </c>
      <c r="P38">
        <v>86.66</v>
      </c>
      <c r="Q38">
        <v>204.14</v>
      </c>
      <c r="R38">
        <v>26.09</v>
      </c>
      <c r="S38">
        <v>17.37</v>
      </c>
      <c r="T38">
        <v>2249.7399999999998</v>
      </c>
      <c r="U38">
        <v>0.67</v>
      </c>
      <c r="V38">
        <v>0.75</v>
      </c>
      <c r="W38">
        <v>1.1499999999999999</v>
      </c>
      <c r="X38">
        <v>0.14000000000000001</v>
      </c>
      <c r="Y38">
        <v>1</v>
      </c>
      <c r="Z38">
        <v>10</v>
      </c>
    </row>
    <row r="39" spans="1:26" x14ac:dyDescent="0.3">
      <c r="A39">
        <v>37</v>
      </c>
      <c r="B39">
        <v>95</v>
      </c>
      <c r="C39" t="s">
        <v>26</v>
      </c>
      <c r="D39">
        <v>10.4941</v>
      </c>
      <c r="E39">
        <v>9.5299999999999994</v>
      </c>
      <c r="F39">
        <v>6.8</v>
      </c>
      <c r="G39">
        <v>58.29</v>
      </c>
      <c r="H39">
        <v>0.91</v>
      </c>
      <c r="I39">
        <v>7</v>
      </c>
      <c r="J39">
        <v>199.92</v>
      </c>
      <c r="K39">
        <v>53.44</v>
      </c>
      <c r="L39">
        <v>10.25</v>
      </c>
      <c r="M39">
        <v>5</v>
      </c>
      <c r="N39">
        <v>41.24</v>
      </c>
      <c r="O39">
        <v>24891.03</v>
      </c>
      <c r="P39">
        <v>85.86</v>
      </c>
      <c r="Q39">
        <v>204.14</v>
      </c>
      <c r="R39">
        <v>25.27</v>
      </c>
      <c r="S39">
        <v>17.37</v>
      </c>
      <c r="T39">
        <v>1842.32</v>
      </c>
      <c r="U39">
        <v>0.69</v>
      </c>
      <c r="V39">
        <v>0.75</v>
      </c>
      <c r="W39">
        <v>1.1499999999999999</v>
      </c>
      <c r="X39">
        <v>0.11</v>
      </c>
      <c r="Y39">
        <v>1</v>
      </c>
      <c r="Z39">
        <v>10</v>
      </c>
    </row>
    <row r="40" spans="1:26" x14ac:dyDescent="0.3">
      <c r="A40">
        <v>38</v>
      </c>
      <c r="B40">
        <v>95</v>
      </c>
      <c r="C40" t="s">
        <v>26</v>
      </c>
      <c r="D40">
        <v>10.493499999999999</v>
      </c>
      <c r="E40">
        <v>9.5299999999999994</v>
      </c>
      <c r="F40">
        <v>6.8</v>
      </c>
      <c r="G40">
        <v>58.29</v>
      </c>
      <c r="H40">
        <v>0.93</v>
      </c>
      <c r="I40">
        <v>7</v>
      </c>
      <c r="J40">
        <v>200.31</v>
      </c>
      <c r="K40">
        <v>53.44</v>
      </c>
      <c r="L40">
        <v>10.5</v>
      </c>
      <c r="M40">
        <v>5</v>
      </c>
      <c r="N40">
        <v>41.38</v>
      </c>
      <c r="O40">
        <v>24939.35</v>
      </c>
      <c r="P40">
        <v>86.1</v>
      </c>
      <c r="Q40">
        <v>204.16</v>
      </c>
      <c r="R40">
        <v>25.25</v>
      </c>
      <c r="S40">
        <v>17.37</v>
      </c>
      <c r="T40">
        <v>1834.79</v>
      </c>
      <c r="U40">
        <v>0.69</v>
      </c>
      <c r="V40">
        <v>0.75</v>
      </c>
      <c r="W40">
        <v>1.1499999999999999</v>
      </c>
      <c r="X40">
        <v>0.11</v>
      </c>
      <c r="Y40">
        <v>1</v>
      </c>
      <c r="Z40">
        <v>10</v>
      </c>
    </row>
    <row r="41" spans="1:26" x14ac:dyDescent="0.3">
      <c r="A41">
        <v>39</v>
      </c>
      <c r="B41">
        <v>95</v>
      </c>
      <c r="C41" t="s">
        <v>26</v>
      </c>
      <c r="D41">
        <v>10.489800000000001</v>
      </c>
      <c r="E41">
        <v>9.5299999999999994</v>
      </c>
      <c r="F41">
        <v>6.8</v>
      </c>
      <c r="G41">
        <v>58.32</v>
      </c>
      <c r="H41">
        <v>0.95</v>
      </c>
      <c r="I41">
        <v>7</v>
      </c>
      <c r="J41">
        <v>200.71</v>
      </c>
      <c r="K41">
        <v>53.44</v>
      </c>
      <c r="L41">
        <v>10.75</v>
      </c>
      <c r="M41">
        <v>5</v>
      </c>
      <c r="N41">
        <v>41.52</v>
      </c>
      <c r="O41">
        <v>24987.71</v>
      </c>
      <c r="P41">
        <v>86.27</v>
      </c>
      <c r="Q41">
        <v>204.14</v>
      </c>
      <c r="R41">
        <v>25.31</v>
      </c>
      <c r="S41">
        <v>17.37</v>
      </c>
      <c r="T41">
        <v>1859.84</v>
      </c>
      <c r="U41">
        <v>0.69</v>
      </c>
      <c r="V41">
        <v>0.75</v>
      </c>
      <c r="W41">
        <v>1.1499999999999999</v>
      </c>
      <c r="X41">
        <v>0.11</v>
      </c>
      <c r="Y41">
        <v>1</v>
      </c>
      <c r="Z41">
        <v>10</v>
      </c>
    </row>
    <row r="42" spans="1:26" x14ac:dyDescent="0.3">
      <c r="A42">
        <v>40</v>
      </c>
      <c r="B42">
        <v>95</v>
      </c>
      <c r="C42" t="s">
        <v>26</v>
      </c>
      <c r="D42">
        <v>10.476100000000001</v>
      </c>
      <c r="E42">
        <v>9.5500000000000007</v>
      </c>
      <c r="F42">
        <v>6.82</v>
      </c>
      <c r="G42">
        <v>58.43</v>
      </c>
      <c r="H42">
        <v>0.97</v>
      </c>
      <c r="I42">
        <v>7</v>
      </c>
      <c r="J42">
        <v>201.1</v>
      </c>
      <c r="K42">
        <v>53.44</v>
      </c>
      <c r="L42">
        <v>11</v>
      </c>
      <c r="M42">
        <v>5</v>
      </c>
      <c r="N42">
        <v>41.66</v>
      </c>
      <c r="O42">
        <v>25036.12</v>
      </c>
      <c r="P42">
        <v>86.29</v>
      </c>
      <c r="Q42">
        <v>204.15</v>
      </c>
      <c r="R42">
        <v>25.72</v>
      </c>
      <c r="S42">
        <v>17.37</v>
      </c>
      <c r="T42">
        <v>2067.36</v>
      </c>
      <c r="U42">
        <v>0.68</v>
      </c>
      <c r="V42">
        <v>0.75</v>
      </c>
      <c r="W42">
        <v>1.1499999999999999</v>
      </c>
      <c r="X42">
        <v>0.12</v>
      </c>
      <c r="Y42">
        <v>1</v>
      </c>
      <c r="Z42">
        <v>10</v>
      </c>
    </row>
    <row r="43" spans="1:26" x14ac:dyDescent="0.3">
      <c r="A43">
        <v>41</v>
      </c>
      <c r="B43">
        <v>95</v>
      </c>
      <c r="C43" t="s">
        <v>26</v>
      </c>
      <c r="D43">
        <v>10.483700000000001</v>
      </c>
      <c r="E43">
        <v>9.5399999999999991</v>
      </c>
      <c r="F43">
        <v>6.81</v>
      </c>
      <c r="G43">
        <v>58.37</v>
      </c>
      <c r="H43">
        <v>0.99</v>
      </c>
      <c r="I43">
        <v>7</v>
      </c>
      <c r="J43">
        <v>201.49</v>
      </c>
      <c r="K43">
        <v>53.44</v>
      </c>
      <c r="L43">
        <v>11.25</v>
      </c>
      <c r="M43">
        <v>5</v>
      </c>
      <c r="N43">
        <v>41.81</v>
      </c>
      <c r="O43">
        <v>25084.58</v>
      </c>
      <c r="P43">
        <v>86.03</v>
      </c>
      <c r="Q43">
        <v>204.14</v>
      </c>
      <c r="R43">
        <v>25.6</v>
      </c>
      <c r="S43">
        <v>17.37</v>
      </c>
      <c r="T43">
        <v>2008.77</v>
      </c>
      <c r="U43">
        <v>0.68</v>
      </c>
      <c r="V43">
        <v>0.75</v>
      </c>
      <c r="W43">
        <v>1.1499999999999999</v>
      </c>
      <c r="X43">
        <v>0.12</v>
      </c>
      <c r="Y43">
        <v>1</v>
      </c>
      <c r="Z43">
        <v>10</v>
      </c>
    </row>
    <row r="44" spans="1:26" x14ac:dyDescent="0.3">
      <c r="A44">
        <v>42</v>
      </c>
      <c r="B44">
        <v>95</v>
      </c>
      <c r="C44" t="s">
        <v>26</v>
      </c>
      <c r="D44">
        <v>10.4834</v>
      </c>
      <c r="E44">
        <v>9.5399999999999991</v>
      </c>
      <c r="F44">
        <v>6.81</v>
      </c>
      <c r="G44">
        <v>58.37</v>
      </c>
      <c r="H44">
        <v>1.01</v>
      </c>
      <c r="I44">
        <v>7</v>
      </c>
      <c r="J44">
        <v>201.88</v>
      </c>
      <c r="K44">
        <v>53.44</v>
      </c>
      <c r="L44">
        <v>11.5</v>
      </c>
      <c r="M44">
        <v>5</v>
      </c>
      <c r="N44">
        <v>41.95</v>
      </c>
      <c r="O44">
        <v>25133.09</v>
      </c>
      <c r="P44">
        <v>85.73</v>
      </c>
      <c r="Q44">
        <v>204.14</v>
      </c>
      <c r="R44">
        <v>25.57</v>
      </c>
      <c r="S44">
        <v>17.37</v>
      </c>
      <c r="T44">
        <v>1994.16</v>
      </c>
      <c r="U44">
        <v>0.68</v>
      </c>
      <c r="V44">
        <v>0.75</v>
      </c>
      <c r="W44">
        <v>1.1499999999999999</v>
      </c>
      <c r="X44">
        <v>0.12</v>
      </c>
      <c r="Y44">
        <v>1</v>
      </c>
      <c r="Z44">
        <v>10</v>
      </c>
    </row>
    <row r="45" spans="1:26" x14ac:dyDescent="0.3">
      <c r="A45">
        <v>43</v>
      </c>
      <c r="B45">
        <v>95</v>
      </c>
      <c r="C45" t="s">
        <v>26</v>
      </c>
      <c r="D45">
        <v>10.4712</v>
      </c>
      <c r="E45">
        <v>9.5500000000000007</v>
      </c>
      <c r="F45">
        <v>6.82</v>
      </c>
      <c r="G45">
        <v>58.46</v>
      </c>
      <c r="H45">
        <v>1.03</v>
      </c>
      <c r="I45">
        <v>7</v>
      </c>
      <c r="J45">
        <v>202.28</v>
      </c>
      <c r="K45">
        <v>53.44</v>
      </c>
      <c r="L45">
        <v>11.75</v>
      </c>
      <c r="M45">
        <v>5</v>
      </c>
      <c r="N45">
        <v>42.09</v>
      </c>
      <c r="O45">
        <v>25181.64</v>
      </c>
      <c r="P45">
        <v>85.58</v>
      </c>
      <c r="Q45">
        <v>204.2</v>
      </c>
      <c r="R45">
        <v>25.88</v>
      </c>
      <c r="S45">
        <v>17.37</v>
      </c>
      <c r="T45">
        <v>2147.2399999999998</v>
      </c>
      <c r="U45">
        <v>0.67</v>
      </c>
      <c r="V45">
        <v>0.75</v>
      </c>
      <c r="W45">
        <v>1.1499999999999999</v>
      </c>
      <c r="X45">
        <v>0.13</v>
      </c>
      <c r="Y45">
        <v>1</v>
      </c>
      <c r="Z45">
        <v>10</v>
      </c>
    </row>
    <row r="46" spans="1:26" x14ac:dyDescent="0.3">
      <c r="A46">
        <v>44</v>
      </c>
      <c r="B46">
        <v>95</v>
      </c>
      <c r="C46" t="s">
        <v>26</v>
      </c>
      <c r="D46">
        <v>10.487399999999999</v>
      </c>
      <c r="E46">
        <v>9.5399999999999991</v>
      </c>
      <c r="F46">
        <v>6.81</v>
      </c>
      <c r="G46">
        <v>58.34</v>
      </c>
      <c r="H46">
        <v>1.05</v>
      </c>
      <c r="I46">
        <v>7</v>
      </c>
      <c r="J46">
        <v>202.67</v>
      </c>
      <c r="K46">
        <v>53.44</v>
      </c>
      <c r="L46">
        <v>12</v>
      </c>
      <c r="M46">
        <v>5</v>
      </c>
      <c r="N46">
        <v>42.24</v>
      </c>
      <c r="O46">
        <v>25230.25</v>
      </c>
      <c r="P46">
        <v>85.05</v>
      </c>
      <c r="Q46">
        <v>204.14</v>
      </c>
      <c r="R46">
        <v>25.46</v>
      </c>
      <c r="S46">
        <v>17.37</v>
      </c>
      <c r="T46">
        <v>1935.02</v>
      </c>
      <c r="U46">
        <v>0.68</v>
      </c>
      <c r="V46">
        <v>0.75</v>
      </c>
      <c r="W46">
        <v>1.1499999999999999</v>
      </c>
      <c r="X46">
        <v>0.12</v>
      </c>
      <c r="Y46">
        <v>1</v>
      </c>
      <c r="Z46">
        <v>10</v>
      </c>
    </row>
    <row r="47" spans="1:26" x14ac:dyDescent="0.3">
      <c r="A47">
        <v>45</v>
      </c>
      <c r="B47">
        <v>95</v>
      </c>
      <c r="C47" t="s">
        <v>26</v>
      </c>
      <c r="D47">
        <v>10.555300000000001</v>
      </c>
      <c r="E47">
        <v>9.4700000000000006</v>
      </c>
      <c r="F47">
        <v>6.78</v>
      </c>
      <c r="G47">
        <v>67.819999999999993</v>
      </c>
      <c r="H47">
        <v>1.07</v>
      </c>
      <c r="I47">
        <v>6</v>
      </c>
      <c r="J47">
        <v>203.07</v>
      </c>
      <c r="K47">
        <v>53.44</v>
      </c>
      <c r="L47">
        <v>12.25</v>
      </c>
      <c r="M47">
        <v>4</v>
      </c>
      <c r="N47">
        <v>42.38</v>
      </c>
      <c r="O47">
        <v>25279.03</v>
      </c>
      <c r="P47">
        <v>84.53</v>
      </c>
      <c r="Q47">
        <v>204.14</v>
      </c>
      <c r="R47">
        <v>24.67</v>
      </c>
      <c r="S47">
        <v>17.37</v>
      </c>
      <c r="T47">
        <v>1545.05</v>
      </c>
      <c r="U47">
        <v>0.7</v>
      </c>
      <c r="V47">
        <v>0.75</v>
      </c>
      <c r="W47">
        <v>1.1399999999999999</v>
      </c>
      <c r="X47">
        <v>0.09</v>
      </c>
      <c r="Y47">
        <v>1</v>
      </c>
      <c r="Z47">
        <v>10</v>
      </c>
    </row>
    <row r="48" spans="1:26" x14ac:dyDescent="0.3">
      <c r="A48">
        <v>46</v>
      </c>
      <c r="B48">
        <v>95</v>
      </c>
      <c r="C48" t="s">
        <v>26</v>
      </c>
      <c r="D48">
        <v>10.549099999999999</v>
      </c>
      <c r="E48">
        <v>9.48</v>
      </c>
      <c r="F48">
        <v>6.79</v>
      </c>
      <c r="G48">
        <v>67.88</v>
      </c>
      <c r="H48">
        <v>1.0900000000000001</v>
      </c>
      <c r="I48">
        <v>6</v>
      </c>
      <c r="J48">
        <v>203.46</v>
      </c>
      <c r="K48">
        <v>53.44</v>
      </c>
      <c r="L48">
        <v>12.5</v>
      </c>
      <c r="M48">
        <v>4</v>
      </c>
      <c r="N48">
        <v>42.53</v>
      </c>
      <c r="O48">
        <v>25327.74</v>
      </c>
      <c r="P48">
        <v>84.59</v>
      </c>
      <c r="Q48">
        <v>204.14</v>
      </c>
      <c r="R48">
        <v>24.84</v>
      </c>
      <c r="S48">
        <v>17.37</v>
      </c>
      <c r="T48">
        <v>1634.62</v>
      </c>
      <c r="U48">
        <v>0.7</v>
      </c>
      <c r="V48">
        <v>0.75</v>
      </c>
      <c r="W48">
        <v>1.1499999999999999</v>
      </c>
      <c r="X48">
        <v>0.1</v>
      </c>
      <c r="Y48">
        <v>1</v>
      </c>
      <c r="Z48">
        <v>10</v>
      </c>
    </row>
    <row r="49" spans="1:26" x14ac:dyDescent="0.3">
      <c r="A49">
        <v>47</v>
      </c>
      <c r="B49">
        <v>95</v>
      </c>
      <c r="C49" t="s">
        <v>26</v>
      </c>
      <c r="D49">
        <v>10.5479</v>
      </c>
      <c r="E49">
        <v>9.48</v>
      </c>
      <c r="F49">
        <v>6.79</v>
      </c>
      <c r="G49">
        <v>67.89</v>
      </c>
      <c r="H49">
        <v>1.1100000000000001</v>
      </c>
      <c r="I49">
        <v>6</v>
      </c>
      <c r="J49">
        <v>203.86</v>
      </c>
      <c r="K49">
        <v>53.44</v>
      </c>
      <c r="L49">
        <v>12.75</v>
      </c>
      <c r="M49">
        <v>4</v>
      </c>
      <c r="N49">
        <v>42.67</v>
      </c>
      <c r="O49">
        <v>25376.49</v>
      </c>
      <c r="P49">
        <v>84.71</v>
      </c>
      <c r="Q49">
        <v>204.14</v>
      </c>
      <c r="R49">
        <v>24.85</v>
      </c>
      <c r="S49">
        <v>17.37</v>
      </c>
      <c r="T49">
        <v>1635.97</v>
      </c>
      <c r="U49">
        <v>0.7</v>
      </c>
      <c r="V49">
        <v>0.75</v>
      </c>
      <c r="W49">
        <v>1.1499999999999999</v>
      </c>
      <c r="X49">
        <v>0.1</v>
      </c>
      <c r="Y49">
        <v>1</v>
      </c>
      <c r="Z49">
        <v>10</v>
      </c>
    </row>
    <row r="50" spans="1:26" x14ac:dyDescent="0.3">
      <c r="A50">
        <v>48</v>
      </c>
      <c r="B50">
        <v>95</v>
      </c>
      <c r="C50" t="s">
        <v>26</v>
      </c>
      <c r="D50">
        <v>10.5482</v>
      </c>
      <c r="E50">
        <v>9.48</v>
      </c>
      <c r="F50">
        <v>6.79</v>
      </c>
      <c r="G50">
        <v>67.88</v>
      </c>
      <c r="H50">
        <v>1.1299999999999999</v>
      </c>
      <c r="I50">
        <v>6</v>
      </c>
      <c r="J50">
        <v>204.25</v>
      </c>
      <c r="K50">
        <v>53.44</v>
      </c>
      <c r="L50">
        <v>13</v>
      </c>
      <c r="M50">
        <v>4</v>
      </c>
      <c r="N50">
        <v>42.82</v>
      </c>
      <c r="O50">
        <v>25425.3</v>
      </c>
      <c r="P50">
        <v>84.65</v>
      </c>
      <c r="Q50">
        <v>204.16</v>
      </c>
      <c r="R50">
        <v>24.97</v>
      </c>
      <c r="S50">
        <v>17.37</v>
      </c>
      <c r="T50">
        <v>1697.51</v>
      </c>
      <c r="U50">
        <v>0.7</v>
      </c>
      <c r="V50">
        <v>0.75</v>
      </c>
      <c r="W50">
        <v>1.1399999999999999</v>
      </c>
      <c r="X50">
        <v>0.1</v>
      </c>
      <c r="Y50">
        <v>1</v>
      </c>
      <c r="Z50">
        <v>10</v>
      </c>
    </row>
    <row r="51" spans="1:26" x14ac:dyDescent="0.3">
      <c r="A51">
        <v>49</v>
      </c>
      <c r="B51">
        <v>95</v>
      </c>
      <c r="C51" t="s">
        <v>26</v>
      </c>
      <c r="D51">
        <v>10.5572</v>
      </c>
      <c r="E51">
        <v>9.4700000000000006</v>
      </c>
      <c r="F51">
        <v>6.78</v>
      </c>
      <c r="G51">
        <v>67.8</v>
      </c>
      <c r="H51">
        <v>1.1499999999999999</v>
      </c>
      <c r="I51">
        <v>6</v>
      </c>
      <c r="J51">
        <v>204.65</v>
      </c>
      <c r="K51">
        <v>53.44</v>
      </c>
      <c r="L51">
        <v>13.25</v>
      </c>
      <c r="M51">
        <v>4</v>
      </c>
      <c r="N51">
        <v>42.96</v>
      </c>
      <c r="O51">
        <v>25474.16</v>
      </c>
      <c r="P51">
        <v>84.34</v>
      </c>
      <c r="Q51">
        <v>204.14</v>
      </c>
      <c r="R51">
        <v>24.59</v>
      </c>
      <c r="S51">
        <v>17.37</v>
      </c>
      <c r="T51">
        <v>1504.89</v>
      </c>
      <c r="U51">
        <v>0.71</v>
      </c>
      <c r="V51">
        <v>0.75</v>
      </c>
      <c r="W51">
        <v>1.1499999999999999</v>
      </c>
      <c r="X51">
        <v>0.09</v>
      </c>
      <c r="Y51">
        <v>1</v>
      </c>
      <c r="Z51">
        <v>10</v>
      </c>
    </row>
    <row r="52" spans="1:26" x14ac:dyDescent="0.3">
      <c r="A52">
        <v>50</v>
      </c>
      <c r="B52">
        <v>95</v>
      </c>
      <c r="C52" t="s">
        <v>26</v>
      </c>
      <c r="D52">
        <v>10.5479</v>
      </c>
      <c r="E52">
        <v>9.48</v>
      </c>
      <c r="F52">
        <v>6.79</v>
      </c>
      <c r="G52">
        <v>67.89</v>
      </c>
      <c r="H52">
        <v>1.17</v>
      </c>
      <c r="I52">
        <v>6</v>
      </c>
      <c r="J52">
        <v>205.05</v>
      </c>
      <c r="K52">
        <v>53.44</v>
      </c>
      <c r="L52">
        <v>13.5</v>
      </c>
      <c r="M52">
        <v>4</v>
      </c>
      <c r="N52">
        <v>43.11</v>
      </c>
      <c r="O52">
        <v>25523.06</v>
      </c>
      <c r="P52">
        <v>84.2</v>
      </c>
      <c r="Q52">
        <v>204.14</v>
      </c>
      <c r="R52">
        <v>24.87</v>
      </c>
      <c r="S52">
        <v>17.37</v>
      </c>
      <c r="T52">
        <v>1645.98</v>
      </c>
      <c r="U52">
        <v>0.7</v>
      </c>
      <c r="V52">
        <v>0.75</v>
      </c>
      <c r="W52">
        <v>1.1499999999999999</v>
      </c>
      <c r="X52">
        <v>0.1</v>
      </c>
      <c r="Y52">
        <v>1</v>
      </c>
      <c r="Z52">
        <v>10</v>
      </c>
    </row>
    <row r="53" spans="1:26" x14ac:dyDescent="0.3">
      <c r="A53">
        <v>51</v>
      </c>
      <c r="B53">
        <v>95</v>
      </c>
      <c r="C53" t="s">
        <v>26</v>
      </c>
      <c r="D53">
        <v>10.539899999999999</v>
      </c>
      <c r="E53">
        <v>9.49</v>
      </c>
      <c r="F53">
        <v>6.8</v>
      </c>
      <c r="G53">
        <v>67.959999999999994</v>
      </c>
      <c r="H53">
        <v>1.19</v>
      </c>
      <c r="I53">
        <v>6</v>
      </c>
      <c r="J53">
        <v>205.44</v>
      </c>
      <c r="K53">
        <v>53.44</v>
      </c>
      <c r="L53">
        <v>13.75</v>
      </c>
      <c r="M53">
        <v>4</v>
      </c>
      <c r="N53">
        <v>43.26</v>
      </c>
      <c r="O53">
        <v>25572.02</v>
      </c>
      <c r="P53">
        <v>84.12</v>
      </c>
      <c r="Q53">
        <v>204.14</v>
      </c>
      <c r="R53">
        <v>25.12</v>
      </c>
      <c r="S53">
        <v>17.37</v>
      </c>
      <c r="T53">
        <v>1772.21</v>
      </c>
      <c r="U53">
        <v>0.69</v>
      </c>
      <c r="V53">
        <v>0.75</v>
      </c>
      <c r="W53">
        <v>1.1499999999999999</v>
      </c>
      <c r="X53">
        <v>0.1</v>
      </c>
      <c r="Y53">
        <v>1</v>
      </c>
      <c r="Z53">
        <v>10</v>
      </c>
    </row>
    <row r="54" spans="1:26" x14ac:dyDescent="0.3">
      <c r="A54">
        <v>52</v>
      </c>
      <c r="B54">
        <v>95</v>
      </c>
      <c r="C54" t="s">
        <v>26</v>
      </c>
      <c r="D54">
        <v>10.548500000000001</v>
      </c>
      <c r="E54">
        <v>9.48</v>
      </c>
      <c r="F54">
        <v>6.79</v>
      </c>
      <c r="G54">
        <v>67.88</v>
      </c>
      <c r="H54">
        <v>1.21</v>
      </c>
      <c r="I54">
        <v>6</v>
      </c>
      <c r="J54">
        <v>205.84</v>
      </c>
      <c r="K54">
        <v>53.44</v>
      </c>
      <c r="L54">
        <v>14</v>
      </c>
      <c r="M54">
        <v>4</v>
      </c>
      <c r="N54">
        <v>43.4</v>
      </c>
      <c r="O54">
        <v>25621.03</v>
      </c>
      <c r="P54">
        <v>83.68</v>
      </c>
      <c r="Q54">
        <v>204.14</v>
      </c>
      <c r="R54">
        <v>24.83</v>
      </c>
      <c r="S54">
        <v>17.37</v>
      </c>
      <c r="T54">
        <v>1626.31</v>
      </c>
      <c r="U54">
        <v>0.7</v>
      </c>
      <c r="V54">
        <v>0.75</v>
      </c>
      <c r="W54">
        <v>1.1499999999999999</v>
      </c>
      <c r="X54">
        <v>0.1</v>
      </c>
      <c r="Y54">
        <v>1</v>
      </c>
      <c r="Z54">
        <v>10</v>
      </c>
    </row>
    <row r="55" spans="1:26" x14ac:dyDescent="0.3">
      <c r="A55">
        <v>53</v>
      </c>
      <c r="B55">
        <v>95</v>
      </c>
      <c r="C55" t="s">
        <v>26</v>
      </c>
      <c r="D55">
        <v>10.549799999999999</v>
      </c>
      <c r="E55">
        <v>9.48</v>
      </c>
      <c r="F55">
        <v>6.79</v>
      </c>
      <c r="G55">
        <v>67.87</v>
      </c>
      <c r="H55">
        <v>1.23</v>
      </c>
      <c r="I55">
        <v>6</v>
      </c>
      <c r="J55">
        <v>206.24</v>
      </c>
      <c r="K55">
        <v>53.44</v>
      </c>
      <c r="L55">
        <v>14.25</v>
      </c>
      <c r="M55">
        <v>4</v>
      </c>
      <c r="N55">
        <v>43.55</v>
      </c>
      <c r="O55">
        <v>25670.09</v>
      </c>
      <c r="P55">
        <v>83.59</v>
      </c>
      <c r="Q55">
        <v>204.14</v>
      </c>
      <c r="R55">
        <v>24.81</v>
      </c>
      <c r="S55">
        <v>17.37</v>
      </c>
      <c r="T55">
        <v>1616.1</v>
      </c>
      <c r="U55">
        <v>0.7</v>
      </c>
      <c r="V55">
        <v>0.75</v>
      </c>
      <c r="W55">
        <v>1.1499999999999999</v>
      </c>
      <c r="X55">
        <v>0.1</v>
      </c>
      <c r="Y55">
        <v>1</v>
      </c>
      <c r="Z55">
        <v>10</v>
      </c>
    </row>
    <row r="56" spans="1:26" x14ac:dyDescent="0.3">
      <c r="A56">
        <v>54</v>
      </c>
      <c r="B56">
        <v>95</v>
      </c>
      <c r="C56" t="s">
        <v>26</v>
      </c>
      <c r="D56">
        <v>10.5442</v>
      </c>
      <c r="E56">
        <v>9.48</v>
      </c>
      <c r="F56">
        <v>6.79</v>
      </c>
      <c r="G56">
        <v>67.92</v>
      </c>
      <c r="H56">
        <v>1.25</v>
      </c>
      <c r="I56">
        <v>6</v>
      </c>
      <c r="J56">
        <v>206.64</v>
      </c>
      <c r="K56">
        <v>53.44</v>
      </c>
      <c r="L56">
        <v>14.5</v>
      </c>
      <c r="M56">
        <v>4</v>
      </c>
      <c r="N56">
        <v>43.7</v>
      </c>
      <c r="O56">
        <v>25719.19</v>
      </c>
      <c r="P56">
        <v>83.38</v>
      </c>
      <c r="Q56">
        <v>204.14</v>
      </c>
      <c r="R56">
        <v>24.95</v>
      </c>
      <c r="S56">
        <v>17.37</v>
      </c>
      <c r="T56">
        <v>1687.38</v>
      </c>
      <c r="U56">
        <v>0.7</v>
      </c>
      <c r="V56">
        <v>0.75</v>
      </c>
      <c r="W56">
        <v>1.1499999999999999</v>
      </c>
      <c r="X56">
        <v>0.1</v>
      </c>
      <c r="Y56">
        <v>1</v>
      </c>
      <c r="Z56">
        <v>10</v>
      </c>
    </row>
    <row r="57" spans="1:26" x14ac:dyDescent="0.3">
      <c r="A57">
        <v>55</v>
      </c>
      <c r="B57">
        <v>95</v>
      </c>
      <c r="C57" t="s">
        <v>26</v>
      </c>
      <c r="D57">
        <v>10.613200000000001</v>
      </c>
      <c r="E57">
        <v>9.42</v>
      </c>
      <c r="F57">
        <v>6.77</v>
      </c>
      <c r="G57">
        <v>81.209999999999994</v>
      </c>
      <c r="H57">
        <v>1.27</v>
      </c>
      <c r="I57">
        <v>5</v>
      </c>
      <c r="J57">
        <v>207.03</v>
      </c>
      <c r="K57">
        <v>53.44</v>
      </c>
      <c r="L57">
        <v>14.75</v>
      </c>
      <c r="M57">
        <v>3</v>
      </c>
      <c r="N57">
        <v>43.85</v>
      </c>
      <c r="O57">
        <v>25768.35</v>
      </c>
      <c r="P57">
        <v>82.33</v>
      </c>
      <c r="Q57">
        <v>204.14</v>
      </c>
      <c r="R57">
        <v>24.22</v>
      </c>
      <c r="S57">
        <v>17.37</v>
      </c>
      <c r="T57">
        <v>1328.64</v>
      </c>
      <c r="U57">
        <v>0.72</v>
      </c>
      <c r="V57">
        <v>0.75</v>
      </c>
      <c r="W57">
        <v>1.1399999999999999</v>
      </c>
      <c r="X57">
        <v>0.08</v>
      </c>
      <c r="Y57">
        <v>1</v>
      </c>
      <c r="Z57">
        <v>10</v>
      </c>
    </row>
    <row r="58" spans="1:26" x14ac:dyDescent="0.3">
      <c r="A58">
        <v>56</v>
      </c>
      <c r="B58">
        <v>95</v>
      </c>
      <c r="C58" t="s">
        <v>26</v>
      </c>
      <c r="D58">
        <v>10.6088</v>
      </c>
      <c r="E58">
        <v>9.43</v>
      </c>
      <c r="F58">
        <v>6.77</v>
      </c>
      <c r="G58">
        <v>81.260000000000005</v>
      </c>
      <c r="H58">
        <v>1.28</v>
      </c>
      <c r="I58">
        <v>5</v>
      </c>
      <c r="J58">
        <v>207.43</v>
      </c>
      <c r="K58">
        <v>53.44</v>
      </c>
      <c r="L58">
        <v>15</v>
      </c>
      <c r="M58">
        <v>3</v>
      </c>
      <c r="N58">
        <v>44</v>
      </c>
      <c r="O58">
        <v>25817.56</v>
      </c>
      <c r="P58">
        <v>82.61</v>
      </c>
      <c r="Q58">
        <v>204.14</v>
      </c>
      <c r="R58">
        <v>24.4</v>
      </c>
      <c r="S58">
        <v>17.37</v>
      </c>
      <c r="T58">
        <v>1417.14</v>
      </c>
      <c r="U58">
        <v>0.71</v>
      </c>
      <c r="V58">
        <v>0.75</v>
      </c>
      <c r="W58">
        <v>1.1399999999999999</v>
      </c>
      <c r="X58">
        <v>0.08</v>
      </c>
      <c r="Y58">
        <v>1</v>
      </c>
      <c r="Z58">
        <v>10</v>
      </c>
    </row>
    <row r="59" spans="1:26" x14ac:dyDescent="0.3">
      <c r="A59">
        <v>57</v>
      </c>
      <c r="B59">
        <v>95</v>
      </c>
      <c r="C59" t="s">
        <v>26</v>
      </c>
      <c r="D59">
        <v>10.606</v>
      </c>
      <c r="E59">
        <v>9.43</v>
      </c>
      <c r="F59">
        <v>6.77</v>
      </c>
      <c r="G59">
        <v>81.290000000000006</v>
      </c>
      <c r="H59">
        <v>1.3</v>
      </c>
      <c r="I59">
        <v>5</v>
      </c>
      <c r="J59">
        <v>207.83</v>
      </c>
      <c r="K59">
        <v>53.44</v>
      </c>
      <c r="L59">
        <v>15.25</v>
      </c>
      <c r="M59">
        <v>3</v>
      </c>
      <c r="N59">
        <v>44.15</v>
      </c>
      <c r="O59">
        <v>25866.82</v>
      </c>
      <c r="P59">
        <v>82.85</v>
      </c>
      <c r="Q59">
        <v>204.14</v>
      </c>
      <c r="R59">
        <v>24.5</v>
      </c>
      <c r="S59">
        <v>17.37</v>
      </c>
      <c r="T59">
        <v>1465.25</v>
      </c>
      <c r="U59">
        <v>0.71</v>
      </c>
      <c r="V59">
        <v>0.75</v>
      </c>
      <c r="W59">
        <v>1.1399999999999999</v>
      </c>
      <c r="X59">
        <v>0.08</v>
      </c>
      <c r="Y59">
        <v>1</v>
      </c>
      <c r="Z59">
        <v>10</v>
      </c>
    </row>
    <row r="60" spans="1:26" x14ac:dyDescent="0.3">
      <c r="A60">
        <v>58</v>
      </c>
      <c r="B60">
        <v>95</v>
      </c>
      <c r="C60" t="s">
        <v>26</v>
      </c>
      <c r="D60">
        <v>10.6088</v>
      </c>
      <c r="E60">
        <v>9.43</v>
      </c>
      <c r="F60">
        <v>6.77</v>
      </c>
      <c r="G60">
        <v>81.260000000000005</v>
      </c>
      <c r="H60">
        <v>1.32</v>
      </c>
      <c r="I60">
        <v>5</v>
      </c>
      <c r="J60">
        <v>208.23</v>
      </c>
      <c r="K60">
        <v>53.44</v>
      </c>
      <c r="L60">
        <v>15.5</v>
      </c>
      <c r="M60">
        <v>3</v>
      </c>
      <c r="N60">
        <v>44.3</v>
      </c>
      <c r="O60">
        <v>25916.13</v>
      </c>
      <c r="P60">
        <v>82.91</v>
      </c>
      <c r="Q60">
        <v>204.14</v>
      </c>
      <c r="R60">
        <v>24.37</v>
      </c>
      <c r="S60">
        <v>17.37</v>
      </c>
      <c r="T60">
        <v>1401.29</v>
      </c>
      <c r="U60">
        <v>0.71</v>
      </c>
      <c r="V60">
        <v>0.75</v>
      </c>
      <c r="W60">
        <v>1.1399999999999999</v>
      </c>
      <c r="X60">
        <v>0.08</v>
      </c>
      <c r="Y60">
        <v>1</v>
      </c>
      <c r="Z60">
        <v>10</v>
      </c>
    </row>
    <row r="61" spans="1:26" x14ac:dyDescent="0.3">
      <c r="A61">
        <v>59</v>
      </c>
      <c r="B61">
        <v>95</v>
      </c>
      <c r="C61" t="s">
        <v>26</v>
      </c>
      <c r="D61">
        <v>10.6051</v>
      </c>
      <c r="E61">
        <v>9.43</v>
      </c>
      <c r="F61">
        <v>6.77</v>
      </c>
      <c r="G61">
        <v>81.3</v>
      </c>
      <c r="H61">
        <v>1.34</v>
      </c>
      <c r="I61">
        <v>5</v>
      </c>
      <c r="J61">
        <v>208.63</v>
      </c>
      <c r="K61">
        <v>53.44</v>
      </c>
      <c r="L61">
        <v>15.75</v>
      </c>
      <c r="M61">
        <v>3</v>
      </c>
      <c r="N61">
        <v>44.45</v>
      </c>
      <c r="O61">
        <v>25965.5</v>
      </c>
      <c r="P61">
        <v>82.89</v>
      </c>
      <c r="Q61">
        <v>204.14</v>
      </c>
      <c r="R61">
        <v>24.48</v>
      </c>
      <c r="S61">
        <v>17.37</v>
      </c>
      <c r="T61">
        <v>1458.19</v>
      </c>
      <c r="U61">
        <v>0.71</v>
      </c>
      <c r="V61">
        <v>0.75</v>
      </c>
      <c r="W61">
        <v>1.1399999999999999</v>
      </c>
      <c r="X61">
        <v>0.08</v>
      </c>
      <c r="Y61">
        <v>1</v>
      </c>
      <c r="Z61">
        <v>10</v>
      </c>
    </row>
    <row r="62" spans="1:26" x14ac:dyDescent="0.3">
      <c r="A62">
        <v>60</v>
      </c>
      <c r="B62">
        <v>95</v>
      </c>
      <c r="C62" t="s">
        <v>26</v>
      </c>
      <c r="D62">
        <v>10.6098</v>
      </c>
      <c r="E62">
        <v>9.43</v>
      </c>
      <c r="F62">
        <v>6.77</v>
      </c>
      <c r="G62">
        <v>81.25</v>
      </c>
      <c r="H62">
        <v>1.36</v>
      </c>
      <c r="I62">
        <v>5</v>
      </c>
      <c r="J62">
        <v>209.03</v>
      </c>
      <c r="K62">
        <v>53.44</v>
      </c>
      <c r="L62">
        <v>16</v>
      </c>
      <c r="M62">
        <v>3</v>
      </c>
      <c r="N62">
        <v>44.6</v>
      </c>
      <c r="O62">
        <v>26014.91</v>
      </c>
      <c r="P62">
        <v>82.65</v>
      </c>
      <c r="Q62">
        <v>204.14</v>
      </c>
      <c r="R62">
        <v>24.41</v>
      </c>
      <c r="S62">
        <v>17.37</v>
      </c>
      <c r="T62">
        <v>1421.8</v>
      </c>
      <c r="U62">
        <v>0.71</v>
      </c>
      <c r="V62">
        <v>0.75</v>
      </c>
      <c r="W62">
        <v>1.1399999999999999</v>
      </c>
      <c r="X62">
        <v>0.08</v>
      </c>
      <c r="Y62">
        <v>1</v>
      </c>
      <c r="Z62">
        <v>10</v>
      </c>
    </row>
    <row r="63" spans="1:26" x14ac:dyDescent="0.3">
      <c r="A63">
        <v>61</v>
      </c>
      <c r="B63">
        <v>95</v>
      </c>
      <c r="C63" t="s">
        <v>26</v>
      </c>
      <c r="D63">
        <v>10.6029</v>
      </c>
      <c r="E63">
        <v>9.43</v>
      </c>
      <c r="F63">
        <v>6.78</v>
      </c>
      <c r="G63">
        <v>81.319999999999993</v>
      </c>
      <c r="H63">
        <v>1.38</v>
      </c>
      <c r="I63">
        <v>5</v>
      </c>
      <c r="J63">
        <v>209.43</v>
      </c>
      <c r="K63">
        <v>53.44</v>
      </c>
      <c r="L63">
        <v>16.25</v>
      </c>
      <c r="M63">
        <v>3</v>
      </c>
      <c r="N63">
        <v>44.75</v>
      </c>
      <c r="O63">
        <v>26064.38</v>
      </c>
      <c r="P63">
        <v>82.59</v>
      </c>
      <c r="Q63">
        <v>204.14</v>
      </c>
      <c r="R63">
        <v>24.51</v>
      </c>
      <c r="S63">
        <v>17.37</v>
      </c>
      <c r="T63">
        <v>1470.26</v>
      </c>
      <c r="U63">
        <v>0.71</v>
      </c>
      <c r="V63">
        <v>0.75</v>
      </c>
      <c r="W63">
        <v>1.1399999999999999</v>
      </c>
      <c r="X63">
        <v>0.09</v>
      </c>
      <c r="Y63">
        <v>1</v>
      </c>
      <c r="Z63">
        <v>10</v>
      </c>
    </row>
    <row r="64" spans="1:26" x14ac:dyDescent="0.3">
      <c r="A64">
        <v>62</v>
      </c>
      <c r="B64">
        <v>95</v>
      </c>
      <c r="C64" t="s">
        <v>26</v>
      </c>
      <c r="D64">
        <v>10.608499999999999</v>
      </c>
      <c r="E64">
        <v>9.43</v>
      </c>
      <c r="F64">
        <v>6.77</v>
      </c>
      <c r="G64">
        <v>81.260000000000005</v>
      </c>
      <c r="H64">
        <v>1.4</v>
      </c>
      <c r="I64">
        <v>5</v>
      </c>
      <c r="J64">
        <v>209.84</v>
      </c>
      <c r="K64">
        <v>53.44</v>
      </c>
      <c r="L64">
        <v>16.5</v>
      </c>
      <c r="M64">
        <v>3</v>
      </c>
      <c r="N64">
        <v>44.9</v>
      </c>
      <c r="O64">
        <v>26113.9</v>
      </c>
      <c r="P64">
        <v>82.33</v>
      </c>
      <c r="Q64">
        <v>204.18</v>
      </c>
      <c r="R64">
        <v>24.39</v>
      </c>
      <c r="S64">
        <v>17.37</v>
      </c>
      <c r="T64">
        <v>1412.57</v>
      </c>
      <c r="U64">
        <v>0.71</v>
      </c>
      <c r="V64">
        <v>0.75</v>
      </c>
      <c r="W64">
        <v>1.1399999999999999</v>
      </c>
      <c r="X64">
        <v>0.08</v>
      </c>
      <c r="Y64">
        <v>1</v>
      </c>
      <c r="Z64">
        <v>10</v>
      </c>
    </row>
    <row r="65" spans="1:26" x14ac:dyDescent="0.3">
      <c r="A65">
        <v>63</v>
      </c>
      <c r="B65">
        <v>95</v>
      </c>
      <c r="C65" t="s">
        <v>26</v>
      </c>
      <c r="D65">
        <v>10.608499999999999</v>
      </c>
      <c r="E65">
        <v>9.43</v>
      </c>
      <c r="F65">
        <v>6.77</v>
      </c>
      <c r="G65">
        <v>81.260000000000005</v>
      </c>
      <c r="H65">
        <v>1.42</v>
      </c>
      <c r="I65">
        <v>5</v>
      </c>
      <c r="J65">
        <v>210.24</v>
      </c>
      <c r="K65">
        <v>53.44</v>
      </c>
      <c r="L65">
        <v>16.75</v>
      </c>
      <c r="M65">
        <v>3</v>
      </c>
      <c r="N65">
        <v>45.05</v>
      </c>
      <c r="O65">
        <v>26163.47</v>
      </c>
      <c r="P65">
        <v>82.13</v>
      </c>
      <c r="Q65">
        <v>204.14</v>
      </c>
      <c r="R65">
        <v>24.33</v>
      </c>
      <c r="S65">
        <v>17.37</v>
      </c>
      <c r="T65">
        <v>1382.21</v>
      </c>
      <c r="U65">
        <v>0.71</v>
      </c>
      <c r="V65">
        <v>0.75</v>
      </c>
      <c r="W65">
        <v>1.1399999999999999</v>
      </c>
      <c r="X65">
        <v>0.08</v>
      </c>
      <c r="Y65">
        <v>1</v>
      </c>
      <c r="Z65">
        <v>10</v>
      </c>
    </row>
    <row r="66" spans="1:26" x14ac:dyDescent="0.3">
      <c r="A66">
        <v>64</v>
      </c>
      <c r="B66">
        <v>95</v>
      </c>
      <c r="C66" t="s">
        <v>26</v>
      </c>
      <c r="D66">
        <v>10.615399999999999</v>
      </c>
      <c r="E66">
        <v>9.42</v>
      </c>
      <c r="F66">
        <v>6.77</v>
      </c>
      <c r="G66">
        <v>81.19</v>
      </c>
      <c r="H66">
        <v>1.43</v>
      </c>
      <c r="I66">
        <v>5</v>
      </c>
      <c r="J66">
        <v>210.64</v>
      </c>
      <c r="K66">
        <v>53.44</v>
      </c>
      <c r="L66">
        <v>17</v>
      </c>
      <c r="M66">
        <v>3</v>
      </c>
      <c r="N66">
        <v>45.21</v>
      </c>
      <c r="O66">
        <v>26213.09</v>
      </c>
      <c r="P66">
        <v>81.650000000000006</v>
      </c>
      <c r="Q66">
        <v>204.14</v>
      </c>
      <c r="R66">
        <v>24.14</v>
      </c>
      <c r="S66">
        <v>17.37</v>
      </c>
      <c r="T66">
        <v>1286.3900000000001</v>
      </c>
      <c r="U66">
        <v>0.72</v>
      </c>
      <c r="V66">
        <v>0.75</v>
      </c>
      <c r="W66">
        <v>1.1399999999999999</v>
      </c>
      <c r="X66">
        <v>7.0000000000000007E-2</v>
      </c>
      <c r="Y66">
        <v>1</v>
      </c>
      <c r="Z66">
        <v>10</v>
      </c>
    </row>
    <row r="67" spans="1:26" x14ac:dyDescent="0.3">
      <c r="A67">
        <v>65</v>
      </c>
      <c r="B67">
        <v>95</v>
      </c>
      <c r="C67" t="s">
        <v>26</v>
      </c>
      <c r="D67">
        <v>10.6173</v>
      </c>
      <c r="E67">
        <v>9.42</v>
      </c>
      <c r="F67">
        <v>6.76</v>
      </c>
      <c r="G67">
        <v>81.17</v>
      </c>
      <c r="H67">
        <v>1.45</v>
      </c>
      <c r="I67">
        <v>5</v>
      </c>
      <c r="J67">
        <v>211.04</v>
      </c>
      <c r="K67">
        <v>53.44</v>
      </c>
      <c r="L67">
        <v>17.25</v>
      </c>
      <c r="M67">
        <v>3</v>
      </c>
      <c r="N67">
        <v>45.36</v>
      </c>
      <c r="O67">
        <v>26262.77</v>
      </c>
      <c r="P67">
        <v>81.180000000000007</v>
      </c>
      <c r="Q67">
        <v>204.15</v>
      </c>
      <c r="R67">
        <v>24.06</v>
      </c>
      <c r="S67">
        <v>17.37</v>
      </c>
      <c r="T67">
        <v>1249.26</v>
      </c>
      <c r="U67">
        <v>0.72</v>
      </c>
      <c r="V67">
        <v>0.76</v>
      </c>
      <c r="W67">
        <v>1.1399999999999999</v>
      </c>
      <c r="X67">
        <v>7.0000000000000007E-2</v>
      </c>
      <c r="Y67">
        <v>1</v>
      </c>
      <c r="Z67">
        <v>10</v>
      </c>
    </row>
    <row r="68" spans="1:26" x14ac:dyDescent="0.3">
      <c r="A68">
        <v>66</v>
      </c>
      <c r="B68">
        <v>95</v>
      </c>
      <c r="C68" t="s">
        <v>26</v>
      </c>
      <c r="D68">
        <v>10.6104</v>
      </c>
      <c r="E68">
        <v>9.42</v>
      </c>
      <c r="F68">
        <v>6.77</v>
      </c>
      <c r="G68">
        <v>81.239999999999995</v>
      </c>
      <c r="H68">
        <v>1.47</v>
      </c>
      <c r="I68">
        <v>5</v>
      </c>
      <c r="J68">
        <v>211.45</v>
      </c>
      <c r="K68">
        <v>53.44</v>
      </c>
      <c r="L68">
        <v>17.5</v>
      </c>
      <c r="M68">
        <v>3</v>
      </c>
      <c r="N68">
        <v>45.51</v>
      </c>
      <c r="O68">
        <v>26312.5</v>
      </c>
      <c r="P68">
        <v>80.69</v>
      </c>
      <c r="Q68">
        <v>204.14</v>
      </c>
      <c r="R68">
        <v>24.2</v>
      </c>
      <c r="S68">
        <v>17.37</v>
      </c>
      <c r="T68">
        <v>1319.28</v>
      </c>
      <c r="U68">
        <v>0.72</v>
      </c>
      <c r="V68">
        <v>0.75</v>
      </c>
      <c r="W68">
        <v>1.1499999999999999</v>
      </c>
      <c r="X68">
        <v>0.08</v>
      </c>
      <c r="Y68">
        <v>1</v>
      </c>
      <c r="Z68">
        <v>10</v>
      </c>
    </row>
    <row r="69" spans="1:26" x14ac:dyDescent="0.3">
      <c r="A69">
        <v>67</v>
      </c>
      <c r="B69">
        <v>95</v>
      </c>
      <c r="C69" t="s">
        <v>26</v>
      </c>
      <c r="D69">
        <v>10.613200000000001</v>
      </c>
      <c r="E69">
        <v>9.42</v>
      </c>
      <c r="F69">
        <v>6.77</v>
      </c>
      <c r="G69">
        <v>81.209999999999994</v>
      </c>
      <c r="H69">
        <v>1.49</v>
      </c>
      <c r="I69">
        <v>5</v>
      </c>
      <c r="J69">
        <v>211.85</v>
      </c>
      <c r="K69">
        <v>53.44</v>
      </c>
      <c r="L69">
        <v>17.75</v>
      </c>
      <c r="M69">
        <v>3</v>
      </c>
      <c r="N69">
        <v>45.67</v>
      </c>
      <c r="O69">
        <v>26362.28</v>
      </c>
      <c r="P69">
        <v>80.27</v>
      </c>
      <c r="Q69">
        <v>204.18</v>
      </c>
      <c r="R69">
        <v>24.18</v>
      </c>
      <c r="S69">
        <v>17.37</v>
      </c>
      <c r="T69">
        <v>1305.92</v>
      </c>
      <c r="U69">
        <v>0.72</v>
      </c>
      <c r="V69">
        <v>0.75</v>
      </c>
      <c r="W69">
        <v>1.1399999999999999</v>
      </c>
      <c r="X69">
        <v>0.08</v>
      </c>
      <c r="Y69">
        <v>1</v>
      </c>
      <c r="Z69">
        <v>10</v>
      </c>
    </row>
    <row r="70" spans="1:26" x14ac:dyDescent="0.3">
      <c r="A70">
        <v>68</v>
      </c>
      <c r="B70">
        <v>95</v>
      </c>
      <c r="C70" t="s">
        <v>26</v>
      </c>
      <c r="D70">
        <v>10.6091</v>
      </c>
      <c r="E70">
        <v>9.43</v>
      </c>
      <c r="F70">
        <v>6.77</v>
      </c>
      <c r="G70">
        <v>81.25</v>
      </c>
      <c r="H70">
        <v>1.51</v>
      </c>
      <c r="I70">
        <v>5</v>
      </c>
      <c r="J70">
        <v>212.25</v>
      </c>
      <c r="K70">
        <v>53.44</v>
      </c>
      <c r="L70">
        <v>18</v>
      </c>
      <c r="M70">
        <v>3</v>
      </c>
      <c r="N70">
        <v>45.82</v>
      </c>
      <c r="O70">
        <v>26412.11</v>
      </c>
      <c r="P70">
        <v>80.3</v>
      </c>
      <c r="Q70">
        <v>204.15</v>
      </c>
      <c r="R70">
        <v>24.25</v>
      </c>
      <c r="S70">
        <v>17.37</v>
      </c>
      <c r="T70">
        <v>1340.12</v>
      </c>
      <c r="U70">
        <v>0.72</v>
      </c>
      <c r="V70">
        <v>0.75</v>
      </c>
      <c r="W70">
        <v>1.1499999999999999</v>
      </c>
      <c r="X70">
        <v>0.08</v>
      </c>
      <c r="Y70">
        <v>1</v>
      </c>
      <c r="Z70">
        <v>10</v>
      </c>
    </row>
    <row r="71" spans="1:26" x14ac:dyDescent="0.3">
      <c r="A71">
        <v>69</v>
      </c>
      <c r="B71">
        <v>95</v>
      </c>
      <c r="C71" t="s">
        <v>26</v>
      </c>
      <c r="D71">
        <v>10.605700000000001</v>
      </c>
      <c r="E71">
        <v>9.43</v>
      </c>
      <c r="F71">
        <v>6.77</v>
      </c>
      <c r="G71">
        <v>81.290000000000006</v>
      </c>
      <c r="H71">
        <v>1.52</v>
      </c>
      <c r="I71">
        <v>5</v>
      </c>
      <c r="J71">
        <v>212.66</v>
      </c>
      <c r="K71">
        <v>53.44</v>
      </c>
      <c r="L71">
        <v>18.25</v>
      </c>
      <c r="M71">
        <v>3</v>
      </c>
      <c r="N71">
        <v>45.97</v>
      </c>
      <c r="O71">
        <v>26462</v>
      </c>
      <c r="P71">
        <v>80.040000000000006</v>
      </c>
      <c r="Q71">
        <v>204.14</v>
      </c>
      <c r="R71">
        <v>24.45</v>
      </c>
      <c r="S71">
        <v>17.37</v>
      </c>
      <c r="T71">
        <v>1441.87</v>
      </c>
      <c r="U71">
        <v>0.71</v>
      </c>
      <c r="V71">
        <v>0.75</v>
      </c>
      <c r="W71">
        <v>1.1399999999999999</v>
      </c>
      <c r="X71">
        <v>0.08</v>
      </c>
      <c r="Y71">
        <v>1</v>
      </c>
      <c r="Z71">
        <v>10</v>
      </c>
    </row>
    <row r="72" spans="1:26" x14ac:dyDescent="0.3">
      <c r="A72">
        <v>70</v>
      </c>
      <c r="B72">
        <v>95</v>
      </c>
      <c r="C72" t="s">
        <v>26</v>
      </c>
      <c r="D72">
        <v>10.610099999999999</v>
      </c>
      <c r="E72">
        <v>9.43</v>
      </c>
      <c r="F72">
        <v>6.77</v>
      </c>
      <c r="G72">
        <v>81.239999999999995</v>
      </c>
      <c r="H72">
        <v>1.54</v>
      </c>
      <c r="I72">
        <v>5</v>
      </c>
      <c r="J72">
        <v>213.06</v>
      </c>
      <c r="K72">
        <v>53.44</v>
      </c>
      <c r="L72">
        <v>18.5</v>
      </c>
      <c r="M72">
        <v>3</v>
      </c>
      <c r="N72">
        <v>46.13</v>
      </c>
      <c r="O72">
        <v>26511.94</v>
      </c>
      <c r="P72">
        <v>79.52</v>
      </c>
      <c r="Q72">
        <v>204.14</v>
      </c>
      <c r="R72">
        <v>24.24</v>
      </c>
      <c r="S72">
        <v>17.37</v>
      </c>
      <c r="T72">
        <v>1335.18</v>
      </c>
      <c r="U72">
        <v>0.72</v>
      </c>
      <c r="V72">
        <v>0.75</v>
      </c>
      <c r="W72">
        <v>1.1499999999999999</v>
      </c>
      <c r="X72">
        <v>0.08</v>
      </c>
      <c r="Y72">
        <v>1</v>
      </c>
      <c r="Z72">
        <v>10</v>
      </c>
    </row>
    <row r="73" spans="1:26" x14ac:dyDescent="0.3">
      <c r="A73">
        <v>71</v>
      </c>
      <c r="B73">
        <v>95</v>
      </c>
      <c r="C73" t="s">
        <v>26</v>
      </c>
      <c r="D73">
        <v>10.684699999999999</v>
      </c>
      <c r="E73">
        <v>9.36</v>
      </c>
      <c r="F73">
        <v>6.74</v>
      </c>
      <c r="G73">
        <v>101.12</v>
      </c>
      <c r="H73">
        <v>1.56</v>
      </c>
      <c r="I73">
        <v>4</v>
      </c>
      <c r="J73">
        <v>213.47</v>
      </c>
      <c r="K73">
        <v>53.44</v>
      </c>
      <c r="L73">
        <v>18.75</v>
      </c>
      <c r="M73">
        <v>2</v>
      </c>
      <c r="N73">
        <v>46.28</v>
      </c>
      <c r="O73">
        <v>26561.93</v>
      </c>
      <c r="P73">
        <v>78.569999999999993</v>
      </c>
      <c r="Q73">
        <v>204.14</v>
      </c>
      <c r="R73">
        <v>23.44</v>
      </c>
      <c r="S73">
        <v>17.37</v>
      </c>
      <c r="T73">
        <v>942.02</v>
      </c>
      <c r="U73">
        <v>0.74</v>
      </c>
      <c r="V73">
        <v>0.76</v>
      </c>
      <c r="W73">
        <v>1.1399999999999999</v>
      </c>
      <c r="X73">
        <v>0.05</v>
      </c>
      <c r="Y73">
        <v>1</v>
      </c>
      <c r="Z73">
        <v>10</v>
      </c>
    </row>
    <row r="74" spans="1:26" x14ac:dyDescent="0.3">
      <c r="A74">
        <v>72</v>
      </c>
      <c r="B74">
        <v>95</v>
      </c>
      <c r="C74" t="s">
        <v>26</v>
      </c>
      <c r="D74">
        <v>10.6806</v>
      </c>
      <c r="E74">
        <v>9.36</v>
      </c>
      <c r="F74">
        <v>6.75</v>
      </c>
      <c r="G74">
        <v>101.18</v>
      </c>
      <c r="H74">
        <v>1.58</v>
      </c>
      <c r="I74">
        <v>4</v>
      </c>
      <c r="J74">
        <v>213.87</v>
      </c>
      <c r="K74">
        <v>53.44</v>
      </c>
      <c r="L74">
        <v>19</v>
      </c>
      <c r="M74">
        <v>2</v>
      </c>
      <c r="N74">
        <v>46.44</v>
      </c>
      <c r="O74">
        <v>26611.98</v>
      </c>
      <c r="P74">
        <v>78.64</v>
      </c>
      <c r="Q74">
        <v>204.14</v>
      </c>
      <c r="R74">
        <v>23.49</v>
      </c>
      <c r="S74">
        <v>17.37</v>
      </c>
      <c r="T74">
        <v>969.25</v>
      </c>
      <c r="U74">
        <v>0.74</v>
      </c>
      <c r="V74">
        <v>0.76</v>
      </c>
      <c r="W74">
        <v>1.1399999999999999</v>
      </c>
      <c r="X74">
        <v>0.05</v>
      </c>
      <c r="Y74">
        <v>1</v>
      </c>
      <c r="Z74">
        <v>10</v>
      </c>
    </row>
    <row r="75" spans="1:26" x14ac:dyDescent="0.3">
      <c r="A75">
        <v>73</v>
      </c>
      <c r="B75">
        <v>95</v>
      </c>
      <c r="C75" t="s">
        <v>26</v>
      </c>
      <c r="D75">
        <v>10.6784</v>
      </c>
      <c r="E75">
        <v>9.36</v>
      </c>
      <c r="F75">
        <v>6.75</v>
      </c>
      <c r="G75">
        <v>101.21</v>
      </c>
      <c r="H75">
        <v>1.6</v>
      </c>
      <c r="I75">
        <v>4</v>
      </c>
      <c r="J75">
        <v>214.28</v>
      </c>
      <c r="K75">
        <v>53.44</v>
      </c>
      <c r="L75">
        <v>19.25</v>
      </c>
      <c r="M75">
        <v>2</v>
      </c>
      <c r="N75">
        <v>46.6</v>
      </c>
      <c r="O75">
        <v>26662.080000000002</v>
      </c>
      <c r="P75">
        <v>78.760000000000005</v>
      </c>
      <c r="Q75">
        <v>204.15</v>
      </c>
      <c r="R75">
        <v>23.63</v>
      </c>
      <c r="S75">
        <v>17.37</v>
      </c>
      <c r="T75">
        <v>1038.1300000000001</v>
      </c>
      <c r="U75">
        <v>0.74</v>
      </c>
      <c r="V75">
        <v>0.76</v>
      </c>
      <c r="W75">
        <v>1.1399999999999999</v>
      </c>
      <c r="X75">
        <v>0.06</v>
      </c>
      <c r="Y75">
        <v>1</v>
      </c>
      <c r="Z75">
        <v>10</v>
      </c>
    </row>
    <row r="76" spans="1:26" x14ac:dyDescent="0.3">
      <c r="A76">
        <v>74</v>
      </c>
      <c r="B76">
        <v>95</v>
      </c>
      <c r="C76" t="s">
        <v>26</v>
      </c>
      <c r="D76">
        <v>10.6768</v>
      </c>
      <c r="E76">
        <v>9.3699999999999992</v>
      </c>
      <c r="F76">
        <v>6.75</v>
      </c>
      <c r="G76">
        <v>101.23</v>
      </c>
      <c r="H76">
        <v>1.61</v>
      </c>
      <c r="I76">
        <v>4</v>
      </c>
      <c r="J76">
        <v>214.69</v>
      </c>
      <c r="K76">
        <v>53.44</v>
      </c>
      <c r="L76">
        <v>19.5</v>
      </c>
      <c r="M76">
        <v>2</v>
      </c>
      <c r="N76">
        <v>46.75</v>
      </c>
      <c r="O76">
        <v>26712.23</v>
      </c>
      <c r="P76">
        <v>78.930000000000007</v>
      </c>
      <c r="Q76">
        <v>204.14</v>
      </c>
      <c r="R76">
        <v>23.65</v>
      </c>
      <c r="S76">
        <v>17.37</v>
      </c>
      <c r="T76">
        <v>1046.69</v>
      </c>
      <c r="U76">
        <v>0.73</v>
      </c>
      <c r="V76">
        <v>0.76</v>
      </c>
      <c r="W76">
        <v>1.1399999999999999</v>
      </c>
      <c r="X76">
        <v>0.06</v>
      </c>
      <c r="Y76">
        <v>1</v>
      </c>
      <c r="Z76">
        <v>10</v>
      </c>
    </row>
    <row r="77" spans="1:26" x14ac:dyDescent="0.3">
      <c r="A77">
        <v>75</v>
      </c>
      <c r="B77">
        <v>95</v>
      </c>
      <c r="C77" t="s">
        <v>26</v>
      </c>
      <c r="D77">
        <v>10.672000000000001</v>
      </c>
      <c r="E77">
        <v>9.3699999999999992</v>
      </c>
      <c r="F77">
        <v>6.75</v>
      </c>
      <c r="G77">
        <v>101.29</v>
      </c>
      <c r="H77">
        <v>1.63</v>
      </c>
      <c r="I77">
        <v>4</v>
      </c>
      <c r="J77">
        <v>215.09</v>
      </c>
      <c r="K77">
        <v>53.44</v>
      </c>
      <c r="L77">
        <v>19.75</v>
      </c>
      <c r="M77">
        <v>2</v>
      </c>
      <c r="N77">
        <v>46.91</v>
      </c>
      <c r="O77">
        <v>26762.44</v>
      </c>
      <c r="P77">
        <v>78.930000000000007</v>
      </c>
      <c r="Q77">
        <v>204.18</v>
      </c>
      <c r="R77">
        <v>23.7</v>
      </c>
      <c r="S77">
        <v>17.37</v>
      </c>
      <c r="T77">
        <v>1073.33</v>
      </c>
      <c r="U77">
        <v>0.73</v>
      </c>
      <c r="V77">
        <v>0.76</v>
      </c>
      <c r="W77">
        <v>1.1399999999999999</v>
      </c>
      <c r="X77">
        <v>0.06</v>
      </c>
      <c r="Y77">
        <v>1</v>
      </c>
      <c r="Z77">
        <v>10</v>
      </c>
    </row>
    <row r="78" spans="1:26" x14ac:dyDescent="0.3">
      <c r="A78">
        <v>76</v>
      </c>
      <c r="B78">
        <v>95</v>
      </c>
      <c r="C78" t="s">
        <v>26</v>
      </c>
      <c r="D78">
        <v>10.68</v>
      </c>
      <c r="E78">
        <v>9.36</v>
      </c>
      <c r="F78">
        <v>6.75</v>
      </c>
      <c r="G78">
        <v>101.19</v>
      </c>
      <c r="H78">
        <v>1.65</v>
      </c>
      <c r="I78">
        <v>4</v>
      </c>
      <c r="J78">
        <v>215.5</v>
      </c>
      <c r="K78">
        <v>53.44</v>
      </c>
      <c r="L78">
        <v>20</v>
      </c>
      <c r="M78">
        <v>2</v>
      </c>
      <c r="N78">
        <v>47.07</v>
      </c>
      <c r="O78">
        <v>26812.71</v>
      </c>
      <c r="P78">
        <v>79.16</v>
      </c>
      <c r="Q78">
        <v>204.14</v>
      </c>
      <c r="R78">
        <v>23.58</v>
      </c>
      <c r="S78">
        <v>17.37</v>
      </c>
      <c r="T78">
        <v>1010.69</v>
      </c>
      <c r="U78">
        <v>0.74</v>
      </c>
      <c r="V78">
        <v>0.76</v>
      </c>
      <c r="W78">
        <v>1.1399999999999999</v>
      </c>
      <c r="X78">
        <v>0.05</v>
      </c>
      <c r="Y78">
        <v>1</v>
      </c>
      <c r="Z78">
        <v>10</v>
      </c>
    </row>
    <row r="79" spans="1:26" x14ac:dyDescent="0.3">
      <c r="A79">
        <v>77</v>
      </c>
      <c r="B79">
        <v>95</v>
      </c>
      <c r="C79" t="s">
        <v>26</v>
      </c>
      <c r="D79">
        <v>10.685</v>
      </c>
      <c r="E79">
        <v>9.36</v>
      </c>
      <c r="F79">
        <v>6.74</v>
      </c>
      <c r="G79">
        <v>101.12</v>
      </c>
      <c r="H79">
        <v>1.67</v>
      </c>
      <c r="I79">
        <v>4</v>
      </c>
      <c r="J79">
        <v>215.91</v>
      </c>
      <c r="K79">
        <v>53.44</v>
      </c>
      <c r="L79">
        <v>20.25</v>
      </c>
      <c r="M79">
        <v>2</v>
      </c>
      <c r="N79">
        <v>47.23</v>
      </c>
      <c r="O79">
        <v>26863.02</v>
      </c>
      <c r="P79">
        <v>79.17</v>
      </c>
      <c r="Q79">
        <v>204.14</v>
      </c>
      <c r="R79">
        <v>23.42</v>
      </c>
      <c r="S79">
        <v>17.37</v>
      </c>
      <c r="T79">
        <v>932.1</v>
      </c>
      <c r="U79">
        <v>0.74</v>
      </c>
      <c r="V79">
        <v>0.76</v>
      </c>
      <c r="W79">
        <v>1.1399999999999999</v>
      </c>
      <c r="X79">
        <v>0.05</v>
      </c>
      <c r="Y79">
        <v>1</v>
      </c>
      <c r="Z79">
        <v>10</v>
      </c>
    </row>
    <row r="80" spans="1:26" x14ac:dyDescent="0.3">
      <c r="A80">
        <v>78</v>
      </c>
      <c r="B80">
        <v>95</v>
      </c>
      <c r="C80" t="s">
        <v>26</v>
      </c>
      <c r="D80">
        <v>10.680899999999999</v>
      </c>
      <c r="E80">
        <v>9.36</v>
      </c>
      <c r="F80">
        <v>6.75</v>
      </c>
      <c r="G80">
        <v>101.17</v>
      </c>
      <c r="H80">
        <v>1.68</v>
      </c>
      <c r="I80">
        <v>4</v>
      </c>
      <c r="J80">
        <v>216.32</v>
      </c>
      <c r="K80">
        <v>53.44</v>
      </c>
      <c r="L80">
        <v>20.5</v>
      </c>
      <c r="M80">
        <v>2</v>
      </c>
      <c r="N80">
        <v>47.38</v>
      </c>
      <c r="O80">
        <v>26913.4</v>
      </c>
      <c r="P80">
        <v>79.180000000000007</v>
      </c>
      <c r="Q80">
        <v>204.14</v>
      </c>
      <c r="R80">
        <v>23.55</v>
      </c>
      <c r="S80">
        <v>17.37</v>
      </c>
      <c r="T80">
        <v>998.5</v>
      </c>
      <c r="U80">
        <v>0.74</v>
      </c>
      <c r="V80">
        <v>0.76</v>
      </c>
      <c r="W80">
        <v>1.1399999999999999</v>
      </c>
      <c r="X80">
        <v>0.05</v>
      </c>
      <c r="Y80">
        <v>1</v>
      </c>
      <c r="Z80">
        <v>10</v>
      </c>
    </row>
    <row r="81" spans="1:26" x14ac:dyDescent="0.3">
      <c r="A81">
        <v>79</v>
      </c>
      <c r="B81">
        <v>95</v>
      </c>
      <c r="C81" t="s">
        <v>26</v>
      </c>
      <c r="D81">
        <v>10.6746</v>
      </c>
      <c r="E81">
        <v>9.3699999999999992</v>
      </c>
      <c r="F81">
        <v>6.75</v>
      </c>
      <c r="G81">
        <v>101.26</v>
      </c>
      <c r="H81">
        <v>1.7</v>
      </c>
      <c r="I81">
        <v>4</v>
      </c>
      <c r="J81">
        <v>216.73</v>
      </c>
      <c r="K81">
        <v>53.44</v>
      </c>
      <c r="L81">
        <v>20.75</v>
      </c>
      <c r="M81">
        <v>2</v>
      </c>
      <c r="N81">
        <v>47.54</v>
      </c>
      <c r="O81">
        <v>26963.82</v>
      </c>
      <c r="P81">
        <v>79.02</v>
      </c>
      <c r="Q81">
        <v>204.14</v>
      </c>
      <c r="R81">
        <v>23.67</v>
      </c>
      <c r="S81">
        <v>17.37</v>
      </c>
      <c r="T81">
        <v>1058.29</v>
      </c>
      <c r="U81">
        <v>0.73</v>
      </c>
      <c r="V81">
        <v>0.76</v>
      </c>
      <c r="W81">
        <v>1.1399999999999999</v>
      </c>
      <c r="X81">
        <v>0.06</v>
      </c>
      <c r="Y81">
        <v>1</v>
      </c>
      <c r="Z81">
        <v>10</v>
      </c>
    </row>
    <row r="82" spans="1:26" x14ac:dyDescent="0.3">
      <c r="A82">
        <v>80</v>
      </c>
      <c r="B82">
        <v>95</v>
      </c>
      <c r="C82" t="s">
        <v>26</v>
      </c>
      <c r="D82">
        <v>10.674300000000001</v>
      </c>
      <c r="E82">
        <v>9.3699999999999992</v>
      </c>
      <c r="F82">
        <v>6.75</v>
      </c>
      <c r="G82">
        <v>101.26</v>
      </c>
      <c r="H82">
        <v>1.72</v>
      </c>
      <c r="I82">
        <v>4</v>
      </c>
      <c r="J82">
        <v>217.14</v>
      </c>
      <c r="K82">
        <v>53.44</v>
      </c>
      <c r="L82">
        <v>21</v>
      </c>
      <c r="M82">
        <v>2</v>
      </c>
      <c r="N82">
        <v>47.7</v>
      </c>
      <c r="O82">
        <v>27014.3</v>
      </c>
      <c r="P82">
        <v>78.94</v>
      </c>
      <c r="Q82">
        <v>204.14</v>
      </c>
      <c r="R82">
        <v>23.65</v>
      </c>
      <c r="S82">
        <v>17.37</v>
      </c>
      <c r="T82">
        <v>1049.03</v>
      </c>
      <c r="U82">
        <v>0.73</v>
      </c>
      <c r="V82">
        <v>0.76</v>
      </c>
      <c r="W82">
        <v>1.1399999999999999</v>
      </c>
      <c r="X82">
        <v>0.06</v>
      </c>
      <c r="Y82">
        <v>1</v>
      </c>
      <c r="Z82">
        <v>10</v>
      </c>
    </row>
    <row r="83" spans="1:26" x14ac:dyDescent="0.3">
      <c r="A83">
        <v>81</v>
      </c>
      <c r="B83">
        <v>95</v>
      </c>
      <c r="C83" t="s">
        <v>26</v>
      </c>
      <c r="D83">
        <v>10.674899999999999</v>
      </c>
      <c r="E83">
        <v>9.3699999999999992</v>
      </c>
      <c r="F83">
        <v>6.75</v>
      </c>
      <c r="G83">
        <v>101.25</v>
      </c>
      <c r="H83">
        <v>1.74</v>
      </c>
      <c r="I83">
        <v>4</v>
      </c>
      <c r="J83">
        <v>217.55</v>
      </c>
      <c r="K83">
        <v>53.44</v>
      </c>
      <c r="L83">
        <v>21.25</v>
      </c>
      <c r="M83">
        <v>2</v>
      </c>
      <c r="N83">
        <v>47.86</v>
      </c>
      <c r="O83">
        <v>27064.84</v>
      </c>
      <c r="P83">
        <v>78.8</v>
      </c>
      <c r="Q83">
        <v>204.14</v>
      </c>
      <c r="R83">
        <v>23.64</v>
      </c>
      <c r="S83">
        <v>17.37</v>
      </c>
      <c r="T83">
        <v>1043.8399999999999</v>
      </c>
      <c r="U83">
        <v>0.73</v>
      </c>
      <c r="V83">
        <v>0.76</v>
      </c>
      <c r="W83">
        <v>1.1399999999999999</v>
      </c>
      <c r="X83">
        <v>0.06</v>
      </c>
      <c r="Y83">
        <v>1</v>
      </c>
      <c r="Z83">
        <v>10</v>
      </c>
    </row>
    <row r="84" spans="1:26" x14ac:dyDescent="0.3">
      <c r="A84">
        <v>82</v>
      </c>
      <c r="B84">
        <v>95</v>
      </c>
      <c r="C84" t="s">
        <v>26</v>
      </c>
      <c r="D84">
        <v>10.6784</v>
      </c>
      <c r="E84">
        <v>9.36</v>
      </c>
      <c r="F84">
        <v>6.75</v>
      </c>
      <c r="G84">
        <v>101.21</v>
      </c>
      <c r="H84">
        <v>1.75</v>
      </c>
      <c r="I84">
        <v>4</v>
      </c>
      <c r="J84">
        <v>217.96</v>
      </c>
      <c r="K84">
        <v>53.44</v>
      </c>
      <c r="L84">
        <v>21.5</v>
      </c>
      <c r="M84">
        <v>2</v>
      </c>
      <c r="N84">
        <v>48.02</v>
      </c>
      <c r="O84">
        <v>27115.43</v>
      </c>
      <c r="P84">
        <v>78.59</v>
      </c>
      <c r="Q84">
        <v>204.18</v>
      </c>
      <c r="R84">
        <v>23.58</v>
      </c>
      <c r="S84">
        <v>17.37</v>
      </c>
      <c r="T84">
        <v>1010.38</v>
      </c>
      <c r="U84">
        <v>0.74</v>
      </c>
      <c r="V84">
        <v>0.76</v>
      </c>
      <c r="W84">
        <v>1.1399999999999999</v>
      </c>
      <c r="X84">
        <v>0.06</v>
      </c>
      <c r="Y84">
        <v>1</v>
      </c>
      <c r="Z84">
        <v>10</v>
      </c>
    </row>
    <row r="85" spans="1:26" x14ac:dyDescent="0.3">
      <c r="A85">
        <v>83</v>
      </c>
      <c r="B85">
        <v>95</v>
      </c>
      <c r="C85" t="s">
        <v>26</v>
      </c>
      <c r="D85">
        <v>10.682499999999999</v>
      </c>
      <c r="E85">
        <v>9.36</v>
      </c>
      <c r="F85">
        <v>6.74</v>
      </c>
      <c r="G85">
        <v>101.15</v>
      </c>
      <c r="H85">
        <v>1.77</v>
      </c>
      <c r="I85">
        <v>4</v>
      </c>
      <c r="J85">
        <v>218.37</v>
      </c>
      <c r="K85">
        <v>53.44</v>
      </c>
      <c r="L85">
        <v>21.75</v>
      </c>
      <c r="M85">
        <v>2</v>
      </c>
      <c r="N85">
        <v>48.18</v>
      </c>
      <c r="O85">
        <v>27166.080000000002</v>
      </c>
      <c r="P85">
        <v>78.41</v>
      </c>
      <c r="Q85">
        <v>204.14</v>
      </c>
      <c r="R85">
        <v>23.52</v>
      </c>
      <c r="S85">
        <v>17.37</v>
      </c>
      <c r="T85">
        <v>982.35</v>
      </c>
      <c r="U85">
        <v>0.74</v>
      </c>
      <c r="V85">
        <v>0.76</v>
      </c>
      <c r="W85">
        <v>1.1399999999999999</v>
      </c>
      <c r="X85">
        <v>0.05</v>
      </c>
      <c r="Y85">
        <v>1</v>
      </c>
      <c r="Z85">
        <v>10</v>
      </c>
    </row>
    <row r="86" spans="1:26" x14ac:dyDescent="0.3">
      <c r="A86">
        <v>84</v>
      </c>
      <c r="B86">
        <v>95</v>
      </c>
      <c r="C86" t="s">
        <v>26</v>
      </c>
      <c r="D86">
        <v>10.686</v>
      </c>
      <c r="E86">
        <v>9.36</v>
      </c>
      <c r="F86">
        <v>6.74</v>
      </c>
      <c r="G86">
        <v>101.11</v>
      </c>
      <c r="H86">
        <v>1.79</v>
      </c>
      <c r="I86">
        <v>4</v>
      </c>
      <c r="J86">
        <v>218.78</v>
      </c>
      <c r="K86">
        <v>53.44</v>
      </c>
      <c r="L86">
        <v>22</v>
      </c>
      <c r="M86">
        <v>2</v>
      </c>
      <c r="N86">
        <v>48.34</v>
      </c>
      <c r="O86">
        <v>27216.79</v>
      </c>
      <c r="P86">
        <v>78.05</v>
      </c>
      <c r="Q86">
        <v>204.14</v>
      </c>
      <c r="R86">
        <v>23.37</v>
      </c>
      <c r="S86">
        <v>17.37</v>
      </c>
      <c r="T86">
        <v>906.39</v>
      </c>
      <c r="U86">
        <v>0.74</v>
      </c>
      <c r="V86">
        <v>0.76</v>
      </c>
      <c r="W86">
        <v>1.1399999999999999</v>
      </c>
      <c r="X86">
        <v>0.05</v>
      </c>
      <c r="Y86">
        <v>1</v>
      </c>
      <c r="Z86">
        <v>10</v>
      </c>
    </row>
    <row r="87" spans="1:26" x14ac:dyDescent="0.3">
      <c r="A87">
        <v>85</v>
      </c>
      <c r="B87">
        <v>95</v>
      </c>
      <c r="C87" t="s">
        <v>26</v>
      </c>
      <c r="D87">
        <v>10.684699999999999</v>
      </c>
      <c r="E87">
        <v>9.36</v>
      </c>
      <c r="F87">
        <v>6.74</v>
      </c>
      <c r="G87">
        <v>101.12</v>
      </c>
      <c r="H87">
        <v>1.8</v>
      </c>
      <c r="I87">
        <v>4</v>
      </c>
      <c r="J87">
        <v>219.19</v>
      </c>
      <c r="K87">
        <v>53.44</v>
      </c>
      <c r="L87">
        <v>22.25</v>
      </c>
      <c r="M87">
        <v>2</v>
      </c>
      <c r="N87">
        <v>48.51</v>
      </c>
      <c r="O87">
        <v>27267.55</v>
      </c>
      <c r="P87">
        <v>77.739999999999995</v>
      </c>
      <c r="Q87">
        <v>204.14</v>
      </c>
      <c r="R87">
        <v>23.45</v>
      </c>
      <c r="S87">
        <v>17.37</v>
      </c>
      <c r="T87">
        <v>946.55</v>
      </c>
      <c r="U87">
        <v>0.74</v>
      </c>
      <c r="V87">
        <v>0.76</v>
      </c>
      <c r="W87">
        <v>1.1399999999999999</v>
      </c>
      <c r="X87">
        <v>0.05</v>
      </c>
      <c r="Y87">
        <v>1</v>
      </c>
      <c r="Z87">
        <v>10</v>
      </c>
    </row>
    <row r="88" spans="1:26" x14ac:dyDescent="0.3">
      <c r="A88">
        <v>86</v>
      </c>
      <c r="B88">
        <v>95</v>
      </c>
      <c r="C88" t="s">
        <v>26</v>
      </c>
      <c r="D88">
        <v>10.6844</v>
      </c>
      <c r="E88">
        <v>9.36</v>
      </c>
      <c r="F88">
        <v>6.74</v>
      </c>
      <c r="G88">
        <v>101.13</v>
      </c>
      <c r="H88">
        <v>1.82</v>
      </c>
      <c r="I88">
        <v>4</v>
      </c>
      <c r="J88">
        <v>219.6</v>
      </c>
      <c r="K88">
        <v>53.44</v>
      </c>
      <c r="L88">
        <v>22.5</v>
      </c>
      <c r="M88">
        <v>2</v>
      </c>
      <c r="N88">
        <v>48.67</v>
      </c>
      <c r="O88">
        <v>27318.36</v>
      </c>
      <c r="P88">
        <v>77.45</v>
      </c>
      <c r="Q88">
        <v>204.14</v>
      </c>
      <c r="R88">
        <v>23.42</v>
      </c>
      <c r="S88">
        <v>17.37</v>
      </c>
      <c r="T88">
        <v>933.24</v>
      </c>
      <c r="U88">
        <v>0.74</v>
      </c>
      <c r="V88">
        <v>0.76</v>
      </c>
      <c r="W88">
        <v>1.1399999999999999</v>
      </c>
      <c r="X88">
        <v>0.05</v>
      </c>
      <c r="Y88">
        <v>1</v>
      </c>
      <c r="Z88">
        <v>10</v>
      </c>
    </row>
    <row r="89" spans="1:26" x14ac:dyDescent="0.3">
      <c r="A89">
        <v>87</v>
      </c>
      <c r="B89">
        <v>95</v>
      </c>
      <c r="C89" t="s">
        <v>26</v>
      </c>
      <c r="D89">
        <v>10.685700000000001</v>
      </c>
      <c r="E89">
        <v>9.36</v>
      </c>
      <c r="F89">
        <v>6.74</v>
      </c>
      <c r="G89">
        <v>101.11</v>
      </c>
      <c r="H89">
        <v>1.84</v>
      </c>
      <c r="I89">
        <v>4</v>
      </c>
      <c r="J89">
        <v>220.01</v>
      </c>
      <c r="K89">
        <v>53.44</v>
      </c>
      <c r="L89">
        <v>22.75</v>
      </c>
      <c r="M89">
        <v>2</v>
      </c>
      <c r="N89">
        <v>48.83</v>
      </c>
      <c r="O89">
        <v>27369.23</v>
      </c>
      <c r="P89">
        <v>76.98</v>
      </c>
      <c r="Q89">
        <v>204.14</v>
      </c>
      <c r="R89">
        <v>23.41</v>
      </c>
      <c r="S89">
        <v>17.37</v>
      </c>
      <c r="T89">
        <v>925.61</v>
      </c>
      <c r="U89">
        <v>0.74</v>
      </c>
      <c r="V89">
        <v>0.76</v>
      </c>
      <c r="W89">
        <v>1.1399999999999999</v>
      </c>
      <c r="X89">
        <v>0.05</v>
      </c>
      <c r="Y89">
        <v>1</v>
      </c>
      <c r="Z89">
        <v>10</v>
      </c>
    </row>
    <row r="90" spans="1:26" x14ac:dyDescent="0.3">
      <c r="A90">
        <v>88</v>
      </c>
      <c r="B90">
        <v>95</v>
      </c>
      <c r="C90" t="s">
        <v>26</v>
      </c>
      <c r="D90">
        <v>10.6911</v>
      </c>
      <c r="E90">
        <v>9.35</v>
      </c>
      <c r="F90">
        <v>6.74</v>
      </c>
      <c r="G90">
        <v>101.04</v>
      </c>
      <c r="H90">
        <v>1.85</v>
      </c>
      <c r="I90">
        <v>4</v>
      </c>
      <c r="J90">
        <v>220.43</v>
      </c>
      <c r="K90">
        <v>53.44</v>
      </c>
      <c r="L90">
        <v>23</v>
      </c>
      <c r="M90">
        <v>2</v>
      </c>
      <c r="N90">
        <v>48.99</v>
      </c>
      <c r="O90">
        <v>27420.16</v>
      </c>
      <c r="P90">
        <v>76.56</v>
      </c>
      <c r="Q90">
        <v>204.14</v>
      </c>
      <c r="R90">
        <v>23.17</v>
      </c>
      <c r="S90">
        <v>17.37</v>
      </c>
      <c r="T90">
        <v>808.22</v>
      </c>
      <c r="U90">
        <v>0.75</v>
      </c>
      <c r="V90">
        <v>0.76</v>
      </c>
      <c r="W90">
        <v>1.1399999999999999</v>
      </c>
      <c r="X90">
        <v>0.04</v>
      </c>
      <c r="Y90">
        <v>1</v>
      </c>
      <c r="Z90">
        <v>10</v>
      </c>
    </row>
    <row r="91" spans="1:26" x14ac:dyDescent="0.3">
      <c r="A91">
        <v>89</v>
      </c>
      <c r="B91">
        <v>95</v>
      </c>
      <c r="C91" t="s">
        <v>26</v>
      </c>
      <c r="D91">
        <v>10.694900000000001</v>
      </c>
      <c r="E91">
        <v>9.35</v>
      </c>
      <c r="F91">
        <v>6.73</v>
      </c>
      <c r="G91">
        <v>100.99</v>
      </c>
      <c r="H91">
        <v>1.87</v>
      </c>
      <c r="I91">
        <v>4</v>
      </c>
      <c r="J91">
        <v>220.84</v>
      </c>
      <c r="K91">
        <v>53.44</v>
      </c>
      <c r="L91">
        <v>23.25</v>
      </c>
      <c r="M91">
        <v>2</v>
      </c>
      <c r="N91">
        <v>49.16</v>
      </c>
      <c r="O91">
        <v>27471.15</v>
      </c>
      <c r="P91">
        <v>76.22</v>
      </c>
      <c r="Q91">
        <v>204.14</v>
      </c>
      <c r="R91">
        <v>23.07</v>
      </c>
      <c r="S91">
        <v>17.37</v>
      </c>
      <c r="T91">
        <v>756.02</v>
      </c>
      <c r="U91">
        <v>0.75</v>
      </c>
      <c r="V91">
        <v>0.76</v>
      </c>
      <c r="W91">
        <v>1.1399999999999999</v>
      </c>
      <c r="X91">
        <v>0.04</v>
      </c>
      <c r="Y91">
        <v>1</v>
      </c>
      <c r="Z91">
        <v>10</v>
      </c>
    </row>
    <row r="92" spans="1:26" x14ac:dyDescent="0.3">
      <c r="A92">
        <v>90</v>
      </c>
      <c r="B92">
        <v>95</v>
      </c>
      <c r="C92" t="s">
        <v>26</v>
      </c>
      <c r="D92">
        <v>10.689500000000001</v>
      </c>
      <c r="E92">
        <v>9.36</v>
      </c>
      <c r="F92">
        <v>6.74</v>
      </c>
      <c r="G92">
        <v>101.06</v>
      </c>
      <c r="H92">
        <v>1.89</v>
      </c>
      <c r="I92">
        <v>4</v>
      </c>
      <c r="J92">
        <v>221.25</v>
      </c>
      <c r="K92">
        <v>53.44</v>
      </c>
      <c r="L92">
        <v>23.5</v>
      </c>
      <c r="M92">
        <v>1</v>
      </c>
      <c r="N92">
        <v>49.32</v>
      </c>
      <c r="O92">
        <v>27522.19</v>
      </c>
      <c r="P92">
        <v>75.930000000000007</v>
      </c>
      <c r="Q92">
        <v>204.14</v>
      </c>
      <c r="R92">
        <v>23.15</v>
      </c>
      <c r="S92">
        <v>17.37</v>
      </c>
      <c r="T92">
        <v>798.24</v>
      </c>
      <c r="U92">
        <v>0.75</v>
      </c>
      <c r="V92">
        <v>0.76</v>
      </c>
      <c r="W92">
        <v>1.1399999999999999</v>
      </c>
      <c r="X92">
        <v>0.05</v>
      </c>
      <c r="Y92">
        <v>1</v>
      </c>
      <c r="Z92">
        <v>10</v>
      </c>
    </row>
    <row r="93" spans="1:26" x14ac:dyDescent="0.3">
      <c r="A93">
        <v>91</v>
      </c>
      <c r="B93">
        <v>95</v>
      </c>
      <c r="C93" t="s">
        <v>26</v>
      </c>
      <c r="D93">
        <v>10.690099999999999</v>
      </c>
      <c r="E93">
        <v>9.35</v>
      </c>
      <c r="F93">
        <v>6.74</v>
      </c>
      <c r="G93">
        <v>101.05</v>
      </c>
      <c r="H93">
        <v>1.9</v>
      </c>
      <c r="I93">
        <v>4</v>
      </c>
      <c r="J93">
        <v>221.67</v>
      </c>
      <c r="K93">
        <v>53.44</v>
      </c>
      <c r="L93">
        <v>23.75</v>
      </c>
      <c r="M93">
        <v>1</v>
      </c>
      <c r="N93">
        <v>49.48</v>
      </c>
      <c r="O93">
        <v>27573.29</v>
      </c>
      <c r="P93">
        <v>75.8</v>
      </c>
      <c r="Q93">
        <v>204.14</v>
      </c>
      <c r="R93">
        <v>23.17</v>
      </c>
      <c r="S93">
        <v>17.37</v>
      </c>
      <c r="T93">
        <v>809.42</v>
      </c>
      <c r="U93">
        <v>0.75</v>
      </c>
      <c r="V93">
        <v>0.76</v>
      </c>
      <c r="W93">
        <v>1.1399999999999999</v>
      </c>
      <c r="X93">
        <v>0.05</v>
      </c>
      <c r="Y93">
        <v>1</v>
      </c>
      <c r="Z93">
        <v>10</v>
      </c>
    </row>
    <row r="94" spans="1:26" x14ac:dyDescent="0.3">
      <c r="A94">
        <v>92</v>
      </c>
      <c r="B94">
        <v>95</v>
      </c>
      <c r="C94" t="s">
        <v>26</v>
      </c>
      <c r="D94">
        <v>10.688499999999999</v>
      </c>
      <c r="E94">
        <v>9.36</v>
      </c>
      <c r="F94">
        <v>6.74</v>
      </c>
      <c r="G94">
        <v>101.08</v>
      </c>
      <c r="H94">
        <v>1.92</v>
      </c>
      <c r="I94">
        <v>4</v>
      </c>
      <c r="J94">
        <v>222.08</v>
      </c>
      <c r="K94">
        <v>53.44</v>
      </c>
      <c r="L94">
        <v>24</v>
      </c>
      <c r="M94">
        <v>1</v>
      </c>
      <c r="N94">
        <v>49.65</v>
      </c>
      <c r="O94">
        <v>27624.44</v>
      </c>
      <c r="P94">
        <v>75.7</v>
      </c>
      <c r="Q94">
        <v>204.14</v>
      </c>
      <c r="R94">
        <v>23.19</v>
      </c>
      <c r="S94">
        <v>17.37</v>
      </c>
      <c r="T94">
        <v>818.65</v>
      </c>
      <c r="U94">
        <v>0.75</v>
      </c>
      <c r="V94">
        <v>0.76</v>
      </c>
      <c r="W94">
        <v>1.1399999999999999</v>
      </c>
      <c r="X94">
        <v>0.05</v>
      </c>
      <c r="Y94">
        <v>1</v>
      </c>
      <c r="Z94">
        <v>10</v>
      </c>
    </row>
    <row r="95" spans="1:26" x14ac:dyDescent="0.3">
      <c r="A95">
        <v>93</v>
      </c>
      <c r="B95">
        <v>95</v>
      </c>
      <c r="C95" t="s">
        <v>26</v>
      </c>
      <c r="D95">
        <v>10.6876</v>
      </c>
      <c r="E95">
        <v>9.36</v>
      </c>
      <c r="F95">
        <v>6.74</v>
      </c>
      <c r="G95">
        <v>101.09</v>
      </c>
      <c r="H95">
        <v>1.94</v>
      </c>
      <c r="I95">
        <v>4</v>
      </c>
      <c r="J95">
        <v>222.5</v>
      </c>
      <c r="K95">
        <v>53.44</v>
      </c>
      <c r="L95">
        <v>24.25</v>
      </c>
      <c r="M95">
        <v>1</v>
      </c>
      <c r="N95">
        <v>49.81</v>
      </c>
      <c r="O95">
        <v>27675.78</v>
      </c>
      <c r="P95">
        <v>75.569999999999993</v>
      </c>
      <c r="Q95">
        <v>204.14</v>
      </c>
      <c r="R95">
        <v>23.24</v>
      </c>
      <c r="S95">
        <v>17.37</v>
      </c>
      <c r="T95">
        <v>840.17</v>
      </c>
      <c r="U95">
        <v>0.75</v>
      </c>
      <c r="V95">
        <v>0.76</v>
      </c>
      <c r="W95">
        <v>1.1399999999999999</v>
      </c>
      <c r="X95">
        <v>0.05</v>
      </c>
      <c r="Y95">
        <v>1</v>
      </c>
      <c r="Z95">
        <v>10</v>
      </c>
    </row>
    <row r="96" spans="1:26" x14ac:dyDescent="0.3">
      <c r="A96">
        <v>94</v>
      </c>
      <c r="B96">
        <v>95</v>
      </c>
      <c r="C96" t="s">
        <v>26</v>
      </c>
      <c r="D96">
        <v>10.6869</v>
      </c>
      <c r="E96">
        <v>9.36</v>
      </c>
      <c r="F96">
        <v>6.74</v>
      </c>
      <c r="G96">
        <v>101.1</v>
      </c>
      <c r="H96">
        <v>1.95</v>
      </c>
      <c r="I96">
        <v>4</v>
      </c>
      <c r="J96">
        <v>222.92</v>
      </c>
      <c r="K96">
        <v>53.44</v>
      </c>
      <c r="L96">
        <v>24.5</v>
      </c>
      <c r="M96">
        <v>0</v>
      </c>
      <c r="N96">
        <v>49.98</v>
      </c>
      <c r="O96">
        <v>27727.05</v>
      </c>
      <c r="P96">
        <v>75.42</v>
      </c>
      <c r="Q96">
        <v>204.14</v>
      </c>
      <c r="R96">
        <v>23.25</v>
      </c>
      <c r="S96">
        <v>17.37</v>
      </c>
      <c r="T96">
        <v>846.62</v>
      </c>
      <c r="U96">
        <v>0.75</v>
      </c>
      <c r="V96">
        <v>0.76</v>
      </c>
      <c r="W96">
        <v>1.1399999999999999</v>
      </c>
      <c r="X96">
        <v>0.05</v>
      </c>
      <c r="Y96">
        <v>1</v>
      </c>
      <c r="Z9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codeName="Planilha29"/>
  <dimension ref="A1:Z41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55</v>
      </c>
      <c r="C2" t="s">
        <v>26</v>
      </c>
      <c r="D2">
        <v>8.8626000000000005</v>
      </c>
      <c r="E2">
        <v>11.28</v>
      </c>
      <c r="F2">
        <v>7.84</v>
      </c>
      <c r="G2">
        <v>8.25</v>
      </c>
      <c r="H2">
        <v>0.15</v>
      </c>
      <c r="I2">
        <v>57</v>
      </c>
      <c r="J2">
        <v>116.05</v>
      </c>
      <c r="K2">
        <v>43.4</v>
      </c>
      <c r="L2">
        <v>1</v>
      </c>
      <c r="M2">
        <v>55</v>
      </c>
      <c r="N2">
        <v>16.649999999999999</v>
      </c>
      <c r="O2">
        <v>14546.17</v>
      </c>
      <c r="P2">
        <v>77.78</v>
      </c>
      <c r="Q2">
        <v>204.19</v>
      </c>
      <c r="R2">
        <v>57.49</v>
      </c>
      <c r="S2">
        <v>17.37</v>
      </c>
      <c r="T2">
        <v>17701.330000000002</v>
      </c>
      <c r="U2">
        <v>0.3</v>
      </c>
      <c r="V2">
        <v>0.65</v>
      </c>
      <c r="W2">
        <v>1.23</v>
      </c>
      <c r="X2">
        <v>1.1399999999999999</v>
      </c>
      <c r="Y2">
        <v>1</v>
      </c>
      <c r="Z2">
        <v>10</v>
      </c>
    </row>
    <row r="3" spans="1:26" x14ac:dyDescent="0.3">
      <c r="A3">
        <v>1</v>
      </c>
      <c r="B3">
        <v>55</v>
      </c>
      <c r="C3" t="s">
        <v>26</v>
      </c>
      <c r="D3">
        <v>9.3390000000000004</v>
      </c>
      <c r="E3">
        <v>10.71</v>
      </c>
      <c r="F3">
        <v>7.57</v>
      </c>
      <c r="G3">
        <v>10.33</v>
      </c>
      <c r="H3">
        <v>0.19</v>
      </c>
      <c r="I3">
        <v>44</v>
      </c>
      <c r="J3">
        <v>116.37</v>
      </c>
      <c r="K3">
        <v>43.4</v>
      </c>
      <c r="L3">
        <v>1.25</v>
      </c>
      <c r="M3">
        <v>42</v>
      </c>
      <c r="N3">
        <v>16.72</v>
      </c>
      <c r="O3">
        <v>14585.96</v>
      </c>
      <c r="P3">
        <v>74.819999999999993</v>
      </c>
      <c r="Q3">
        <v>204.18</v>
      </c>
      <c r="R3">
        <v>49.19</v>
      </c>
      <c r="S3">
        <v>17.37</v>
      </c>
      <c r="T3">
        <v>13617.93</v>
      </c>
      <c r="U3">
        <v>0.35</v>
      </c>
      <c r="V3">
        <v>0.67</v>
      </c>
      <c r="W3">
        <v>1.21</v>
      </c>
      <c r="X3">
        <v>0.88</v>
      </c>
      <c r="Y3">
        <v>1</v>
      </c>
      <c r="Z3">
        <v>10</v>
      </c>
    </row>
    <row r="4" spans="1:26" x14ac:dyDescent="0.3">
      <c r="A4">
        <v>2</v>
      </c>
      <c r="B4">
        <v>55</v>
      </c>
      <c r="C4" t="s">
        <v>26</v>
      </c>
      <c r="D4">
        <v>9.6704000000000008</v>
      </c>
      <c r="E4">
        <v>10.34</v>
      </c>
      <c r="F4">
        <v>7.4</v>
      </c>
      <c r="G4">
        <v>12.33</v>
      </c>
      <c r="H4">
        <v>0.23</v>
      </c>
      <c r="I4">
        <v>36</v>
      </c>
      <c r="J4">
        <v>116.69</v>
      </c>
      <c r="K4">
        <v>43.4</v>
      </c>
      <c r="L4">
        <v>1.5</v>
      </c>
      <c r="M4">
        <v>34</v>
      </c>
      <c r="N4">
        <v>16.79</v>
      </c>
      <c r="O4">
        <v>14625.77</v>
      </c>
      <c r="P4">
        <v>72.8</v>
      </c>
      <c r="Q4">
        <v>204.18</v>
      </c>
      <c r="R4">
        <v>43.65</v>
      </c>
      <c r="S4">
        <v>17.37</v>
      </c>
      <c r="T4">
        <v>10887.51</v>
      </c>
      <c r="U4">
        <v>0.4</v>
      </c>
      <c r="V4">
        <v>0.69</v>
      </c>
      <c r="W4">
        <v>1.2</v>
      </c>
      <c r="X4">
        <v>0.7</v>
      </c>
      <c r="Y4">
        <v>1</v>
      </c>
      <c r="Z4">
        <v>10</v>
      </c>
    </row>
    <row r="5" spans="1:26" x14ac:dyDescent="0.3">
      <c r="A5">
        <v>3</v>
      </c>
      <c r="B5">
        <v>55</v>
      </c>
      <c r="C5" t="s">
        <v>26</v>
      </c>
      <c r="D5">
        <v>9.8787000000000003</v>
      </c>
      <c r="E5">
        <v>10.119999999999999</v>
      </c>
      <c r="F5">
        <v>7.3</v>
      </c>
      <c r="G5">
        <v>14.13</v>
      </c>
      <c r="H5">
        <v>0.26</v>
      </c>
      <c r="I5">
        <v>31</v>
      </c>
      <c r="J5">
        <v>117.01</v>
      </c>
      <c r="K5">
        <v>43.4</v>
      </c>
      <c r="L5">
        <v>1.75</v>
      </c>
      <c r="M5">
        <v>29</v>
      </c>
      <c r="N5">
        <v>16.86</v>
      </c>
      <c r="O5">
        <v>14665.62</v>
      </c>
      <c r="P5">
        <v>71.48</v>
      </c>
      <c r="Q5">
        <v>204.16</v>
      </c>
      <c r="R5">
        <v>40.520000000000003</v>
      </c>
      <c r="S5">
        <v>17.37</v>
      </c>
      <c r="T5">
        <v>9346.4</v>
      </c>
      <c r="U5">
        <v>0.43</v>
      </c>
      <c r="V5">
        <v>0.7</v>
      </c>
      <c r="W5">
        <v>1.19</v>
      </c>
      <c r="X5">
        <v>0.61</v>
      </c>
      <c r="Y5">
        <v>1</v>
      </c>
      <c r="Z5">
        <v>10</v>
      </c>
    </row>
    <row r="6" spans="1:26" x14ac:dyDescent="0.3">
      <c r="A6">
        <v>4</v>
      </c>
      <c r="B6">
        <v>55</v>
      </c>
      <c r="C6" t="s">
        <v>26</v>
      </c>
      <c r="D6">
        <v>10.0533</v>
      </c>
      <c r="E6">
        <v>9.9499999999999993</v>
      </c>
      <c r="F6">
        <v>7.22</v>
      </c>
      <c r="G6">
        <v>16.04</v>
      </c>
      <c r="H6">
        <v>0.3</v>
      </c>
      <c r="I6">
        <v>27</v>
      </c>
      <c r="J6">
        <v>117.34</v>
      </c>
      <c r="K6">
        <v>43.4</v>
      </c>
      <c r="L6">
        <v>2</v>
      </c>
      <c r="M6">
        <v>25</v>
      </c>
      <c r="N6">
        <v>16.940000000000001</v>
      </c>
      <c r="O6">
        <v>14705.49</v>
      </c>
      <c r="P6">
        <v>70.44</v>
      </c>
      <c r="Q6">
        <v>204.17</v>
      </c>
      <c r="R6">
        <v>38.090000000000003</v>
      </c>
      <c r="S6">
        <v>17.37</v>
      </c>
      <c r="T6">
        <v>8150.21</v>
      </c>
      <c r="U6">
        <v>0.46</v>
      </c>
      <c r="V6">
        <v>0.71</v>
      </c>
      <c r="W6">
        <v>1.18</v>
      </c>
      <c r="X6">
        <v>0.53</v>
      </c>
      <c r="Y6">
        <v>1</v>
      </c>
      <c r="Z6">
        <v>10</v>
      </c>
    </row>
    <row r="7" spans="1:26" x14ac:dyDescent="0.3">
      <c r="A7">
        <v>5</v>
      </c>
      <c r="B7">
        <v>55</v>
      </c>
      <c r="C7" t="s">
        <v>26</v>
      </c>
      <c r="D7">
        <v>10.238899999999999</v>
      </c>
      <c r="E7">
        <v>9.77</v>
      </c>
      <c r="F7">
        <v>7.13</v>
      </c>
      <c r="G7">
        <v>18.61</v>
      </c>
      <c r="H7">
        <v>0.34</v>
      </c>
      <c r="I7">
        <v>23</v>
      </c>
      <c r="J7">
        <v>117.66</v>
      </c>
      <c r="K7">
        <v>43.4</v>
      </c>
      <c r="L7">
        <v>2.25</v>
      </c>
      <c r="M7">
        <v>21</v>
      </c>
      <c r="N7">
        <v>17.010000000000002</v>
      </c>
      <c r="O7">
        <v>14745.39</v>
      </c>
      <c r="P7">
        <v>69.19</v>
      </c>
      <c r="Q7">
        <v>204.23</v>
      </c>
      <c r="R7">
        <v>35.67</v>
      </c>
      <c r="S7">
        <v>17.37</v>
      </c>
      <c r="T7">
        <v>6961.87</v>
      </c>
      <c r="U7">
        <v>0.49</v>
      </c>
      <c r="V7">
        <v>0.72</v>
      </c>
      <c r="W7">
        <v>1.17</v>
      </c>
      <c r="X7">
        <v>0.44</v>
      </c>
      <c r="Y7">
        <v>1</v>
      </c>
      <c r="Z7">
        <v>10</v>
      </c>
    </row>
    <row r="8" spans="1:26" x14ac:dyDescent="0.3">
      <c r="A8">
        <v>6</v>
      </c>
      <c r="B8">
        <v>55</v>
      </c>
      <c r="C8" t="s">
        <v>26</v>
      </c>
      <c r="D8">
        <v>10.339499999999999</v>
      </c>
      <c r="E8">
        <v>9.67</v>
      </c>
      <c r="F8">
        <v>7.09</v>
      </c>
      <c r="G8">
        <v>20.25</v>
      </c>
      <c r="H8">
        <v>0.37</v>
      </c>
      <c r="I8">
        <v>21</v>
      </c>
      <c r="J8">
        <v>117.98</v>
      </c>
      <c r="K8">
        <v>43.4</v>
      </c>
      <c r="L8">
        <v>2.5</v>
      </c>
      <c r="M8">
        <v>19</v>
      </c>
      <c r="N8">
        <v>17.079999999999998</v>
      </c>
      <c r="O8">
        <v>14785.31</v>
      </c>
      <c r="P8">
        <v>68.48</v>
      </c>
      <c r="Q8">
        <v>204.22</v>
      </c>
      <c r="R8">
        <v>34.21</v>
      </c>
      <c r="S8">
        <v>17.37</v>
      </c>
      <c r="T8">
        <v>6243.98</v>
      </c>
      <c r="U8">
        <v>0.51</v>
      </c>
      <c r="V8">
        <v>0.72</v>
      </c>
      <c r="W8">
        <v>1.17</v>
      </c>
      <c r="X8">
        <v>0.39</v>
      </c>
      <c r="Y8">
        <v>1</v>
      </c>
      <c r="Z8">
        <v>10</v>
      </c>
    </row>
    <row r="9" spans="1:26" x14ac:dyDescent="0.3">
      <c r="A9">
        <v>7</v>
      </c>
      <c r="B9">
        <v>55</v>
      </c>
      <c r="C9" t="s">
        <v>26</v>
      </c>
      <c r="D9">
        <v>10.436</v>
      </c>
      <c r="E9">
        <v>9.58</v>
      </c>
      <c r="F9">
        <v>7.04</v>
      </c>
      <c r="G9">
        <v>22.24</v>
      </c>
      <c r="H9">
        <v>0.41</v>
      </c>
      <c r="I9">
        <v>19</v>
      </c>
      <c r="J9">
        <v>118.31</v>
      </c>
      <c r="K9">
        <v>43.4</v>
      </c>
      <c r="L9">
        <v>2.75</v>
      </c>
      <c r="M9">
        <v>17</v>
      </c>
      <c r="N9">
        <v>17.16</v>
      </c>
      <c r="O9">
        <v>14825.26</v>
      </c>
      <c r="P9">
        <v>67.77</v>
      </c>
      <c r="Q9">
        <v>204.15</v>
      </c>
      <c r="R9">
        <v>32.93</v>
      </c>
      <c r="S9">
        <v>17.37</v>
      </c>
      <c r="T9">
        <v>5611.42</v>
      </c>
      <c r="U9">
        <v>0.53</v>
      </c>
      <c r="V9">
        <v>0.72</v>
      </c>
      <c r="W9">
        <v>1.1599999999999999</v>
      </c>
      <c r="X9">
        <v>0.35</v>
      </c>
      <c r="Y9">
        <v>1</v>
      </c>
      <c r="Z9">
        <v>10</v>
      </c>
    </row>
    <row r="10" spans="1:26" x14ac:dyDescent="0.3">
      <c r="A10">
        <v>8</v>
      </c>
      <c r="B10">
        <v>55</v>
      </c>
      <c r="C10" t="s">
        <v>26</v>
      </c>
      <c r="D10">
        <v>10.5282</v>
      </c>
      <c r="E10">
        <v>9.5</v>
      </c>
      <c r="F10">
        <v>7.01</v>
      </c>
      <c r="G10">
        <v>24.73</v>
      </c>
      <c r="H10">
        <v>0.45</v>
      </c>
      <c r="I10">
        <v>17</v>
      </c>
      <c r="J10">
        <v>118.63</v>
      </c>
      <c r="K10">
        <v>43.4</v>
      </c>
      <c r="L10">
        <v>3</v>
      </c>
      <c r="M10">
        <v>15</v>
      </c>
      <c r="N10">
        <v>17.23</v>
      </c>
      <c r="O10">
        <v>14865.24</v>
      </c>
      <c r="P10">
        <v>66.849999999999994</v>
      </c>
      <c r="Q10">
        <v>204.15</v>
      </c>
      <c r="R10">
        <v>31.47</v>
      </c>
      <c r="S10">
        <v>17.37</v>
      </c>
      <c r="T10">
        <v>4894.42</v>
      </c>
      <c r="U10">
        <v>0.55000000000000004</v>
      </c>
      <c r="V10">
        <v>0.73</v>
      </c>
      <c r="W10">
        <v>1.17</v>
      </c>
      <c r="X10">
        <v>0.32</v>
      </c>
      <c r="Y10">
        <v>1</v>
      </c>
      <c r="Z10">
        <v>10</v>
      </c>
    </row>
    <row r="11" spans="1:26" x14ac:dyDescent="0.3">
      <c r="A11">
        <v>9</v>
      </c>
      <c r="B11">
        <v>55</v>
      </c>
      <c r="C11" t="s">
        <v>26</v>
      </c>
      <c r="D11">
        <v>10.5783</v>
      </c>
      <c r="E11">
        <v>9.4499999999999993</v>
      </c>
      <c r="F11">
        <v>6.99</v>
      </c>
      <c r="G11">
        <v>26.2</v>
      </c>
      <c r="H11">
        <v>0.48</v>
      </c>
      <c r="I11">
        <v>16</v>
      </c>
      <c r="J11">
        <v>118.96</v>
      </c>
      <c r="K11">
        <v>43.4</v>
      </c>
      <c r="L11">
        <v>3.25</v>
      </c>
      <c r="M11">
        <v>14</v>
      </c>
      <c r="N11">
        <v>17.309999999999999</v>
      </c>
      <c r="O11">
        <v>14905.25</v>
      </c>
      <c r="P11">
        <v>66.540000000000006</v>
      </c>
      <c r="Q11">
        <v>204.15</v>
      </c>
      <c r="R11">
        <v>31.23</v>
      </c>
      <c r="S11">
        <v>17.37</v>
      </c>
      <c r="T11">
        <v>4775.7</v>
      </c>
      <c r="U11">
        <v>0.56000000000000005</v>
      </c>
      <c r="V11">
        <v>0.73</v>
      </c>
      <c r="W11">
        <v>1.1599999999999999</v>
      </c>
      <c r="X11">
        <v>0.3</v>
      </c>
      <c r="Y11">
        <v>1</v>
      </c>
      <c r="Z11">
        <v>10</v>
      </c>
    </row>
    <row r="12" spans="1:26" x14ac:dyDescent="0.3">
      <c r="A12">
        <v>10</v>
      </c>
      <c r="B12">
        <v>55</v>
      </c>
      <c r="C12" t="s">
        <v>26</v>
      </c>
      <c r="D12">
        <v>10.6333</v>
      </c>
      <c r="E12">
        <v>9.4</v>
      </c>
      <c r="F12">
        <v>6.96</v>
      </c>
      <c r="G12">
        <v>27.85</v>
      </c>
      <c r="H12">
        <v>0.52</v>
      </c>
      <c r="I12">
        <v>15</v>
      </c>
      <c r="J12">
        <v>119.28</v>
      </c>
      <c r="K12">
        <v>43.4</v>
      </c>
      <c r="L12">
        <v>3.5</v>
      </c>
      <c r="M12">
        <v>13</v>
      </c>
      <c r="N12">
        <v>17.38</v>
      </c>
      <c r="O12">
        <v>14945.29</v>
      </c>
      <c r="P12">
        <v>66.040000000000006</v>
      </c>
      <c r="Q12">
        <v>204.14</v>
      </c>
      <c r="R12">
        <v>30.18</v>
      </c>
      <c r="S12">
        <v>17.37</v>
      </c>
      <c r="T12">
        <v>4256.71</v>
      </c>
      <c r="U12">
        <v>0.57999999999999996</v>
      </c>
      <c r="V12">
        <v>0.73</v>
      </c>
      <c r="W12">
        <v>1.1599999999999999</v>
      </c>
      <c r="X12">
        <v>0.27</v>
      </c>
      <c r="Y12">
        <v>1</v>
      </c>
      <c r="Z12">
        <v>10</v>
      </c>
    </row>
    <row r="13" spans="1:26" x14ac:dyDescent="0.3">
      <c r="A13">
        <v>11</v>
      </c>
      <c r="B13">
        <v>55</v>
      </c>
      <c r="C13" t="s">
        <v>26</v>
      </c>
      <c r="D13">
        <v>10.6752</v>
      </c>
      <c r="E13">
        <v>9.3699999999999992</v>
      </c>
      <c r="F13">
        <v>6.95</v>
      </c>
      <c r="G13">
        <v>29.78</v>
      </c>
      <c r="H13">
        <v>0.55000000000000004</v>
      </c>
      <c r="I13">
        <v>14</v>
      </c>
      <c r="J13">
        <v>119.61</v>
      </c>
      <c r="K13">
        <v>43.4</v>
      </c>
      <c r="L13">
        <v>3.75</v>
      </c>
      <c r="M13">
        <v>12</v>
      </c>
      <c r="N13">
        <v>17.46</v>
      </c>
      <c r="O13">
        <v>14985.35</v>
      </c>
      <c r="P13">
        <v>65.75</v>
      </c>
      <c r="Q13">
        <v>204.16</v>
      </c>
      <c r="R13">
        <v>29.79</v>
      </c>
      <c r="S13">
        <v>17.37</v>
      </c>
      <c r="T13">
        <v>4069.59</v>
      </c>
      <c r="U13">
        <v>0.57999999999999996</v>
      </c>
      <c r="V13">
        <v>0.73</v>
      </c>
      <c r="W13">
        <v>1.1599999999999999</v>
      </c>
      <c r="X13">
        <v>0.26</v>
      </c>
      <c r="Y13">
        <v>1</v>
      </c>
      <c r="Z13">
        <v>10</v>
      </c>
    </row>
    <row r="14" spans="1:26" x14ac:dyDescent="0.3">
      <c r="A14">
        <v>12</v>
      </c>
      <c r="B14">
        <v>55</v>
      </c>
      <c r="C14" t="s">
        <v>26</v>
      </c>
      <c r="D14">
        <v>10.7188</v>
      </c>
      <c r="E14">
        <v>9.33</v>
      </c>
      <c r="F14">
        <v>6.93</v>
      </c>
      <c r="G14">
        <v>32.01</v>
      </c>
      <c r="H14">
        <v>0.59</v>
      </c>
      <c r="I14">
        <v>13</v>
      </c>
      <c r="J14">
        <v>119.93</v>
      </c>
      <c r="K14">
        <v>43.4</v>
      </c>
      <c r="L14">
        <v>4</v>
      </c>
      <c r="M14">
        <v>11</v>
      </c>
      <c r="N14">
        <v>17.53</v>
      </c>
      <c r="O14">
        <v>15025.44</v>
      </c>
      <c r="P14">
        <v>65.17</v>
      </c>
      <c r="Q14">
        <v>204.15</v>
      </c>
      <c r="R14">
        <v>29.37</v>
      </c>
      <c r="S14">
        <v>17.37</v>
      </c>
      <c r="T14">
        <v>3864.75</v>
      </c>
      <c r="U14">
        <v>0.59</v>
      </c>
      <c r="V14">
        <v>0.74</v>
      </c>
      <c r="W14">
        <v>1.1599999999999999</v>
      </c>
      <c r="X14">
        <v>0.24</v>
      </c>
      <c r="Y14">
        <v>1</v>
      </c>
      <c r="Z14">
        <v>10</v>
      </c>
    </row>
    <row r="15" spans="1:26" x14ac:dyDescent="0.3">
      <c r="A15">
        <v>13</v>
      </c>
      <c r="B15">
        <v>55</v>
      </c>
      <c r="C15" t="s">
        <v>26</v>
      </c>
      <c r="D15">
        <v>10.7713</v>
      </c>
      <c r="E15">
        <v>9.2799999999999994</v>
      </c>
      <c r="F15">
        <v>6.91</v>
      </c>
      <c r="G15">
        <v>34.57</v>
      </c>
      <c r="H15">
        <v>0.62</v>
      </c>
      <c r="I15">
        <v>12</v>
      </c>
      <c r="J15">
        <v>120.26</v>
      </c>
      <c r="K15">
        <v>43.4</v>
      </c>
      <c r="L15">
        <v>4.25</v>
      </c>
      <c r="M15">
        <v>10</v>
      </c>
      <c r="N15">
        <v>17.61</v>
      </c>
      <c r="O15">
        <v>15065.56</v>
      </c>
      <c r="P15">
        <v>64.67</v>
      </c>
      <c r="Q15">
        <v>204.14</v>
      </c>
      <c r="R15">
        <v>28.82</v>
      </c>
      <c r="S15">
        <v>17.37</v>
      </c>
      <c r="T15">
        <v>3594.31</v>
      </c>
      <c r="U15">
        <v>0.6</v>
      </c>
      <c r="V15">
        <v>0.74</v>
      </c>
      <c r="W15">
        <v>1.1499999999999999</v>
      </c>
      <c r="X15">
        <v>0.22</v>
      </c>
      <c r="Y15">
        <v>1</v>
      </c>
      <c r="Z15">
        <v>10</v>
      </c>
    </row>
    <row r="16" spans="1:26" x14ac:dyDescent="0.3">
      <c r="A16">
        <v>14</v>
      </c>
      <c r="B16">
        <v>55</v>
      </c>
      <c r="C16" t="s">
        <v>26</v>
      </c>
      <c r="D16">
        <v>10.772</v>
      </c>
      <c r="E16">
        <v>9.2799999999999994</v>
      </c>
      <c r="F16">
        <v>6.91</v>
      </c>
      <c r="G16">
        <v>34.56</v>
      </c>
      <c r="H16">
        <v>0.66</v>
      </c>
      <c r="I16">
        <v>12</v>
      </c>
      <c r="J16">
        <v>120.58</v>
      </c>
      <c r="K16">
        <v>43.4</v>
      </c>
      <c r="L16">
        <v>4.5</v>
      </c>
      <c r="M16">
        <v>10</v>
      </c>
      <c r="N16">
        <v>17.68</v>
      </c>
      <c r="O16">
        <v>15105.7</v>
      </c>
      <c r="P16">
        <v>64.239999999999995</v>
      </c>
      <c r="Q16">
        <v>204.14</v>
      </c>
      <c r="R16">
        <v>28.72</v>
      </c>
      <c r="S16">
        <v>17.37</v>
      </c>
      <c r="T16">
        <v>3541.66</v>
      </c>
      <c r="U16">
        <v>0.6</v>
      </c>
      <c r="V16">
        <v>0.74</v>
      </c>
      <c r="W16">
        <v>1.1599999999999999</v>
      </c>
      <c r="X16">
        <v>0.22</v>
      </c>
      <c r="Y16">
        <v>1</v>
      </c>
      <c r="Z16">
        <v>10</v>
      </c>
    </row>
    <row r="17" spans="1:26" x14ac:dyDescent="0.3">
      <c r="A17">
        <v>15</v>
      </c>
      <c r="B17">
        <v>55</v>
      </c>
      <c r="C17" t="s">
        <v>26</v>
      </c>
      <c r="D17">
        <v>10.832000000000001</v>
      </c>
      <c r="E17">
        <v>9.23</v>
      </c>
      <c r="F17">
        <v>6.88</v>
      </c>
      <c r="G17">
        <v>37.549999999999997</v>
      </c>
      <c r="H17">
        <v>0.69</v>
      </c>
      <c r="I17">
        <v>11</v>
      </c>
      <c r="J17">
        <v>120.91</v>
      </c>
      <c r="K17">
        <v>43.4</v>
      </c>
      <c r="L17">
        <v>4.75</v>
      </c>
      <c r="M17">
        <v>9</v>
      </c>
      <c r="N17">
        <v>17.760000000000002</v>
      </c>
      <c r="O17">
        <v>15145.88</v>
      </c>
      <c r="P17">
        <v>63.72</v>
      </c>
      <c r="Q17">
        <v>204.17</v>
      </c>
      <c r="R17">
        <v>27.64</v>
      </c>
      <c r="S17">
        <v>17.37</v>
      </c>
      <c r="T17">
        <v>3004.95</v>
      </c>
      <c r="U17">
        <v>0.63</v>
      </c>
      <c r="V17">
        <v>0.74</v>
      </c>
      <c r="W17">
        <v>1.1599999999999999</v>
      </c>
      <c r="X17">
        <v>0.19</v>
      </c>
      <c r="Y17">
        <v>1</v>
      </c>
      <c r="Z17">
        <v>10</v>
      </c>
    </row>
    <row r="18" spans="1:26" x14ac:dyDescent="0.3">
      <c r="A18">
        <v>16</v>
      </c>
      <c r="B18">
        <v>55</v>
      </c>
      <c r="C18" t="s">
        <v>26</v>
      </c>
      <c r="D18">
        <v>10.8903</v>
      </c>
      <c r="E18">
        <v>9.18</v>
      </c>
      <c r="F18">
        <v>6.86</v>
      </c>
      <c r="G18">
        <v>41.16</v>
      </c>
      <c r="H18">
        <v>0.73</v>
      </c>
      <c r="I18">
        <v>10</v>
      </c>
      <c r="J18">
        <v>121.23</v>
      </c>
      <c r="K18">
        <v>43.4</v>
      </c>
      <c r="L18">
        <v>5</v>
      </c>
      <c r="M18">
        <v>8</v>
      </c>
      <c r="N18">
        <v>17.829999999999998</v>
      </c>
      <c r="O18">
        <v>15186.08</v>
      </c>
      <c r="P18">
        <v>62.81</v>
      </c>
      <c r="Q18">
        <v>204.14</v>
      </c>
      <c r="R18">
        <v>27.17</v>
      </c>
      <c r="S18">
        <v>17.37</v>
      </c>
      <c r="T18">
        <v>2775.04</v>
      </c>
      <c r="U18">
        <v>0.64</v>
      </c>
      <c r="V18">
        <v>0.74</v>
      </c>
      <c r="W18">
        <v>1.1499999999999999</v>
      </c>
      <c r="X18">
        <v>0.17</v>
      </c>
      <c r="Y18">
        <v>1</v>
      </c>
      <c r="Z18">
        <v>10</v>
      </c>
    </row>
    <row r="19" spans="1:26" x14ac:dyDescent="0.3">
      <c r="A19">
        <v>17</v>
      </c>
      <c r="B19">
        <v>55</v>
      </c>
      <c r="C19" t="s">
        <v>26</v>
      </c>
      <c r="D19">
        <v>10.8834</v>
      </c>
      <c r="E19">
        <v>9.19</v>
      </c>
      <c r="F19">
        <v>6.87</v>
      </c>
      <c r="G19">
        <v>41.19</v>
      </c>
      <c r="H19">
        <v>0.76</v>
      </c>
      <c r="I19">
        <v>10</v>
      </c>
      <c r="J19">
        <v>121.56</v>
      </c>
      <c r="K19">
        <v>43.4</v>
      </c>
      <c r="L19">
        <v>5.25</v>
      </c>
      <c r="M19">
        <v>8</v>
      </c>
      <c r="N19">
        <v>17.91</v>
      </c>
      <c r="O19">
        <v>15226.31</v>
      </c>
      <c r="P19">
        <v>62.74</v>
      </c>
      <c r="Q19">
        <v>204.14</v>
      </c>
      <c r="R19">
        <v>27.24</v>
      </c>
      <c r="S19">
        <v>17.37</v>
      </c>
      <c r="T19">
        <v>2813.75</v>
      </c>
      <c r="U19">
        <v>0.64</v>
      </c>
      <c r="V19">
        <v>0.74</v>
      </c>
      <c r="W19">
        <v>1.1499999999999999</v>
      </c>
      <c r="X19">
        <v>0.17</v>
      </c>
      <c r="Y19">
        <v>1</v>
      </c>
      <c r="Z19">
        <v>10</v>
      </c>
    </row>
    <row r="20" spans="1:26" x14ac:dyDescent="0.3">
      <c r="A20">
        <v>18</v>
      </c>
      <c r="B20">
        <v>55</v>
      </c>
      <c r="C20" t="s">
        <v>26</v>
      </c>
      <c r="D20">
        <v>10.8751</v>
      </c>
      <c r="E20">
        <v>9.1999999999999993</v>
      </c>
      <c r="F20">
        <v>6.87</v>
      </c>
      <c r="G20">
        <v>41.23</v>
      </c>
      <c r="H20">
        <v>0.8</v>
      </c>
      <c r="I20">
        <v>10</v>
      </c>
      <c r="J20">
        <v>121.89</v>
      </c>
      <c r="K20">
        <v>43.4</v>
      </c>
      <c r="L20">
        <v>5.5</v>
      </c>
      <c r="M20">
        <v>8</v>
      </c>
      <c r="N20">
        <v>17.989999999999998</v>
      </c>
      <c r="O20">
        <v>15266.56</v>
      </c>
      <c r="P20">
        <v>62.42</v>
      </c>
      <c r="Q20">
        <v>204.15</v>
      </c>
      <c r="R20">
        <v>27.32</v>
      </c>
      <c r="S20">
        <v>17.37</v>
      </c>
      <c r="T20">
        <v>2852.14</v>
      </c>
      <c r="U20">
        <v>0.64</v>
      </c>
      <c r="V20">
        <v>0.74</v>
      </c>
      <c r="W20">
        <v>1.1599999999999999</v>
      </c>
      <c r="X20">
        <v>0.18</v>
      </c>
      <c r="Y20">
        <v>1</v>
      </c>
      <c r="Z20">
        <v>10</v>
      </c>
    </row>
    <row r="21" spans="1:26" x14ac:dyDescent="0.3">
      <c r="A21">
        <v>19</v>
      </c>
      <c r="B21">
        <v>55</v>
      </c>
      <c r="C21" t="s">
        <v>26</v>
      </c>
      <c r="D21">
        <v>10.916</v>
      </c>
      <c r="E21">
        <v>9.16</v>
      </c>
      <c r="F21">
        <v>6.86</v>
      </c>
      <c r="G21">
        <v>45.74</v>
      </c>
      <c r="H21">
        <v>0.83</v>
      </c>
      <c r="I21">
        <v>9</v>
      </c>
      <c r="J21">
        <v>122.21</v>
      </c>
      <c r="K21">
        <v>43.4</v>
      </c>
      <c r="L21">
        <v>5.75</v>
      </c>
      <c r="M21">
        <v>7</v>
      </c>
      <c r="N21">
        <v>18.059999999999999</v>
      </c>
      <c r="O21">
        <v>15306.85</v>
      </c>
      <c r="P21">
        <v>62.39</v>
      </c>
      <c r="Q21">
        <v>204.14</v>
      </c>
      <c r="R21">
        <v>27.13</v>
      </c>
      <c r="S21">
        <v>17.37</v>
      </c>
      <c r="T21">
        <v>2761.53</v>
      </c>
      <c r="U21">
        <v>0.64</v>
      </c>
      <c r="V21">
        <v>0.74</v>
      </c>
      <c r="W21">
        <v>1.1499999999999999</v>
      </c>
      <c r="X21">
        <v>0.17</v>
      </c>
      <c r="Y21">
        <v>1</v>
      </c>
      <c r="Z21">
        <v>10</v>
      </c>
    </row>
    <row r="22" spans="1:26" x14ac:dyDescent="0.3">
      <c r="A22">
        <v>20</v>
      </c>
      <c r="B22">
        <v>55</v>
      </c>
      <c r="C22" t="s">
        <v>26</v>
      </c>
      <c r="D22">
        <v>10.924300000000001</v>
      </c>
      <c r="E22">
        <v>9.15</v>
      </c>
      <c r="F22">
        <v>6.85</v>
      </c>
      <c r="G22">
        <v>45.7</v>
      </c>
      <c r="H22">
        <v>0.86</v>
      </c>
      <c r="I22">
        <v>9</v>
      </c>
      <c r="J22">
        <v>122.54</v>
      </c>
      <c r="K22">
        <v>43.4</v>
      </c>
      <c r="L22">
        <v>6</v>
      </c>
      <c r="M22">
        <v>7</v>
      </c>
      <c r="N22">
        <v>18.14</v>
      </c>
      <c r="O22">
        <v>15347.16</v>
      </c>
      <c r="P22">
        <v>61.89</v>
      </c>
      <c r="Q22">
        <v>204.14</v>
      </c>
      <c r="R22">
        <v>27.02</v>
      </c>
      <c r="S22">
        <v>17.37</v>
      </c>
      <c r="T22">
        <v>2706.48</v>
      </c>
      <c r="U22">
        <v>0.64</v>
      </c>
      <c r="V22">
        <v>0.74</v>
      </c>
      <c r="W22">
        <v>1.1499999999999999</v>
      </c>
      <c r="X22">
        <v>0.16</v>
      </c>
      <c r="Y22">
        <v>1</v>
      </c>
      <c r="Z22">
        <v>10</v>
      </c>
    </row>
    <row r="23" spans="1:26" x14ac:dyDescent="0.3">
      <c r="A23">
        <v>21</v>
      </c>
      <c r="B23">
        <v>55</v>
      </c>
      <c r="C23" t="s">
        <v>26</v>
      </c>
      <c r="D23">
        <v>10.9756</v>
      </c>
      <c r="E23">
        <v>9.11</v>
      </c>
      <c r="F23">
        <v>6.84</v>
      </c>
      <c r="G23">
        <v>51.27</v>
      </c>
      <c r="H23">
        <v>0.9</v>
      </c>
      <c r="I23">
        <v>8</v>
      </c>
      <c r="J23">
        <v>122.87</v>
      </c>
      <c r="K23">
        <v>43.4</v>
      </c>
      <c r="L23">
        <v>6.25</v>
      </c>
      <c r="M23">
        <v>6</v>
      </c>
      <c r="N23">
        <v>18.22</v>
      </c>
      <c r="O23">
        <v>15387.5</v>
      </c>
      <c r="P23">
        <v>61.06</v>
      </c>
      <c r="Q23">
        <v>204.16</v>
      </c>
      <c r="R23">
        <v>26.37</v>
      </c>
      <c r="S23">
        <v>17.37</v>
      </c>
      <c r="T23">
        <v>2385.4899999999998</v>
      </c>
      <c r="U23">
        <v>0.66</v>
      </c>
      <c r="V23">
        <v>0.75</v>
      </c>
      <c r="W23">
        <v>1.1499999999999999</v>
      </c>
      <c r="X23">
        <v>0.14000000000000001</v>
      </c>
      <c r="Y23">
        <v>1</v>
      </c>
      <c r="Z23">
        <v>10</v>
      </c>
    </row>
    <row r="24" spans="1:26" x14ac:dyDescent="0.3">
      <c r="A24">
        <v>22</v>
      </c>
      <c r="B24">
        <v>55</v>
      </c>
      <c r="C24" t="s">
        <v>26</v>
      </c>
      <c r="D24">
        <v>10.993</v>
      </c>
      <c r="E24">
        <v>9.1</v>
      </c>
      <c r="F24">
        <v>6.82</v>
      </c>
      <c r="G24">
        <v>51.16</v>
      </c>
      <c r="H24">
        <v>0.93</v>
      </c>
      <c r="I24">
        <v>8</v>
      </c>
      <c r="J24">
        <v>123.19</v>
      </c>
      <c r="K24">
        <v>43.4</v>
      </c>
      <c r="L24">
        <v>6.5</v>
      </c>
      <c r="M24">
        <v>6</v>
      </c>
      <c r="N24">
        <v>18.29</v>
      </c>
      <c r="O24">
        <v>15427.87</v>
      </c>
      <c r="P24">
        <v>60.55</v>
      </c>
      <c r="Q24">
        <v>204.14</v>
      </c>
      <c r="R24">
        <v>25.89</v>
      </c>
      <c r="S24">
        <v>17.37</v>
      </c>
      <c r="T24">
        <v>2148.17</v>
      </c>
      <c r="U24">
        <v>0.67</v>
      </c>
      <c r="V24">
        <v>0.75</v>
      </c>
      <c r="W24">
        <v>1.1499999999999999</v>
      </c>
      <c r="X24">
        <v>0.13</v>
      </c>
      <c r="Y24">
        <v>1</v>
      </c>
      <c r="Z24">
        <v>10</v>
      </c>
    </row>
    <row r="25" spans="1:26" x14ac:dyDescent="0.3">
      <c r="A25">
        <v>23</v>
      </c>
      <c r="B25">
        <v>55</v>
      </c>
      <c r="C25" t="s">
        <v>26</v>
      </c>
      <c r="D25">
        <v>10.981299999999999</v>
      </c>
      <c r="E25">
        <v>9.11</v>
      </c>
      <c r="F25">
        <v>6.83</v>
      </c>
      <c r="G25">
        <v>51.23</v>
      </c>
      <c r="H25">
        <v>0.96</v>
      </c>
      <c r="I25">
        <v>8</v>
      </c>
      <c r="J25">
        <v>123.52</v>
      </c>
      <c r="K25">
        <v>43.4</v>
      </c>
      <c r="L25">
        <v>6.75</v>
      </c>
      <c r="M25">
        <v>6</v>
      </c>
      <c r="N25">
        <v>18.37</v>
      </c>
      <c r="O25">
        <v>15468.27</v>
      </c>
      <c r="P25">
        <v>60.27</v>
      </c>
      <c r="Q25">
        <v>204.14</v>
      </c>
      <c r="R25">
        <v>26.08</v>
      </c>
      <c r="S25">
        <v>17.37</v>
      </c>
      <c r="T25">
        <v>2243.64</v>
      </c>
      <c r="U25">
        <v>0.67</v>
      </c>
      <c r="V25">
        <v>0.75</v>
      </c>
      <c r="W25">
        <v>1.1499999999999999</v>
      </c>
      <c r="X25">
        <v>0.14000000000000001</v>
      </c>
      <c r="Y25">
        <v>1</v>
      </c>
      <c r="Z25">
        <v>10</v>
      </c>
    </row>
    <row r="26" spans="1:26" x14ac:dyDescent="0.3">
      <c r="A26">
        <v>24</v>
      </c>
      <c r="B26">
        <v>55</v>
      </c>
      <c r="C26" t="s">
        <v>26</v>
      </c>
      <c r="D26">
        <v>10.980600000000001</v>
      </c>
      <c r="E26">
        <v>9.11</v>
      </c>
      <c r="F26">
        <v>6.83</v>
      </c>
      <c r="G26">
        <v>51.24</v>
      </c>
      <c r="H26">
        <v>1</v>
      </c>
      <c r="I26">
        <v>8</v>
      </c>
      <c r="J26">
        <v>123.85</v>
      </c>
      <c r="K26">
        <v>43.4</v>
      </c>
      <c r="L26">
        <v>7</v>
      </c>
      <c r="M26">
        <v>6</v>
      </c>
      <c r="N26">
        <v>18.45</v>
      </c>
      <c r="O26">
        <v>15508.69</v>
      </c>
      <c r="P26">
        <v>59.83</v>
      </c>
      <c r="Q26">
        <v>204.14</v>
      </c>
      <c r="R26">
        <v>26.09</v>
      </c>
      <c r="S26">
        <v>17.37</v>
      </c>
      <c r="T26">
        <v>2248.42</v>
      </c>
      <c r="U26">
        <v>0.67</v>
      </c>
      <c r="V26">
        <v>0.75</v>
      </c>
      <c r="W26">
        <v>1.1499999999999999</v>
      </c>
      <c r="X26">
        <v>0.14000000000000001</v>
      </c>
      <c r="Y26">
        <v>1</v>
      </c>
      <c r="Z26">
        <v>10</v>
      </c>
    </row>
    <row r="27" spans="1:26" x14ac:dyDescent="0.3">
      <c r="A27">
        <v>25</v>
      </c>
      <c r="B27">
        <v>55</v>
      </c>
      <c r="C27" t="s">
        <v>26</v>
      </c>
      <c r="D27">
        <v>11.041600000000001</v>
      </c>
      <c r="E27">
        <v>9.06</v>
      </c>
      <c r="F27">
        <v>6.81</v>
      </c>
      <c r="G27">
        <v>58.33</v>
      </c>
      <c r="H27">
        <v>1.03</v>
      </c>
      <c r="I27">
        <v>7</v>
      </c>
      <c r="J27">
        <v>124.18</v>
      </c>
      <c r="K27">
        <v>43.4</v>
      </c>
      <c r="L27">
        <v>7.25</v>
      </c>
      <c r="M27">
        <v>5</v>
      </c>
      <c r="N27">
        <v>18.53</v>
      </c>
      <c r="O27">
        <v>15549.15</v>
      </c>
      <c r="P27">
        <v>59.44</v>
      </c>
      <c r="Q27">
        <v>204.16</v>
      </c>
      <c r="R27">
        <v>25.39</v>
      </c>
      <c r="S27">
        <v>17.37</v>
      </c>
      <c r="T27">
        <v>1903.13</v>
      </c>
      <c r="U27">
        <v>0.68</v>
      </c>
      <c r="V27">
        <v>0.75</v>
      </c>
      <c r="W27">
        <v>1.1499999999999999</v>
      </c>
      <c r="X27">
        <v>0.11</v>
      </c>
      <c r="Y27">
        <v>1</v>
      </c>
      <c r="Z27">
        <v>10</v>
      </c>
    </row>
    <row r="28" spans="1:26" x14ac:dyDescent="0.3">
      <c r="A28">
        <v>26</v>
      </c>
      <c r="B28">
        <v>55</v>
      </c>
      <c r="C28" t="s">
        <v>26</v>
      </c>
      <c r="D28">
        <v>11.030799999999999</v>
      </c>
      <c r="E28">
        <v>9.07</v>
      </c>
      <c r="F28">
        <v>6.81</v>
      </c>
      <c r="G28">
        <v>58.41</v>
      </c>
      <c r="H28">
        <v>1.06</v>
      </c>
      <c r="I28">
        <v>7</v>
      </c>
      <c r="J28">
        <v>124.51</v>
      </c>
      <c r="K28">
        <v>43.4</v>
      </c>
      <c r="L28">
        <v>7.5</v>
      </c>
      <c r="M28">
        <v>5</v>
      </c>
      <c r="N28">
        <v>18.61</v>
      </c>
      <c r="O28">
        <v>15589.63</v>
      </c>
      <c r="P28">
        <v>59.49</v>
      </c>
      <c r="Q28">
        <v>204.14</v>
      </c>
      <c r="R28">
        <v>25.65</v>
      </c>
      <c r="S28">
        <v>17.37</v>
      </c>
      <c r="T28">
        <v>2033.97</v>
      </c>
      <c r="U28">
        <v>0.68</v>
      </c>
      <c r="V28">
        <v>0.75</v>
      </c>
      <c r="W28">
        <v>1.1499999999999999</v>
      </c>
      <c r="X28">
        <v>0.12</v>
      </c>
      <c r="Y28">
        <v>1</v>
      </c>
      <c r="Z28">
        <v>10</v>
      </c>
    </row>
    <row r="29" spans="1:26" x14ac:dyDescent="0.3">
      <c r="A29">
        <v>27</v>
      </c>
      <c r="B29">
        <v>55</v>
      </c>
      <c r="C29" t="s">
        <v>26</v>
      </c>
      <c r="D29">
        <v>11.0311</v>
      </c>
      <c r="E29">
        <v>9.07</v>
      </c>
      <c r="F29">
        <v>6.81</v>
      </c>
      <c r="G29">
        <v>58.4</v>
      </c>
      <c r="H29">
        <v>1.1000000000000001</v>
      </c>
      <c r="I29">
        <v>7</v>
      </c>
      <c r="J29">
        <v>124.83</v>
      </c>
      <c r="K29">
        <v>43.4</v>
      </c>
      <c r="L29">
        <v>7.75</v>
      </c>
      <c r="M29">
        <v>5</v>
      </c>
      <c r="N29">
        <v>18.68</v>
      </c>
      <c r="O29">
        <v>15630.14</v>
      </c>
      <c r="P29">
        <v>59.1</v>
      </c>
      <c r="Q29">
        <v>204.14</v>
      </c>
      <c r="R29">
        <v>25.62</v>
      </c>
      <c r="S29">
        <v>17.37</v>
      </c>
      <c r="T29">
        <v>2018.35</v>
      </c>
      <c r="U29">
        <v>0.68</v>
      </c>
      <c r="V29">
        <v>0.75</v>
      </c>
      <c r="W29">
        <v>1.1499999999999999</v>
      </c>
      <c r="X29">
        <v>0.12</v>
      </c>
      <c r="Y29">
        <v>1</v>
      </c>
      <c r="Z29">
        <v>10</v>
      </c>
    </row>
    <row r="30" spans="1:26" x14ac:dyDescent="0.3">
      <c r="A30">
        <v>28</v>
      </c>
      <c r="B30">
        <v>55</v>
      </c>
      <c r="C30" t="s">
        <v>26</v>
      </c>
      <c r="D30">
        <v>11.0223</v>
      </c>
      <c r="E30">
        <v>9.07</v>
      </c>
      <c r="F30">
        <v>6.82</v>
      </c>
      <c r="G30">
        <v>58.47</v>
      </c>
      <c r="H30">
        <v>1.1299999999999999</v>
      </c>
      <c r="I30">
        <v>7</v>
      </c>
      <c r="J30">
        <v>125.16</v>
      </c>
      <c r="K30">
        <v>43.4</v>
      </c>
      <c r="L30">
        <v>8</v>
      </c>
      <c r="M30">
        <v>5</v>
      </c>
      <c r="N30">
        <v>18.760000000000002</v>
      </c>
      <c r="O30">
        <v>15670.68</v>
      </c>
      <c r="P30">
        <v>58.57</v>
      </c>
      <c r="Q30">
        <v>204.14</v>
      </c>
      <c r="R30">
        <v>25.87</v>
      </c>
      <c r="S30">
        <v>17.37</v>
      </c>
      <c r="T30">
        <v>2141.1799999999998</v>
      </c>
      <c r="U30">
        <v>0.67</v>
      </c>
      <c r="V30">
        <v>0.75</v>
      </c>
      <c r="W30">
        <v>1.1499999999999999</v>
      </c>
      <c r="X30">
        <v>0.13</v>
      </c>
      <c r="Y30">
        <v>1</v>
      </c>
      <c r="Z30">
        <v>10</v>
      </c>
    </row>
    <row r="31" spans="1:26" x14ac:dyDescent="0.3">
      <c r="A31">
        <v>29</v>
      </c>
      <c r="B31">
        <v>55</v>
      </c>
      <c r="C31" t="s">
        <v>26</v>
      </c>
      <c r="D31">
        <v>11.096</v>
      </c>
      <c r="E31">
        <v>9.01</v>
      </c>
      <c r="F31">
        <v>6.78</v>
      </c>
      <c r="G31">
        <v>67.849999999999994</v>
      </c>
      <c r="H31">
        <v>1.1599999999999999</v>
      </c>
      <c r="I31">
        <v>6</v>
      </c>
      <c r="J31">
        <v>125.49</v>
      </c>
      <c r="K31">
        <v>43.4</v>
      </c>
      <c r="L31">
        <v>8.25</v>
      </c>
      <c r="M31">
        <v>4</v>
      </c>
      <c r="N31">
        <v>18.84</v>
      </c>
      <c r="O31">
        <v>15711.24</v>
      </c>
      <c r="P31">
        <v>57.56</v>
      </c>
      <c r="Q31">
        <v>204.15</v>
      </c>
      <c r="R31">
        <v>24.79</v>
      </c>
      <c r="S31">
        <v>17.37</v>
      </c>
      <c r="T31">
        <v>1608.19</v>
      </c>
      <c r="U31">
        <v>0.7</v>
      </c>
      <c r="V31">
        <v>0.75</v>
      </c>
      <c r="W31">
        <v>1.1399999999999999</v>
      </c>
      <c r="X31">
        <v>0.09</v>
      </c>
      <c r="Y31">
        <v>1</v>
      </c>
      <c r="Z31">
        <v>10</v>
      </c>
    </row>
    <row r="32" spans="1:26" x14ac:dyDescent="0.3">
      <c r="A32">
        <v>30</v>
      </c>
      <c r="B32">
        <v>55</v>
      </c>
      <c r="C32" t="s">
        <v>26</v>
      </c>
      <c r="D32">
        <v>11.093999999999999</v>
      </c>
      <c r="E32">
        <v>9.01</v>
      </c>
      <c r="F32">
        <v>6.79</v>
      </c>
      <c r="G32">
        <v>67.86</v>
      </c>
      <c r="H32">
        <v>1.19</v>
      </c>
      <c r="I32">
        <v>6</v>
      </c>
      <c r="J32">
        <v>125.82</v>
      </c>
      <c r="K32">
        <v>43.4</v>
      </c>
      <c r="L32">
        <v>8.5</v>
      </c>
      <c r="M32">
        <v>4</v>
      </c>
      <c r="N32">
        <v>18.920000000000002</v>
      </c>
      <c r="O32">
        <v>15751.84</v>
      </c>
      <c r="P32">
        <v>57.43</v>
      </c>
      <c r="Q32">
        <v>204.14</v>
      </c>
      <c r="R32">
        <v>24.79</v>
      </c>
      <c r="S32">
        <v>17.37</v>
      </c>
      <c r="T32">
        <v>1607.38</v>
      </c>
      <c r="U32">
        <v>0.7</v>
      </c>
      <c r="V32">
        <v>0.75</v>
      </c>
      <c r="W32">
        <v>1.1499999999999999</v>
      </c>
      <c r="X32">
        <v>0.1</v>
      </c>
      <c r="Y32">
        <v>1</v>
      </c>
      <c r="Z32">
        <v>10</v>
      </c>
    </row>
    <row r="33" spans="1:26" x14ac:dyDescent="0.3">
      <c r="A33">
        <v>31</v>
      </c>
      <c r="B33">
        <v>55</v>
      </c>
      <c r="C33" t="s">
        <v>26</v>
      </c>
      <c r="D33">
        <v>11.093999999999999</v>
      </c>
      <c r="E33">
        <v>9.01</v>
      </c>
      <c r="F33">
        <v>6.79</v>
      </c>
      <c r="G33">
        <v>67.86</v>
      </c>
      <c r="H33">
        <v>1.22</v>
      </c>
      <c r="I33">
        <v>6</v>
      </c>
      <c r="J33">
        <v>126.15</v>
      </c>
      <c r="K33">
        <v>43.4</v>
      </c>
      <c r="L33">
        <v>8.75</v>
      </c>
      <c r="M33">
        <v>4</v>
      </c>
      <c r="N33">
        <v>19</v>
      </c>
      <c r="O33">
        <v>15792.46</v>
      </c>
      <c r="P33">
        <v>57.43</v>
      </c>
      <c r="Q33">
        <v>204.14</v>
      </c>
      <c r="R33">
        <v>24.91</v>
      </c>
      <c r="S33">
        <v>17.37</v>
      </c>
      <c r="T33">
        <v>1666.53</v>
      </c>
      <c r="U33">
        <v>0.7</v>
      </c>
      <c r="V33">
        <v>0.75</v>
      </c>
      <c r="W33">
        <v>1.1399999999999999</v>
      </c>
      <c r="X33">
        <v>0.1</v>
      </c>
      <c r="Y33">
        <v>1</v>
      </c>
      <c r="Z33">
        <v>10</v>
      </c>
    </row>
    <row r="34" spans="1:26" x14ac:dyDescent="0.3">
      <c r="A34">
        <v>32</v>
      </c>
      <c r="B34">
        <v>55</v>
      </c>
      <c r="C34" t="s">
        <v>26</v>
      </c>
      <c r="D34">
        <v>11.0943</v>
      </c>
      <c r="E34">
        <v>9.01</v>
      </c>
      <c r="F34">
        <v>6.79</v>
      </c>
      <c r="G34">
        <v>67.86</v>
      </c>
      <c r="H34">
        <v>1.26</v>
      </c>
      <c r="I34">
        <v>6</v>
      </c>
      <c r="J34">
        <v>126.48</v>
      </c>
      <c r="K34">
        <v>43.4</v>
      </c>
      <c r="L34">
        <v>9</v>
      </c>
      <c r="M34">
        <v>4</v>
      </c>
      <c r="N34">
        <v>19.079999999999998</v>
      </c>
      <c r="O34">
        <v>15833.12</v>
      </c>
      <c r="P34">
        <v>56.84</v>
      </c>
      <c r="Q34">
        <v>204.14</v>
      </c>
      <c r="R34">
        <v>24.75</v>
      </c>
      <c r="S34">
        <v>17.37</v>
      </c>
      <c r="T34">
        <v>1589.28</v>
      </c>
      <c r="U34">
        <v>0.7</v>
      </c>
      <c r="V34">
        <v>0.75</v>
      </c>
      <c r="W34">
        <v>1.1499999999999999</v>
      </c>
      <c r="X34">
        <v>0.1</v>
      </c>
      <c r="Y34">
        <v>1</v>
      </c>
      <c r="Z34">
        <v>10</v>
      </c>
    </row>
    <row r="35" spans="1:26" x14ac:dyDescent="0.3">
      <c r="A35">
        <v>33</v>
      </c>
      <c r="B35">
        <v>55</v>
      </c>
      <c r="C35" t="s">
        <v>26</v>
      </c>
      <c r="D35">
        <v>11.0878</v>
      </c>
      <c r="E35">
        <v>9.02</v>
      </c>
      <c r="F35">
        <v>6.79</v>
      </c>
      <c r="G35">
        <v>67.91</v>
      </c>
      <c r="H35">
        <v>1.29</v>
      </c>
      <c r="I35">
        <v>6</v>
      </c>
      <c r="J35">
        <v>126.81</v>
      </c>
      <c r="K35">
        <v>43.4</v>
      </c>
      <c r="L35">
        <v>9.25</v>
      </c>
      <c r="M35">
        <v>4</v>
      </c>
      <c r="N35">
        <v>19.16</v>
      </c>
      <c r="O35">
        <v>15873.8</v>
      </c>
      <c r="P35">
        <v>56.44</v>
      </c>
      <c r="Q35">
        <v>204.15</v>
      </c>
      <c r="R35">
        <v>24.97</v>
      </c>
      <c r="S35">
        <v>17.37</v>
      </c>
      <c r="T35">
        <v>1699.19</v>
      </c>
      <c r="U35">
        <v>0.7</v>
      </c>
      <c r="V35">
        <v>0.75</v>
      </c>
      <c r="W35">
        <v>1.1499999999999999</v>
      </c>
      <c r="X35">
        <v>0.1</v>
      </c>
      <c r="Y35">
        <v>1</v>
      </c>
      <c r="Z35">
        <v>10</v>
      </c>
    </row>
    <row r="36" spans="1:26" x14ac:dyDescent="0.3">
      <c r="A36">
        <v>34</v>
      </c>
      <c r="B36">
        <v>55</v>
      </c>
      <c r="C36" t="s">
        <v>26</v>
      </c>
      <c r="D36">
        <v>11.0906</v>
      </c>
      <c r="E36">
        <v>9.02</v>
      </c>
      <c r="F36">
        <v>6.79</v>
      </c>
      <c r="G36">
        <v>67.89</v>
      </c>
      <c r="H36">
        <v>1.32</v>
      </c>
      <c r="I36">
        <v>6</v>
      </c>
      <c r="J36">
        <v>127.14</v>
      </c>
      <c r="K36">
        <v>43.4</v>
      </c>
      <c r="L36">
        <v>9.5</v>
      </c>
      <c r="M36">
        <v>3</v>
      </c>
      <c r="N36">
        <v>19.239999999999998</v>
      </c>
      <c r="O36">
        <v>15914.51</v>
      </c>
      <c r="P36">
        <v>56.17</v>
      </c>
      <c r="Q36">
        <v>204.14</v>
      </c>
      <c r="R36">
        <v>24.87</v>
      </c>
      <c r="S36">
        <v>17.37</v>
      </c>
      <c r="T36">
        <v>1649.01</v>
      </c>
      <c r="U36">
        <v>0.7</v>
      </c>
      <c r="V36">
        <v>0.75</v>
      </c>
      <c r="W36">
        <v>1.1499999999999999</v>
      </c>
      <c r="X36">
        <v>0.1</v>
      </c>
      <c r="Y36">
        <v>1</v>
      </c>
      <c r="Z36">
        <v>10</v>
      </c>
    </row>
    <row r="37" spans="1:26" x14ac:dyDescent="0.3">
      <c r="A37">
        <v>35</v>
      </c>
      <c r="B37">
        <v>55</v>
      </c>
      <c r="C37" t="s">
        <v>26</v>
      </c>
      <c r="D37">
        <v>11.0943</v>
      </c>
      <c r="E37">
        <v>9.01</v>
      </c>
      <c r="F37">
        <v>6.79</v>
      </c>
      <c r="G37">
        <v>67.86</v>
      </c>
      <c r="H37">
        <v>1.35</v>
      </c>
      <c r="I37">
        <v>6</v>
      </c>
      <c r="J37">
        <v>127.47</v>
      </c>
      <c r="K37">
        <v>43.4</v>
      </c>
      <c r="L37">
        <v>9.75</v>
      </c>
      <c r="M37">
        <v>3</v>
      </c>
      <c r="N37">
        <v>19.32</v>
      </c>
      <c r="O37">
        <v>15955.25</v>
      </c>
      <c r="P37">
        <v>55.72</v>
      </c>
      <c r="Q37">
        <v>204.21</v>
      </c>
      <c r="R37">
        <v>24.76</v>
      </c>
      <c r="S37">
        <v>17.37</v>
      </c>
      <c r="T37">
        <v>1593.57</v>
      </c>
      <c r="U37">
        <v>0.7</v>
      </c>
      <c r="V37">
        <v>0.75</v>
      </c>
      <c r="W37">
        <v>1.1499999999999999</v>
      </c>
      <c r="X37">
        <v>0.09</v>
      </c>
      <c r="Y37">
        <v>1</v>
      </c>
      <c r="Z37">
        <v>10</v>
      </c>
    </row>
    <row r="38" spans="1:26" x14ac:dyDescent="0.3">
      <c r="A38">
        <v>36</v>
      </c>
      <c r="B38">
        <v>55</v>
      </c>
      <c r="C38" t="s">
        <v>26</v>
      </c>
      <c r="D38">
        <v>11.1393</v>
      </c>
      <c r="E38">
        <v>8.98</v>
      </c>
      <c r="F38">
        <v>6.77</v>
      </c>
      <c r="G38">
        <v>81.28</v>
      </c>
      <c r="H38">
        <v>1.38</v>
      </c>
      <c r="I38">
        <v>5</v>
      </c>
      <c r="J38">
        <v>127.8</v>
      </c>
      <c r="K38">
        <v>43.4</v>
      </c>
      <c r="L38">
        <v>10</v>
      </c>
      <c r="M38">
        <v>2</v>
      </c>
      <c r="N38">
        <v>19.399999999999999</v>
      </c>
      <c r="O38">
        <v>15996.02</v>
      </c>
      <c r="P38">
        <v>54.86</v>
      </c>
      <c r="Q38">
        <v>204.14</v>
      </c>
      <c r="R38">
        <v>24.37</v>
      </c>
      <c r="S38">
        <v>17.37</v>
      </c>
      <c r="T38">
        <v>1402.75</v>
      </c>
      <c r="U38">
        <v>0.71</v>
      </c>
      <c r="V38">
        <v>0.75</v>
      </c>
      <c r="W38">
        <v>1.1499999999999999</v>
      </c>
      <c r="X38">
        <v>0.08</v>
      </c>
      <c r="Y38">
        <v>1</v>
      </c>
      <c r="Z38">
        <v>10</v>
      </c>
    </row>
    <row r="39" spans="1:26" x14ac:dyDescent="0.3">
      <c r="A39">
        <v>37</v>
      </c>
      <c r="B39">
        <v>55</v>
      </c>
      <c r="C39" t="s">
        <v>26</v>
      </c>
      <c r="D39">
        <v>11.1441</v>
      </c>
      <c r="E39">
        <v>8.9700000000000006</v>
      </c>
      <c r="F39">
        <v>6.77</v>
      </c>
      <c r="G39">
        <v>81.239999999999995</v>
      </c>
      <c r="H39">
        <v>1.41</v>
      </c>
      <c r="I39">
        <v>5</v>
      </c>
      <c r="J39">
        <v>128.13</v>
      </c>
      <c r="K39">
        <v>43.4</v>
      </c>
      <c r="L39">
        <v>10.25</v>
      </c>
      <c r="M39">
        <v>1</v>
      </c>
      <c r="N39">
        <v>19.48</v>
      </c>
      <c r="O39">
        <v>16036.82</v>
      </c>
      <c r="P39">
        <v>54.91</v>
      </c>
      <c r="Q39">
        <v>204.14</v>
      </c>
      <c r="R39">
        <v>24.26</v>
      </c>
      <c r="S39">
        <v>17.37</v>
      </c>
      <c r="T39">
        <v>1346.69</v>
      </c>
      <c r="U39">
        <v>0.72</v>
      </c>
      <c r="V39">
        <v>0.75</v>
      </c>
      <c r="W39">
        <v>1.1499999999999999</v>
      </c>
      <c r="X39">
        <v>0.08</v>
      </c>
      <c r="Y39">
        <v>1</v>
      </c>
      <c r="Z39">
        <v>10</v>
      </c>
    </row>
    <row r="40" spans="1:26" x14ac:dyDescent="0.3">
      <c r="A40">
        <v>38</v>
      </c>
      <c r="B40">
        <v>55</v>
      </c>
      <c r="C40" t="s">
        <v>26</v>
      </c>
      <c r="D40">
        <v>11.1403</v>
      </c>
      <c r="E40">
        <v>8.98</v>
      </c>
      <c r="F40">
        <v>6.77</v>
      </c>
      <c r="G40">
        <v>81.27</v>
      </c>
      <c r="H40">
        <v>1.44</v>
      </c>
      <c r="I40">
        <v>5</v>
      </c>
      <c r="J40">
        <v>128.46</v>
      </c>
      <c r="K40">
        <v>43.4</v>
      </c>
      <c r="L40">
        <v>10.5</v>
      </c>
      <c r="M40">
        <v>1</v>
      </c>
      <c r="N40">
        <v>19.559999999999999</v>
      </c>
      <c r="O40">
        <v>16077.65</v>
      </c>
      <c r="P40">
        <v>55.17</v>
      </c>
      <c r="Q40">
        <v>204.14</v>
      </c>
      <c r="R40">
        <v>24.37</v>
      </c>
      <c r="S40">
        <v>17.37</v>
      </c>
      <c r="T40">
        <v>1401.54</v>
      </c>
      <c r="U40">
        <v>0.71</v>
      </c>
      <c r="V40">
        <v>0.75</v>
      </c>
      <c r="W40">
        <v>1.1499999999999999</v>
      </c>
      <c r="X40">
        <v>0.08</v>
      </c>
      <c r="Y40">
        <v>1</v>
      </c>
      <c r="Z40">
        <v>10</v>
      </c>
    </row>
    <row r="41" spans="1:26" x14ac:dyDescent="0.3">
      <c r="A41">
        <v>39</v>
      </c>
      <c r="B41">
        <v>55</v>
      </c>
      <c r="C41" t="s">
        <v>26</v>
      </c>
      <c r="D41">
        <v>11.137600000000001</v>
      </c>
      <c r="E41">
        <v>8.98</v>
      </c>
      <c r="F41">
        <v>6.78</v>
      </c>
      <c r="G41">
        <v>81.3</v>
      </c>
      <c r="H41">
        <v>1.47</v>
      </c>
      <c r="I41">
        <v>5</v>
      </c>
      <c r="J41">
        <v>128.79</v>
      </c>
      <c r="K41">
        <v>43.4</v>
      </c>
      <c r="L41">
        <v>10.75</v>
      </c>
      <c r="M41">
        <v>0</v>
      </c>
      <c r="N41">
        <v>19.64</v>
      </c>
      <c r="O41">
        <v>16118.5</v>
      </c>
      <c r="P41">
        <v>55.36</v>
      </c>
      <c r="Q41">
        <v>204.14</v>
      </c>
      <c r="R41">
        <v>24.35</v>
      </c>
      <c r="S41">
        <v>17.37</v>
      </c>
      <c r="T41">
        <v>1393.54</v>
      </c>
      <c r="U41">
        <v>0.71</v>
      </c>
      <c r="V41">
        <v>0.75</v>
      </c>
      <c r="W41">
        <v>1.1499999999999999</v>
      </c>
      <c r="X41">
        <v>0.08</v>
      </c>
      <c r="Y41">
        <v>1</v>
      </c>
      <c r="Z41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 codeName="Planilha30"/>
  <dimension ref="A1:Z2290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100</v>
      </c>
      <c r="C2" t="s">
        <v>26</v>
      </c>
      <c r="D2">
        <v>7.0002000000000004</v>
      </c>
      <c r="E2">
        <v>14.29</v>
      </c>
      <c r="F2">
        <v>8.42</v>
      </c>
      <c r="G2">
        <v>5.88</v>
      </c>
      <c r="H2">
        <v>0.09</v>
      </c>
      <c r="I2">
        <v>86</v>
      </c>
      <c r="J2">
        <v>194.77</v>
      </c>
      <c r="K2">
        <v>54.38</v>
      </c>
      <c r="L2">
        <v>1</v>
      </c>
      <c r="M2">
        <v>84</v>
      </c>
      <c r="N2">
        <v>39.4</v>
      </c>
      <c r="O2">
        <v>24256.19</v>
      </c>
      <c r="P2">
        <v>117.72</v>
      </c>
      <c r="Q2">
        <v>204.24</v>
      </c>
      <c r="R2">
        <v>75.95</v>
      </c>
      <c r="S2">
        <v>17.37</v>
      </c>
      <c r="T2">
        <v>26787.56</v>
      </c>
      <c r="U2">
        <v>0.23</v>
      </c>
      <c r="V2">
        <v>0.61</v>
      </c>
      <c r="W2">
        <v>1.27</v>
      </c>
      <c r="X2">
        <v>1.73</v>
      </c>
      <c r="Y2">
        <v>1</v>
      </c>
      <c r="Z2">
        <v>10</v>
      </c>
    </row>
    <row r="3" spans="1:26" x14ac:dyDescent="0.3">
      <c r="A3">
        <v>1</v>
      </c>
      <c r="B3">
        <v>100</v>
      </c>
      <c r="C3" t="s">
        <v>26</v>
      </c>
      <c r="D3">
        <v>7.6668000000000003</v>
      </c>
      <c r="E3">
        <v>13.04</v>
      </c>
      <c r="F3">
        <v>8</v>
      </c>
      <c r="G3">
        <v>7.38</v>
      </c>
      <c r="H3">
        <v>0.11</v>
      </c>
      <c r="I3">
        <v>65</v>
      </c>
      <c r="J3">
        <v>195.16</v>
      </c>
      <c r="K3">
        <v>54.38</v>
      </c>
      <c r="L3">
        <v>1.25</v>
      </c>
      <c r="M3">
        <v>63</v>
      </c>
      <c r="N3">
        <v>39.53</v>
      </c>
      <c r="O3">
        <v>24303.87</v>
      </c>
      <c r="P3">
        <v>111.61</v>
      </c>
      <c r="Q3">
        <v>204.22</v>
      </c>
      <c r="R3">
        <v>62.56</v>
      </c>
      <c r="S3">
        <v>17.37</v>
      </c>
      <c r="T3">
        <v>20199.45</v>
      </c>
      <c r="U3">
        <v>0.28000000000000003</v>
      </c>
      <c r="V3">
        <v>0.64</v>
      </c>
      <c r="W3">
        <v>1.24</v>
      </c>
      <c r="X3">
        <v>1.31</v>
      </c>
      <c r="Y3">
        <v>1</v>
      </c>
      <c r="Z3">
        <v>10</v>
      </c>
    </row>
    <row r="4" spans="1:26" x14ac:dyDescent="0.3">
      <c r="A4">
        <v>2</v>
      </c>
      <c r="B4">
        <v>100</v>
      </c>
      <c r="C4" t="s">
        <v>26</v>
      </c>
      <c r="D4">
        <v>8.1091999999999995</v>
      </c>
      <c r="E4">
        <v>12.33</v>
      </c>
      <c r="F4">
        <v>7.75</v>
      </c>
      <c r="G4">
        <v>8.7799999999999994</v>
      </c>
      <c r="H4">
        <v>0.14000000000000001</v>
      </c>
      <c r="I4">
        <v>53</v>
      </c>
      <c r="J4">
        <v>195.55</v>
      </c>
      <c r="K4">
        <v>54.38</v>
      </c>
      <c r="L4">
        <v>1.5</v>
      </c>
      <c r="M4">
        <v>51</v>
      </c>
      <c r="N4">
        <v>39.67</v>
      </c>
      <c r="O4">
        <v>24351.61</v>
      </c>
      <c r="P4">
        <v>108.05</v>
      </c>
      <c r="Q4">
        <v>204.18</v>
      </c>
      <c r="R4">
        <v>54.86</v>
      </c>
      <c r="S4">
        <v>17.37</v>
      </c>
      <c r="T4">
        <v>16405.82</v>
      </c>
      <c r="U4">
        <v>0.32</v>
      </c>
      <c r="V4">
        <v>0.66</v>
      </c>
      <c r="W4">
        <v>1.22</v>
      </c>
      <c r="X4">
        <v>1.06</v>
      </c>
      <c r="Y4">
        <v>1</v>
      </c>
      <c r="Z4">
        <v>10</v>
      </c>
    </row>
    <row r="5" spans="1:26" x14ac:dyDescent="0.3">
      <c r="A5">
        <v>3</v>
      </c>
      <c r="B5">
        <v>100</v>
      </c>
      <c r="C5" t="s">
        <v>26</v>
      </c>
      <c r="D5">
        <v>8.4898000000000007</v>
      </c>
      <c r="E5">
        <v>11.78</v>
      </c>
      <c r="F5">
        <v>7.55</v>
      </c>
      <c r="G5">
        <v>10.3</v>
      </c>
      <c r="H5">
        <v>0.16</v>
      </c>
      <c r="I5">
        <v>44</v>
      </c>
      <c r="J5">
        <v>195.93</v>
      </c>
      <c r="K5">
        <v>54.38</v>
      </c>
      <c r="L5">
        <v>1.75</v>
      </c>
      <c r="M5">
        <v>42</v>
      </c>
      <c r="N5">
        <v>39.81</v>
      </c>
      <c r="O5">
        <v>24399.39</v>
      </c>
      <c r="P5">
        <v>105</v>
      </c>
      <c r="Q5">
        <v>204.14</v>
      </c>
      <c r="R5">
        <v>48.73</v>
      </c>
      <c r="S5">
        <v>17.37</v>
      </c>
      <c r="T5">
        <v>13389.48</v>
      </c>
      <c r="U5">
        <v>0.36</v>
      </c>
      <c r="V5">
        <v>0.68</v>
      </c>
      <c r="W5">
        <v>1.2</v>
      </c>
      <c r="X5">
        <v>0.86</v>
      </c>
      <c r="Y5">
        <v>1</v>
      </c>
      <c r="Z5">
        <v>10</v>
      </c>
    </row>
    <row r="6" spans="1:26" x14ac:dyDescent="0.3">
      <c r="A6">
        <v>4</v>
      </c>
      <c r="B6">
        <v>100</v>
      </c>
      <c r="C6" t="s">
        <v>26</v>
      </c>
      <c r="D6">
        <v>8.7418999999999993</v>
      </c>
      <c r="E6">
        <v>11.44</v>
      </c>
      <c r="F6">
        <v>7.44</v>
      </c>
      <c r="G6">
        <v>11.75</v>
      </c>
      <c r="H6">
        <v>0.18</v>
      </c>
      <c r="I6">
        <v>38</v>
      </c>
      <c r="J6">
        <v>196.32</v>
      </c>
      <c r="K6">
        <v>54.38</v>
      </c>
      <c r="L6">
        <v>2</v>
      </c>
      <c r="M6">
        <v>36</v>
      </c>
      <c r="N6">
        <v>39.950000000000003</v>
      </c>
      <c r="O6">
        <v>24447.22</v>
      </c>
      <c r="P6">
        <v>103.38</v>
      </c>
      <c r="Q6">
        <v>204.19</v>
      </c>
      <c r="R6">
        <v>45.25</v>
      </c>
      <c r="S6">
        <v>17.37</v>
      </c>
      <c r="T6">
        <v>11677.18</v>
      </c>
      <c r="U6">
        <v>0.38</v>
      </c>
      <c r="V6">
        <v>0.69</v>
      </c>
      <c r="W6">
        <v>1.2</v>
      </c>
      <c r="X6">
        <v>0.75</v>
      </c>
      <c r="Y6">
        <v>1</v>
      </c>
      <c r="Z6">
        <v>10</v>
      </c>
    </row>
    <row r="7" spans="1:26" x14ac:dyDescent="0.3">
      <c r="A7">
        <v>5</v>
      </c>
      <c r="B7">
        <v>100</v>
      </c>
      <c r="C7" t="s">
        <v>26</v>
      </c>
      <c r="D7">
        <v>8.9337</v>
      </c>
      <c r="E7">
        <v>11.19</v>
      </c>
      <c r="F7">
        <v>7.35</v>
      </c>
      <c r="G7">
        <v>12.98</v>
      </c>
      <c r="H7">
        <v>0.2</v>
      </c>
      <c r="I7">
        <v>34</v>
      </c>
      <c r="J7">
        <v>196.71</v>
      </c>
      <c r="K7">
        <v>54.38</v>
      </c>
      <c r="L7">
        <v>2.25</v>
      </c>
      <c r="M7">
        <v>32</v>
      </c>
      <c r="N7">
        <v>40.08</v>
      </c>
      <c r="O7">
        <v>24495.09</v>
      </c>
      <c r="P7">
        <v>101.97</v>
      </c>
      <c r="Q7">
        <v>204.17</v>
      </c>
      <c r="R7">
        <v>42.64</v>
      </c>
      <c r="S7">
        <v>17.37</v>
      </c>
      <c r="T7">
        <v>10391.299999999999</v>
      </c>
      <c r="U7">
        <v>0.41</v>
      </c>
      <c r="V7">
        <v>0.69</v>
      </c>
      <c r="W7">
        <v>1.19</v>
      </c>
      <c r="X7">
        <v>0.66</v>
      </c>
      <c r="Y7">
        <v>1</v>
      </c>
      <c r="Z7">
        <v>10</v>
      </c>
    </row>
    <row r="8" spans="1:26" x14ac:dyDescent="0.3">
      <c r="A8">
        <v>6</v>
      </c>
      <c r="B8">
        <v>100</v>
      </c>
      <c r="C8" t="s">
        <v>26</v>
      </c>
      <c r="D8">
        <v>9.1173999999999999</v>
      </c>
      <c r="E8">
        <v>10.97</v>
      </c>
      <c r="F8">
        <v>7.28</v>
      </c>
      <c r="G8">
        <v>14.57</v>
      </c>
      <c r="H8">
        <v>0.23</v>
      </c>
      <c r="I8">
        <v>30</v>
      </c>
      <c r="J8">
        <v>197.1</v>
      </c>
      <c r="K8">
        <v>54.38</v>
      </c>
      <c r="L8">
        <v>2.5</v>
      </c>
      <c r="M8">
        <v>28</v>
      </c>
      <c r="N8">
        <v>40.22</v>
      </c>
      <c r="O8">
        <v>24543.01</v>
      </c>
      <c r="P8">
        <v>100.91</v>
      </c>
      <c r="Q8">
        <v>204.17</v>
      </c>
      <c r="R8">
        <v>40.340000000000003</v>
      </c>
      <c r="S8">
        <v>17.37</v>
      </c>
      <c r="T8">
        <v>9260.69</v>
      </c>
      <c r="U8">
        <v>0.43</v>
      </c>
      <c r="V8">
        <v>0.7</v>
      </c>
      <c r="W8">
        <v>1.18</v>
      </c>
      <c r="X8">
        <v>0.59</v>
      </c>
      <c r="Y8">
        <v>1</v>
      </c>
      <c r="Z8">
        <v>10</v>
      </c>
    </row>
    <row r="9" spans="1:26" x14ac:dyDescent="0.3">
      <c r="A9">
        <v>7</v>
      </c>
      <c r="B9">
        <v>100</v>
      </c>
      <c r="C9" t="s">
        <v>26</v>
      </c>
      <c r="D9">
        <v>9.2805</v>
      </c>
      <c r="E9">
        <v>10.78</v>
      </c>
      <c r="F9">
        <v>7.21</v>
      </c>
      <c r="G9">
        <v>16.02</v>
      </c>
      <c r="H9">
        <v>0.25</v>
      </c>
      <c r="I9">
        <v>27</v>
      </c>
      <c r="J9">
        <v>197.49</v>
      </c>
      <c r="K9">
        <v>54.38</v>
      </c>
      <c r="L9">
        <v>2.75</v>
      </c>
      <c r="M9">
        <v>25</v>
      </c>
      <c r="N9">
        <v>40.36</v>
      </c>
      <c r="O9">
        <v>24590.98</v>
      </c>
      <c r="P9">
        <v>99.64</v>
      </c>
      <c r="Q9">
        <v>204.15</v>
      </c>
      <c r="R9">
        <v>37.94</v>
      </c>
      <c r="S9">
        <v>17.37</v>
      </c>
      <c r="T9">
        <v>8078.98</v>
      </c>
      <c r="U9">
        <v>0.46</v>
      </c>
      <c r="V9">
        <v>0.71</v>
      </c>
      <c r="W9">
        <v>1.18</v>
      </c>
      <c r="X9">
        <v>0.52</v>
      </c>
      <c r="Y9">
        <v>1</v>
      </c>
      <c r="Z9">
        <v>10</v>
      </c>
    </row>
    <row r="10" spans="1:26" x14ac:dyDescent="0.3">
      <c r="A10">
        <v>8</v>
      </c>
      <c r="B10">
        <v>100</v>
      </c>
      <c r="C10" t="s">
        <v>26</v>
      </c>
      <c r="D10">
        <v>9.3770000000000007</v>
      </c>
      <c r="E10">
        <v>10.66</v>
      </c>
      <c r="F10">
        <v>7.18</v>
      </c>
      <c r="G10">
        <v>17.22</v>
      </c>
      <c r="H10">
        <v>0.27</v>
      </c>
      <c r="I10">
        <v>25</v>
      </c>
      <c r="J10">
        <v>197.88</v>
      </c>
      <c r="K10">
        <v>54.38</v>
      </c>
      <c r="L10">
        <v>3</v>
      </c>
      <c r="M10">
        <v>23</v>
      </c>
      <c r="N10">
        <v>40.5</v>
      </c>
      <c r="O10">
        <v>24639</v>
      </c>
      <c r="P10">
        <v>99.06</v>
      </c>
      <c r="Q10">
        <v>204.18</v>
      </c>
      <c r="R10">
        <v>36.96</v>
      </c>
      <c r="S10">
        <v>17.37</v>
      </c>
      <c r="T10">
        <v>7598.41</v>
      </c>
      <c r="U10">
        <v>0.47</v>
      </c>
      <c r="V10">
        <v>0.71</v>
      </c>
      <c r="W10">
        <v>1.18</v>
      </c>
      <c r="X10">
        <v>0.48</v>
      </c>
      <c r="Y10">
        <v>1</v>
      </c>
      <c r="Z10">
        <v>10</v>
      </c>
    </row>
    <row r="11" spans="1:26" x14ac:dyDescent="0.3">
      <c r="A11">
        <v>9</v>
      </c>
      <c r="B11">
        <v>100</v>
      </c>
      <c r="C11" t="s">
        <v>26</v>
      </c>
      <c r="D11">
        <v>9.4773999999999994</v>
      </c>
      <c r="E11">
        <v>10.55</v>
      </c>
      <c r="F11">
        <v>7.14</v>
      </c>
      <c r="G11">
        <v>18.63</v>
      </c>
      <c r="H11">
        <v>0.28999999999999998</v>
      </c>
      <c r="I11">
        <v>23</v>
      </c>
      <c r="J11">
        <v>198.27</v>
      </c>
      <c r="K11">
        <v>54.38</v>
      </c>
      <c r="L11">
        <v>3.25</v>
      </c>
      <c r="M11">
        <v>21</v>
      </c>
      <c r="N11">
        <v>40.64</v>
      </c>
      <c r="O11">
        <v>24687.06</v>
      </c>
      <c r="P11">
        <v>98.47</v>
      </c>
      <c r="Q11">
        <v>204.15</v>
      </c>
      <c r="R11">
        <v>35.96</v>
      </c>
      <c r="S11">
        <v>17.37</v>
      </c>
      <c r="T11">
        <v>7108.61</v>
      </c>
      <c r="U11">
        <v>0.48</v>
      </c>
      <c r="V11">
        <v>0.72</v>
      </c>
      <c r="W11">
        <v>1.17</v>
      </c>
      <c r="X11">
        <v>0.45</v>
      </c>
      <c r="Y11">
        <v>1</v>
      </c>
      <c r="Z11">
        <v>10</v>
      </c>
    </row>
    <row r="12" spans="1:26" x14ac:dyDescent="0.3">
      <c r="A12">
        <v>10</v>
      </c>
      <c r="B12">
        <v>100</v>
      </c>
      <c r="C12" t="s">
        <v>26</v>
      </c>
      <c r="D12">
        <v>9.6026000000000007</v>
      </c>
      <c r="E12">
        <v>10.41</v>
      </c>
      <c r="F12">
        <v>7.08</v>
      </c>
      <c r="G12">
        <v>20.23</v>
      </c>
      <c r="H12">
        <v>0.31</v>
      </c>
      <c r="I12">
        <v>21</v>
      </c>
      <c r="J12">
        <v>198.66</v>
      </c>
      <c r="K12">
        <v>54.38</v>
      </c>
      <c r="L12">
        <v>3.5</v>
      </c>
      <c r="M12">
        <v>19</v>
      </c>
      <c r="N12">
        <v>40.78</v>
      </c>
      <c r="O12">
        <v>24735.17</v>
      </c>
      <c r="P12">
        <v>97.39</v>
      </c>
      <c r="Q12">
        <v>204.19</v>
      </c>
      <c r="R12">
        <v>33.97</v>
      </c>
      <c r="S12">
        <v>17.37</v>
      </c>
      <c r="T12">
        <v>6121.31</v>
      </c>
      <c r="U12">
        <v>0.51</v>
      </c>
      <c r="V12">
        <v>0.72</v>
      </c>
      <c r="W12">
        <v>1.17</v>
      </c>
      <c r="X12">
        <v>0.39</v>
      </c>
      <c r="Y12">
        <v>1</v>
      </c>
      <c r="Z12">
        <v>10</v>
      </c>
    </row>
    <row r="13" spans="1:26" x14ac:dyDescent="0.3">
      <c r="A13">
        <v>11</v>
      </c>
      <c r="B13">
        <v>100</v>
      </c>
      <c r="C13" t="s">
        <v>26</v>
      </c>
      <c r="D13">
        <v>9.6386000000000003</v>
      </c>
      <c r="E13">
        <v>10.38</v>
      </c>
      <c r="F13">
        <v>7.08</v>
      </c>
      <c r="G13">
        <v>21.24</v>
      </c>
      <c r="H13">
        <v>0.33</v>
      </c>
      <c r="I13">
        <v>20</v>
      </c>
      <c r="J13">
        <v>199.05</v>
      </c>
      <c r="K13">
        <v>54.38</v>
      </c>
      <c r="L13">
        <v>3.75</v>
      </c>
      <c r="M13">
        <v>18</v>
      </c>
      <c r="N13">
        <v>40.92</v>
      </c>
      <c r="O13">
        <v>24783.33</v>
      </c>
      <c r="P13">
        <v>97.33</v>
      </c>
      <c r="Q13">
        <v>204.14</v>
      </c>
      <c r="R13">
        <v>33.89</v>
      </c>
      <c r="S13">
        <v>17.37</v>
      </c>
      <c r="T13">
        <v>6085.66</v>
      </c>
      <c r="U13">
        <v>0.51</v>
      </c>
      <c r="V13">
        <v>0.72</v>
      </c>
      <c r="W13">
        <v>1.17</v>
      </c>
      <c r="X13">
        <v>0.39</v>
      </c>
      <c r="Y13">
        <v>1</v>
      </c>
      <c r="Z13">
        <v>10</v>
      </c>
    </row>
    <row r="14" spans="1:26" x14ac:dyDescent="0.3">
      <c r="A14">
        <v>12</v>
      </c>
      <c r="B14">
        <v>100</v>
      </c>
      <c r="C14" t="s">
        <v>26</v>
      </c>
      <c r="D14">
        <v>9.6961999999999993</v>
      </c>
      <c r="E14">
        <v>10.31</v>
      </c>
      <c r="F14">
        <v>7.06</v>
      </c>
      <c r="G14">
        <v>22.29</v>
      </c>
      <c r="H14">
        <v>0.36</v>
      </c>
      <c r="I14">
        <v>19</v>
      </c>
      <c r="J14">
        <v>199.44</v>
      </c>
      <c r="K14">
        <v>54.38</v>
      </c>
      <c r="L14">
        <v>4</v>
      </c>
      <c r="M14">
        <v>17</v>
      </c>
      <c r="N14">
        <v>41.06</v>
      </c>
      <c r="O14">
        <v>24831.54</v>
      </c>
      <c r="P14">
        <v>96.88</v>
      </c>
      <c r="Q14">
        <v>204.18</v>
      </c>
      <c r="R14">
        <v>33.17</v>
      </c>
      <c r="S14">
        <v>17.37</v>
      </c>
      <c r="T14">
        <v>5733.43</v>
      </c>
      <c r="U14">
        <v>0.52</v>
      </c>
      <c r="V14">
        <v>0.72</v>
      </c>
      <c r="W14">
        <v>1.17</v>
      </c>
      <c r="X14">
        <v>0.37</v>
      </c>
      <c r="Y14">
        <v>1</v>
      </c>
      <c r="Z14">
        <v>10</v>
      </c>
    </row>
    <row r="15" spans="1:26" x14ac:dyDescent="0.3">
      <c r="A15">
        <v>13</v>
      </c>
      <c r="B15">
        <v>100</v>
      </c>
      <c r="C15" t="s">
        <v>26</v>
      </c>
      <c r="D15">
        <v>9.7639999999999993</v>
      </c>
      <c r="E15">
        <v>10.24</v>
      </c>
      <c r="F15">
        <v>7.03</v>
      </c>
      <c r="G15">
        <v>23.42</v>
      </c>
      <c r="H15">
        <v>0.38</v>
      </c>
      <c r="I15">
        <v>18</v>
      </c>
      <c r="J15">
        <v>199.83</v>
      </c>
      <c r="K15">
        <v>54.38</v>
      </c>
      <c r="L15">
        <v>4.25</v>
      </c>
      <c r="M15">
        <v>16</v>
      </c>
      <c r="N15">
        <v>41.2</v>
      </c>
      <c r="O15">
        <v>24879.79</v>
      </c>
      <c r="P15">
        <v>96.1</v>
      </c>
      <c r="Q15">
        <v>204.17</v>
      </c>
      <c r="R15">
        <v>32.159999999999997</v>
      </c>
      <c r="S15">
        <v>17.37</v>
      </c>
      <c r="T15">
        <v>5233.09</v>
      </c>
      <c r="U15">
        <v>0.54</v>
      </c>
      <c r="V15">
        <v>0.73</v>
      </c>
      <c r="W15">
        <v>1.17</v>
      </c>
      <c r="X15">
        <v>0.33</v>
      </c>
      <c r="Y15">
        <v>1</v>
      </c>
      <c r="Z15">
        <v>10</v>
      </c>
    </row>
    <row r="16" spans="1:26" x14ac:dyDescent="0.3">
      <c r="A16">
        <v>14</v>
      </c>
      <c r="B16">
        <v>100</v>
      </c>
      <c r="C16" t="s">
        <v>26</v>
      </c>
      <c r="D16">
        <v>9.8117000000000001</v>
      </c>
      <c r="E16">
        <v>10.19</v>
      </c>
      <c r="F16">
        <v>7.01</v>
      </c>
      <c r="G16">
        <v>24.76</v>
      </c>
      <c r="H16">
        <v>0.4</v>
      </c>
      <c r="I16">
        <v>17</v>
      </c>
      <c r="J16">
        <v>200.22</v>
      </c>
      <c r="K16">
        <v>54.38</v>
      </c>
      <c r="L16">
        <v>4.5</v>
      </c>
      <c r="M16">
        <v>15</v>
      </c>
      <c r="N16">
        <v>41.35</v>
      </c>
      <c r="O16">
        <v>24928.09</v>
      </c>
      <c r="P16">
        <v>96.03</v>
      </c>
      <c r="Q16">
        <v>204.14</v>
      </c>
      <c r="R16">
        <v>31.77</v>
      </c>
      <c r="S16">
        <v>17.37</v>
      </c>
      <c r="T16">
        <v>5041.0200000000004</v>
      </c>
      <c r="U16">
        <v>0.55000000000000004</v>
      </c>
      <c r="V16">
        <v>0.73</v>
      </c>
      <c r="W16">
        <v>1.17</v>
      </c>
      <c r="X16">
        <v>0.32</v>
      </c>
      <c r="Y16">
        <v>1</v>
      </c>
      <c r="Z16">
        <v>10</v>
      </c>
    </row>
    <row r="17" spans="1:26" x14ac:dyDescent="0.3">
      <c r="A17">
        <v>15</v>
      </c>
      <c r="B17">
        <v>100</v>
      </c>
      <c r="C17" t="s">
        <v>26</v>
      </c>
      <c r="D17">
        <v>9.8611000000000004</v>
      </c>
      <c r="E17">
        <v>10.14</v>
      </c>
      <c r="F17">
        <v>7</v>
      </c>
      <c r="G17">
        <v>26.26</v>
      </c>
      <c r="H17">
        <v>0.42</v>
      </c>
      <c r="I17">
        <v>16</v>
      </c>
      <c r="J17">
        <v>200.61</v>
      </c>
      <c r="K17">
        <v>54.38</v>
      </c>
      <c r="L17">
        <v>4.75</v>
      </c>
      <c r="M17">
        <v>14</v>
      </c>
      <c r="N17">
        <v>41.49</v>
      </c>
      <c r="O17">
        <v>24976.45</v>
      </c>
      <c r="P17">
        <v>95.61</v>
      </c>
      <c r="Q17">
        <v>204.18</v>
      </c>
      <c r="R17">
        <v>31.55</v>
      </c>
      <c r="S17">
        <v>17.37</v>
      </c>
      <c r="T17">
        <v>4935.9399999999996</v>
      </c>
      <c r="U17">
        <v>0.55000000000000004</v>
      </c>
      <c r="V17">
        <v>0.73</v>
      </c>
      <c r="W17">
        <v>1.1599999999999999</v>
      </c>
      <c r="X17">
        <v>0.31</v>
      </c>
      <c r="Y17">
        <v>1</v>
      </c>
      <c r="Z17">
        <v>10</v>
      </c>
    </row>
    <row r="18" spans="1:26" x14ac:dyDescent="0.3">
      <c r="A18">
        <v>16</v>
      </c>
      <c r="B18">
        <v>100</v>
      </c>
      <c r="C18" t="s">
        <v>26</v>
      </c>
      <c r="D18">
        <v>9.9345999999999997</v>
      </c>
      <c r="E18">
        <v>10.07</v>
      </c>
      <c r="F18">
        <v>6.97</v>
      </c>
      <c r="G18">
        <v>27.86</v>
      </c>
      <c r="H18">
        <v>0.44</v>
      </c>
      <c r="I18">
        <v>15</v>
      </c>
      <c r="J18">
        <v>201.01</v>
      </c>
      <c r="K18">
        <v>54.38</v>
      </c>
      <c r="L18">
        <v>5</v>
      </c>
      <c r="M18">
        <v>13</v>
      </c>
      <c r="N18">
        <v>41.63</v>
      </c>
      <c r="O18">
        <v>25024.84</v>
      </c>
      <c r="P18">
        <v>95.05</v>
      </c>
      <c r="Q18">
        <v>204.14</v>
      </c>
      <c r="R18">
        <v>30.31</v>
      </c>
      <c r="S18">
        <v>17.37</v>
      </c>
      <c r="T18">
        <v>4321.62</v>
      </c>
      <c r="U18">
        <v>0.56999999999999995</v>
      </c>
      <c r="V18">
        <v>0.73</v>
      </c>
      <c r="W18">
        <v>1.1599999999999999</v>
      </c>
      <c r="X18">
        <v>0.27</v>
      </c>
      <c r="Y18">
        <v>1</v>
      </c>
      <c r="Z18">
        <v>10</v>
      </c>
    </row>
    <row r="19" spans="1:26" x14ac:dyDescent="0.3">
      <c r="A19">
        <v>17</v>
      </c>
      <c r="B19">
        <v>100</v>
      </c>
      <c r="C19" t="s">
        <v>26</v>
      </c>
      <c r="D19">
        <v>9.9863999999999997</v>
      </c>
      <c r="E19">
        <v>10.01</v>
      </c>
      <c r="F19">
        <v>6.95</v>
      </c>
      <c r="G19">
        <v>29.8</v>
      </c>
      <c r="H19">
        <v>0.46</v>
      </c>
      <c r="I19">
        <v>14</v>
      </c>
      <c r="J19">
        <v>201.4</v>
      </c>
      <c r="K19">
        <v>54.38</v>
      </c>
      <c r="L19">
        <v>5.25</v>
      </c>
      <c r="M19">
        <v>12</v>
      </c>
      <c r="N19">
        <v>41.77</v>
      </c>
      <c r="O19">
        <v>25073.29</v>
      </c>
      <c r="P19">
        <v>94.59</v>
      </c>
      <c r="Q19">
        <v>204.14</v>
      </c>
      <c r="R19">
        <v>30.08</v>
      </c>
      <c r="S19">
        <v>17.37</v>
      </c>
      <c r="T19">
        <v>4211.83</v>
      </c>
      <c r="U19">
        <v>0.57999999999999996</v>
      </c>
      <c r="V19">
        <v>0.73</v>
      </c>
      <c r="W19">
        <v>1.1599999999999999</v>
      </c>
      <c r="X19">
        <v>0.26</v>
      </c>
      <c r="Y19">
        <v>1</v>
      </c>
      <c r="Z19">
        <v>10</v>
      </c>
    </row>
    <row r="20" spans="1:26" x14ac:dyDescent="0.3">
      <c r="A20">
        <v>18</v>
      </c>
      <c r="B20">
        <v>100</v>
      </c>
      <c r="C20" t="s">
        <v>26</v>
      </c>
      <c r="D20">
        <v>9.9863999999999997</v>
      </c>
      <c r="E20">
        <v>10.01</v>
      </c>
      <c r="F20">
        <v>6.95</v>
      </c>
      <c r="G20">
        <v>29.8</v>
      </c>
      <c r="H20">
        <v>0.48</v>
      </c>
      <c r="I20">
        <v>14</v>
      </c>
      <c r="J20">
        <v>201.79</v>
      </c>
      <c r="K20">
        <v>54.38</v>
      </c>
      <c r="L20">
        <v>5.5</v>
      </c>
      <c r="M20">
        <v>12</v>
      </c>
      <c r="N20">
        <v>41.92</v>
      </c>
      <c r="O20">
        <v>25121.79</v>
      </c>
      <c r="P20">
        <v>94.55</v>
      </c>
      <c r="Q20">
        <v>204.14</v>
      </c>
      <c r="R20">
        <v>29.89</v>
      </c>
      <c r="S20">
        <v>17.37</v>
      </c>
      <c r="T20">
        <v>4116.0600000000004</v>
      </c>
      <c r="U20">
        <v>0.57999999999999996</v>
      </c>
      <c r="V20">
        <v>0.73</v>
      </c>
      <c r="W20">
        <v>1.1599999999999999</v>
      </c>
      <c r="X20">
        <v>0.26</v>
      </c>
      <c r="Y20">
        <v>1</v>
      </c>
      <c r="Z20">
        <v>10</v>
      </c>
    </row>
    <row r="21" spans="1:26" x14ac:dyDescent="0.3">
      <c r="A21">
        <v>19</v>
      </c>
      <c r="B21">
        <v>100</v>
      </c>
      <c r="C21" t="s">
        <v>26</v>
      </c>
      <c r="D21">
        <v>10.0505</v>
      </c>
      <c r="E21">
        <v>9.9499999999999993</v>
      </c>
      <c r="F21">
        <v>6.93</v>
      </c>
      <c r="G21">
        <v>31.97</v>
      </c>
      <c r="H21">
        <v>0.51</v>
      </c>
      <c r="I21">
        <v>13</v>
      </c>
      <c r="J21">
        <v>202.19</v>
      </c>
      <c r="K21">
        <v>54.38</v>
      </c>
      <c r="L21">
        <v>5.75</v>
      </c>
      <c r="M21">
        <v>11</v>
      </c>
      <c r="N21">
        <v>42.06</v>
      </c>
      <c r="O21">
        <v>25170.34</v>
      </c>
      <c r="P21">
        <v>94.02</v>
      </c>
      <c r="Q21">
        <v>204.14</v>
      </c>
      <c r="R21">
        <v>29.26</v>
      </c>
      <c r="S21">
        <v>17.37</v>
      </c>
      <c r="T21">
        <v>3805.91</v>
      </c>
      <c r="U21">
        <v>0.59</v>
      </c>
      <c r="V21">
        <v>0.74</v>
      </c>
      <c r="W21">
        <v>1.1599999999999999</v>
      </c>
      <c r="X21">
        <v>0.24</v>
      </c>
      <c r="Y21">
        <v>1</v>
      </c>
      <c r="Z21">
        <v>10</v>
      </c>
    </row>
    <row r="22" spans="1:26" x14ac:dyDescent="0.3">
      <c r="A22">
        <v>20</v>
      </c>
      <c r="B22">
        <v>100</v>
      </c>
      <c r="C22" t="s">
        <v>26</v>
      </c>
      <c r="D22">
        <v>10.044600000000001</v>
      </c>
      <c r="E22">
        <v>9.9600000000000009</v>
      </c>
      <c r="F22">
        <v>6.93</v>
      </c>
      <c r="G22">
        <v>32</v>
      </c>
      <c r="H22">
        <v>0.53</v>
      </c>
      <c r="I22">
        <v>13</v>
      </c>
      <c r="J22">
        <v>202.58</v>
      </c>
      <c r="K22">
        <v>54.38</v>
      </c>
      <c r="L22">
        <v>6</v>
      </c>
      <c r="M22">
        <v>11</v>
      </c>
      <c r="N22">
        <v>42.2</v>
      </c>
      <c r="O22">
        <v>25218.93</v>
      </c>
      <c r="P22">
        <v>93.91</v>
      </c>
      <c r="Q22">
        <v>204.15</v>
      </c>
      <c r="R22">
        <v>29.43</v>
      </c>
      <c r="S22">
        <v>17.37</v>
      </c>
      <c r="T22">
        <v>3893.33</v>
      </c>
      <c r="U22">
        <v>0.59</v>
      </c>
      <c r="V22">
        <v>0.74</v>
      </c>
      <c r="W22">
        <v>1.1599999999999999</v>
      </c>
      <c r="X22">
        <v>0.24</v>
      </c>
      <c r="Y22">
        <v>1</v>
      </c>
      <c r="Z22">
        <v>10</v>
      </c>
    </row>
    <row r="23" spans="1:26" x14ac:dyDescent="0.3">
      <c r="A23">
        <v>21</v>
      </c>
      <c r="B23">
        <v>100</v>
      </c>
      <c r="C23" t="s">
        <v>26</v>
      </c>
      <c r="D23">
        <v>10.103</v>
      </c>
      <c r="E23">
        <v>9.9</v>
      </c>
      <c r="F23">
        <v>6.91</v>
      </c>
      <c r="G23">
        <v>34.57</v>
      </c>
      <c r="H23">
        <v>0.55000000000000004</v>
      </c>
      <c r="I23">
        <v>12</v>
      </c>
      <c r="J23">
        <v>202.98</v>
      </c>
      <c r="K23">
        <v>54.38</v>
      </c>
      <c r="L23">
        <v>6.25</v>
      </c>
      <c r="M23">
        <v>10</v>
      </c>
      <c r="N23">
        <v>42.35</v>
      </c>
      <c r="O23">
        <v>25267.7</v>
      </c>
      <c r="P23">
        <v>93.64</v>
      </c>
      <c r="Q23">
        <v>204.2</v>
      </c>
      <c r="R23">
        <v>28.88</v>
      </c>
      <c r="S23">
        <v>17.37</v>
      </c>
      <c r="T23">
        <v>3622.54</v>
      </c>
      <c r="U23">
        <v>0.6</v>
      </c>
      <c r="V23">
        <v>0.74</v>
      </c>
      <c r="W23">
        <v>1.1499999999999999</v>
      </c>
      <c r="X23">
        <v>0.22</v>
      </c>
      <c r="Y23">
        <v>1</v>
      </c>
      <c r="Z23">
        <v>10</v>
      </c>
    </row>
    <row r="24" spans="1:26" x14ac:dyDescent="0.3">
      <c r="A24">
        <v>22</v>
      </c>
      <c r="B24">
        <v>100</v>
      </c>
      <c r="C24" t="s">
        <v>26</v>
      </c>
      <c r="D24">
        <v>10.110900000000001</v>
      </c>
      <c r="E24">
        <v>9.89</v>
      </c>
      <c r="F24">
        <v>6.91</v>
      </c>
      <c r="G24">
        <v>34.53</v>
      </c>
      <c r="H24">
        <v>0.56999999999999995</v>
      </c>
      <c r="I24">
        <v>12</v>
      </c>
      <c r="J24">
        <v>203.37</v>
      </c>
      <c r="K24">
        <v>54.38</v>
      </c>
      <c r="L24">
        <v>6.5</v>
      </c>
      <c r="M24">
        <v>10</v>
      </c>
      <c r="N24">
        <v>42.49</v>
      </c>
      <c r="O24">
        <v>25316.39</v>
      </c>
      <c r="P24">
        <v>93.32</v>
      </c>
      <c r="Q24">
        <v>204.16</v>
      </c>
      <c r="R24">
        <v>28.73</v>
      </c>
      <c r="S24">
        <v>17.37</v>
      </c>
      <c r="T24">
        <v>3546.59</v>
      </c>
      <c r="U24">
        <v>0.6</v>
      </c>
      <c r="V24">
        <v>0.74</v>
      </c>
      <c r="W24">
        <v>1.1499999999999999</v>
      </c>
      <c r="X24">
        <v>0.22</v>
      </c>
      <c r="Y24">
        <v>1</v>
      </c>
      <c r="Z24">
        <v>10</v>
      </c>
    </row>
    <row r="25" spans="1:26" x14ac:dyDescent="0.3">
      <c r="A25">
        <v>23</v>
      </c>
      <c r="B25">
        <v>100</v>
      </c>
      <c r="C25" t="s">
        <v>26</v>
      </c>
      <c r="D25">
        <v>10.176399999999999</v>
      </c>
      <c r="E25">
        <v>9.83</v>
      </c>
      <c r="F25">
        <v>6.88</v>
      </c>
      <c r="G25">
        <v>37.54</v>
      </c>
      <c r="H25">
        <v>0.59</v>
      </c>
      <c r="I25">
        <v>11</v>
      </c>
      <c r="J25">
        <v>203.77</v>
      </c>
      <c r="K25">
        <v>54.38</v>
      </c>
      <c r="L25">
        <v>6.75</v>
      </c>
      <c r="M25">
        <v>9</v>
      </c>
      <c r="N25">
        <v>42.64</v>
      </c>
      <c r="O25">
        <v>25365.14</v>
      </c>
      <c r="P25">
        <v>92.67</v>
      </c>
      <c r="Q25">
        <v>204.15</v>
      </c>
      <c r="R25">
        <v>27.73</v>
      </c>
      <c r="S25">
        <v>17.37</v>
      </c>
      <c r="T25">
        <v>3053.03</v>
      </c>
      <c r="U25">
        <v>0.63</v>
      </c>
      <c r="V25">
        <v>0.74</v>
      </c>
      <c r="W25">
        <v>1.1499999999999999</v>
      </c>
      <c r="X25">
        <v>0.19</v>
      </c>
      <c r="Y25">
        <v>1</v>
      </c>
      <c r="Z25">
        <v>10</v>
      </c>
    </row>
    <row r="26" spans="1:26" x14ac:dyDescent="0.3">
      <c r="A26">
        <v>24</v>
      </c>
      <c r="B26">
        <v>100</v>
      </c>
      <c r="C26" t="s">
        <v>26</v>
      </c>
      <c r="D26">
        <v>10.171200000000001</v>
      </c>
      <c r="E26">
        <v>9.83</v>
      </c>
      <c r="F26">
        <v>6.89</v>
      </c>
      <c r="G26">
        <v>37.57</v>
      </c>
      <c r="H26">
        <v>0.61</v>
      </c>
      <c r="I26">
        <v>11</v>
      </c>
      <c r="J26">
        <v>204.16</v>
      </c>
      <c r="K26">
        <v>54.38</v>
      </c>
      <c r="L26">
        <v>7</v>
      </c>
      <c r="M26">
        <v>9</v>
      </c>
      <c r="N26">
        <v>42.78</v>
      </c>
      <c r="O26">
        <v>25413.94</v>
      </c>
      <c r="P26">
        <v>92.8</v>
      </c>
      <c r="Q26">
        <v>204.17</v>
      </c>
      <c r="R26">
        <v>27.88</v>
      </c>
      <c r="S26">
        <v>17.37</v>
      </c>
      <c r="T26">
        <v>3124.95</v>
      </c>
      <c r="U26">
        <v>0.62</v>
      </c>
      <c r="V26">
        <v>0.74</v>
      </c>
      <c r="W26">
        <v>1.1499999999999999</v>
      </c>
      <c r="X26">
        <v>0.2</v>
      </c>
      <c r="Y26">
        <v>1</v>
      </c>
      <c r="Z26">
        <v>10</v>
      </c>
    </row>
    <row r="27" spans="1:26" x14ac:dyDescent="0.3">
      <c r="A27">
        <v>25</v>
      </c>
      <c r="B27">
        <v>100</v>
      </c>
      <c r="C27" t="s">
        <v>26</v>
      </c>
      <c r="D27">
        <v>10.1747</v>
      </c>
      <c r="E27">
        <v>9.83</v>
      </c>
      <c r="F27">
        <v>6.88</v>
      </c>
      <c r="G27">
        <v>37.549999999999997</v>
      </c>
      <c r="H27">
        <v>0.63</v>
      </c>
      <c r="I27">
        <v>11</v>
      </c>
      <c r="J27">
        <v>204.56</v>
      </c>
      <c r="K27">
        <v>54.38</v>
      </c>
      <c r="L27">
        <v>7.25</v>
      </c>
      <c r="M27">
        <v>9</v>
      </c>
      <c r="N27">
        <v>42.93</v>
      </c>
      <c r="O27">
        <v>25462.78</v>
      </c>
      <c r="P27">
        <v>92.4</v>
      </c>
      <c r="Q27">
        <v>204.14</v>
      </c>
      <c r="R27">
        <v>27.91</v>
      </c>
      <c r="S27">
        <v>17.37</v>
      </c>
      <c r="T27">
        <v>3142.25</v>
      </c>
      <c r="U27">
        <v>0.62</v>
      </c>
      <c r="V27">
        <v>0.74</v>
      </c>
      <c r="W27">
        <v>1.1499999999999999</v>
      </c>
      <c r="X27">
        <v>0.19</v>
      </c>
      <c r="Y27">
        <v>1</v>
      </c>
      <c r="Z27">
        <v>10</v>
      </c>
    </row>
    <row r="28" spans="1:26" x14ac:dyDescent="0.3">
      <c r="A28">
        <v>26</v>
      </c>
      <c r="B28">
        <v>100</v>
      </c>
      <c r="C28" t="s">
        <v>26</v>
      </c>
      <c r="D28">
        <v>10.2357</v>
      </c>
      <c r="E28">
        <v>9.77</v>
      </c>
      <c r="F28">
        <v>6.86</v>
      </c>
      <c r="G28">
        <v>41.18</v>
      </c>
      <c r="H28">
        <v>0.65</v>
      </c>
      <c r="I28">
        <v>10</v>
      </c>
      <c r="J28">
        <v>204.95</v>
      </c>
      <c r="K28">
        <v>54.38</v>
      </c>
      <c r="L28">
        <v>7.5</v>
      </c>
      <c r="M28">
        <v>8</v>
      </c>
      <c r="N28">
        <v>43.08</v>
      </c>
      <c r="O28">
        <v>25511.67</v>
      </c>
      <c r="P28">
        <v>91.89</v>
      </c>
      <c r="Q28">
        <v>204.15</v>
      </c>
      <c r="R28">
        <v>27.29</v>
      </c>
      <c r="S28">
        <v>17.37</v>
      </c>
      <c r="T28">
        <v>2836.35</v>
      </c>
      <c r="U28">
        <v>0.64</v>
      </c>
      <c r="V28">
        <v>0.74</v>
      </c>
      <c r="W28">
        <v>1.1499999999999999</v>
      </c>
      <c r="X28">
        <v>0.17</v>
      </c>
      <c r="Y28">
        <v>1</v>
      </c>
      <c r="Z28">
        <v>10</v>
      </c>
    </row>
    <row r="29" spans="1:26" x14ac:dyDescent="0.3">
      <c r="A29">
        <v>27</v>
      </c>
      <c r="B29">
        <v>100</v>
      </c>
      <c r="C29" t="s">
        <v>26</v>
      </c>
      <c r="D29">
        <v>10.228400000000001</v>
      </c>
      <c r="E29">
        <v>9.7799999999999994</v>
      </c>
      <c r="F29">
        <v>6.87</v>
      </c>
      <c r="G29">
        <v>41.23</v>
      </c>
      <c r="H29">
        <v>0.67</v>
      </c>
      <c r="I29">
        <v>10</v>
      </c>
      <c r="J29">
        <v>205.35</v>
      </c>
      <c r="K29">
        <v>54.38</v>
      </c>
      <c r="L29">
        <v>7.75</v>
      </c>
      <c r="M29">
        <v>8</v>
      </c>
      <c r="N29">
        <v>43.22</v>
      </c>
      <c r="O29">
        <v>25560.62</v>
      </c>
      <c r="P29">
        <v>91.98</v>
      </c>
      <c r="Q29">
        <v>204.15</v>
      </c>
      <c r="R29">
        <v>27.33</v>
      </c>
      <c r="S29">
        <v>17.37</v>
      </c>
      <c r="T29">
        <v>2859.48</v>
      </c>
      <c r="U29">
        <v>0.64</v>
      </c>
      <c r="V29">
        <v>0.74</v>
      </c>
      <c r="W29">
        <v>1.1499999999999999</v>
      </c>
      <c r="X29">
        <v>0.18</v>
      </c>
      <c r="Y29">
        <v>1</v>
      </c>
      <c r="Z29">
        <v>10</v>
      </c>
    </row>
    <row r="30" spans="1:26" x14ac:dyDescent="0.3">
      <c r="A30">
        <v>28</v>
      </c>
      <c r="B30">
        <v>100</v>
      </c>
      <c r="C30" t="s">
        <v>26</v>
      </c>
      <c r="D30">
        <v>10.2377</v>
      </c>
      <c r="E30">
        <v>9.77</v>
      </c>
      <c r="F30">
        <v>6.86</v>
      </c>
      <c r="G30">
        <v>41.17</v>
      </c>
      <c r="H30">
        <v>0.69</v>
      </c>
      <c r="I30">
        <v>10</v>
      </c>
      <c r="J30">
        <v>205.75</v>
      </c>
      <c r="K30">
        <v>54.38</v>
      </c>
      <c r="L30">
        <v>8</v>
      </c>
      <c r="M30">
        <v>8</v>
      </c>
      <c r="N30">
        <v>43.37</v>
      </c>
      <c r="O30">
        <v>25609.61</v>
      </c>
      <c r="P30">
        <v>91.83</v>
      </c>
      <c r="Q30">
        <v>204.16</v>
      </c>
      <c r="R30">
        <v>27.18</v>
      </c>
      <c r="S30">
        <v>17.37</v>
      </c>
      <c r="T30">
        <v>2784.23</v>
      </c>
      <c r="U30">
        <v>0.64</v>
      </c>
      <c r="V30">
        <v>0.74</v>
      </c>
      <c r="W30">
        <v>1.1499999999999999</v>
      </c>
      <c r="X30">
        <v>0.17</v>
      </c>
      <c r="Y30">
        <v>1</v>
      </c>
      <c r="Z30">
        <v>10</v>
      </c>
    </row>
    <row r="31" spans="1:26" x14ac:dyDescent="0.3">
      <c r="A31">
        <v>29</v>
      </c>
      <c r="B31">
        <v>100</v>
      </c>
      <c r="C31" t="s">
        <v>26</v>
      </c>
      <c r="D31">
        <v>10.292199999999999</v>
      </c>
      <c r="E31">
        <v>9.7200000000000006</v>
      </c>
      <c r="F31">
        <v>6.85</v>
      </c>
      <c r="G31">
        <v>45.66</v>
      </c>
      <c r="H31">
        <v>0.71</v>
      </c>
      <c r="I31">
        <v>9</v>
      </c>
      <c r="J31">
        <v>206.15</v>
      </c>
      <c r="K31">
        <v>54.38</v>
      </c>
      <c r="L31">
        <v>8.25</v>
      </c>
      <c r="M31">
        <v>7</v>
      </c>
      <c r="N31">
        <v>43.52</v>
      </c>
      <c r="O31">
        <v>25658.66</v>
      </c>
      <c r="P31">
        <v>91.31</v>
      </c>
      <c r="Q31">
        <v>204.14</v>
      </c>
      <c r="R31">
        <v>26.76</v>
      </c>
      <c r="S31">
        <v>17.37</v>
      </c>
      <c r="T31">
        <v>2576.6799999999998</v>
      </c>
      <c r="U31">
        <v>0.65</v>
      </c>
      <c r="V31">
        <v>0.75</v>
      </c>
      <c r="W31">
        <v>1.1499999999999999</v>
      </c>
      <c r="X31">
        <v>0.16</v>
      </c>
      <c r="Y31">
        <v>1</v>
      </c>
      <c r="Z31">
        <v>10</v>
      </c>
    </row>
    <row r="32" spans="1:26" x14ac:dyDescent="0.3">
      <c r="A32">
        <v>30</v>
      </c>
      <c r="B32">
        <v>100</v>
      </c>
      <c r="C32" t="s">
        <v>26</v>
      </c>
      <c r="D32">
        <v>10.2819</v>
      </c>
      <c r="E32">
        <v>9.73</v>
      </c>
      <c r="F32">
        <v>6.86</v>
      </c>
      <c r="G32">
        <v>45.73</v>
      </c>
      <c r="H32">
        <v>0.73</v>
      </c>
      <c r="I32">
        <v>9</v>
      </c>
      <c r="J32">
        <v>206.54</v>
      </c>
      <c r="K32">
        <v>54.38</v>
      </c>
      <c r="L32">
        <v>8.5</v>
      </c>
      <c r="M32">
        <v>7</v>
      </c>
      <c r="N32">
        <v>43.67</v>
      </c>
      <c r="O32">
        <v>25707.759999999998</v>
      </c>
      <c r="P32">
        <v>91.69</v>
      </c>
      <c r="Q32">
        <v>204.14</v>
      </c>
      <c r="R32">
        <v>27.15</v>
      </c>
      <c r="S32">
        <v>17.37</v>
      </c>
      <c r="T32">
        <v>2773.84</v>
      </c>
      <c r="U32">
        <v>0.64</v>
      </c>
      <c r="V32">
        <v>0.74</v>
      </c>
      <c r="W32">
        <v>1.1499999999999999</v>
      </c>
      <c r="X32">
        <v>0.17</v>
      </c>
      <c r="Y32">
        <v>1</v>
      </c>
      <c r="Z32">
        <v>10</v>
      </c>
    </row>
    <row r="33" spans="1:26" x14ac:dyDescent="0.3">
      <c r="A33">
        <v>31</v>
      </c>
      <c r="B33">
        <v>100</v>
      </c>
      <c r="C33" t="s">
        <v>26</v>
      </c>
      <c r="D33">
        <v>10.288399999999999</v>
      </c>
      <c r="E33">
        <v>9.7200000000000006</v>
      </c>
      <c r="F33">
        <v>6.85</v>
      </c>
      <c r="G33">
        <v>45.69</v>
      </c>
      <c r="H33">
        <v>0.75</v>
      </c>
      <c r="I33">
        <v>9</v>
      </c>
      <c r="J33">
        <v>206.94</v>
      </c>
      <c r="K33">
        <v>54.38</v>
      </c>
      <c r="L33">
        <v>8.75</v>
      </c>
      <c r="M33">
        <v>7</v>
      </c>
      <c r="N33">
        <v>43.81</v>
      </c>
      <c r="O33">
        <v>25756.9</v>
      </c>
      <c r="P33">
        <v>91.44</v>
      </c>
      <c r="Q33">
        <v>204.14</v>
      </c>
      <c r="R33">
        <v>26.94</v>
      </c>
      <c r="S33">
        <v>17.37</v>
      </c>
      <c r="T33">
        <v>2667.27</v>
      </c>
      <c r="U33">
        <v>0.64</v>
      </c>
      <c r="V33">
        <v>0.75</v>
      </c>
      <c r="W33">
        <v>1.1499999999999999</v>
      </c>
      <c r="X33">
        <v>0.16</v>
      </c>
      <c r="Y33">
        <v>1</v>
      </c>
      <c r="Z33">
        <v>10</v>
      </c>
    </row>
    <row r="34" spans="1:26" x14ac:dyDescent="0.3">
      <c r="A34">
        <v>32</v>
      </c>
      <c r="B34">
        <v>100</v>
      </c>
      <c r="C34" t="s">
        <v>26</v>
      </c>
      <c r="D34">
        <v>10.279500000000001</v>
      </c>
      <c r="E34">
        <v>9.73</v>
      </c>
      <c r="F34">
        <v>6.86</v>
      </c>
      <c r="G34">
        <v>45.74</v>
      </c>
      <c r="H34">
        <v>0.77</v>
      </c>
      <c r="I34">
        <v>9</v>
      </c>
      <c r="J34">
        <v>207.34</v>
      </c>
      <c r="K34">
        <v>54.38</v>
      </c>
      <c r="L34">
        <v>9</v>
      </c>
      <c r="M34">
        <v>7</v>
      </c>
      <c r="N34">
        <v>43.96</v>
      </c>
      <c r="O34">
        <v>25806.1</v>
      </c>
      <c r="P34">
        <v>91.28</v>
      </c>
      <c r="Q34">
        <v>204.14</v>
      </c>
      <c r="R34">
        <v>27.16</v>
      </c>
      <c r="S34">
        <v>17.37</v>
      </c>
      <c r="T34">
        <v>2776.95</v>
      </c>
      <c r="U34">
        <v>0.64</v>
      </c>
      <c r="V34">
        <v>0.74</v>
      </c>
      <c r="W34">
        <v>1.1499999999999999</v>
      </c>
      <c r="X34">
        <v>0.17</v>
      </c>
      <c r="Y34">
        <v>1</v>
      </c>
      <c r="Z34">
        <v>10</v>
      </c>
    </row>
    <row r="35" spans="1:26" x14ac:dyDescent="0.3">
      <c r="A35">
        <v>33</v>
      </c>
      <c r="B35">
        <v>100</v>
      </c>
      <c r="C35" t="s">
        <v>26</v>
      </c>
      <c r="D35">
        <v>10.3523</v>
      </c>
      <c r="E35">
        <v>9.66</v>
      </c>
      <c r="F35">
        <v>6.83</v>
      </c>
      <c r="G35">
        <v>51.24</v>
      </c>
      <c r="H35">
        <v>0.79</v>
      </c>
      <c r="I35">
        <v>8</v>
      </c>
      <c r="J35">
        <v>207.74</v>
      </c>
      <c r="K35">
        <v>54.38</v>
      </c>
      <c r="L35">
        <v>9.25</v>
      </c>
      <c r="M35">
        <v>6</v>
      </c>
      <c r="N35">
        <v>44.11</v>
      </c>
      <c r="O35">
        <v>25855.35</v>
      </c>
      <c r="P35">
        <v>90.46</v>
      </c>
      <c r="Q35">
        <v>204.14</v>
      </c>
      <c r="R35">
        <v>26.27</v>
      </c>
      <c r="S35">
        <v>17.37</v>
      </c>
      <c r="T35">
        <v>2334.96</v>
      </c>
      <c r="U35">
        <v>0.66</v>
      </c>
      <c r="V35">
        <v>0.75</v>
      </c>
      <c r="W35">
        <v>1.1499999999999999</v>
      </c>
      <c r="X35">
        <v>0.14000000000000001</v>
      </c>
      <c r="Y35">
        <v>1</v>
      </c>
      <c r="Z35">
        <v>10</v>
      </c>
    </row>
    <row r="36" spans="1:26" x14ac:dyDescent="0.3">
      <c r="A36">
        <v>34</v>
      </c>
      <c r="B36">
        <v>100</v>
      </c>
      <c r="C36" t="s">
        <v>26</v>
      </c>
      <c r="D36">
        <v>10.3657</v>
      </c>
      <c r="E36">
        <v>9.65</v>
      </c>
      <c r="F36">
        <v>6.82</v>
      </c>
      <c r="G36">
        <v>51.15</v>
      </c>
      <c r="H36">
        <v>0.81</v>
      </c>
      <c r="I36">
        <v>8</v>
      </c>
      <c r="J36">
        <v>208.14</v>
      </c>
      <c r="K36">
        <v>54.38</v>
      </c>
      <c r="L36">
        <v>9.5</v>
      </c>
      <c r="M36">
        <v>6</v>
      </c>
      <c r="N36">
        <v>44.26</v>
      </c>
      <c r="O36">
        <v>25904.65</v>
      </c>
      <c r="P36">
        <v>90.36</v>
      </c>
      <c r="Q36">
        <v>204.15</v>
      </c>
      <c r="R36">
        <v>25.74</v>
      </c>
      <c r="S36">
        <v>17.37</v>
      </c>
      <c r="T36">
        <v>2073.04</v>
      </c>
      <c r="U36">
        <v>0.67</v>
      </c>
      <c r="V36">
        <v>0.75</v>
      </c>
      <c r="W36">
        <v>1.1499999999999999</v>
      </c>
      <c r="X36">
        <v>0.13</v>
      </c>
      <c r="Y36">
        <v>1</v>
      </c>
      <c r="Z36">
        <v>10</v>
      </c>
    </row>
    <row r="37" spans="1:26" x14ac:dyDescent="0.3">
      <c r="A37">
        <v>35</v>
      </c>
      <c r="B37">
        <v>100</v>
      </c>
      <c r="C37" t="s">
        <v>26</v>
      </c>
      <c r="D37">
        <v>10.3582</v>
      </c>
      <c r="E37">
        <v>9.65</v>
      </c>
      <c r="F37">
        <v>6.83</v>
      </c>
      <c r="G37">
        <v>51.2</v>
      </c>
      <c r="H37">
        <v>0.83</v>
      </c>
      <c r="I37">
        <v>8</v>
      </c>
      <c r="J37">
        <v>208.54</v>
      </c>
      <c r="K37">
        <v>54.38</v>
      </c>
      <c r="L37">
        <v>9.75</v>
      </c>
      <c r="M37">
        <v>6</v>
      </c>
      <c r="N37">
        <v>44.41</v>
      </c>
      <c r="O37">
        <v>25954</v>
      </c>
      <c r="P37">
        <v>90.2</v>
      </c>
      <c r="Q37">
        <v>204.14</v>
      </c>
      <c r="R37">
        <v>25.93</v>
      </c>
      <c r="S37">
        <v>17.37</v>
      </c>
      <c r="T37">
        <v>2165.6999999999998</v>
      </c>
      <c r="U37">
        <v>0.67</v>
      </c>
      <c r="V37">
        <v>0.75</v>
      </c>
      <c r="W37">
        <v>1.1499999999999999</v>
      </c>
      <c r="X37">
        <v>0.14000000000000001</v>
      </c>
      <c r="Y37">
        <v>1</v>
      </c>
      <c r="Z37">
        <v>10</v>
      </c>
    </row>
    <row r="38" spans="1:26" x14ac:dyDescent="0.3">
      <c r="A38">
        <v>36</v>
      </c>
      <c r="B38">
        <v>100</v>
      </c>
      <c r="C38" t="s">
        <v>26</v>
      </c>
      <c r="D38">
        <v>10.354900000000001</v>
      </c>
      <c r="E38">
        <v>9.66</v>
      </c>
      <c r="F38">
        <v>6.83</v>
      </c>
      <c r="G38">
        <v>51.22</v>
      </c>
      <c r="H38">
        <v>0.85</v>
      </c>
      <c r="I38">
        <v>8</v>
      </c>
      <c r="J38">
        <v>208.94</v>
      </c>
      <c r="K38">
        <v>54.38</v>
      </c>
      <c r="L38">
        <v>10</v>
      </c>
      <c r="M38">
        <v>6</v>
      </c>
      <c r="N38">
        <v>44.56</v>
      </c>
      <c r="O38">
        <v>26003.41</v>
      </c>
      <c r="P38">
        <v>89.96</v>
      </c>
      <c r="Q38">
        <v>204.16</v>
      </c>
      <c r="R38">
        <v>26.23</v>
      </c>
      <c r="S38">
        <v>17.37</v>
      </c>
      <c r="T38">
        <v>2318.3000000000002</v>
      </c>
      <c r="U38">
        <v>0.66</v>
      </c>
      <c r="V38">
        <v>0.75</v>
      </c>
      <c r="W38">
        <v>1.1499999999999999</v>
      </c>
      <c r="X38">
        <v>0.14000000000000001</v>
      </c>
      <c r="Y38">
        <v>1</v>
      </c>
      <c r="Z38">
        <v>10</v>
      </c>
    </row>
    <row r="39" spans="1:26" x14ac:dyDescent="0.3">
      <c r="A39">
        <v>37</v>
      </c>
      <c r="B39">
        <v>100</v>
      </c>
      <c r="C39" t="s">
        <v>26</v>
      </c>
      <c r="D39">
        <v>10.3582</v>
      </c>
      <c r="E39">
        <v>9.65</v>
      </c>
      <c r="F39">
        <v>6.83</v>
      </c>
      <c r="G39">
        <v>51.2</v>
      </c>
      <c r="H39">
        <v>0.87</v>
      </c>
      <c r="I39">
        <v>8</v>
      </c>
      <c r="J39">
        <v>209.34</v>
      </c>
      <c r="K39">
        <v>54.38</v>
      </c>
      <c r="L39">
        <v>10.25</v>
      </c>
      <c r="M39">
        <v>6</v>
      </c>
      <c r="N39">
        <v>44.71</v>
      </c>
      <c r="O39">
        <v>26052.86</v>
      </c>
      <c r="P39">
        <v>89.94</v>
      </c>
      <c r="Q39">
        <v>204.15</v>
      </c>
      <c r="R39">
        <v>25.99</v>
      </c>
      <c r="S39">
        <v>17.37</v>
      </c>
      <c r="T39">
        <v>2195.63</v>
      </c>
      <c r="U39">
        <v>0.67</v>
      </c>
      <c r="V39">
        <v>0.75</v>
      </c>
      <c r="W39">
        <v>1.1499999999999999</v>
      </c>
      <c r="X39">
        <v>0.13</v>
      </c>
      <c r="Y39">
        <v>1</v>
      </c>
      <c r="Z39">
        <v>10</v>
      </c>
    </row>
    <row r="40" spans="1:26" x14ac:dyDescent="0.3">
      <c r="A40">
        <v>38</v>
      </c>
      <c r="B40">
        <v>100</v>
      </c>
      <c r="C40" t="s">
        <v>26</v>
      </c>
      <c r="D40">
        <v>10.353199999999999</v>
      </c>
      <c r="E40">
        <v>9.66</v>
      </c>
      <c r="F40">
        <v>6.83</v>
      </c>
      <c r="G40">
        <v>51.23</v>
      </c>
      <c r="H40">
        <v>0.89</v>
      </c>
      <c r="I40">
        <v>8</v>
      </c>
      <c r="J40">
        <v>209.74</v>
      </c>
      <c r="K40">
        <v>54.38</v>
      </c>
      <c r="L40">
        <v>10.5</v>
      </c>
      <c r="M40">
        <v>6</v>
      </c>
      <c r="N40">
        <v>44.87</v>
      </c>
      <c r="O40">
        <v>26102.37</v>
      </c>
      <c r="P40">
        <v>89.62</v>
      </c>
      <c r="Q40">
        <v>204.18</v>
      </c>
      <c r="R40">
        <v>26.14</v>
      </c>
      <c r="S40">
        <v>17.37</v>
      </c>
      <c r="T40">
        <v>2274.0300000000002</v>
      </c>
      <c r="U40">
        <v>0.66</v>
      </c>
      <c r="V40">
        <v>0.75</v>
      </c>
      <c r="W40">
        <v>1.1499999999999999</v>
      </c>
      <c r="X40">
        <v>0.14000000000000001</v>
      </c>
      <c r="Y40">
        <v>1</v>
      </c>
      <c r="Z40">
        <v>10</v>
      </c>
    </row>
    <row r="41" spans="1:26" x14ac:dyDescent="0.3">
      <c r="A41">
        <v>39</v>
      </c>
      <c r="B41">
        <v>100</v>
      </c>
      <c r="C41" t="s">
        <v>26</v>
      </c>
      <c r="D41">
        <v>10.425700000000001</v>
      </c>
      <c r="E41">
        <v>9.59</v>
      </c>
      <c r="F41">
        <v>6.8</v>
      </c>
      <c r="G41">
        <v>58.31</v>
      </c>
      <c r="H41">
        <v>0.91</v>
      </c>
      <c r="I41">
        <v>7</v>
      </c>
      <c r="J41">
        <v>210.14</v>
      </c>
      <c r="K41">
        <v>54.38</v>
      </c>
      <c r="L41">
        <v>10.75</v>
      </c>
      <c r="M41">
        <v>5</v>
      </c>
      <c r="N41">
        <v>45.02</v>
      </c>
      <c r="O41">
        <v>26151.93</v>
      </c>
      <c r="P41">
        <v>89.12</v>
      </c>
      <c r="Q41">
        <v>204.18</v>
      </c>
      <c r="R41">
        <v>25.25</v>
      </c>
      <c r="S41">
        <v>17.37</v>
      </c>
      <c r="T41">
        <v>1830.55</v>
      </c>
      <c r="U41">
        <v>0.69</v>
      </c>
      <c r="V41">
        <v>0.75</v>
      </c>
      <c r="W41">
        <v>1.1499999999999999</v>
      </c>
      <c r="X41">
        <v>0.11</v>
      </c>
      <c r="Y41">
        <v>1</v>
      </c>
      <c r="Z41">
        <v>10</v>
      </c>
    </row>
    <row r="42" spans="1:26" x14ac:dyDescent="0.3">
      <c r="A42">
        <v>40</v>
      </c>
      <c r="B42">
        <v>100</v>
      </c>
      <c r="C42" t="s">
        <v>26</v>
      </c>
      <c r="D42">
        <v>10.4176</v>
      </c>
      <c r="E42">
        <v>9.6</v>
      </c>
      <c r="F42">
        <v>6.81</v>
      </c>
      <c r="G42">
        <v>58.37</v>
      </c>
      <c r="H42">
        <v>0.93</v>
      </c>
      <c r="I42">
        <v>7</v>
      </c>
      <c r="J42">
        <v>210.55</v>
      </c>
      <c r="K42">
        <v>54.38</v>
      </c>
      <c r="L42">
        <v>11</v>
      </c>
      <c r="M42">
        <v>5</v>
      </c>
      <c r="N42">
        <v>45.17</v>
      </c>
      <c r="O42">
        <v>26201.54</v>
      </c>
      <c r="P42">
        <v>89.36</v>
      </c>
      <c r="Q42">
        <v>204.15</v>
      </c>
      <c r="R42">
        <v>25.56</v>
      </c>
      <c r="S42">
        <v>17.37</v>
      </c>
      <c r="T42">
        <v>1988.55</v>
      </c>
      <c r="U42">
        <v>0.68</v>
      </c>
      <c r="V42">
        <v>0.75</v>
      </c>
      <c r="W42">
        <v>1.1499999999999999</v>
      </c>
      <c r="X42">
        <v>0.12</v>
      </c>
      <c r="Y42">
        <v>1</v>
      </c>
      <c r="Z42">
        <v>10</v>
      </c>
    </row>
    <row r="43" spans="1:26" x14ac:dyDescent="0.3">
      <c r="A43">
        <v>41</v>
      </c>
      <c r="B43">
        <v>100</v>
      </c>
      <c r="C43" t="s">
        <v>26</v>
      </c>
      <c r="D43">
        <v>10.4251</v>
      </c>
      <c r="E43">
        <v>9.59</v>
      </c>
      <c r="F43">
        <v>6.8</v>
      </c>
      <c r="G43">
        <v>58.31</v>
      </c>
      <c r="H43">
        <v>0.95</v>
      </c>
      <c r="I43">
        <v>7</v>
      </c>
      <c r="J43">
        <v>210.95</v>
      </c>
      <c r="K43">
        <v>54.38</v>
      </c>
      <c r="L43">
        <v>11.25</v>
      </c>
      <c r="M43">
        <v>5</v>
      </c>
      <c r="N43">
        <v>45.32</v>
      </c>
      <c r="O43">
        <v>26251.200000000001</v>
      </c>
      <c r="P43">
        <v>89.42</v>
      </c>
      <c r="Q43">
        <v>204.18</v>
      </c>
      <c r="R43">
        <v>25.23</v>
      </c>
      <c r="S43">
        <v>17.37</v>
      </c>
      <c r="T43">
        <v>1821.1</v>
      </c>
      <c r="U43">
        <v>0.69</v>
      </c>
      <c r="V43">
        <v>0.75</v>
      </c>
      <c r="W43">
        <v>1.1499999999999999</v>
      </c>
      <c r="X43">
        <v>0.11</v>
      </c>
      <c r="Y43">
        <v>1</v>
      </c>
      <c r="Z43">
        <v>10</v>
      </c>
    </row>
    <row r="44" spans="1:26" x14ac:dyDescent="0.3">
      <c r="A44">
        <v>42</v>
      </c>
      <c r="B44">
        <v>100</v>
      </c>
      <c r="C44" t="s">
        <v>26</v>
      </c>
      <c r="D44">
        <v>10.4152</v>
      </c>
      <c r="E44">
        <v>9.6</v>
      </c>
      <c r="F44">
        <v>6.81</v>
      </c>
      <c r="G44">
        <v>58.39</v>
      </c>
      <c r="H44">
        <v>0.97</v>
      </c>
      <c r="I44">
        <v>7</v>
      </c>
      <c r="J44">
        <v>211.35</v>
      </c>
      <c r="K44">
        <v>54.38</v>
      </c>
      <c r="L44">
        <v>11.5</v>
      </c>
      <c r="M44">
        <v>5</v>
      </c>
      <c r="N44">
        <v>45.48</v>
      </c>
      <c r="O44">
        <v>26300.92</v>
      </c>
      <c r="P44">
        <v>89.4</v>
      </c>
      <c r="Q44">
        <v>204.14</v>
      </c>
      <c r="R44">
        <v>25.59</v>
      </c>
      <c r="S44">
        <v>17.37</v>
      </c>
      <c r="T44">
        <v>2003.71</v>
      </c>
      <c r="U44">
        <v>0.68</v>
      </c>
      <c r="V44">
        <v>0.75</v>
      </c>
      <c r="W44">
        <v>1.1499999999999999</v>
      </c>
      <c r="X44">
        <v>0.12</v>
      </c>
      <c r="Y44">
        <v>1</v>
      </c>
      <c r="Z44">
        <v>10</v>
      </c>
    </row>
    <row r="45" spans="1:26" x14ac:dyDescent="0.3">
      <c r="A45">
        <v>43</v>
      </c>
      <c r="B45">
        <v>100</v>
      </c>
      <c r="C45" t="s">
        <v>26</v>
      </c>
      <c r="D45">
        <v>10.413399999999999</v>
      </c>
      <c r="E45">
        <v>9.6</v>
      </c>
      <c r="F45">
        <v>6.81</v>
      </c>
      <c r="G45">
        <v>58.41</v>
      </c>
      <c r="H45">
        <v>0.99</v>
      </c>
      <c r="I45">
        <v>7</v>
      </c>
      <c r="J45">
        <v>211.76</v>
      </c>
      <c r="K45">
        <v>54.38</v>
      </c>
      <c r="L45">
        <v>11.75</v>
      </c>
      <c r="M45">
        <v>5</v>
      </c>
      <c r="N45">
        <v>45.63</v>
      </c>
      <c r="O45">
        <v>26350.68</v>
      </c>
      <c r="P45">
        <v>89.13</v>
      </c>
      <c r="Q45">
        <v>204.14</v>
      </c>
      <c r="R45">
        <v>25.65</v>
      </c>
      <c r="S45">
        <v>17.37</v>
      </c>
      <c r="T45">
        <v>2032.59</v>
      </c>
      <c r="U45">
        <v>0.68</v>
      </c>
      <c r="V45">
        <v>0.75</v>
      </c>
      <c r="W45">
        <v>1.1499999999999999</v>
      </c>
      <c r="X45">
        <v>0.12</v>
      </c>
      <c r="Y45">
        <v>1</v>
      </c>
      <c r="Z45">
        <v>10</v>
      </c>
    </row>
    <row r="46" spans="1:26" x14ac:dyDescent="0.3">
      <c r="A46">
        <v>44</v>
      </c>
      <c r="B46">
        <v>100</v>
      </c>
      <c r="C46" t="s">
        <v>26</v>
      </c>
      <c r="D46">
        <v>10.414300000000001</v>
      </c>
      <c r="E46">
        <v>9.6</v>
      </c>
      <c r="F46">
        <v>6.81</v>
      </c>
      <c r="G46">
        <v>58.4</v>
      </c>
      <c r="H46">
        <v>1</v>
      </c>
      <c r="I46">
        <v>7</v>
      </c>
      <c r="J46">
        <v>212.16</v>
      </c>
      <c r="K46">
        <v>54.38</v>
      </c>
      <c r="L46">
        <v>12</v>
      </c>
      <c r="M46">
        <v>5</v>
      </c>
      <c r="N46">
        <v>45.78</v>
      </c>
      <c r="O46">
        <v>26400.51</v>
      </c>
      <c r="P46">
        <v>88.86</v>
      </c>
      <c r="Q46">
        <v>204.18</v>
      </c>
      <c r="R46">
        <v>25.7</v>
      </c>
      <c r="S46">
        <v>17.37</v>
      </c>
      <c r="T46">
        <v>2056.87</v>
      </c>
      <c r="U46">
        <v>0.68</v>
      </c>
      <c r="V46">
        <v>0.75</v>
      </c>
      <c r="W46">
        <v>1.1499999999999999</v>
      </c>
      <c r="X46">
        <v>0.12</v>
      </c>
      <c r="Y46">
        <v>1</v>
      </c>
      <c r="Z46">
        <v>10</v>
      </c>
    </row>
    <row r="47" spans="1:26" x14ac:dyDescent="0.3">
      <c r="A47">
        <v>45</v>
      </c>
      <c r="B47">
        <v>100</v>
      </c>
      <c r="C47" t="s">
        <v>26</v>
      </c>
      <c r="D47">
        <v>10.411799999999999</v>
      </c>
      <c r="E47">
        <v>9.6</v>
      </c>
      <c r="F47">
        <v>6.82</v>
      </c>
      <c r="G47">
        <v>58.42</v>
      </c>
      <c r="H47">
        <v>1.02</v>
      </c>
      <c r="I47">
        <v>7</v>
      </c>
      <c r="J47">
        <v>212.56</v>
      </c>
      <c r="K47">
        <v>54.38</v>
      </c>
      <c r="L47">
        <v>12.25</v>
      </c>
      <c r="M47">
        <v>5</v>
      </c>
      <c r="N47">
        <v>45.94</v>
      </c>
      <c r="O47">
        <v>26450.38</v>
      </c>
      <c r="P47">
        <v>88.68</v>
      </c>
      <c r="Q47">
        <v>204.14</v>
      </c>
      <c r="R47">
        <v>25.76</v>
      </c>
      <c r="S47">
        <v>17.37</v>
      </c>
      <c r="T47">
        <v>2089.7800000000002</v>
      </c>
      <c r="U47">
        <v>0.67</v>
      </c>
      <c r="V47">
        <v>0.75</v>
      </c>
      <c r="W47">
        <v>1.1499999999999999</v>
      </c>
      <c r="X47">
        <v>0.12</v>
      </c>
      <c r="Y47">
        <v>1</v>
      </c>
      <c r="Z47">
        <v>10</v>
      </c>
    </row>
    <row r="48" spans="1:26" x14ac:dyDescent="0.3">
      <c r="A48">
        <v>46</v>
      </c>
      <c r="B48">
        <v>100</v>
      </c>
      <c r="C48" t="s">
        <v>26</v>
      </c>
      <c r="D48">
        <v>10.4185</v>
      </c>
      <c r="E48">
        <v>9.6</v>
      </c>
      <c r="F48">
        <v>6.81</v>
      </c>
      <c r="G48">
        <v>58.37</v>
      </c>
      <c r="H48">
        <v>1.04</v>
      </c>
      <c r="I48">
        <v>7</v>
      </c>
      <c r="J48">
        <v>212.97</v>
      </c>
      <c r="K48">
        <v>54.38</v>
      </c>
      <c r="L48">
        <v>12.5</v>
      </c>
      <c r="M48">
        <v>5</v>
      </c>
      <c r="N48">
        <v>46.09</v>
      </c>
      <c r="O48">
        <v>26500.31</v>
      </c>
      <c r="P48">
        <v>88.21</v>
      </c>
      <c r="Q48">
        <v>204.16</v>
      </c>
      <c r="R48">
        <v>25.48</v>
      </c>
      <c r="S48">
        <v>17.37</v>
      </c>
      <c r="T48">
        <v>1946.42</v>
      </c>
      <c r="U48">
        <v>0.68</v>
      </c>
      <c r="V48">
        <v>0.75</v>
      </c>
      <c r="W48">
        <v>1.1499999999999999</v>
      </c>
      <c r="X48">
        <v>0.12</v>
      </c>
      <c r="Y48">
        <v>1</v>
      </c>
      <c r="Z48">
        <v>10</v>
      </c>
    </row>
    <row r="49" spans="1:26" x14ac:dyDescent="0.3">
      <c r="A49">
        <v>47</v>
      </c>
      <c r="B49">
        <v>100</v>
      </c>
      <c r="C49" t="s">
        <v>26</v>
      </c>
      <c r="D49">
        <v>10.491300000000001</v>
      </c>
      <c r="E49">
        <v>9.5299999999999994</v>
      </c>
      <c r="F49">
        <v>6.78</v>
      </c>
      <c r="G49">
        <v>67.819999999999993</v>
      </c>
      <c r="H49">
        <v>1.06</v>
      </c>
      <c r="I49">
        <v>6</v>
      </c>
      <c r="J49">
        <v>213.37</v>
      </c>
      <c r="K49">
        <v>54.38</v>
      </c>
      <c r="L49">
        <v>12.75</v>
      </c>
      <c r="M49">
        <v>4</v>
      </c>
      <c r="N49">
        <v>46.25</v>
      </c>
      <c r="O49">
        <v>26550.29</v>
      </c>
      <c r="P49">
        <v>87.72</v>
      </c>
      <c r="Q49">
        <v>204.14</v>
      </c>
      <c r="R49">
        <v>24.62</v>
      </c>
      <c r="S49">
        <v>17.37</v>
      </c>
      <c r="T49">
        <v>1522.25</v>
      </c>
      <c r="U49">
        <v>0.71</v>
      </c>
      <c r="V49">
        <v>0.75</v>
      </c>
      <c r="W49">
        <v>1.1499999999999999</v>
      </c>
      <c r="X49">
        <v>0.09</v>
      </c>
      <c r="Y49">
        <v>1</v>
      </c>
      <c r="Z49">
        <v>10</v>
      </c>
    </row>
    <row r="50" spans="1:26" x14ac:dyDescent="0.3">
      <c r="A50">
        <v>48</v>
      </c>
      <c r="B50">
        <v>100</v>
      </c>
      <c r="C50" t="s">
        <v>26</v>
      </c>
      <c r="D50">
        <v>10.479699999999999</v>
      </c>
      <c r="E50">
        <v>9.5399999999999991</v>
      </c>
      <c r="F50">
        <v>6.79</v>
      </c>
      <c r="G50">
        <v>67.92</v>
      </c>
      <c r="H50">
        <v>1.08</v>
      </c>
      <c r="I50">
        <v>6</v>
      </c>
      <c r="J50">
        <v>213.78</v>
      </c>
      <c r="K50">
        <v>54.38</v>
      </c>
      <c r="L50">
        <v>13</v>
      </c>
      <c r="M50">
        <v>4</v>
      </c>
      <c r="N50">
        <v>46.4</v>
      </c>
      <c r="O50">
        <v>26600.32</v>
      </c>
      <c r="P50">
        <v>87.81</v>
      </c>
      <c r="Q50">
        <v>204.14</v>
      </c>
      <c r="R50">
        <v>24.85</v>
      </c>
      <c r="S50">
        <v>17.37</v>
      </c>
      <c r="T50">
        <v>1638.99</v>
      </c>
      <c r="U50">
        <v>0.7</v>
      </c>
      <c r="V50">
        <v>0.75</v>
      </c>
      <c r="W50">
        <v>1.1499999999999999</v>
      </c>
      <c r="X50">
        <v>0.1</v>
      </c>
      <c r="Y50">
        <v>1</v>
      </c>
      <c r="Z50">
        <v>10</v>
      </c>
    </row>
    <row r="51" spans="1:26" x14ac:dyDescent="0.3">
      <c r="A51">
        <v>49</v>
      </c>
      <c r="B51">
        <v>100</v>
      </c>
      <c r="C51" t="s">
        <v>26</v>
      </c>
      <c r="D51">
        <v>10.4855</v>
      </c>
      <c r="E51">
        <v>9.5399999999999991</v>
      </c>
      <c r="F51">
        <v>6.79</v>
      </c>
      <c r="G51">
        <v>67.87</v>
      </c>
      <c r="H51">
        <v>1.1000000000000001</v>
      </c>
      <c r="I51">
        <v>6</v>
      </c>
      <c r="J51">
        <v>214.19</v>
      </c>
      <c r="K51">
        <v>54.38</v>
      </c>
      <c r="L51">
        <v>13.25</v>
      </c>
      <c r="M51">
        <v>4</v>
      </c>
      <c r="N51">
        <v>46.56</v>
      </c>
      <c r="O51">
        <v>26650.41</v>
      </c>
      <c r="P51">
        <v>87.88</v>
      </c>
      <c r="Q51">
        <v>204.14</v>
      </c>
      <c r="R51">
        <v>24.85</v>
      </c>
      <c r="S51">
        <v>17.37</v>
      </c>
      <c r="T51">
        <v>1635.81</v>
      </c>
      <c r="U51">
        <v>0.7</v>
      </c>
      <c r="V51">
        <v>0.75</v>
      </c>
      <c r="W51">
        <v>1.1499999999999999</v>
      </c>
      <c r="X51">
        <v>0.1</v>
      </c>
      <c r="Y51">
        <v>1</v>
      </c>
      <c r="Z51">
        <v>10</v>
      </c>
    </row>
    <row r="52" spans="1:26" x14ac:dyDescent="0.3">
      <c r="A52">
        <v>50</v>
      </c>
      <c r="B52">
        <v>100</v>
      </c>
      <c r="C52" t="s">
        <v>26</v>
      </c>
      <c r="D52">
        <v>10.484299999999999</v>
      </c>
      <c r="E52">
        <v>9.5399999999999991</v>
      </c>
      <c r="F52">
        <v>6.79</v>
      </c>
      <c r="G52">
        <v>67.88</v>
      </c>
      <c r="H52">
        <v>1.1200000000000001</v>
      </c>
      <c r="I52">
        <v>6</v>
      </c>
      <c r="J52">
        <v>214.59</v>
      </c>
      <c r="K52">
        <v>54.38</v>
      </c>
      <c r="L52">
        <v>13.5</v>
      </c>
      <c r="M52">
        <v>4</v>
      </c>
      <c r="N52">
        <v>46.72</v>
      </c>
      <c r="O52">
        <v>26700.55</v>
      </c>
      <c r="P52">
        <v>87.86</v>
      </c>
      <c r="Q52">
        <v>204.14</v>
      </c>
      <c r="R52">
        <v>24.97</v>
      </c>
      <c r="S52">
        <v>17.37</v>
      </c>
      <c r="T52">
        <v>1696.48</v>
      </c>
      <c r="U52">
        <v>0.7</v>
      </c>
      <c r="V52">
        <v>0.75</v>
      </c>
      <c r="W52">
        <v>1.1399999999999999</v>
      </c>
      <c r="X52">
        <v>0.1</v>
      </c>
      <c r="Y52">
        <v>1</v>
      </c>
      <c r="Z52">
        <v>10</v>
      </c>
    </row>
    <row r="53" spans="1:26" x14ac:dyDescent="0.3">
      <c r="A53">
        <v>51</v>
      </c>
      <c r="B53">
        <v>100</v>
      </c>
      <c r="C53" t="s">
        <v>26</v>
      </c>
      <c r="D53">
        <v>10.491300000000001</v>
      </c>
      <c r="E53">
        <v>9.5299999999999994</v>
      </c>
      <c r="F53">
        <v>6.78</v>
      </c>
      <c r="G53">
        <v>67.819999999999993</v>
      </c>
      <c r="H53">
        <v>1.1399999999999999</v>
      </c>
      <c r="I53">
        <v>6</v>
      </c>
      <c r="J53">
        <v>215</v>
      </c>
      <c r="K53">
        <v>54.38</v>
      </c>
      <c r="L53">
        <v>13.75</v>
      </c>
      <c r="M53">
        <v>4</v>
      </c>
      <c r="N53">
        <v>46.87</v>
      </c>
      <c r="O53">
        <v>26750.75</v>
      </c>
      <c r="P53">
        <v>87.63</v>
      </c>
      <c r="Q53">
        <v>204.15</v>
      </c>
      <c r="R53">
        <v>24.61</v>
      </c>
      <c r="S53">
        <v>17.37</v>
      </c>
      <c r="T53">
        <v>1514.87</v>
      </c>
      <c r="U53">
        <v>0.71</v>
      </c>
      <c r="V53">
        <v>0.75</v>
      </c>
      <c r="W53">
        <v>1.1499999999999999</v>
      </c>
      <c r="X53">
        <v>0.09</v>
      </c>
      <c r="Y53">
        <v>1</v>
      </c>
      <c r="Z53">
        <v>10</v>
      </c>
    </row>
    <row r="54" spans="1:26" x14ac:dyDescent="0.3">
      <c r="A54">
        <v>52</v>
      </c>
      <c r="B54">
        <v>100</v>
      </c>
      <c r="C54" t="s">
        <v>26</v>
      </c>
      <c r="D54">
        <v>10.4861</v>
      </c>
      <c r="E54">
        <v>9.5399999999999991</v>
      </c>
      <c r="F54">
        <v>6.79</v>
      </c>
      <c r="G54">
        <v>67.86</v>
      </c>
      <c r="H54">
        <v>1.1499999999999999</v>
      </c>
      <c r="I54">
        <v>6</v>
      </c>
      <c r="J54">
        <v>215.41</v>
      </c>
      <c r="K54">
        <v>54.38</v>
      </c>
      <c r="L54">
        <v>14</v>
      </c>
      <c r="M54">
        <v>4</v>
      </c>
      <c r="N54">
        <v>47.03</v>
      </c>
      <c r="O54">
        <v>26801</v>
      </c>
      <c r="P54">
        <v>87.39</v>
      </c>
      <c r="Q54">
        <v>204.17</v>
      </c>
      <c r="R54">
        <v>24.81</v>
      </c>
      <c r="S54">
        <v>17.37</v>
      </c>
      <c r="T54">
        <v>1618.66</v>
      </c>
      <c r="U54">
        <v>0.7</v>
      </c>
      <c r="V54">
        <v>0.75</v>
      </c>
      <c r="W54">
        <v>1.1499999999999999</v>
      </c>
      <c r="X54">
        <v>0.1</v>
      </c>
      <c r="Y54">
        <v>1</v>
      </c>
      <c r="Z54">
        <v>10</v>
      </c>
    </row>
    <row r="55" spans="1:26" x14ac:dyDescent="0.3">
      <c r="A55">
        <v>53</v>
      </c>
      <c r="B55">
        <v>100</v>
      </c>
      <c r="C55" t="s">
        <v>26</v>
      </c>
      <c r="D55">
        <v>10.479100000000001</v>
      </c>
      <c r="E55">
        <v>9.5399999999999991</v>
      </c>
      <c r="F55">
        <v>6.79</v>
      </c>
      <c r="G55">
        <v>67.930000000000007</v>
      </c>
      <c r="H55">
        <v>1.17</v>
      </c>
      <c r="I55">
        <v>6</v>
      </c>
      <c r="J55">
        <v>215.82</v>
      </c>
      <c r="K55">
        <v>54.38</v>
      </c>
      <c r="L55">
        <v>14.25</v>
      </c>
      <c r="M55">
        <v>4</v>
      </c>
      <c r="N55">
        <v>47.19</v>
      </c>
      <c r="O55">
        <v>26851.31</v>
      </c>
      <c r="P55">
        <v>87.37</v>
      </c>
      <c r="Q55">
        <v>204.14</v>
      </c>
      <c r="R55">
        <v>25.03</v>
      </c>
      <c r="S55">
        <v>17.37</v>
      </c>
      <c r="T55">
        <v>1728.99</v>
      </c>
      <c r="U55">
        <v>0.69</v>
      </c>
      <c r="V55">
        <v>0.75</v>
      </c>
      <c r="W55">
        <v>1.1499999999999999</v>
      </c>
      <c r="X55">
        <v>0.1</v>
      </c>
      <c r="Y55">
        <v>1</v>
      </c>
      <c r="Z55">
        <v>10</v>
      </c>
    </row>
    <row r="56" spans="1:26" x14ac:dyDescent="0.3">
      <c r="A56">
        <v>54</v>
      </c>
      <c r="B56">
        <v>100</v>
      </c>
      <c r="C56" t="s">
        <v>26</v>
      </c>
      <c r="D56">
        <v>10.486499999999999</v>
      </c>
      <c r="E56">
        <v>9.5399999999999991</v>
      </c>
      <c r="F56">
        <v>6.79</v>
      </c>
      <c r="G56">
        <v>67.86</v>
      </c>
      <c r="H56">
        <v>1.19</v>
      </c>
      <c r="I56">
        <v>6</v>
      </c>
      <c r="J56">
        <v>216.22</v>
      </c>
      <c r="K56">
        <v>54.38</v>
      </c>
      <c r="L56">
        <v>14.5</v>
      </c>
      <c r="M56">
        <v>4</v>
      </c>
      <c r="N56">
        <v>47.35</v>
      </c>
      <c r="O56">
        <v>26901.66</v>
      </c>
      <c r="P56">
        <v>86.96</v>
      </c>
      <c r="Q56">
        <v>204.14</v>
      </c>
      <c r="R56">
        <v>24.75</v>
      </c>
      <c r="S56">
        <v>17.37</v>
      </c>
      <c r="T56">
        <v>1585.61</v>
      </c>
      <c r="U56">
        <v>0.7</v>
      </c>
      <c r="V56">
        <v>0.75</v>
      </c>
      <c r="W56">
        <v>1.1499999999999999</v>
      </c>
      <c r="X56">
        <v>0.1</v>
      </c>
      <c r="Y56">
        <v>1</v>
      </c>
      <c r="Z56">
        <v>10</v>
      </c>
    </row>
    <row r="57" spans="1:26" x14ac:dyDescent="0.3">
      <c r="A57">
        <v>55</v>
      </c>
      <c r="B57">
        <v>100</v>
      </c>
      <c r="C57" t="s">
        <v>26</v>
      </c>
      <c r="D57">
        <v>10.482799999999999</v>
      </c>
      <c r="E57">
        <v>9.5399999999999991</v>
      </c>
      <c r="F57">
        <v>6.79</v>
      </c>
      <c r="G57">
        <v>67.89</v>
      </c>
      <c r="H57">
        <v>1.21</v>
      </c>
      <c r="I57">
        <v>6</v>
      </c>
      <c r="J57">
        <v>216.63</v>
      </c>
      <c r="K57">
        <v>54.38</v>
      </c>
      <c r="L57">
        <v>14.75</v>
      </c>
      <c r="M57">
        <v>4</v>
      </c>
      <c r="N57">
        <v>47.51</v>
      </c>
      <c r="O57">
        <v>26952.080000000002</v>
      </c>
      <c r="P57">
        <v>86.81</v>
      </c>
      <c r="Q57">
        <v>204.14</v>
      </c>
      <c r="R57">
        <v>24.91</v>
      </c>
      <c r="S57">
        <v>17.37</v>
      </c>
      <c r="T57">
        <v>1665.26</v>
      </c>
      <c r="U57">
        <v>0.7</v>
      </c>
      <c r="V57">
        <v>0.75</v>
      </c>
      <c r="W57">
        <v>1.1499999999999999</v>
      </c>
      <c r="X57">
        <v>0.1</v>
      </c>
      <c r="Y57">
        <v>1</v>
      </c>
      <c r="Z57">
        <v>10</v>
      </c>
    </row>
    <row r="58" spans="1:26" x14ac:dyDescent="0.3">
      <c r="A58">
        <v>56</v>
      </c>
      <c r="B58">
        <v>100</v>
      </c>
      <c r="C58" t="s">
        <v>26</v>
      </c>
      <c r="D58">
        <v>10.4846</v>
      </c>
      <c r="E58">
        <v>9.5399999999999991</v>
      </c>
      <c r="F58">
        <v>6.79</v>
      </c>
      <c r="G58">
        <v>67.88</v>
      </c>
      <c r="H58">
        <v>1.23</v>
      </c>
      <c r="I58">
        <v>6</v>
      </c>
      <c r="J58">
        <v>217.04</v>
      </c>
      <c r="K58">
        <v>54.38</v>
      </c>
      <c r="L58">
        <v>15</v>
      </c>
      <c r="M58">
        <v>4</v>
      </c>
      <c r="N58">
        <v>47.66</v>
      </c>
      <c r="O58">
        <v>27002.55</v>
      </c>
      <c r="P58">
        <v>86.64</v>
      </c>
      <c r="Q58">
        <v>204.14</v>
      </c>
      <c r="R58">
        <v>24.78</v>
      </c>
      <c r="S58">
        <v>17.37</v>
      </c>
      <c r="T58">
        <v>1603.08</v>
      </c>
      <c r="U58">
        <v>0.7</v>
      </c>
      <c r="V58">
        <v>0.75</v>
      </c>
      <c r="W58">
        <v>1.1499999999999999</v>
      </c>
      <c r="X58">
        <v>0.1</v>
      </c>
      <c r="Y58">
        <v>1</v>
      </c>
      <c r="Z58">
        <v>10</v>
      </c>
    </row>
    <row r="59" spans="1:26" x14ac:dyDescent="0.3">
      <c r="A59">
        <v>57</v>
      </c>
      <c r="B59">
        <v>100</v>
      </c>
      <c r="C59" t="s">
        <v>26</v>
      </c>
      <c r="D59">
        <v>10.4825</v>
      </c>
      <c r="E59">
        <v>9.5399999999999991</v>
      </c>
      <c r="F59">
        <v>6.79</v>
      </c>
      <c r="G59">
        <v>67.900000000000006</v>
      </c>
      <c r="H59">
        <v>1.25</v>
      </c>
      <c r="I59">
        <v>6</v>
      </c>
      <c r="J59">
        <v>217.45</v>
      </c>
      <c r="K59">
        <v>54.38</v>
      </c>
      <c r="L59">
        <v>15.25</v>
      </c>
      <c r="M59">
        <v>4</v>
      </c>
      <c r="N59">
        <v>47.82</v>
      </c>
      <c r="O59">
        <v>27053.07</v>
      </c>
      <c r="P59">
        <v>86.12</v>
      </c>
      <c r="Q59">
        <v>204.15</v>
      </c>
      <c r="R59">
        <v>25.03</v>
      </c>
      <c r="S59">
        <v>17.37</v>
      </c>
      <c r="T59">
        <v>1726.81</v>
      </c>
      <c r="U59">
        <v>0.69</v>
      </c>
      <c r="V59">
        <v>0.75</v>
      </c>
      <c r="W59">
        <v>1.1399999999999999</v>
      </c>
      <c r="X59">
        <v>0.1</v>
      </c>
      <c r="Y59">
        <v>1</v>
      </c>
      <c r="Z59">
        <v>10</v>
      </c>
    </row>
    <row r="60" spans="1:26" x14ac:dyDescent="0.3">
      <c r="A60">
        <v>58</v>
      </c>
      <c r="B60">
        <v>100</v>
      </c>
      <c r="C60" t="s">
        <v>26</v>
      </c>
      <c r="D60">
        <v>10.544499999999999</v>
      </c>
      <c r="E60">
        <v>9.48</v>
      </c>
      <c r="F60">
        <v>6.77</v>
      </c>
      <c r="G60">
        <v>81.27</v>
      </c>
      <c r="H60">
        <v>1.26</v>
      </c>
      <c r="I60">
        <v>5</v>
      </c>
      <c r="J60">
        <v>217.86</v>
      </c>
      <c r="K60">
        <v>54.38</v>
      </c>
      <c r="L60">
        <v>15.5</v>
      </c>
      <c r="M60">
        <v>3</v>
      </c>
      <c r="N60">
        <v>47.98</v>
      </c>
      <c r="O60">
        <v>27103.65</v>
      </c>
      <c r="P60">
        <v>85.78</v>
      </c>
      <c r="Q60">
        <v>204.23</v>
      </c>
      <c r="R60">
        <v>24.37</v>
      </c>
      <c r="S60">
        <v>17.37</v>
      </c>
      <c r="T60">
        <v>1403.52</v>
      </c>
      <c r="U60">
        <v>0.71</v>
      </c>
      <c r="V60">
        <v>0.75</v>
      </c>
      <c r="W60">
        <v>1.1399999999999999</v>
      </c>
      <c r="X60">
        <v>0.08</v>
      </c>
      <c r="Y60">
        <v>1</v>
      </c>
      <c r="Z60">
        <v>10</v>
      </c>
    </row>
    <row r="61" spans="1:26" x14ac:dyDescent="0.3">
      <c r="A61">
        <v>59</v>
      </c>
      <c r="B61">
        <v>100</v>
      </c>
      <c r="C61" t="s">
        <v>26</v>
      </c>
      <c r="D61">
        <v>10.535600000000001</v>
      </c>
      <c r="E61">
        <v>9.49</v>
      </c>
      <c r="F61">
        <v>6.78</v>
      </c>
      <c r="G61">
        <v>81.37</v>
      </c>
      <c r="H61">
        <v>1.28</v>
      </c>
      <c r="I61">
        <v>5</v>
      </c>
      <c r="J61">
        <v>218.27</v>
      </c>
      <c r="K61">
        <v>54.38</v>
      </c>
      <c r="L61">
        <v>15.75</v>
      </c>
      <c r="M61">
        <v>3</v>
      </c>
      <c r="N61">
        <v>48.15</v>
      </c>
      <c r="O61">
        <v>27154.29</v>
      </c>
      <c r="P61">
        <v>86.08</v>
      </c>
      <c r="Q61">
        <v>204.14</v>
      </c>
      <c r="R61">
        <v>24.63</v>
      </c>
      <c r="S61">
        <v>17.37</v>
      </c>
      <c r="T61">
        <v>1532.64</v>
      </c>
      <c r="U61">
        <v>0.71</v>
      </c>
      <c r="V61">
        <v>0.75</v>
      </c>
      <c r="W61">
        <v>1.1399999999999999</v>
      </c>
      <c r="X61">
        <v>0.09</v>
      </c>
      <c r="Y61">
        <v>1</v>
      </c>
      <c r="Z61">
        <v>10</v>
      </c>
    </row>
    <row r="62" spans="1:26" x14ac:dyDescent="0.3">
      <c r="A62">
        <v>60</v>
      </c>
      <c r="B62">
        <v>100</v>
      </c>
      <c r="C62" t="s">
        <v>26</v>
      </c>
      <c r="D62">
        <v>10.5448</v>
      </c>
      <c r="E62">
        <v>9.48</v>
      </c>
      <c r="F62">
        <v>6.77</v>
      </c>
      <c r="G62">
        <v>81.27</v>
      </c>
      <c r="H62">
        <v>1.3</v>
      </c>
      <c r="I62">
        <v>5</v>
      </c>
      <c r="J62">
        <v>218.68</v>
      </c>
      <c r="K62">
        <v>54.38</v>
      </c>
      <c r="L62">
        <v>16</v>
      </c>
      <c r="M62">
        <v>3</v>
      </c>
      <c r="N62">
        <v>48.31</v>
      </c>
      <c r="O62">
        <v>27204.98</v>
      </c>
      <c r="P62">
        <v>86</v>
      </c>
      <c r="Q62">
        <v>204.14</v>
      </c>
      <c r="R62">
        <v>24.37</v>
      </c>
      <c r="S62">
        <v>17.37</v>
      </c>
      <c r="T62">
        <v>1400.23</v>
      </c>
      <c r="U62">
        <v>0.71</v>
      </c>
      <c r="V62">
        <v>0.75</v>
      </c>
      <c r="W62">
        <v>1.1399999999999999</v>
      </c>
      <c r="X62">
        <v>0.08</v>
      </c>
      <c r="Y62">
        <v>1</v>
      </c>
      <c r="Z62">
        <v>10</v>
      </c>
    </row>
    <row r="63" spans="1:26" x14ac:dyDescent="0.3">
      <c r="A63">
        <v>61</v>
      </c>
      <c r="B63">
        <v>100</v>
      </c>
      <c r="C63" t="s">
        <v>26</v>
      </c>
      <c r="D63">
        <v>10.543900000000001</v>
      </c>
      <c r="E63">
        <v>9.48</v>
      </c>
      <c r="F63">
        <v>6.77</v>
      </c>
      <c r="G63">
        <v>81.28</v>
      </c>
      <c r="H63">
        <v>1.32</v>
      </c>
      <c r="I63">
        <v>5</v>
      </c>
      <c r="J63">
        <v>219.09</v>
      </c>
      <c r="K63">
        <v>54.38</v>
      </c>
      <c r="L63">
        <v>16.25</v>
      </c>
      <c r="M63">
        <v>3</v>
      </c>
      <c r="N63">
        <v>48.47</v>
      </c>
      <c r="O63">
        <v>27255.72</v>
      </c>
      <c r="P63">
        <v>86.27</v>
      </c>
      <c r="Q63">
        <v>204.15</v>
      </c>
      <c r="R63">
        <v>24.41</v>
      </c>
      <c r="S63">
        <v>17.37</v>
      </c>
      <c r="T63">
        <v>1424.81</v>
      </c>
      <c r="U63">
        <v>0.71</v>
      </c>
      <c r="V63">
        <v>0.75</v>
      </c>
      <c r="W63">
        <v>1.1399999999999999</v>
      </c>
      <c r="X63">
        <v>0.08</v>
      </c>
      <c r="Y63">
        <v>1</v>
      </c>
      <c r="Z63">
        <v>10</v>
      </c>
    </row>
    <row r="64" spans="1:26" x14ac:dyDescent="0.3">
      <c r="A64">
        <v>62</v>
      </c>
      <c r="B64">
        <v>100</v>
      </c>
      <c r="C64" t="s">
        <v>26</v>
      </c>
      <c r="D64">
        <v>10.5473</v>
      </c>
      <c r="E64">
        <v>9.48</v>
      </c>
      <c r="F64">
        <v>6.77</v>
      </c>
      <c r="G64">
        <v>81.239999999999995</v>
      </c>
      <c r="H64">
        <v>1.34</v>
      </c>
      <c r="I64">
        <v>5</v>
      </c>
      <c r="J64">
        <v>219.51</v>
      </c>
      <c r="K64">
        <v>54.38</v>
      </c>
      <c r="L64">
        <v>16.5</v>
      </c>
      <c r="M64">
        <v>3</v>
      </c>
      <c r="N64">
        <v>48.63</v>
      </c>
      <c r="O64">
        <v>27306.53</v>
      </c>
      <c r="P64">
        <v>86</v>
      </c>
      <c r="Q64">
        <v>204.14</v>
      </c>
      <c r="R64">
        <v>24.34</v>
      </c>
      <c r="S64">
        <v>17.37</v>
      </c>
      <c r="T64">
        <v>1388</v>
      </c>
      <c r="U64">
        <v>0.71</v>
      </c>
      <c r="V64">
        <v>0.75</v>
      </c>
      <c r="W64">
        <v>1.1399999999999999</v>
      </c>
      <c r="X64">
        <v>0.08</v>
      </c>
      <c r="Y64">
        <v>1</v>
      </c>
      <c r="Z64">
        <v>10</v>
      </c>
    </row>
    <row r="65" spans="1:26" x14ac:dyDescent="0.3">
      <c r="A65">
        <v>63</v>
      </c>
      <c r="B65">
        <v>100</v>
      </c>
      <c r="C65" t="s">
        <v>26</v>
      </c>
      <c r="D65">
        <v>10.5396</v>
      </c>
      <c r="E65">
        <v>9.49</v>
      </c>
      <c r="F65">
        <v>6.78</v>
      </c>
      <c r="G65">
        <v>81.319999999999993</v>
      </c>
      <c r="H65">
        <v>1.35</v>
      </c>
      <c r="I65">
        <v>5</v>
      </c>
      <c r="J65">
        <v>219.92</v>
      </c>
      <c r="K65">
        <v>54.38</v>
      </c>
      <c r="L65">
        <v>16.75</v>
      </c>
      <c r="M65">
        <v>3</v>
      </c>
      <c r="N65">
        <v>48.79</v>
      </c>
      <c r="O65">
        <v>27357.38</v>
      </c>
      <c r="P65">
        <v>85.99</v>
      </c>
      <c r="Q65">
        <v>204.14</v>
      </c>
      <c r="R65">
        <v>24.48</v>
      </c>
      <c r="S65">
        <v>17.37</v>
      </c>
      <c r="T65">
        <v>1458.72</v>
      </c>
      <c r="U65">
        <v>0.71</v>
      </c>
      <c r="V65">
        <v>0.75</v>
      </c>
      <c r="W65">
        <v>1.1499999999999999</v>
      </c>
      <c r="X65">
        <v>0.09</v>
      </c>
      <c r="Y65">
        <v>1</v>
      </c>
      <c r="Z65">
        <v>10</v>
      </c>
    </row>
    <row r="66" spans="1:26" x14ac:dyDescent="0.3">
      <c r="A66">
        <v>64</v>
      </c>
      <c r="B66">
        <v>100</v>
      </c>
      <c r="C66" t="s">
        <v>26</v>
      </c>
      <c r="D66">
        <v>10.539</v>
      </c>
      <c r="E66">
        <v>9.49</v>
      </c>
      <c r="F66">
        <v>6.78</v>
      </c>
      <c r="G66">
        <v>81.33</v>
      </c>
      <c r="H66">
        <v>1.37</v>
      </c>
      <c r="I66">
        <v>5</v>
      </c>
      <c r="J66">
        <v>220.33</v>
      </c>
      <c r="K66">
        <v>54.38</v>
      </c>
      <c r="L66">
        <v>17</v>
      </c>
      <c r="M66">
        <v>3</v>
      </c>
      <c r="N66">
        <v>48.95</v>
      </c>
      <c r="O66">
        <v>27408.3</v>
      </c>
      <c r="P66">
        <v>85.88</v>
      </c>
      <c r="Q66">
        <v>204.14</v>
      </c>
      <c r="R66">
        <v>24.54</v>
      </c>
      <c r="S66">
        <v>17.37</v>
      </c>
      <c r="T66">
        <v>1488.54</v>
      </c>
      <c r="U66">
        <v>0.71</v>
      </c>
      <c r="V66">
        <v>0.75</v>
      </c>
      <c r="W66">
        <v>1.1499999999999999</v>
      </c>
      <c r="X66">
        <v>0.09</v>
      </c>
      <c r="Y66">
        <v>1</v>
      </c>
      <c r="Z66">
        <v>10</v>
      </c>
    </row>
    <row r="67" spans="1:26" x14ac:dyDescent="0.3">
      <c r="A67">
        <v>65</v>
      </c>
      <c r="B67">
        <v>100</v>
      </c>
      <c r="C67" t="s">
        <v>26</v>
      </c>
      <c r="D67">
        <v>10.5442</v>
      </c>
      <c r="E67">
        <v>9.48</v>
      </c>
      <c r="F67">
        <v>6.77</v>
      </c>
      <c r="G67">
        <v>81.27</v>
      </c>
      <c r="H67">
        <v>1.39</v>
      </c>
      <c r="I67">
        <v>5</v>
      </c>
      <c r="J67">
        <v>220.74</v>
      </c>
      <c r="K67">
        <v>54.38</v>
      </c>
      <c r="L67">
        <v>17.25</v>
      </c>
      <c r="M67">
        <v>3</v>
      </c>
      <c r="N67">
        <v>49.12</v>
      </c>
      <c r="O67">
        <v>27459.27</v>
      </c>
      <c r="P67">
        <v>85.57</v>
      </c>
      <c r="Q67">
        <v>204.16</v>
      </c>
      <c r="R67">
        <v>24.41</v>
      </c>
      <c r="S67">
        <v>17.37</v>
      </c>
      <c r="T67">
        <v>1421.46</v>
      </c>
      <c r="U67">
        <v>0.71</v>
      </c>
      <c r="V67">
        <v>0.75</v>
      </c>
      <c r="W67">
        <v>1.1399999999999999</v>
      </c>
      <c r="X67">
        <v>0.08</v>
      </c>
      <c r="Y67">
        <v>1</v>
      </c>
      <c r="Z67">
        <v>10</v>
      </c>
    </row>
    <row r="68" spans="1:26" x14ac:dyDescent="0.3">
      <c r="A68">
        <v>66</v>
      </c>
      <c r="B68">
        <v>100</v>
      </c>
      <c r="C68" t="s">
        <v>26</v>
      </c>
      <c r="D68">
        <v>10.552899999999999</v>
      </c>
      <c r="E68">
        <v>9.48</v>
      </c>
      <c r="F68">
        <v>6.76</v>
      </c>
      <c r="G68">
        <v>81.180000000000007</v>
      </c>
      <c r="H68">
        <v>1.41</v>
      </c>
      <c r="I68">
        <v>5</v>
      </c>
      <c r="J68">
        <v>221.16</v>
      </c>
      <c r="K68">
        <v>54.38</v>
      </c>
      <c r="L68">
        <v>17.5</v>
      </c>
      <c r="M68">
        <v>3</v>
      </c>
      <c r="N68">
        <v>49.28</v>
      </c>
      <c r="O68">
        <v>27510.3</v>
      </c>
      <c r="P68">
        <v>85.33</v>
      </c>
      <c r="Q68">
        <v>204.14</v>
      </c>
      <c r="R68">
        <v>24.23</v>
      </c>
      <c r="S68">
        <v>17.37</v>
      </c>
      <c r="T68">
        <v>1334.12</v>
      </c>
      <c r="U68">
        <v>0.72</v>
      </c>
      <c r="V68">
        <v>0.75</v>
      </c>
      <c r="W68">
        <v>1.1399999999999999</v>
      </c>
      <c r="X68">
        <v>7.0000000000000007E-2</v>
      </c>
      <c r="Y68">
        <v>1</v>
      </c>
      <c r="Z68">
        <v>10</v>
      </c>
    </row>
    <row r="69" spans="1:26" x14ac:dyDescent="0.3">
      <c r="A69">
        <v>67</v>
      </c>
      <c r="B69">
        <v>100</v>
      </c>
      <c r="C69" t="s">
        <v>26</v>
      </c>
      <c r="D69">
        <v>10.5572</v>
      </c>
      <c r="E69">
        <v>9.4700000000000006</v>
      </c>
      <c r="F69">
        <v>6.76</v>
      </c>
      <c r="G69">
        <v>81.13</v>
      </c>
      <c r="H69">
        <v>1.42</v>
      </c>
      <c r="I69">
        <v>5</v>
      </c>
      <c r="J69">
        <v>221.57</v>
      </c>
      <c r="K69">
        <v>54.38</v>
      </c>
      <c r="L69">
        <v>17.75</v>
      </c>
      <c r="M69">
        <v>3</v>
      </c>
      <c r="N69">
        <v>49.45</v>
      </c>
      <c r="O69">
        <v>27561.39</v>
      </c>
      <c r="P69">
        <v>84.88</v>
      </c>
      <c r="Q69">
        <v>204.14</v>
      </c>
      <c r="R69">
        <v>24.07</v>
      </c>
      <c r="S69">
        <v>17.37</v>
      </c>
      <c r="T69">
        <v>1250.78</v>
      </c>
      <c r="U69">
        <v>0.72</v>
      </c>
      <c r="V69">
        <v>0.76</v>
      </c>
      <c r="W69">
        <v>1.1399999999999999</v>
      </c>
      <c r="X69">
        <v>7.0000000000000007E-2</v>
      </c>
      <c r="Y69">
        <v>1</v>
      </c>
      <c r="Z69">
        <v>10</v>
      </c>
    </row>
    <row r="70" spans="1:26" x14ac:dyDescent="0.3">
      <c r="A70">
        <v>68</v>
      </c>
      <c r="B70">
        <v>100</v>
      </c>
      <c r="C70" t="s">
        <v>26</v>
      </c>
      <c r="D70">
        <v>10.5535</v>
      </c>
      <c r="E70">
        <v>9.48</v>
      </c>
      <c r="F70">
        <v>6.76</v>
      </c>
      <c r="G70">
        <v>81.17</v>
      </c>
      <c r="H70">
        <v>1.44</v>
      </c>
      <c r="I70">
        <v>5</v>
      </c>
      <c r="J70">
        <v>221.99</v>
      </c>
      <c r="K70">
        <v>54.38</v>
      </c>
      <c r="L70">
        <v>18</v>
      </c>
      <c r="M70">
        <v>3</v>
      </c>
      <c r="N70">
        <v>49.61</v>
      </c>
      <c r="O70">
        <v>27612.53</v>
      </c>
      <c r="P70">
        <v>84.53</v>
      </c>
      <c r="Q70">
        <v>204.16</v>
      </c>
      <c r="R70">
        <v>24.06</v>
      </c>
      <c r="S70">
        <v>17.37</v>
      </c>
      <c r="T70">
        <v>1247.79</v>
      </c>
      <c r="U70">
        <v>0.72</v>
      </c>
      <c r="V70">
        <v>0.75</v>
      </c>
      <c r="W70">
        <v>1.1499999999999999</v>
      </c>
      <c r="X70">
        <v>7.0000000000000007E-2</v>
      </c>
      <c r="Y70">
        <v>1</v>
      </c>
      <c r="Z70">
        <v>10</v>
      </c>
    </row>
    <row r="71" spans="1:26" x14ac:dyDescent="0.3">
      <c r="A71">
        <v>69</v>
      </c>
      <c r="B71">
        <v>100</v>
      </c>
      <c r="C71" t="s">
        <v>26</v>
      </c>
      <c r="D71">
        <v>10.5473</v>
      </c>
      <c r="E71">
        <v>9.48</v>
      </c>
      <c r="F71">
        <v>6.77</v>
      </c>
      <c r="G71">
        <v>81.239999999999995</v>
      </c>
      <c r="H71">
        <v>1.46</v>
      </c>
      <c r="I71">
        <v>5</v>
      </c>
      <c r="J71">
        <v>222.4</v>
      </c>
      <c r="K71">
        <v>54.38</v>
      </c>
      <c r="L71">
        <v>18.25</v>
      </c>
      <c r="M71">
        <v>3</v>
      </c>
      <c r="N71">
        <v>49.78</v>
      </c>
      <c r="O71">
        <v>27663.85</v>
      </c>
      <c r="P71">
        <v>84.07</v>
      </c>
      <c r="Q71">
        <v>204.14</v>
      </c>
      <c r="R71">
        <v>24.2</v>
      </c>
      <c r="S71">
        <v>17.37</v>
      </c>
      <c r="T71">
        <v>1316.59</v>
      </c>
      <c r="U71">
        <v>0.72</v>
      </c>
      <c r="V71">
        <v>0.75</v>
      </c>
      <c r="W71">
        <v>1.1499999999999999</v>
      </c>
      <c r="X71">
        <v>0.08</v>
      </c>
      <c r="Y71">
        <v>1</v>
      </c>
      <c r="Z71">
        <v>10</v>
      </c>
    </row>
    <row r="72" spans="1:26" x14ac:dyDescent="0.3">
      <c r="A72">
        <v>70</v>
      </c>
      <c r="B72">
        <v>100</v>
      </c>
      <c r="C72" t="s">
        <v>26</v>
      </c>
      <c r="D72">
        <v>10.5504</v>
      </c>
      <c r="E72">
        <v>9.48</v>
      </c>
      <c r="F72">
        <v>6.77</v>
      </c>
      <c r="G72">
        <v>81.209999999999994</v>
      </c>
      <c r="H72">
        <v>1.48</v>
      </c>
      <c r="I72">
        <v>5</v>
      </c>
      <c r="J72">
        <v>222.82</v>
      </c>
      <c r="K72">
        <v>54.38</v>
      </c>
      <c r="L72">
        <v>18.5</v>
      </c>
      <c r="M72">
        <v>3</v>
      </c>
      <c r="N72">
        <v>49.94</v>
      </c>
      <c r="O72">
        <v>27715.11</v>
      </c>
      <c r="P72">
        <v>83.67</v>
      </c>
      <c r="Q72">
        <v>204.14</v>
      </c>
      <c r="R72">
        <v>24.18</v>
      </c>
      <c r="S72">
        <v>17.37</v>
      </c>
      <c r="T72">
        <v>1307.25</v>
      </c>
      <c r="U72">
        <v>0.72</v>
      </c>
      <c r="V72">
        <v>0.75</v>
      </c>
      <c r="W72">
        <v>1.1399999999999999</v>
      </c>
      <c r="X72">
        <v>0.08</v>
      </c>
      <c r="Y72">
        <v>1</v>
      </c>
      <c r="Z72">
        <v>10</v>
      </c>
    </row>
    <row r="73" spans="1:26" x14ac:dyDescent="0.3">
      <c r="A73">
        <v>71</v>
      </c>
      <c r="B73">
        <v>100</v>
      </c>
      <c r="C73" t="s">
        <v>26</v>
      </c>
      <c r="D73">
        <v>10.5495</v>
      </c>
      <c r="E73">
        <v>9.48</v>
      </c>
      <c r="F73">
        <v>6.77</v>
      </c>
      <c r="G73">
        <v>81.22</v>
      </c>
      <c r="H73">
        <v>1.49</v>
      </c>
      <c r="I73">
        <v>5</v>
      </c>
      <c r="J73">
        <v>223.23</v>
      </c>
      <c r="K73">
        <v>54.38</v>
      </c>
      <c r="L73">
        <v>18.75</v>
      </c>
      <c r="M73">
        <v>3</v>
      </c>
      <c r="N73">
        <v>50.11</v>
      </c>
      <c r="O73">
        <v>27766.43</v>
      </c>
      <c r="P73">
        <v>83.66</v>
      </c>
      <c r="Q73">
        <v>204.14</v>
      </c>
      <c r="R73">
        <v>24.2</v>
      </c>
      <c r="S73">
        <v>17.37</v>
      </c>
      <c r="T73">
        <v>1317.69</v>
      </c>
      <c r="U73">
        <v>0.72</v>
      </c>
      <c r="V73">
        <v>0.75</v>
      </c>
      <c r="W73">
        <v>1.1399999999999999</v>
      </c>
      <c r="X73">
        <v>0.08</v>
      </c>
      <c r="Y73">
        <v>1</v>
      </c>
      <c r="Z73">
        <v>10</v>
      </c>
    </row>
    <row r="74" spans="1:26" x14ac:dyDescent="0.3">
      <c r="A74">
        <v>72</v>
      </c>
      <c r="B74">
        <v>100</v>
      </c>
      <c r="C74" t="s">
        <v>26</v>
      </c>
      <c r="D74">
        <v>10.5442</v>
      </c>
      <c r="E74">
        <v>9.48</v>
      </c>
      <c r="F74">
        <v>6.77</v>
      </c>
      <c r="G74">
        <v>81.27</v>
      </c>
      <c r="H74">
        <v>1.51</v>
      </c>
      <c r="I74">
        <v>5</v>
      </c>
      <c r="J74">
        <v>223.65</v>
      </c>
      <c r="K74">
        <v>54.38</v>
      </c>
      <c r="L74">
        <v>19</v>
      </c>
      <c r="M74">
        <v>3</v>
      </c>
      <c r="N74">
        <v>50.27</v>
      </c>
      <c r="O74">
        <v>27817.81</v>
      </c>
      <c r="P74">
        <v>83.46</v>
      </c>
      <c r="Q74">
        <v>204.14</v>
      </c>
      <c r="R74">
        <v>24.4</v>
      </c>
      <c r="S74">
        <v>17.37</v>
      </c>
      <c r="T74">
        <v>1416.51</v>
      </c>
      <c r="U74">
        <v>0.71</v>
      </c>
      <c r="V74">
        <v>0.75</v>
      </c>
      <c r="W74">
        <v>1.1399999999999999</v>
      </c>
      <c r="X74">
        <v>0.08</v>
      </c>
      <c r="Y74">
        <v>1</v>
      </c>
      <c r="Z74">
        <v>10</v>
      </c>
    </row>
    <row r="75" spans="1:26" x14ac:dyDescent="0.3">
      <c r="A75">
        <v>73</v>
      </c>
      <c r="B75">
        <v>100</v>
      </c>
      <c r="C75" t="s">
        <v>26</v>
      </c>
      <c r="D75">
        <v>10.5467</v>
      </c>
      <c r="E75">
        <v>9.48</v>
      </c>
      <c r="F75">
        <v>6.77</v>
      </c>
      <c r="G75">
        <v>81.25</v>
      </c>
      <c r="H75">
        <v>1.53</v>
      </c>
      <c r="I75">
        <v>5</v>
      </c>
      <c r="J75">
        <v>224.07</v>
      </c>
      <c r="K75">
        <v>54.38</v>
      </c>
      <c r="L75">
        <v>19.25</v>
      </c>
      <c r="M75">
        <v>3</v>
      </c>
      <c r="N75">
        <v>50.44</v>
      </c>
      <c r="O75">
        <v>27869.24</v>
      </c>
      <c r="P75">
        <v>83.01</v>
      </c>
      <c r="Q75">
        <v>204.15</v>
      </c>
      <c r="R75">
        <v>24.33</v>
      </c>
      <c r="S75">
        <v>17.37</v>
      </c>
      <c r="T75">
        <v>1383.29</v>
      </c>
      <c r="U75">
        <v>0.71</v>
      </c>
      <c r="V75">
        <v>0.75</v>
      </c>
      <c r="W75">
        <v>1.1399999999999999</v>
      </c>
      <c r="X75">
        <v>0.08</v>
      </c>
      <c r="Y75">
        <v>1</v>
      </c>
      <c r="Z75">
        <v>10</v>
      </c>
    </row>
    <row r="76" spans="1:26" x14ac:dyDescent="0.3">
      <c r="A76">
        <v>74</v>
      </c>
      <c r="B76">
        <v>100</v>
      </c>
      <c r="C76" t="s">
        <v>26</v>
      </c>
      <c r="D76">
        <v>10.551</v>
      </c>
      <c r="E76">
        <v>9.48</v>
      </c>
      <c r="F76">
        <v>6.77</v>
      </c>
      <c r="G76">
        <v>81.2</v>
      </c>
      <c r="H76">
        <v>1.54</v>
      </c>
      <c r="I76">
        <v>5</v>
      </c>
      <c r="J76">
        <v>224.49</v>
      </c>
      <c r="K76">
        <v>54.38</v>
      </c>
      <c r="L76">
        <v>19.5</v>
      </c>
      <c r="M76">
        <v>3</v>
      </c>
      <c r="N76">
        <v>50.61</v>
      </c>
      <c r="O76">
        <v>27920.73</v>
      </c>
      <c r="P76">
        <v>82.53</v>
      </c>
      <c r="Q76">
        <v>204.15</v>
      </c>
      <c r="R76">
        <v>24.12</v>
      </c>
      <c r="S76">
        <v>17.37</v>
      </c>
      <c r="T76">
        <v>1278.58</v>
      </c>
      <c r="U76">
        <v>0.72</v>
      </c>
      <c r="V76">
        <v>0.75</v>
      </c>
      <c r="W76">
        <v>1.1499999999999999</v>
      </c>
      <c r="X76">
        <v>0.08</v>
      </c>
      <c r="Y76">
        <v>1</v>
      </c>
      <c r="Z76">
        <v>10</v>
      </c>
    </row>
    <row r="77" spans="1:26" x14ac:dyDescent="0.3">
      <c r="A77">
        <v>75</v>
      </c>
      <c r="B77">
        <v>100</v>
      </c>
      <c r="C77" t="s">
        <v>26</v>
      </c>
      <c r="D77">
        <v>10.6195</v>
      </c>
      <c r="E77">
        <v>9.42</v>
      </c>
      <c r="F77">
        <v>6.74</v>
      </c>
      <c r="G77">
        <v>101.17</v>
      </c>
      <c r="H77">
        <v>1.56</v>
      </c>
      <c r="I77">
        <v>4</v>
      </c>
      <c r="J77">
        <v>224.9</v>
      </c>
      <c r="K77">
        <v>54.38</v>
      </c>
      <c r="L77">
        <v>19.75</v>
      </c>
      <c r="M77">
        <v>2</v>
      </c>
      <c r="N77">
        <v>50.78</v>
      </c>
      <c r="O77">
        <v>27972.28</v>
      </c>
      <c r="P77">
        <v>82</v>
      </c>
      <c r="Q77">
        <v>204.14</v>
      </c>
      <c r="R77">
        <v>23.46</v>
      </c>
      <c r="S77">
        <v>17.37</v>
      </c>
      <c r="T77">
        <v>953.07</v>
      </c>
      <c r="U77">
        <v>0.74</v>
      </c>
      <c r="V77">
        <v>0.76</v>
      </c>
      <c r="W77">
        <v>1.1399999999999999</v>
      </c>
      <c r="X77">
        <v>0.05</v>
      </c>
      <c r="Y77">
        <v>1</v>
      </c>
      <c r="Z77">
        <v>10</v>
      </c>
    </row>
    <row r="78" spans="1:26" x14ac:dyDescent="0.3">
      <c r="A78">
        <v>76</v>
      </c>
      <c r="B78">
        <v>100</v>
      </c>
      <c r="C78" t="s">
        <v>26</v>
      </c>
      <c r="D78">
        <v>10.618499999999999</v>
      </c>
      <c r="E78">
        <v>9.42</v>
      </c>
      <c r="F78">
        <v>6.75</v>
      </c>
      <c r="G78">
        <v>101.18</v>
      </c>
      <c r="H78">
        <v>1.58</v>
      </c>
      <c r="I78">
        <v>4</v>
      </c>
      <c r="J78">
        <v>225.32</v>
      </c>
      <c r="K78">
        <v>54.38</v>
      </c>
      <c r="L78">
        <v>20</v>
      </c>
      <c r="M78">
        <v>2</v>
      </c>
      <c r="N78">
        <v>50.95</v>
      </c>
      <c r="O78">
        <v>28023.89</v>
      </c>
      <c r="P78">
        <v>82.07</v>
      </c>
      <c r="Q78">
        <v>204.15</v>
      </c>
      <c r="R78">
        <v>23.51</v>
      </c>
      <c r="S78">
        <v>17.37</v>
      </c>
      <c r="T78">
        <v>974.87</v>
      </c>
      <c r="U78">
        <v>0.74</v>
      </c>
      <c r="V78">
        <v>0.76</v>
      </c>
      <c r="W78">
        <v>1.1399999999999999</v>
      </c>
      <c r="X78">
        <v>0.05</v>
      </c>
      <c r="Y78">
        <v>1</v>
      </c>
      <c r="Z78">
        <v>10</v>
      </c>
    </row>
    <row r="79" spans="1:26" x14ac:dyDescent="0.3">
      <c r="A79">
        <v>77</v>
      </c>
      <c r="B79">
        <v>100</v>
      </c>
      <c r="C79" t="s">
        <v>26</v>
      </c>
      <c r="D79">
        <v>10.6151</v>
      </c>
      <c r="E79">
        <v>9.42</v>
      </c>
      <c r="F79">
        <v>6.75</v>
      </c>
      <c r="G79">
        <v>101.22</v>
      </c>
      <c r="H79">
        <v>1.59</v>
      </c>
      <c r="I79">
        <v>4</v>
      </c>
      <c r="J79">
        <v>225.74</v>
      </c>
      <c r="K79">
        <v>54.38</v>
      </c>
      <c r="L79">
        <v>20.25</v>
      </c>
      <c r="M79">
        <v>2</v>
      </c>
      <c r="N79">
        <v>51.11</v>
      </c>
      <c r="O79">
        <v>28075.56</v>
      </c>
      <c r="P79">
        <v>82.38</v>
      </c>
      <c r="Q79">
        <v>204.14</v>
      </c>
      <c r="R79">
        <v>23.64</v>
      </c>
      <c r="S79">
        <v>17.37</v>
      </c>
      <c r="T79">
        <v>1041.23</v>
      </c>
      <c r="U79">
        <v>0.73</v>
      </c>
      <c r="V79">
        <v>0.76</v>
      </c>
      <c r="W79">
        <v>1.1399999999999999</v>
      </c>
      <c r="X79">
        <v>0.06</v>
      </c>
      <c r="Y79">
        <v>1</v>
      </c>
      <c r="Z79">
        <v>10</v>
      </c>
    </row>
    <row r="80" spans="1:26" x14ac:dyDescent="0.3">
      <c r="A80">
        <v>78</v>
      </c>
      <c r="B80">
        <v>100</v>
      </c>
      <c r="C80" t="s">
        <v>26</v>
      </c>
      <c r="D80">
        <v>10.6157</v>
      </c>
      <c r="E80">
        <v>9.42</v>
      </c>
      <c r="F80">
        <v>6.75</v>
      </c>
      <c r="G80">
        <v>101.22</v>
      </c>
      <c r="H80">
        <v>1.61</v>
      </c>
      <c r="I80">
        <v>4</v>
      </c>
      <c r="J80">
        <v>226.16</v>
      </c>
      <c r="K80">
        <v>54.38</v>
      </c>
      <c r="L80">
        <v>20.5</v>
      </c>
      <c r="M80">
        <v>2</v>
      </c>
      <c r="N80">
        <v>51.28</v>
      </c>
      <c r="O80">
        <v>28127.29</v>
      </c>
      <c r="P80">
        <v>82.44</v>
      </c>
      <c r="Q80">
        <v>204.14</v>
      </c>
      <c r="R80">
        <v>23.62</v>
      </c>
      <c r="S80">
        <v>17.37</v>
      </c>
      <c r="T80">
        <v>1032.3900000000001</v>
      </c>
      <c r="U80">
        <v>0.74</v>
      </c>
      <c r="V80">
        <v>0.76</v>
      </c>
      <c r="W80">
        <v>1.1399999999999999</v>
      </c>
      <c r="X80">
        <v>0.06</v>
      </c>
      <c r="Y80">
        <v>1</v>
      </c>
      <c r="Z80">
        <v>10</v>
      </c>
    </row>
    <row r="81" spans="1:26" x14ac:dyDescent="0.3">
      <c r="A81">
        <v>79</v>
      </c>
      <c r="B81">
        <v>100</v>
      </c>
      <c r="C81" t="s">
        <v>26</v>
      </c>
      <c r="D81">
        <v>10.6135</v>
      </c>
      <c r="E81">
        <v>9.42</v>
      </c>
      <c r="F81">
        <v>6.75</v>
      </c>
      <c r="G81">
        <v>101.25</v>
      </c>
      <c r="H81">
        <v>1.63</v>
      </c>
      <c r="I81">
        <v>4</v>
      </c>
      <c r="J81">
        <v>226.58</v>
      </c>
      <c r="K81">
        <v>54.38</v>
      </c>
      <c r="L81">
        <v>20.75</v>
      </c>
      <c r="M81">
        <v>2</v>
      </c>
      <c r="N81">
        <v>51.45</v>
      </c>
      <c r="O81">
        <v>28179.08</v>
      </c>
      <c r="P81">
        <v>82.57</v>
      </c>
      <c r="Q81">
        <v>204.14</v>
      </c>
      <c r="R81">
        <v>23.7</v>
      </c>
      <c r="S81">
        <v>17.37</v>
      </c>
      <c r="T81">
        <v>1070.18</v>
      </c>
      <c r="U81">
        <v>0.73</v>
      </c>
      <c r="V81">
        <v>0.76</v>
      </c>
      <c r="W81">
        <v>1.1399999999999999</v>
      </c>
      <c r="X81">
        <v>0.06</v>
      </c>
      <c r="Y81">
        <v>1</v>
      </c>
      <c r="Z81">
        <v>10</v>
      </c>
    </row>
    <row r="82" spans="1:26" x14ac:dyDescent="0.3">
      <c r="A82">
        <v>80</v>
      </c>
      <c r="B82">
        <v>100</v>
      </c>
      <c r="C82" t="s">
        <v>26</v>
      </c>
      <c r="D82">
        <v>10.6182</v>
      </c>
      <c r="E82">
        <v>9.42</v>
      </c>
      <c r="F82">
        <v>6.75</v>
      </c>
      <c r="G82">
        <v>101.18</v>
      </c>
      <c r="H82">
        <v>1.64</v>
      </c>
      <c r="I82">
        <v>4</v>
      </c>
      <c r="J82">
        <v>227</v>
      </c>
      <c r="K82">
        <v>54.38</v>
      </c>
      <c r="L82">
        <v>21</v>
      </c>
      <c r="M82">
        <v>2</v>
      </c>
      <c r="N82">
        <v>51.62</v>
      </c>
      <c r="O82">
        <v>28230.92</v>
      </c>
      <c r="P82">
        <v>82.6</v>
      </c>
      <c r="Q82">
        <v>204.14</v>
      </c>
      <c r="R82">
        <v>23.59</v>
      </c>
      <c r="S82">
        <v>17.37</v>
      </c>
      <c r="T82">
        <v>1019.12</v>
      </c>
      <c r="U82">
        <v>0.74</v>
      </c>
      <c r="V82">
        <v>0.76</v>
      </c>
      <c r="W82">
        <v>1.1399999999999999</v>
      </c>
      <c r="X82">
        <v>0.05</v>
      </c>
      <c r="Y82">
        <v>1</v>
      </c>
      <c r="Z82">
        <v>10</v>
      </c>
    </row>
    <row r="83" spans="1:26" x14ac:dyDescent="0.3">
      <c r="A83">
        <v>81</v>
      </c>
      <c r="B83">
        <v>100</v>
      </c>
      <c r="C83" t="s">
        <v>26</v>
      </c>
      <c r="D83">
        <v>10.6229</v>
      </c>
      <c r="E83">
        <v>9.41</v>
      </c>
      <c r="F83">
        <v>6.74</v>
      </c>
      <c r="G83">
        <v>101.12</v>
      </c>
      <c r="H83">
        <v>1.66</v>
      </c>
      <c r="I83">
        <v>4</v>
      </c>
      <c r="J83">
        <v>227.42</v>
      </c>
      <c r="K83">
        <v>54.38</v>
      </c>
      <c r="L83">
        <v>21.25</v>
      </c>
      <c r="M83">
        <v>2</v>
      </c>
      <c r="N83">
        <v>51.8</v>
      </c>
      <c r="O83">
        <v>28282.83</v>
      </c>
      <c r="P83">
        <v>82.58</v>
      </c>
      <c r="Q83">
        <v>204.16</v>
      </c>
      <c r="R83">
        <v>23.42</v>
      </c>
      <c r="S83">
        <v>17.37</v>
      </c>
      <c r="T83">
        <v>932.53</v>
      </c>
      <c r="U83">
        <v>0.74</v>
      </c>
      <c r="V83">
        <v>0.76</v>
      </c>
      <c r="W83">
        <v>1.1399999999999999</v>
      </c>
      <c r="X83">
        <v>0.05</v>
      </c>
      <c r="Y83">
        <v>1</v>
      </c>
      <c r="Z83">
        <v>10</v>
      </c>
    </row>
    <row r="84" spans="1:26" x14ac:dyDescent="0.3">
      <c r="A84">
        <v>82</v>
      </c>
      <c r="B84">
        <v>100</v>
      </c>
      <c r="C84" t="s">
        <v>26</v>
      </c>
      <c r="D84">
        <v>10.6195</v>
      </c>
      <c r="E84">
        <v>9.42</v>
      </c>
      <c r="F84">
        <v>6.74</v>
      </c>
      <c r="G84">
        <v>101.17</v>
      </c>
      <c r="H84">
        <v>1.68</v>
      </c>
      <c r="I84">
        <v>4</v>
      </c>
      <c r="J84">
        <v>227.84</v>
      </c>
      <c r="K84">
        <v>54.38</v>
      </c>
      <c r="L84">
        <v>21.5</v>
      </c>
      <c r="M84">
        <v>2</v>
      </c>
      <c r="N84">
        <v>51.97</v>
      </c>
      <c r="O84">
        <v>28334.799999999999</v>
      </c>
      <c r="P84">
        <v>82.54</v>
      </c>
      <c r="Q84">
        <v>204.14</v>
      </c>
      <c r="R84">
        <v>23.5</v>
      </c>
      <c r="S84">
        <v>17.37</v>
      </c>
      <c r="T84">
        <v>970.25</v>
      </c>
      <c r="U84">
        <v>0.74</v>
      </c>
      <c r="V84">
        <v>0.76</v>
      </c>
      <c r="W84">
        <v>1.1399999999999999</v>
      </c>
      <c r="X84">
        <v>0.05</v>
      </c>
      <c r="Y84">
        <v>1</v>
      </c>
      <c r="Z84">
        <v>10</v>
      </c>
    </row>
    <row r="85" spans="1:26" x14ac:dyDescent="0.3">
      <c r="A85">
        <v>83</v>
      </c>
      <c r="B85">
        <v>100</v>
      </c>
      <c r="C85" t="s">
        <v>26</v>
      </c>
      <c r="D85">
        <v>10.6126</v>
      </c>
      <c r="E85">
        <v>9.42</v>
      </c>
      <c r="F85">
        <v>6.75</v>
      </c>
      <c r="G85">
        <v>101.26</v>
      </c>
      <c r="H85">
        <v>1.69</v>
      </c>
      <c r="I85">
        <v>4</v>
      </c>
      <c r="J85">
        <v>228.27</v>
      </c>
      <c r="K85">
        <v>54.38</v>
      </c>
      <c r="L85">
        <v>21.75</v>
      </c>
      <c r="M85">
        <v>2</v>
      </c>
      <c r="N85">
        <v>52.14</v>
      </c>
      <c r="O85">
        <v>28386.82</v>
      </c>
      <c r="P85">
        <v>82.52</v>
      </c>
      <c r="Q85">
        <v>204.14</v>
      </c>
      <c r="R85">
        <v>23.7</v>
      </c>
      <c r="S85">
        <v>17.37</v>
      </c>
      <c r="T85">
        <v>1073.54</v>
      </c>
      <c r="U85">
        <v>0.73</v>
      </c>
      <c r="V85">
        <v>0.76</v>
      </c>
      <c r="W85">
        <v>1.1399999999999999</v>
      </c>
      <c r="X85">
        <v>0.06</v>
      </c>
      <c r="Y85">
        <v>1</v>
      </c>
      <c r="Z85">
        <v>10</v>
      </c>
    </row>
    <row r="86" spans="1:26" x14ac:dyDescent="0.3">
      <c r="A86">
        <v>84</v>
      </c>
      <c r="B86">
        <v>100</v>
      </c>
      <c r="C86" t="s">
        <v>26</v>
      </c>
      <c r="D86">
        <v>10.6151</v>
      </c>
      <c r="E86">
        <v>9.42</v>
      </c>
      <c r="F86">
        <v>6.75</v>
      </c>
      <c r="G86">
        <v>101.22</v>
      </c>
      <c r="H86">
        <v>1.71</v>
      </c>
      <c r="I86">
        <v>4</v>
      </c>
      <c r="J86">
        <v>228.69</v>
      </c>
      <c r="K86">
        <v>54.38</v>
      </c>
      <c r="L86">
        <v>22</v>
      </c>
      <c r="M86">
        <v>2</v>
      </c>
      <c r="N86">
        <v>52.31</v>
      </c>
      <c r="O86">
        <v>28438.91</v>
      </c>
      <c r="P86">
        <v>82.4</v>
      </c>
      <c r="Q86">
        <v>204.14</v>
      </c>
      <c r="R86">
        <v>23.68</v>
      </c>
      <c r="S86">
        <v>17.37</v>
      </c>
      <c r="T86">
        <v>1061.6300000000001</v>
      </c>
      <c r="U86">
        <v>0.73</v>
      </c>
      <c r="V86">
        <v>0.76</v>
      </c>
      <c r="W86">
        <v>1.1399999999999999</v>
      </c>
      <c r="X86">
        <v>0.06</v>
      </c>
      <c r="Y86">
        <v>1</v>
      </c>
      <c r="Z86">
        <v>10</v>
      </c>
    </row>
    <row r="87" spans="1:26" x14ac:dyDescent="0.3">
      <c r="A87">
        <v>85</v>
      </c>
      <c r="B87">
        <v>100</v>
      </c>
      <c r="C87" t="s">
        <v>26</v>
      </c>
      <c r="D87">
        <v>10.6145</v>
      </c>
      <c r="E87">
        <v>9.42</v>
      </c>
      <c r="F87">
        <v>6.75</v>
      </c>
      <c r="G87">
        <v>101.23</v>
      </c>
      <c r="H87">
        <v>1.73</v>
      </c>
      <c r="I87">
        <v>4</v>
      </c>
      <c r="J87">
        <v>229.11</v>
      </c>
      <c r="K87">
        <v>54.38</v>
      </c>
      <c r="L87">
        <v>22.25</v>
      </c>
      <c r="M87">
        <v>2</v>
      </c>
      <c r="N87">
        <v>52.48</v>
      </c>
      <c r="O87">
        <v>28491.06</v>
      </c>
      <c r="P87">
        <v>82.31</v>
      </c>
      <c r="Q87">
        <v>204.14</v>
      </c>
      <c r="R87">
        <v>23.65</v>
      </c>
      <c r="S87">
        <v>17.37</v>
      </c>
      <c r="T87">
        <v>1047.8900000000001</v>
      </c>
      <c r="U87">
        <v>0.73</v>
      </c>
      <c r="V87">
        <v>0.76</v>
      </c>
      <c r="W87">
        <v>1.1399999999999999</v>
      </c>
      <c r="X87">
        <v>0.06</v>
      </c>
      <c r="Y87">
        <v>1</v>
      </c>
      <c r="Z87">
        <v>10</v>
      </c>
    </row>
    <row r="88" spans="1:26" x14ac:dyDescent="0.3">
      <c r="A88">
        <v>86</v>
      </c>
      <c r="B88">
        <v>100</v>
      </c>
      <c r="C88" t="s">
        <v>26</v>
      </c>
      <c r="D88">
        <v>10.6157</v>
      </c>
      <c r="E88">
        <v>9.42</v>
      </c>
      <c r="F88">
        <v>6.75</v>
      </c>
      <c r="G88">
        <v>101.22</v>
      </c>
      <c r="H88">
        <v>1.74</v>
      </c>
      <c r="I88">
        <v>4</v>
      </c>
      <c r="J88">
        <v>229.53</v>
      </c>
      <c r="K88">
        <v>54.38</v>
      </c>
      <c r="L88">
        <v>22.5</v>
      </c>
      <c r="M88">
        <v>2</v>
      </c>
      <c r="N88">
        <v>52.66</v>
      </c>
      <c r="O88">
        <v>28543.27</v>
      </c>
      <c r="P88">
        <v>82.15</v>
      </c>
      <c r="Q88">
        <v>204.14</v>
      </c>
      <c r="R88">
        <v>23.57</v>
      </c>
      <c r="S88">
        <v>17.37</v>
      </c>
      <c r="T88">
        <v>1005.32</v>
      </c>
      <c r="U88">
        <v>0.74</v>
      </c>
      <c r="V88">
        <v>0.76</v>
      </c>
      <c r="W88">
        <v>1.1399999999999999</v>
      </c>
      <c r="X88">
        <v>0.06</v>
      </c>
      <c r="Y88">
        <v>1</v>
      </c>
      <c r="Z88">
        <v>10</v>
      </c>
    </row>
    <row r="89" spans="1:26" x14ac:dyDescent="0.3">
      <c r="A89">
        <v>87</v>
      </c>
      <c r="B89">
        <v>100</v>
      </c>
      <c r="C89" t="s">
        <v>26</v>
      </c>
      <c r="D89">
        <v>10.6167</v>
      </c>
      <c r="E89">
        <v>9.42</v>
      </c>
      <c r="F89">
        <v>6.75</v>
      </c>
      <c r="G89">
        <v>101.2</v>
      </c>
      <c r="H89">
        <v>1.76</v>
      </c>
      <c r="I89">
        <v>4</v>
      </c>
      <c r="J89">
        <v>229.96</v>
      </c>
      <c r="K89">
        <v>54.38</v>
      </c>
      <c r="L89">
        <v>22.75</v>
      </c>
      <c r="M89">
        <v>2</v>
      </c>
      <c r="N89">
        <v>52.83</v>
      </c>
      <c r="O89">
        <v>28595.54</v>
      </c>
      <c r="P89">
        <v>82.01</v>
      </c>
      <c r="Q89">
        <v>204.14</v>
      </c>
      <c r="R89">
        <v>23.58</v>
      </c>
      <c r="S89">
        <v>17.37</v>
      </c>
      <c r="T89">
        <v>1010.37</v>
      </c>
      <c r="U89">
        <v>0.74</v>
      </c>
      <c r="V89">
        <v>0.76</v>
      </c>
      <c r="W89">
        <v>1.1399999999999999</v>
      </c>
      <c r="X89">
        <v>0.06</v>
      </c>
      <c r="Y89">
        <v>1</v>
      </c>
      <c r="Z89">
        <v>10</v>
      </c>
    </row>
    <row r="90" spans="1:26" x14ac:dyDescent="0.3">
      <c r="A90">
        <v>88</v>
      </c>
      <c r="B90">
        <v>100</v>
      </c>
      <c r="C90" t="s">
        <v>26</v>
      </c>
      <c r="D90">
        <v>10.6235</v>
      </c>
      <c r="E90">
        <v>9.41</v>
      </c>
      <c r="F90">
        <v>6.74</v>
      </c>
      <c r="G90">
        <v>101.11</v>
      </c>
      <c r="H90">
        <v>1.77</v>
      </c>
      <c r="I90">
        <v>4</v>
      </c>
      <c r="J90">
        <v>230.38</v>
      </c>
      <c r="K90">
        <v>54.38</v>
      </c>
      <c r="L90">
        <v>23</v>
      </c>
      <c r="M90">
        <v>2</v>
      </c>
      <c r="N90">
        <v>53</v>
      </c>
      <c r="O90">
        <v>28647.87</v>
      </c>
      <c r="P90">
        <v>81.66</v>
      </c>
      <c r="Q90">
        <v>204.15</v>
      </c>
      <c r="R90">
        <v>23.32</v>
      </c>
      <c r="S90">
        <v>17.37</v>
      </c>
      <c r="T90">
        <v>879.94</v>
      </c>
      <c r="U90">
        <v>0.75</v>
      </c>
      <c r="V90">
        <v>0.76</v>
      </c>
      <c r="W90">
        <v>1.1399999999999999</v>
      </c>
      <c r="X90">
        <v>0.05</v>
      </c>
      <c r="Y90">
        <v>1</v>
      </c>
      <c r="Z90">
        <v>10</v>
      </c>
    </row>
    <row r="91" spans="1:26" x14ac:dyDescent="0.3">
      <c r="A91">
        <v>89</v>
      </c>
      <c r="B91">
        <v>100</v>
      </c>
      <c r="C91" t="s">
        <v>26</v>
      </c>
      <c r="D91">
        <v>10.620100000000001</v>
      </c>
      <c r="E91">
        <v>9.42</v>
      </c>
      <c r="F91">
        <v>6.74</v>
      </c>
      <c r="G91">
        <v>101.16</v>
      </c>
      <c r="H91">
        <v>1.79</v>
      </c>
      <c r="I91">
        <v>4</v>
      </c>
      <c r="J91">
        <v>230.81</v>
      </c>
      <c r="K91">
        <v>54.38</v>
      </c>
      <c r="L91">
        <v>23.25</v>
      </c>
      <c r="M91">
        <v>2</v>
      </c>
      <c r="N91">
        <v>53.18</v>
      </c>
      <c r="O91">
        <v>28700.26</v>
      </c>
      <c r="P91">
        <v>81.44</v>
      </c>
      <c r="Q91">
        <v>204.14</v>
      </c>
      <c r="R91">
        <v>23.43</v>
      </c>
      <c r="S91">
        <v>17.37</v>
      </c>
      <c r="T91">
        <v>938.31</v>
      </c>
      <c r="U91">
        <v>0.74</v>
      </c>
      <c r="V91">
        <v>0.76</v>
      </c>
      <c r="W91">
        <v>1.1399999999999999</v>
      </c>
      <c r="X91">
        <v>0.05</v>
      </c>
      <c r="Y91">
        <v>1</v>
      </c>
      <c r="Z91">
        <v>10</v>
      </c>
    </row>
    <row r="92" spans="1:26" x14ac:dyDescent="0.3">
      <c r="A92">
        <v>90</v>
      </c>
      <c r="B92">
        <v>100</v>
      </c>
      <c r="C92" t="s">
        <v>26</v>
      </c>
      <c r="D92">
        <v>10.622299999999999</v>
      </c>
      <c r="E92">
        <v>9.41</v>
      </c>
      <c r="F92">
        <v>6.74</v>
      </c>
      <c r="G92">
        <v>101.13</v>
      </c>
      <c r="H92">
        <v>1.81</v>
      </c>
      <c r="I92">
        <v>4</v>
      </c>
      <c r="J92">
        <v>231.23</v>
      </c>
      <c r="K92">
        <v>54.38</v>
      </c>
      <c r="L92">
        <v>23.5</v>
      </c>
      <c r="M92">
        <v>2</v>
      </c>
      <c r="N92">
        <v>53.36</v>
      </c>
      <c r="O92">
        <v>28752.71</v>
      </c>
      <c r="P92">
        <v>81.099999999999994</v>
      </c>
      <c r="Q92">
        <v>204.14</v>
      </c>
      <c r="R92">
        <v>23.42</v>
      </c>
      <c r="S92">
        <v>17.37</v>
      </c>
      <c r="T92">
        <v>931.52</v>
      </c>
      <c r="U92">
        <v>0.74</v>
      </c>
      <c r="V92">
        <v>0.76</v>
      </c>
      <c r="W92">
        <v>1.1399999999999999</v>
      </c>
      <c r="X92">
        <v>0.05</v>
      </c>
      <c r="Y92">
        <v>1</v>
      </c>
      <c r="Z92">
        <v>10</v>
      </c>
    </row>
    <row r="93" spans="1:26" x14ac:dyDescent="0.3">
      <c r="A93">
        <v>91</v>
      </c>
      <c r="B93">
        <v>100</v>
      </c>
      <c r="C93" t="s">
        <v>26</v>
      </c>
      <c r="D93">
        <v>10.6257</v>
      </c>
      <c r="E93">
        <v>9.41</v>
      </c>
      <c r="F93">
        <v>6.74</v>
      </c>
      <c r="G93">
        <v>101.08</v>
      </c>
      <c r="H93">
        <v>1.82</v>
      </c>
      <c r="I93">
        <v>4</v>
      </c>
      <c r="J93">
        <v>231.66</v>
      </c>
      <c r="K93">
        <v>54.38</v>
      </c>
      <c r="L93">
        <v>23.75</v>
      </c>
      <c r="M93">
        <v>2</v>
      </c>
      <c r="N93">
        <v>53.53</v>
      </c>
      <c r="O93">
        <v>28805.23</v>
      </c>
      <c r="P93">
        <v>80.72</v>
      </c>
      <c r="Q93">
        <v>204.14</v>
      </c>
      <c r="R93">
        <v>23.33</v>
      </c>
      <c r="S93">
        <v>17.37</v>
      </c>
      <c r="T93">
        <v>889.59</v>
      </c>
      <c r="U93">
        <v>0.74</v>
      </c>
      <c r="V93">
        <v>0.76</v>
      </c>
      <c r="W93">
        <v>1.1399999999999999</v>
      </c>
      <c r="X93">
        <v>0.05</v>
      </c>
      <c r="Y93">
        <v>1</v>
      </c>
      <c r="Z93">
        <v>10</v>
      </c>
    </row>
    <row r="94" spans="1:26" x14ac:dyDescent="0.3">
      <c r="A94">
        <v>92</v>
      </c>
      <c r="B94">
        <v>100</v>
      </c>
      <c r="C94" t="s">
        <v>26</v>
      </c>
      <c r="D94">
        <v>10.6235</v>
      </c>
      <c r="E94">
        <v>9.41</v>
      </c>
      <c r="F94">
        <v>6.74</v>
      </c>
      <c r="G94">
        <v>101.11</v>
      </c>
      <c r="H94">
        <v>1.84</v>
      </c>
      <c r="I94">
        <v>4</v>
      </c>
      <c r="J94">
        <v>232.08</v>
      </c>
      <c r="K94">
        <v>54.38</v>
      </c>
      <c r="L94">
        <v>24</v>
      </c>
      <c r="M94">
        <v>2</v>
      </c>
      <c r="N94">
        <v>53.71</v>
      </c>
      <c r="O94">
        <v>28857.81</v>
      </c>
      <c r="P94">
        <v>80.39</v>
      </c>
      <c r="Q94">
        <v>204.14</v>
      </c>
      <c r="R94">
        <v>23.39</v>
      </c>
      <c r="S94">
        <v>17.37</v>
      </c>
      <c r="T94">
        <v>915.92</v>
      </c>
      <c r="U94">
        <v>0.74</v>
      </c>
      <c r="V94">
        <v>0.76</v>
      </c>
      <c r="W94">
        <v>1.1399999999999999</v>
      </c>
      <c r="X94">
        <v>0.05</v>
      </c>
      <c r="Y94">
        <v>1</v>
      </c>
      <c r="Z94">
        <v>10</v>
      </c>
    </row>
    <row r="95" spans="1:26" x14ac:dyDescent="0.3">
      <c r="A95">
        <v>93</v>
      </c>
      <c r="B95">
        <v>100</v>
      </c>
      <c r="C95" t="s">
        <v>26</v>
      </c>
      <c r="D95">
        <v>10.6295</v>
      </c>
      <c r="E95">
        <v>9.41</v>
      </c>
      <c r="F95">
        <v>6.74</v>
      </c>
      <c r="G95">
        <v>101.03</v>
      </c>
      <c r="H95">
        <v>1.85</v>
      </c>
      <c r="I95">
        <v>4</v>
      </c>
      <c r="J95">
        <v>232.51</v>
      </c>
      <c r="K95">
        <v>54.38</v>
      </c>
      <c r="L95">
        <v>24.25</v>
      </c>
      <c r="M95">
        <v>2</v>
      </c>
      <c r="N95">
        <v>53.88</v>
      </c>
      <c r="O95">
        <v>28910.45</v>
      </c>
      <c r="P95">
        <v>80.05</v>
      </c>
      <c r="Q95">
        <v>204.14</v>
      </c>
      <c r="R95">
        <v>23.17</v>
      </c>
      <c r="S95">
        <v>17.37</v>
      </c>
      <c r="T95">
        <v>807.22</v>
      </c>
      <c r="U95">
        <v>0.75</v>
      </c>
      <c r="V95">
        <v>0.76</v>
      </c>
      <c r="W95">
        <v>1.1399999999999999</v>
      </c>
      <c r="X95">
        <v>0.04</v>
      </c>
      <c r="Y95">
        <v>1</v>
      </c>
      <c r="Z95">
        <v>10</v>
      </c>
    </row>
    <row r="96" spans="1:26" x14ac:dyDescent="0.3">
      <c r="A96">
        <v>94</v>
      </c>
      <c r="B96">
        <v>100</v>
      </c>
      <c r="C96" t="s">
        <v>26</v>
      </c>
      <c r="D96">
        <v>10.6282</v>
      </c>
      <c r="E96">
        <v>9.41</v>
      </c>
      <c r="F96">
        <v>6.74</v>
      </c>
      <c r="G96">
        <v>101.05</v>
      </c>
      <c r="H96">
        <v>1.87</v>
      </c>
      <c r="I96">
        <v>4</v>
      </c>
      <c r="J96">
        <v>232.94</v>
      </c>
      <c r="K96">
        <v>54.38</v>
      </c>
      <c r="L96">
        <v>24.5</v>
      </c>
      <c r="M96">
        <v>2</v>
      </c>
      <c r="N96">
        <v>54.06</v>
      </c>
      <c r="O96">
        <v>28963.15</v>
      </c>
      <c r="P96">
        <v>79.739999999999995</v>
      </c>
      <c r="Q96">
        <v>204.14</v>
      </c>
      <c r="R96">
        <v>23.13</v>
      </c>
      <c r="S96">
        <v>17.37</v>
      </c>
      <c r="T96">
        <v>785.74</v>
      </c>
      <c r="U96">
        <v>0.75</v>
      </c>
      <c r="V96">
        <v>0.76</v>
      </c>
      <c r="W96">
        <v>1.1399999999999999</v>
      </c>
      <c r="X96">
        <v>0.05</v>
      </c>
      <c r="Y96">
        <v>1</v>
      </c>
      <c r="Z96">
        <v>10</v>
      </c>
    </row>
    <row r="97" spans="1:26" x14ac:dyDescent="0.3">
      <c r="A97">
        <v>95</v>
      </c>
      <c r="B97">
        <v>100</v>
      </c>
      <c r="C97" t="s">
        <v>26</v>
      </c>
      <c r="D97">
        <v>10.630100000000001</v>
      </c>
      <c r="E97">
        <v>9.41</v>
      </c>
      <c r="F97">
        <v>6.74</v>
      </c>
      <c r="G97">
        <v>101.03</v>
      </c>
      <c r="H97">
        <v>1.89</v>
      </c>
      <c r="I97">
        <v>4</v>
      </c>
      <c r="J97">
        <v>233.37</v>
      </c>
      <c r="K97">
        <v>54.38</v>
      </c>
      <c r="L97">
        <v>24.75</v>
      </c>
      <c r="M97">
        <v>2</v>
      </c>
      <c r="N97">
        <v>54.24</v>
      </c>
      <c r="O97">
        <v>29015.91</v>
      </c>
      <c r="P97">
        <v>79.34</v>
      </c>
      <c r="Q97">
        <v>204.14</v>
      </c>
      <c r="R97">
        <v>23.21</v>
      </c>
      <c r="S97">
        <v>17.37</v>
      </c>
      <c r="T97">
        <v>825.43</v>
      </c>
      <c r="U97">
        <v>0.75</v>
      </c>
      <c r="V97">
        <v>0.76</v>
      </c>
      <c r="W97">
        <v>1.1399999999999999</v>
      </c>
      <c r="X97">
        <v>0.04</v>
      </c>
      <c r="Y97">
        <v>1</v>
      </c>
      <c r="Z97">
        <v>10</v>
      </c>
    </row>
    <row r="98" spans="1:26" x14ac:dyDescent="0.3">
      <c r="A98">
        <v>96</v>
      </c>
      <c r="B98">
        <v>100</v>
      </c>
      <c r="C98" t="s">
        <v>26</v>
      </c>
      <c r="D98">
        <v>10.6279</v>
      </c>
      <c r="E98">
        <v>9.41</v>
      </c>
      <c r="F98">
        <v>6.74</v>
      </c>
      <c r="G98">
        <v>101.05</v>
      </c>
      <c r="H98">
        <v>1.9</v>
      </c>
      <c r="I98">
        <v>4</v>
      </c>
      <c r="J98">
        <v>233.79</v>
      </c>
      <c r="K98">
        <v>54.38</v>
      </c>
      <c r="L98">
        <v>25</v>
      </c>
      <c r="M98">
        <v>2</v>
      </c>
      <c r="N98">
        <v>54.42</v>
      </c>
      <c r="O98">
        <v>29068.74</v>
      </c>
      <c r="P98">
        <v>79.14</v>
      </c>
      <c r="Q98">
        <v>204.14</v>
      </c>
      <c r="R98">
        <v>23.23</v>
      </c>
      <c r="S98">
        <v>17.37</v>
      </c>
      <c r="T98">
        <v>839.27</v>
      </c>
      <c r="U98">
        <v>0.75</v>
      </c>
      <c r="V98">
        <v>0.76</v>
      </c>
      <c r="W98">
        <v>1.1399999999999999</v>
      </c>
      <c r="X98">
        <v>0.05</v>
      </c>
      <c r="Y98">
        <v>1</v>
      </c>
      <c r="Z98">
        <v>10</v>
      </c>
    </row>
    <row r="99" spans="1:26" x14ac:dyDescent="0.3">
      <c r="A99">
        <v>97</v>
      </c>
      <c r="B99">
        <v>100</v>
      </c>
      <c r="C99" t="s">
        <v>26</v>
      </c>
      <c r="D99">
        <v>10.624499999999999</v>
      </c>
      <c r="E99">
        <v>9.41</v>
      </c>
      <c r="F99">
        <v>6.74</v>
      </c>
      <c r="G99">
        <v>101.1</v>
      </c>
      <c r="H99">
        <v>1.92</v>
      </c>
      <c r="I99">
        <v>4</v>
      </c>
      <c r="J99">
        <v>234.22</v>
      </c>
      <c r="K99">
        <v>54.38</v>
      </c>
      <c r="L99">
        <v>25.25</v>
      </c>
      <c r="M99">
        <v>2</v>
      </c>
      <c r="N99">
        <v>54.6</v>
      </c>
      <c r="O99">
        <v>29121.63</v>
      </c>
      <c r="P99">
        <v>78.78</v>
      </c>
      <c r="Q99">
        <v>204.14</v>
      </c>
      <c r="R99">
        <v>23.39</v>
      </c>
      <c r="S99">
        <v>17.37</v>
      </c>
      <c r="T99">
        <v>915.39</v>
      </c>
      <c r="U99">
        <v>0.74</v>
      </c>
      <c r="V99">
        <v>0.76</v>
      </c>
      <c r="W99">
        <v>1.1399999999999999</v>
      </c>
      <c r="X99">
        <v>0.05</v>
      </c>
      <c r="Y99">
        <v>1</v>
      </c>
      <c r="Z99">
        <v>10</v>
      </c>
    </row>
    <row r="100" spans="1:26" x14ac:dyDescent="0.3">
      <c r="A100">
        <v>98</v>
      </c>
      <c r="B100">
        <v>100</v>
      </c>
      <c r="C100" t="s">
        <v>26</v>
      </c>
      <c r="D100">
        <v>10.624499999999999</v>
      </c>
      <c r="E100">
        <v>9.41</v>
      </c>
      <c r="F100">
        <v>6.74</v>
      </c>
      <c r="G100">
        <v>101.1</v>
      </c>
      <c r="H100">
        <v>1.93</v>
      </c>
      <c r="I100">
        <v>4</v>
      </c>
      <c r="J100">
        <v>234.65</v>
      </c>
      <c r="K100">
        <v>54.38</v>
      </c>
      <c r="L100">
        <v>25.5</v>
      </c>
      <c r="M100">
        <v>2</v>
      </c>
      <c r="N100">
        <v>54.78</v>
      </c>
      <c r="O100">
        <v>29174.59</v>
      </c>
      <c r="P100">
        <v>78.28</v>
      </c>
      <c r="Q100">
        <v>204.14</v>
      </c>
      <c r="R100">
        <v>23.38</v>
      </c>
      <c r="S100">
        <v>17.37</v>
      </c>
      <c r="T100">
        <v>910.89</v>
      </c>
      <c r="U100">
        <v>0.74</v>
      </c>
      <c r="V100">
        <v>0.76</v>
      </c>
      <c r="W100">
        <v>1.1399999999999999</v>
      </c>
      <c r="X100">
        <v>0.05</v>
      </c>
      <c r="Y100">
        <v>1</v>
      </c>
      <c r="Z100">
        <v>10</v>
      </c>
    </row>
    <row r="101" spans="1:26" x14ac:dyDescent="0.3">
      <c r="A101">
        <v>99</v>
      </c>
      <c r="B101">
        <v>100</v>
      </c>
      <c r="C101" t="s">
        <v>26</v>
      </c>
      <c r="D101">
        <v>10.6264</v>
      </c>
      <c r="E101">
        <v>9.41</v>
      </c>
      <c r="F101">
        <v>6.74</v>
      </c>
      <c r="G101">
        <v>101.08</v>
      </c>
      <c r="H101">
        <v>1.95</v>
      </c>
      <c r="I101">
        <v>4</v>
      </c>
      <c r="J101">
        <v>235.08</v>
      </c>
      <c r="K101">
        <v>54.38</v>
      </c>
      <c r="L101">
        <v>25.75</v>
      </c>
      <c r="M101">
        <v>1</v>
      </c>
      <c r="N101">
        <v>54.96</v>
      </c>
      <c r="O101">
        <v>29227.61</v>
      </c>
      <c r="P101">
        <v>78.13</v>
      </c>
      <c r="Q101">
        <v>204.14</v>
      </c>
      <c r="R101">
        <v>23.26</v>
      </c>
      <c r="S101">
        <v>17.37</v>
      </c>
      <c r="T101">
        <v>853.56</v>
      </c>
      <c r="U101">
        <v>0.75</v>
      </c>
      <c r="V101">
        <v>0.76</v>
      </c>
      <c r="W101">
        <v>1.1399999999999999</v>
      </c>
      <c r="X101">
        <v>0.05</v>
      </c>
      <c r="Y101">
        <v>1</v>
      </c>
      <c r="Z101">
        <v>10</v>
      </c>
    </row>
    <row r="102" spans="1:26" x14ac:dyDescent="0.3">
      <c r="A102">
        <v>100</v>
      </c>
      <c r="B102">
        <v>100</v>
      </c>
      <c r="C102" t="s">
        <v>26</v>
      </c>
      <c r="D102">
        <v>10.625400000000001</v>
      </c>
      <c r="E102">
        <v>9.41</v>
      </c>
      <c r="F102">
        <v>6.74</v>
      </c>
      <c r="G102">
        <v>101.09</v>
      </c>
      <c r="H102">
        <v>1.96</v>
      </c>
      <c r="I102">
        <v>4</v>
      </c>
      <c r="J102">
        <v>235.51</v>
      </c>
      <c r="K102">
        <v>54.38</v>
      </c>
      <c r="L102">
        <v>26</v>
      </c>
      <c r="M102">
        <v>1</v>
      </c>
      <c r="N102">
        <v>55.14</v>
      </c>
      <c r="O102">
        <v>29280.69</v>
      </c>
      <c r="P102">
        <v>77.98</v>
      </c>
      <c r="Q102">
        <v>204.14</v>
      </c>
      <c r="R102">
        <v>23.29</v>
      </c>
      <c r="S102">
        <v>17.37</v>
      </c>
      <c r="T102">
        <v>867.06</v>
      </c>
      <c r="U102">
        <v>0.75</v>
      </c>
      <c r="V102">
        <v>0.76</v>
      </c>
      <c r="W102">
        <v>1.1399999999999999</v>
      </c>
      <c r="X102">
        <v>0.05</v>
      </c>
      <c r="Y102">
        <v>1</v>
      </c>
      <c r="Z102">
        <v>10</v>
      </c>
    </row>
    <row r="103" spans="1:26" x14ac:dyDescent="0.3">
      <c r="A103">
        <v>101</v>
      </c>
      <c r="B103">
        <v>100</v>
      </c>
      <c r="C103" t="s">
        <v>26</v>
      </c>
      <c r="D103">
        <v>10.6229</v>
      </c>
      <c r="E103">
        <v>9.41</v>
      </c>
      <c r="F103">
        <v>6.74</v>
      </c>
      <c r="G103">
        <v>101.12</v>
      </c>
      <c r="H103">
        <v>1.98</v>
      </c>
      <c r="I103">
        <v>4</v>
      </c>
      <c r="J103">
        <v>235.94</v>
      </c>
      <c r="K103">
        <v>54.38</v>
      </c>
      <c r="L103">
        <v>26.25</v>
      </c>
      <c r="M103">
        <v>1</v>
      </c>
      <c r="N103">
        <v>55.32</v>
      </c>
      <c r="O103">
        <v>29333.84</v>
      </c>
      <c r="P103">
        <v>77.87</v>
      </c>
      <c r="Q103">
        <v>204.14</v>
      </c>
      <c r="R103">
        <v>23.35</v>
      </c>
      <c r="S103">
        <v>17.37</v>
      </c>
      <c r="T103">
        <v>897.56</v>
      </c>
      <c r="U103">
        <v>0.74</v>
      </c>
      <c r="V103">
        <v>0.76</v>
      </c>
      <c r="W103">
        <v>1.1399999999999999</v>
      </c>
      <c r="X103">
        <v>0.05</v>
      </c>
      <c r="Y103">
        <v>1</v>
      </c>
      <c r="Z103">
        <v>10</v>
      </c>
    </row>
    <row r="104" spans="1:26" x14ac:dyDescent="0.3">
      <c r="A104">
        <v>102</v>
      </c>
      <c r="B104">
        <v>100</v>
      </c>
      <c r="C104" t="s">
        <v>26</v>
      </c>
      <c r="D104">
        <v>10.621700000000001</v>
      </c>
      <c r="E104">
        <v>9.41</v>
      </c>
      <c r="F104">
        <v>6.74</v>
      </c>
      <c r="G104">
        <v>101.14</v>
      </c>
      <c r="H104">
        <v>1.99</v>
      </c>
      <c r="I104">
        <v>4</v>
      </c>
      <c r="J104">
        <v>236.37</v>
      </c>
      <c r="K104">
        <v>54.38</v>
      </c>
      <c r="L104">
        <v>26.5</v>
      </c>
      <c r="M104">
        <v>1</v>
      </c>
      <c r="N104">
        <v>55.5</v>
      </c>
      <c r="O104">
        <v>29387.05</v>
      </c>
      <c r="P104">
        <v>77.72</v>
      </c>
      <c r="Q104">
        <v>204.14</v>
      </c>
      <c r="R104">
        <v>23.39</v>
      </c>
      <c r="S104">
        <v>17.37</v>
      </c>
      <c r="T104">
        <v>914.84</v>
      </c>
      <c r="U104">
        <v>0.74</v>
      </c>
      <c r="V104">
        <v>0.76</v>
      </c>
      <c r="W104">
        <v>1.1399999999999999</v>
      </c>
      <c r="X104">
        <v>0.05</v>
      </c>
      <c r="Y104">
        <v>1</v>
      </c>
      <c r="Z104">
        <v>10</v>
      </c>
    </row>
    <row r="105" spans="1:26" x14ac:dyDescent="0.3">
      <c r="A105">
        <v>103</v>
      </c>
      <c r="B105">
        <v>100</v>
      </c>
      <c r="C105" t="s">
        <v>26</v>
      </c>
      <c r="D105">
        <v>10.6235</v>
      </c>
      <c r="E105">
        <v>9.41</v>
      </c>
      <c r="F105">
        <v>6.74</v>
      </c>
      <c r="G105">
        <v>101.11</v>
      </c>
      <c r="H105">
        <v>2.0099999999999998</v>
      </c>
      <c r="I105">
        <v>4</v>
      </c>
      <c r="J105">
        <v>236.81</v>
      </c>
      <c r="K105">
        <v>54.38</v>
      </c>
      <c r="L105">
        <v>26.75</v>
      </c>
      <c r="M105">
        <v>1</v>
      </c>
      <c r="N105">
        <v>55.68</v>
      </c>
      <c r="O105">
        <v>29440.33</v>
      </c>
      <c r="P105">
        <v>77.53</v>
      </c>
      <c r="Q105">
        <v>204.14</v>
      </c>
      <c r="R105">
        <v>23.32</v>
      </c>
      <c r="S105">
        <v>17.37</v>
      </c>
      <c r="T105">
        <v>881.52</v>
      </c>
      <c r="U105">
        <v>0.75</v>
      </c>
      <c r="V105">
        <v>0.76</v>
      </c>
      <c r="W105">
        <v>1.1399999999999999</v>
      </c>
      <c r="X105">
        <v>0.05</v>
      </c>
      <c r="Y105">
        <v>1</v>
      </c>
      <c r="Z105">
        <v>10</v>
      </c>
    </row>
    <row r="106" spans="1:26" x14ac:dyDescent="0.3">
      <c r="A106">
        <v>104</v>
      </c>
      <c r="B106">
        <v>100</v>
      </c>
      <c r="C106" t="s">
        <v>26</v>
      </c>
      <c r="D106">
        <v>10.6248</v>
      </c>
      <c r="E106">
        <v>9.41</v>
      </c>
      <c r="F106">
        <v>6.74</v>
      </c>
      <c r="G106">
        <v>101.1</v>
      </c>
      <c r="H106">
        <v>2.02</v>
      </c>
      <c r="I106">
        <v>4</v>
      </c>
      <c r="J106">
        <v>237.24</v>
      </c>
      <c r="K106">
        <v>54.38</v>
      </c>
      <c r="L106">
        <v>27</v>
      </c>
      <c r="M106">
        <v>1</v>
      </c>
      <c r="N106">
        <v>55.86</v>
      </c>
      <c r="O106">
        <v>29493.67</v>
      </c>
      <c r="P106">
        <v>77.33</v>
      </c>
      <c r="Q106">
        <v>204.14</v>
      </c>
      <c r="R106">
        <v>23.33</v>
      </c>
      <c r="S106">
        <v>17.37</v>
      </c>
      <c r="T106">
        <v>887.57</v>
      </c>
      <c r="U106">
        <v>0.74</v>
      </c>
      <c r="V106">
        <v>0.76</v>
      </c>
      <c r="W106">
        <v>1.1399999999999999</v>
      </c>
      <c r="X106">
        <v>0.05</v>
      </c>
      <c r="Y106">
        <v>1</v>
      </c>
      <c r="Z106">
        <v>10</v>
      </c>
    </row>
    <row r="107" spans="1:26" x14ac:dyDescent="0.3">
      <c r="A107">
        <v>105</v>
      </c>
      <c r="B107">
        <v>100</v>
      </c>
      <c r="C107" t="s">
        <v>26</v>
      </c>
      <c r="D107">
        <v>10.6264</v>
      </c>
      <c r="E107">
        <v>9.41</v>
      </c>
      <c r="F107">
        <v>6.74</v>
      </c>
      <c r="G107">
        <v>101.08</v>
      </c>
      <c r="H107">
        <v>2.04</v>
      </c>
      <c r="I107">
        <v>4</v>
      </c>
      <c r="J107">
        <v>237.67</v>
      </c>
      <c r="K107">
        <v>54.38</v>
      </c>
      <c r="L107">
        <v>27.25</v>
      </c>
      <c r="M107">
        <v>1</v>
      </c>
      <c r="N107">
        <v>56.05</v>
      </c>
      <c r="O107">
        <v>29547.07</v>
      </c>
      <c r="P107">
        <v>77.12</v>
      </c>
      <c r="Q107">
        <v>204.14</v>
      </c>
      <c r="R107">
        <v>23.24</v>
      </c>
      <c r="S107">
        <v>17.37</v>
      </c>
      <c r="T107">
        <v>841.29</v>
      </c>
      <c r="U107">
        <v>0.75</v>
      </c>
      <c r="V107">
        <v>0.76</v>
      </c>
      <c r="W107">
        <v>1.1399999999999999</v>
      </c>
      <c r="X107">
        <v>0.05</v>
      </c>
      <c r="Y107">
        <v>1</v>
      </c>
      <c r="Z107">
        <v>10</v>
      </c>
    </row>
    <row r="108" spans="1:26" x14ac:dyDescent="0.3">
      <c r="A108">
        <v>106</v>
      </c>
      <c r="B108">
        <v>100</v>
      </c>
      <c r="C108" t="s">
        <v>26</v>
      </c>
      <c r="D108">
        <v>10.6248</v>
      </c>
      <c r="E108">
        <v>9.41</v>
      </c>
      <c r="F108">
        <v>6.74</v>
      </c>
      <c r="G108">
        <v>101.1</v>
      </c>
      <c r="H108">
        <v>2.0499999999999998</v>
      </c>
      <c r="I108">
        <v>4</v>
      </c>
      <c r="J108">
        <v>238.11</v>
      </c>
      <c r="K108">
        <v>54.38</v>
      </c>
      <c r="L108">
        <v>27.5</v>
      </c>
      <c r="M108">
        <v>0</v>
      </c>
      <c r="N108">
        <v>56.23</v>
      </c>
      <c r="O108">
        <v>29600.54</v>
      </c>
      <c r="P108">
        <v>77.13</v>
      </c>
      <c r="Q108">
        <v>204.14</v>
      </c>
      <c r="R108">
        <v>23.27</v>
      </c>
      <c r="S108">
        <v>17.37</v>
      </c>
      <c r="T108">
        <v>859.03</v>
      </c>
      <c r="U108">
        <v>0.75</v>
      </c>
      <c r="V108">
        <v>0.76</v>
      </c>
      <c r="W108">
        <v>1.1399999999999999</v>
      </c>
      <c r="X108">
        <v>0.05</v>
      </c>
      <c r="Y108">
        <v>1</v>
      </c>
      <c r="Z108">
        <v>10</v>
      </c>
    </row>
    <row r="109" spans="1:26" x14ac:dyDescent="0.3">
      <c r="A109">
        <v>0</v>
      </c>
      <c r="B109">
        <v>140</v>
      </c>
      <c r="C109" t="s">
        <v>26</v>
      </c>
      <c r="D109">
        <v>5.5914999999999999</v>
      </c>
      <c r="E109">
        <v>17.88</v>
      </c>
      <c r="F109">
        <v>9.0299999999999994</v>
      </c>
      <c r="G109">
        <v>4.75</v>
      </c>
      <c r="H109">
        <v>0.06</v>
      </c>
      <c r="I109">
        <v>114</v>
      </c>
      <c r="J109">
        <v>274.08999999999997</v>
      </c>
      <c r="K109">
        <v>60.56</v>
      </c>
      <c r="L109">
        <v>1</v>
      </c>
      <c r="M109">
        <v>112</v>
      </c>
      <c r="N109">
        <v>72.53</v>
      </c>
      <c r="O109">
        <v>34038.11</v>
      </c>
      <c r="P109">
        <v>156.72</v>
      </c>
      <c r="Q109">
        <v>204.27</v>
      </c>
      <c r="R109">
        <v>94.81</v>
      </c>
      <c r="S109">
        <v>17.37</v>
      </c>
      <c r="T109">
        <v>36076.39</v>
      </c>
      <c r="U109">
        <v>0.18</v>
      </c>
      <c r="V109">
        <v>0.56999999999999995</v>
      </c>
      <c r="W109">
        <v>1.32</v>
      </c>
      <c r="X109">
        <v>2.33</v>
      </c>
      <c r="Y109">
        <v>1</v>
      </c>
      <c r="Z109">
        <v>10</v>
      </c>
    </row>
    <row r="110" spans="1:26" x14ac:dyDescent="0.3">
      <c r="A110">
        <v>1</v>
      </c>
      <c r="B110">
        <v>140</v>
      </c>
      <c r="C110" t="s">
        <v>26</v>
      </c>
      <c r="D110">
        <v>6.3494000000000002</v>
      </c>
      <c r="E110">
        <v>15.75</v>
      </c>
      <c r="F110">
        <v>8.41</v>
      </c>
      <c r="G110">
        <v>5.94</v>
      </c>
      <c r="H110">
        <v>0.08</v>
      </c>
      <c r="I110">
        <v>85</v>
      </c>
      <c r="J110">
        <v>274.57</v>
      </c>
      <c r="K110">
        <v>60.56</v>
      </c>
      <c r="L110">
        <v>1.25</v>
      </c>
      <c r="M110">
        <v>83</v>
      </c>
      <c r="N110">
        <v>72.760000000000005</v>
      </c>
      <c r="O110">
        <v>34097.72</v>
      </c>
      <c r="P110">
        <v>145.87</v>
      </c>
      <c r="Q110">
        <v>204.24</v>
      </c>
      <c r="R110">
        <v>75.66</v>
      </c>
      <c r="S110">
        <v>17.37</v>
      </c>
      <c r="T110">
        <v>26649.27</v>
      </c>
      <c r="U110">
        <v>0.23</v>
      </c>
      <c r="V110">
        <v>0.61</v>
      </c>
      <c r="W110">
        <v>1.27</v>
      </c>
      <c r="X110">
        <v>1.72</v>
      </c>
      <c r="Y110">
        <v>1</v>
      </c>
      <c r="Z110">
        <v>10</v>
      </c>
    </row>
    <row r="111" spans="1:26" x14ac:dyDescent="0.3">
      <c r="A111">
        <v>2</v>
      </c>
      <c r="B111">
        <v>140</v>
      </c>
      <c r="C111" t="s">
        <v>26</v>
      </c>
      <c r="D111">
        <v>6.8967999999999998</v>
      </c>
      <c r="E111">
        <v>14.5</v>
      </c>
      <c r="F111">
        <v>8.0500000000000007</v>
      </c>
      <c r="G111">
        <v>7.1</v>
      </c>
      <c r="H111">
        <v>0.1</v>
      </c>
      <c r="I111">
        <v>68</v>
      </c>
      <c r="J111">
        <v>275.05</v>
      </c>
      <c r="K111">
        <v>60.56</v>
      </c>
      <c r="L111">
        <v>1.5</v>
      </c>
      <c r="M111">
        <v>66</v>
      </c>
      <c r="N111">
        <v>73</v>
      </c>
      <c r="O111">
        <v>34157.42</v>
      </c>
      <c r="P111">
        <v>139.52000000000001</v>
      </c>
      <c r="Q111">
        <v>204.15</v>
      </c>
      <c r="R111">
        <v>64.08</v>
      </c>
      <c r="S111">
        <v>17.37</v>
      </c>
      <c r="T111">
        <v>20942.39</v>
      </c>
      <c r="U111">
        <v>0.27</v>
      </c>
      <c r="V111">
        <v>0.63</v>
      </c>
      <c r="W111">
        <v>1.25</v>
      </c>
      <c r="X111">
        <v>1.35</v>
      </c>
      <c r="Y111">
        <v>1</v>
      </c>
      <c r="Z111">
        <v>10</v>
      </c>
    </row>
    <row r="112" spans="1:26" x14ac:dyDescent="0.3">
      <c r="A112">
        <v>3</v>
      </c>
      <c r="B112">
        <v>140</v>
      </c>
      <c r="C112" t="s">
        <v>26</v>
      </c>
      <c r="D112">
        <v>7.2927999999999997</v>
      </c>
      <c r="E112">
        <v>13.71</v>
      </c>
      <c r="F112">
        <v>7.83</v>
      </c>
      <c r="G112">
        <v>8.25</v>
      </c>
      <c r="H112">
        <v>0.11</v>
      </c>
      <c r="I112">
        <v>57</v>
      </c>
      <c r="J112">
        <v>275.54000000000002</v>
      </c>
      <c r="K112">
        <v>60.56</v>
      </c>
      <c r="L112">
        <v>1.75</v>
      </c>
      <c r="M112">
        <v>55</v>
      </c>
      <c r="N112">
        <v>73.23</v>
      </c>
      <c r="O112">
        <v>34217.22</v>
      </c>
      <c r="P112">
        <v>135.75</v>
      </c>
      <c r="Q112">
        <v>204.21</v>
      </c>
      <c r="R112">
        <v>57.37</v>
      </c>
      <c r="S112">
        <v>17.37</v>
      </c>
      <c r="T112">
        <v>17642.060000000001</v>
      </c>
      <c r="U112">
        <v>0.3</v>
      </c>
      <c r="V112">
        <v>0.65</v>
      </c>
      <c r="W112">
        <v>1.23</v>
      </c>
      <c r="X112">
        <v>1.1399999999999999</v>
      </c>
      <c r="Y112">
        <v>1</v>
      </c>
      <c r="Z112">
        <v>10</v>
      </c>
    </row>
    <row r="113" spans="1:26" x14ac:dyDescent="0.3">
      <c r="A113">
        <v>4</v>
      </c>
      <c r="B113">
        <v>140</v>
      </c>
      <c r="C113" t="s">
        <v>26</v>
      </c>
      <c r="D113">
        <v>7.6101999999999999</v>
      </c>
      <c r="E113">
        <v>13.14</v>
      </c>
      <c r="F113">
        <v>7.68</v>
      </c>
      <c r="G113">
        <v>9.4</v>
      </c>
      <c r="H113">
        <v>0.13</v>
      </c>
      <c r="I113">
        <v>49</v>
      </c>
      <c r="J113">
        <v>276.02</v>
      </c>
      <c r="K113">
        <v>60.56</v>
      </c>
      <c r="L113">
        <v>2</v>
      </c>
      <c r="M113">
        <v>47</v>
      </c>
      <c r="N113">
        <v>73.47</v>
      </c>
      <c r="O113">
        <v>34277.1</v>
      </c>
      <c r="P113">
        <v>133</v>
      </c>
      <c r="Q113">
        <v>204.18</v>
      </c>
      <c r="R113">
        <v>52.5</v>
      </c>
      <c r="S113">
        <v>17.37</v>
      </c>
      <c r="T113">
        <v>15245.3</v>
      </c>
      <c r="U113">
        <v>0.33</v>
      </c>
      <c r="V113">
        <v>0.67</v>
      </c>
      <c r="W113">
        <v>1.22</v>
      </c>
      <c r="X113">
        <v>0.99</v>
      </c>
      <c r="Y113">
        <v>1</v>
      </c>
      <c r="Z113">
        <v>10</v>
      </c>
    </row>
    <row r="114" spans="1:26" x14ac:dyDescent="0.3">
      <c r="A114">
        <v>5</v>
      </c>
      <c r="B114">
        <v>140</v>
      </c>
      <c r="C114" t="s">
        <v>26</v>
      </c>
      <c r="D114">
        <v>7.8788</v>
      </c>
      <c r="E114">
        <v>12.69</v>
      </c>
      <c r="F114">
        <v>7.55</v>
      </c>
      <c r="G114">
        <v>10.53</v>
      </c>
      <c r="H114">
        <v>0.14000000000000001</v>
      </c>
      <c r="I114">
        <v>43</v>
      </c>
      <c r="J114">
        <v>276.51</v>
      </c>
      <c r="K114">
        <v>60.56</v>
      </c>
      <c r="L114">
        <v>2.25</v>
      </c>
      <c r="M114">
        <v>41</v>
      </c>
      <c r="N114">
        <v>73.709999999999994</v>
      </c>
      <c r="O114">
        <v>34337.08</v>
      </c>
      <c r="P114">
        <v>130.61000000000001</v>
      </c>
      <c r="Q114">
        <v>204.22</v>
      </c>
      <c r="R114">
        <v>48.34</v>
      </c>
      <c r="S114">
        <v>17.37</v>
      </c>
      <c r="T114">
        <v>13194.87</v>
      </c>
      <c r="U114">
        <v>0.36</v>
      </c>
      <c r="V114">
        <v>0.68</v>
      </c>
      <c r="W114">
        <v>1.21</v>
      </c>
      <c r="X114">
        <v>0.85</v>
      </c>
      <c r="Y114">
        <v>1</v>
      </c>
      <c r="Z114">
        <v>10</v>
      </c>
    </row>
    <row r="115" spans="1:26" x14ac:dyDescent="0.3">
      <c r="A115">
        <v>6</v>
      </c>
      <c r="B115">
        <v>140</v>
      </c>
      <c r="C115" t="s">
        <v>26</v>
      </c>
      <c r="D115">
        <v>8.1056000000000008</v>
      </c>
      <c r="E115">
        <v>12.34</v>
      </c>
      <c r="F115">
        <v>7.45</v>
      </c>
      <c r="G115">
        <v>11.77</v>
      </c>
      <c r="H115">
        <v>0.16</v>
      </c>
      <c r="I115">
        <v>38</v>
      </c>
      <c r="J115">
        <v>277</v>
      </c>
      <c r="K115">
        <v>60.56</v>
      </c>
      <c r="L115">
        <v>2.5</v>
      </c>
      <c r="M115">
        <v>36</v>
      </c>
      <c r="N115">
        <v>73.94</v>
      </c>
      <c r="O115">
        <v>34397.15</v>
      </c>
      <c r="P115">
        <v>128.87</v>
      </c>
      <c r="Q115">
        <v>204.14</v>
      </c>
      <c r="R115">
        <v>45.39</v>
      </c>
      <c r="S115">
        <v>17.37</v>
      </c>
      <c r="T115">
        <v>11747.8</v>
      </c>
      <c r="U115">
        <v>0.38</v>
      </c>
      <c r="V115">
        <v>0.69</v>
      </c>
      <c r="W115">
        <v>1.2</v>
      </c>
      <c r="X115">
        <v>0.76</v>
      </c>
      <c r="Y115">
        <v>1</v>
      </c>
      <c r="Z115">
        <v>10</v>
      </c>
    </row>
    <row r="116" spans="1:26" x14ac:dyDescent="0.3">
      <c r="A116">
        <v>7</v>
      </c>
      <c r="B116">
        <v>140</v>
      </c>
      <c r="C116" t="s">
        <v>26</v>
      </c>
      <c r="D116">
        <v>8.2547999999999995</v>
      </c>
      <c r="E116">
        <v>12.11</v>
      </c>
      <c r="F116">
        <v>7.39</v>
      </c>
      <c r="G116">
        <v>12.66</v>
      </c>
      <c r="H116">
        <v>0.18</v>
      </c>
      <c r="I116">
        <v>35</v>
      </c>
      <c r="J116">
        <v>277.48</v>
      </c>
      <c r="K116">
        <v>60.56</v>
      </c>
      <c r="L116">
        <v>2.75</v>
      </c>
      <c r="M116">
        <v>33</v>
      </c>
      <c r="N116">
        <v>74.180000000000007</v>
      </c>
      <c r="O116">
        <v>34457.31</v>
      </c>
      <c r="P116">
        <v>127.66</v>
      </c>
      <c r="Q116">
        <v>204.23</v>
      </c>
      <c r="R116">
        <v>43.19</v>
      </c>
      <c r="S116">
        <v>17.37</v>
      </c>
      <c r="T116">
        <v>10663.81</v>
      </c>
      <c r="U116">
        <v>0.4</v>
      </c>
      <c r="V116">
        <v>0.69</v>
      </c>
      <c r="W116">
        <v>1.2</v>
      </c>
      <c r="X116">
        <v>0.69</v>
      </c>
      <c r="Y116">
        <v>1</v>
      </c>
      <c r="Z116">
        <v>10</v>
      </c>
    </row>
    <row r="117" spans="1:26" x14ac:dyDescent="0.3">
      <c r="A117">
        <v>8</v>
      </c>
      <c r="B117">
        <v>140</v>
      </c>
      <c r="C117" t="s">
        <v>26</v>
      </c>
      <c r="D117">
        <v>8.4103999999999992</v>
      </c>
      <c r="E117">
        <v>11.89</v>
      </c>
      <c r="F117">
        <v>7.32</v>
      </c>
      <c r="G117">
        <v>13.72</v>
      </c>
      <c r="H117">
        <v>0.19</v>
      </c>
      <c r="I117">
        <v>32</v>
      </c>
      <c r="J117">
        <v>277.97000000000003</v>
      </c>
      <c r="K117">
        <v>60.56</v>
      </c>
      <c r="L117">
        <v>3</v>
      </c>
      <c r="M117">
        <v>30</v>
      </c>
      <c r="N117">
        <v>74.42</v>
      </c>
      <c r="O117">
        <v>34517.57</v>
      </c>
      <c r="P117">
        <v>126.4</v>
      </c>
      <c r="Q117">
        <v>204.18</v>
      </c>
      <c r="R117">
        <v>41.32</v>
      </c>
      <c r="S117">
        <v>17.37</v>
      </c>
      <c r="T117">
        <v>9741.82</v>
      </c>
      <c r="U117">
        <v>0.42</v>
      </c>
      <c r="V117">
        <v>0.7</v>
      </c>
      <c r="W117">
        <v>1.19</v>
      </c>
      <c r="X117">
        <v>0.63</v>
      </c>
      <c r="Y117">
        <v>1</v>
      </c>
      <c r="Z117">
        <v>10</v>
      </c>
    </row>
    <row r="118" spans="1:26" x14ac:dyDescent="0.3">
      <c r="A118">
        <v>9</v>
      </c>
      <c r="B118">
        <v>140</v>
      </c>
      <c r="C118" t="s">
        <v>26</v>
      </c>
      <c r="D118">
        <v>8.5656999999999996</v>
      </c>
      <c r="E118">
        <v>11.67</v>
      </c>
      <c r="F118">
        <v>7.26</v>
      </c>
      <c r="G118">
        <v>15.02</v>
      </c>
      <c r="H118">
        <v>0.21</v>
      </c>
      <c r="I118">
        <v>29</v>
      </c>
      <c r="J118">
        <v>278.45999999999998</v>
      </c>
      <c r="K118">
        <v>60.56</v>
      </c>
      <c r="L118">
        <v>3.25</v>
      </c>
      <c r="M118">
        <v>27</v>
      </c>
      <c r="N118">
        <v>74.66</v>
      </c>
      <c r="O118">
        <v>34577.919999999998</v>
      </c>
      <c r="P118">
        <v>125.35</v>
      </c>
      <c r="Q118">
        <v>204.15</v>
      </c>
      <c r="R118">
        <v>39.51</v>
      </c>
      <c r="S118">
        <v>17.37</v>
      </c>
      <c r="T118">
        <v>8850.7800000000007</v>
      </c>
      <c r="U118">
        <v>0.44</v>
      </c>
      <c r="V118">
        <v>0.7</v>
      </c>
      <c r="W118">
        <v>1.18</v>
      </c>
      <c r="X118">
        <v>0.56999999999999995</v>
      </c>
      <c r="Y118">
        <v>1</v>
      </c>
      <c r="Z118">
        <v>10</v>
      </c>
    </row>
    <row r="119" spans="1:26" x14ac:dyDescent="0.3">
      <c r="A119">
        <v>10</v>
      </c>
      <c r="B119">
        <v>140</v>
      </c>
      <c r="C119" t="s">
        <v>26</v>
      </c>
      <c r="D119">
        <v>8.6829000000000001</v>
      </c>
      <c r="E119">
        <v>11.52</v>
      </c>
      <c r="F119">
        <v>7.21</v>
      </c>
      <c r="G119">
        <v>16.010000000000002</v>
      </c>
      <c r="H119">
        <v>0.22</v>
      </c>
      <c r="I119">
        <v>27</v>
      </c>
      <c r="J119">
        <v>278.95</v>
      </c>
      <c r="K119">
        <v>60.56</v>
      </c>
      <c r="L119">
        <v>3.5</v>
      </c>
      <c r="M119">
        <v>25</v>
      </c>
      <c r="N119">
        <v>74.900000000000006</v>
      </c>
      <c r="O119">
        <v>34638.36</v>
      </c>
      <c r="P119">
        <v>124.32</v>
      </c>
      <c r="Q119">
        <v>204.18</v>
      </c>
      <c r="R119">
        <v>37.86</v>
      </c>
      <c r="S119">
        <v>17.37</v>
      </c>
      <c r="T119">
        <v>8038.84</v>
      </c>
      <c r="U119">
        <v>0.46</v>
      </c>
      <c r="V119">
        <v>0.71</v>
      </c>
      <c r="W119">
        <v>1.18</v>
      </c>
      <c r="X119">
        <v>0.51</v>
      </c>
      <c r="Y119">
        <v>1</v>
      </c>
      <c r="Z119">
        <v>10</v>
      </c>
    </row>
    <row r="120" spans="1:26" x14ac:dyDescent="0.3">
      <c r="A120">
        <v>11</v>
      </c>
      <c r="B120">
        <v>140</v>
      </c>
      <c r="C120" t="s">
        <v>26</v>
      </c>
      <c r="D120">
        <v>8.7850000000000001</v>
      </c>
      <c r="E120">
        <v>11.38</v>
      </c>
      <c r="F120">
        <v>7.18</v>
      </c>
      <c r="G120">
        <v>17.22</v>
      </c>
      <c r="H120">
        <v>0.24</v>
      </c>
      <c r="I120">
        <v>25</v>
      </c>
      <c r="J120">
        <v>279.44</v>
      </c>
      <c r="K120">
        <v>60.56</v>
      </c>
      <c r="L120">
        <v>3.75</v>
      </c>
      <c r="M120">
        <v>23</v>
      </c>
      <c r="N120">
        <v>75.14</v>
      </c>
      <c r="O120">
        <v>34698.9</v>
      </c>
      <c r="P120">
        <v>123.77</v>
      </c>
      <c r="Q120">
        <v>204.18</v>
      </c>
      <c r="R120">
        <v>36.9</v>
      </c>
      <c r="S120">
        <v>17.37</v>
      </c>
      <c r="T120">
        <v>7567.79</v>
      </c>
      <c r="U120">
        <v>0.47</v>
      </c>
      <c r="V120">
        <v>0.71</v>
      </c>
      <c r="W120">
        <v>1.18</v>
      </c>
      <c r="X120">
        <v>0.48</v>
      </c>
      <c r="Y120">
        <v>1</v>
      </c>
      <c r="Z120">
        <v>10</v>
      </c>
    </row>
    <row r="121" spans="1:26" x14ac:dyDescent="0.3">
      <c r="A121">
        <v>12</v>
      </c>
      <c r="B121">
        <v>140</v>
      </c>
      <c r="C121" t="s">
        <v>26</v>
      </c>
      <c r="D121">
        <v>8.8978999999999999</v>
      </c>
      <c r="E121">
        <v>11.24</v>
      </c>
      <c r="F121">
        <v>7.14</v>
      </c>
      <c r="G121">
        <v>18.62</v>
      </c>
      <c r="H121">
        <v>0.25</v>
      </c>
      <c r="I121">
        <v>23</v>
      </c>
      <c r="J121">
        <v>279.94</v>
      </c>
      <c r="K121">
        <v>60.56</v>
      </c>
      <c r="L121">
        <v>4</v>
      </c>
      <c r="M121">
        <v>21</v>
      </c>
      <c r="N121">
        <v>75.38</v>
      </c>
      <c r="O121">
        <v>34759.54</v>
      </c>
      <c r="P121">
        <v>122.96</v>
      </c>
      <c r="Q121">
        <v>204.19</v>
      </c>
      <c r="R121">
        <v>35.67</v>
      </c>
      <c r="S121">
        <v>17.37</v>
      </c>
      <c r="T121">
        <v>6961.52</v>
      </c>
      <c r="U121">
        <v>0.49</v>
      </c>
      <c r="V121">
        <v>0.72</v>
      </c>
      <c r="W121">
        <v>1.17</v>
      </c>
      <c r="X121">
        <v>0.44</v>
      </c>
      <c r="Y121">
        <v>1</v>
      </c>
      <c r="Z121">
        <v>10</v>
      </c>
    </row>
    <row r="122" spans="1:26" x14ac:dyDescent="0.3">
      <c r="A122">
        <v>13</v>
      </c>
      <c r="B122">
        <v>140</v>
      </c>
      <c r="C122" t="s">
        <v>26</v>
      </c>
      <c r="D122">
        <v>8.9603999999999999</v>
      </c>
      <c r="E122">
        <v>11.16</v>
      </c>
      <c r="F122">
        <v>7.11</v>
      </c>
      <c r="G122">
        <v>19.39</v>
      </c>
      <c r="H122">
        <v>0.27</v>
      </c>
      <c r="I122">
        <v>22</v>
      </c>
      <c r="J122">
        <v>280.43</v>
      </c>
      <c r="K122">
        <v>60.56</v>
      </c>
      <c r="L122">
        <v>4.25</v>
      </c>
      <c r="M122">
        <v>20</v>
      </c>
      <c r="N122">
        <v>75.62</v>
      </c>
      <c r="O122">
        <v>34820.269999999997</v>
      </c>
      <c r="P122">
        <v>122.52</v>
      </c>
      <c r="Q122">
        <v>204.17</v>
      </c>
      <c r="R122">
        <v>34.979999999999997</v>
      </c>
      <c r="S122">
        <v>17.37</v>
      </c>
      <c r="T122">
        <v>6623.97</v>
      </c>
      <c r="U122">
        <v>0.5</v>
      </c>
      <c r="V122">
        <v>0.72</v>
      </c>
      <c r="W122">
        <v>1.17</v>
      </c>
      <c r="X122">
        <v>0.42</v>
      </c>
      <c r="Y122">
        <v>1</v>
      </c>
      <c r="Z122">
        <v>10</v>
      </c>
    </row>
    <row r="123" spans="1:26" x14ac:dyDescent="0.3">
      <c r="A123">
        <v>14</v>
      </c>
      <c r="B123">
        <v>140</v>
      </c>
      <c r="C123" t="s">
        <v>26</v>
      </c>
      <c r="D123">
        <v>9.0128000000000004</v>
      </c>
      <c r="E123">
        <v>11.1</v>
      </c>
      <c r="F123">
        <v>7.1</v>
      </c>
      <c r="G123">
        <v>20.28</v>
      </c>
      <c r="H123">
        <v>0.28999999999999998</v>
      </c>
      <c r="I123">
        <v>21</v>
      </c>
      <c r="J123">
        <v>280.92</v>
      </c>
      <c r="K123">
        <v>60.56</v>
      </c>
      <c r="L123">
        <v>4.5</v>
      </c>
      <c r="M123">
        <v>19</v>
      </c>
      <c r="N123">
        <v>75.87</v>
      </c>
      <c r="O123">
        <v>34881.089999999997</v>
      </c>
      <c r="P123">
        <v>122.18</v>
      </c>
      <c r="Q123">
        <v>204.19</v>
      </c>
      <c r="R123">
        <v>34.340000000000003</v>
      </c>
      <c r="S123">
        <v>17.37</v>
      </c>
      <c r="T123">
        <v>6309.07</v>
      </c>
      <c r="U123">
        <v>0.51</v>
      </c>
      <c r="V123">
        <v>0.72</v>
      </c>
      <c r="W123">
        <v>1.18</v>
      </c>
      <c r="X123">
        <v>0.41</v>
      </c>
      <c r="Y123">
        <v>1</v>
      </c>
      <c r="Z123">
        <v>10</v>
      </c>
    </row>
    <row r="124" spans="1:26" x14ac:dyDescent="0.3">
      <c r="A124">
        <v>15</v>
      </c>
      <c r="B124">
        <v>140</v>
      </c>
      <c r="C124" t="s">
        <v>26</v>
      </c>
      <c r="D124">
        <v>9.0780999999999992</v>
      </c>
      <c r="E124">
        <v>11.02</v>
      </c>
      <c r="F124">
        <v>7.07</v>
      </c>
      <c r="G124">
        <v>21.21</v>
      </c>
      <c r="H124">
        <v>0.3</v>
      </c>
      <c r="I124">
        <v>20</v>
      </c>
      <c r="J124">
        <v>281.41000000000003</v>
      </c>
      <c r="K124">
        <v>60.56</v>
      </c>
      <c r="L124">
        <v>4.75</v>
      </c>
      <c r="M124">
        <v>18</v>
      </c>
      <c r="N124">
        <v>76.11</v>
      </c>
      <c r="O124">
        <v>34942.019999999997</v>
      </c>
      <c r="P124">
        <v>121.63</v>
      </c>
      <c r="Q124">
        <v>204.17</v>
      </c>
      <c r="R124">
        <v>33.72</v>
      </c>
      <c r="S124">
        <v>17.37</v>
      </c>
      <c r="T124">
        <v>6002.67</v>
      </c>
      <c r="U124">
        <v>0.52</v>
      </c>
      <c r="V124">
        <v>0.72</v>
      </c>
      <c r="W124">
        <v>1.17</v>
      </c>
      <c r="X124">
        <v>0.38</v>
      </c>
      <c r="Y124">
        <v>1</v>
      </c>
      <c r="Z124">
        <v>10</v>
      </c>
    </row>
    <row r="125" spans="1:26" x14ac:dyDescent="0.3">
      <c r="A125">
        <v>16</v>
      </c>
      <c r="B125">
        <v>140</v>
      </c>
      <c r="C125" t="s">
        <v>26</v>
      </c>
      <c r="D125">
        <v>9.1324000000000005</v>
      </c>
      <c r="E125">
        <v>10.95</v>
      </c>
      <c r="F125">
        <v>7.06</v>
      </c>
      <c r="G125">
        <v>22.28</v>
      </c>
      <c r="H125">
        <v>0.32</v>
      </c>
      <c r="I125">
        <v>19</v>
      </c>
      <c r="J125">
        <v>281.91000000000003</v>
      </c>
      <c r="K125">
        <v>60.56</v>
      </c>
      <c r="L125">
        <v>5</v>
      </c>
      <c r="M125">
        <v>17</v>
      </c>
      <c r="N125">
        <v>76.349999999999994</v>
      </c>
      <c r="O125">
        <v>35003.040000000001</v>
      </c>
      <c r="P125">
        <v>121.38</v>
      </c>
      <c r="Q125">
        <v>204.14</v>
      </c>
      <c r="R125">
        <v>33.31</v>
      </c>
      <c r="S125">
        <v>17.37</v>
      </c>
      <c r="T125">
        <v>5803.54</v>
      </c>
      <c r="U125">
        <v>0.52</v>
      </c>
      <c r="V125">
        <v>0.72</v>
      </c>
      <c r="W125">
        <v>1.1599999999999999</v>
      </c>
      <c r="X125">
        <v>0.36</v>
      </c>
      <c r="Y125">
        <v>1</v>
      </c>
      <c r="Z125">
        <v>10</v>
      </c>
    </row>
    <row r="126" spans="1:26" x14ac:dyDescent="0.3">
      <c r="A126">
        <v>17</v>
      </c>
      <c r="B126">
        <v>140</v>
      </c>
      <c r="C126" t="s">
        <v>26</v>
      </c>
      <c r="D126">
        <v>9.2007999999999992</v>
      </c>
      <c r="E126">
        <v>10.87</v>
      </c>
      <c r="F126">
        <v>7.03</v>
      </c>
      <c r="G126">
        <v>23.43</v>
      </c>
      <c r="H126">
        <v>0.33</v>
      </c>
      <c r="I126">
        <v>18</v>
      </c>
      <c r="J126">
        <v>282.39999999999998</v>
      </c>
      <c r="K126">
        <v>60.56</v>
      </c>
      <c r="L126">
        <v>5.25</v>
      </c>
      <c r="M126">
        <v>16</v>
      </c>
      <c r="N126">
        <v>76.599999999999994</v>
      </c>
      <c r="O126">
        <v>35064.15</v>
      </c>
      <c r="P126">
        <v>120.81</v>
      </c>
      <c r="Q126">
        <v>204.15</v>
      </c>
      <c r="R126">
        <v>32.119999999999997</v>
      </c>
      <c r="S126">
        <v>17.37</v>
      </c>
      <c r="T126">
        <v>5211.66</v>
      </c>
      <c r="U126">
        <v>0.54</v>
      </c>
      <c r="V126">
        <v>0.73</v>
      </c>
      <c r="W126">
        <v>1.17</v>
      </c>
      <c r="X126">
        <v>0.34</v>
      </c>
      <c r="Y126">
        <v>1</v>
      </c>
      <c r="Z126">
        <v>10</v>
      </c>
    </row>
    <row r="127" spans="1:26" x14ac:dyDescent="0.3">
      <c r="A127">
        <v>18</v>
      </c>
      <c r="B127">
        <v>140</v>
      </c>
      <c r="C127" t="s">
        <v>26</v>
      </c>
      <c r="D127">
        <v>9.2470999999999997</v>
      </c>
      <c r="E127">
        <v>10.81</v>
      </c>
      <c r="F127">
        <v>7.03</v>
      </c>
      <c r="G127">
        <v>24.8</v>
      </c>
      <c r="H127">
        <v>0.35</v>
      </c>
      <c r="I127">
        <v>17</v>
      </c>
      <c r="J127">
        <v>282.89999999999998</v>
      </c>
      <c r="K127">
        <v>60.56</v>
      </c>
      <c r="L127">
        <v>5.5</v>
      </c>
      <c r="M127">
        <v>15</v>
      </c>
      <c r="N127">
        <v>76.849999999999994</v>
      </c>
      <c r="O127">
        <v>35125.370000000003</v>
      </c>
      <c r="P127">
        <v>120.68</v>
      </c>
      <c r="Q127">
        <v>204.14</v>
      </c>
      <c r="R127">
        <v>32.01</v>
      </c>
      <c r="S127">
        <v>17.37</v>
      </c>
      <c r="T127">
        <v>5160.95</v>
      </c>
      <c r="U127">
        <v>0.54</v>
      </c>
      <c r="V127">
        <v>0.73</v>
      </c>
      <c r="W127">
        <v>1.17</v>
      </c>
      <c r="X127">
        <v>0.33</v>
      </c>
      <c r="Y127">
        <v>1</v>
      </c>
      <c r="Z127">
        <v>10</v>
      </c>
    </row>
    <row r="128" spans="1:26" x14ac:dyDescent="0.3">
      <c r="A128">
        <v>19</v>
      </c>
      <c r="B128">
        <v>140</v>
      </c>
      <c r="C128" t="s">
        <v>26</v>
      </c>
      <c r="D128">
        <v>9.3249999999999993</v>
      </c>
      <c r="E128">
        <v>10.72</v>
      </c>
      <c r="F128">
        <v>6.99</v>
      </c>
      <c r="G128">
        <v>26.2</v>
      </c>
      <c r="H128">
        <v>0.36</v>
      </c>
      <c r="I128">
        <v>16</v>
      </c>
      <c r="J128">
        <v>283.39999999999998</v>
      </c>
      <c r="K128">
        <v>60.56</v>
      </c>
      <c r="L128">
        <v>5.75</v>
      </c>
      <c r="M128">
        <v>14</v>
      </c>
      <c r="N128">
        <v>77.09</v>
      </c>
      <c r="O128">
        <v>35186.68</v>
      </c>
      <c r="P128">
        <v>119.99</v>
      </c>
      <c r="Q128">
        <v>204.16</v>
      </c>
      <c r="R128">
        <v>31.2</v>
      </c>
      <c r="S128">
        <v>17.37</v>
      </c>
      <c r="T128">
        <v>4761.16</v>
      </c>
      <c r="U128">
        <v>0.56000000000000005</v>
      </c>
      <c r="V128">
        <v>0.73</v>
      </c>
      <c r="W128">
        <v>1.1599999999999999</v>
      </c>
      <c r="X128">
        <v>0.3</v>
      </c>
      <c r="Y128">
        <v>1</v>
      </c>
      <c r="Z128">
        <v>10</v>
      </c>
    </row>
    <row r="129" spans="1:26" x14ac:dyDescent="0.3">
      <c r="A129">
        <v>20</v>
      </c>
      <c r="B129">
        <v>140</v>
      </c>
      <c r="C129" t="s">
        <v>26</v>
      </c>
      <c r="D129">
        <v>9.3064</v>
      </c>
      <c r="E129">
        <v>10.75</v>
      </c>
      <c r="F129">
        <v>7.01</v>
      </c>
      <c r="G129">
        <v>26.28</v>
      </c>
      <c r="H129">
        <v>0.38</v>
      </c>
      <c r="I129">
        <v>16</v>
      </c>
      <c r="J129">
        <v>283.89999999999998</v>
      </c>
      <c r="K129">
        <v>60.56</v>
      </c>
      <c r="L129">
        <v>6</v>
      </c>
      <c r="M129">
        <v>14</v>
      </c>
      <c r="N129">
        <v>77.34</v>
      </c>
      <c r="O129">
        <v>35248.1</v>
      </c>
      <c r="P129">
        <v>120.29</v>
      </c>
      <c r="Q129">
        <v>204.14</v>
      </c>
      <c r="R129">
        <v>31.71</v>
      </c>
      <c r="S129">
        <v>17.37</v>
      </c>
      <c r="T129">
        <v>5018.93</v>
      </c>
      <c r="U129">
        <v>0.55000000000000004</v>
      </c>
      <c r="V129">
        <v>0.73</v>
      </c>
      <c r="W129">
        <v>1.17</v>
      </c>
      <c r="X129">
        <v>0.32</v>
      </c>
      <c r="Y129">
        <v>1</v>
      </c>
      <c r="Z129">
        <v>10</v>
      </c>
    </row>
    <row r="130" spans="1:26" x14ac:dyDescent="0.3">
      <c r="A130">
        <v>21</v>
      </c>
      <c r="B130">
        <v>140</v>
      </c>
      <c r="C130" t="s">
        <v>26</v>
      </c>
      <c r="D130">
        <v>9.3874999999999993</v>
      </c>
      <c r="E130">
        <v>10.65</v>
      </c>
      <c r="F130">
        <v>6.97</v>
      </c>
      <c r="G130">
        <v>27.87</v>
      </c>
      <c r="H130">
        <v>0.39</v>
      </c>
      <c r="I130">
        <v>15</v>
      </c>
      <c r="J130">
        <v>284.39999999999998</v>
      </c>
      <c r="K130">
        <v>60.56</v>
      </c>
      <c r="L130">
        <v>6.25</v>
      </c>
      <c r="M130">
        <v>13</v>
      </c>
      <c r="N130">
        <v>77.59</v>
      </c>
      <c r="O130">
        <v>35309.61</v>
      </c>
      <c r="P130">
        <v>119.6</v>
      </c>
      <c r="Q130">
        <v>204.14</v>
      </c>
      <c r="R130">
        <v>30.5</v>
      </c>
      <c r="S130">
        <v>17.37</v>
      </c>
      <c r="T130">
        <v>4418.05</v>
      </c>
      <c r="U130">
        <v>0.56999999999999995</v>
      </c>
      <c r="V130">
        <v>0.73</v>
      </c>
      <c r="W130">
        <v>1.1599999999999999</v>
      </c>
      <c r="X130">
        <v>0.28000000000000003</v>
      </c>
      <c r="Y130">
        <v>1</v>
      </c>
      <c r="Z130">
        <v>10</v>
      </c>
    </row>
    <row r="131" spans="1:26" x14ac:dyDescent="0.3">
      <c r="A131">
        <v>22</v>
      </c>
      <c r="B131">
        <v>140</v>
      </c>
      <c r="C131" t="s">
        <v>26</v>
      </c>
      <c r="D131">
        <v>9.3813999999999993</v>
      </c>
      <c r="E131">
        <v>10.66</v>
      </c>
      <c r="F131">
        <v>6.97</v>
      </c>
      <c r="G131">
        <v>27.9</v>
      </c>
      <c r="H131">
        <v>0.41</v>
      </c>
      <c r="I131">
        <v>15</v>
      </c>
      <c r="J131">
        <v>284.89</v>
      </c>
      <c r="K131">
        <v>60.56</v>
      </c>
      <c r="L131">
        <v>6.5</v>
      </c>
      <c r="M131">
        <v>13</v>
      </c>
      <c r="N131">
        <v>77.84</v>
      </c>
      <c r="O131">
        <v>35371.22</v>
      </c>
      <c r="P131">
        <v>119.55</v>
      </c>
      <c r="Q131">
        <v>204.14</v>
      </c>
      <c r="R131">
        <v>30.54</v>
      </c>
      <c r="S131">
        <v>17.37</v>
      </c>
      <c r="T131">
        <v>4435.95</v>
      </c>
      <c r="U131">
        <v>0.56999999999999995</v>
      </c>
      <c r="V131">
        <v>0.73</v>
      </c>
      <c r="W131">
        <v>1.1599999999999999</v>
      </c>
      <c r="X131">
        <v>0.28000000000000003</v>
      </c>
      <c r="Y131">
        <v>1</v>
      </c>
      <c r="Z131">
        <v>10</v>
      </c>
    </row>
    <row r="132" spans="1:26" x14ac:dyDescent="0.3">
      <c r="A132">
        <v>23</v>
      </c>
      <c r="B132">
        <v>140</v>
      </c>
      <c r="C132" t="s">
        <v>26</v>
      </c>
      <c r="D132">
        <v>9.4522999999999993</v>
      </c>
      <c r="E132">
        <v>10.58</v>
      </c>
      <c r="F132">
        <v>6.95</v>
      </c>
      <c r="G132">
        <v>29.77</v>
      </c>
      <c r="H132">
        <v>0.42</v>
      </c>
      <c r="I132">
        <v>14</v>
      </c>
      <c r="J132">
        <v>285.39</v>
      </c>
      <c r="K132">
        <v>60.56</v>
      </c>
      <c r="L132">
        <v>6.75</v>
      </c>
      <c r="M132">
        <v>12</v>
      </c>
      <c r="N132">
        <v>78.09</v>
      </c>
      <c r="O132">
        <v>35432.93</v>
      </c>
      <c r="P132">
        <v>119.06</v>
      </c>
      <c r="Q132">
        <v>204.17</v>
      </c>
      <c r="R132">
        <v>29.81</v>
      </c>
      <c r="S132">
        <v>17.37</v>
      </c>
      <c r="T132">
        <v>4079.2</v>
      </c>
      <c r="U132">
        <v>0.57999999999999996</v>
      </c>
      <c r="V132">
        <v>0.74</v>
      </c>
      <c r="W132">
        <v>1.1599999999999999</v>
      </c>
      <c r="X132">
        <v>0.26</v>
      </c>
      <c r="Y132">
        <v>1</v>
      </c>
      <c r="Z132">
        <v>10</v>
      </c>
    </row>
    <row r="133" spans="1:26" x14ac:dyDescent="0.3">
      <c r="A133">
        <v>24</v>
      </c>
      <c r="B133">
        <v>140</v>
      </c>
      <c r="C133" t="s">
        <v>26</v>
      </c>
      <c r="D133">
        <v>9.4445999999999994</v>
      </c>
      <c r="E133">
        <v>10.59</v>
      </c>
      <c r="F133">
        <v>6.96</v>
      </c>
      <c r="G133">
        <v>29.81</v>
      </c>
      <c r="H133">
        <v>0.44</v>
      </c>
      <c r="I133">
        <v>14</v>
      </c>
      <c r="J133">
        <v>285.89999999999998</v>
      </c>
      <c r="K133">
        <v>60.56</v>
      </c>
      <c r="L133">
        <v>7</v>
      </c>
      <c r="M133">
        <v>12</v>
      </c>
      <c r="N133">
        <v>78.34</v>
      </c>
      <c r="O133">
        <v>35494.74</v>
      </c>
      <c r="P133">
        <v>119.12</v>
      </c>
      <c r="Q133">
        <v>204.14</v>
      </c>
      <c r="R133">
        <v>30.03</v>
      </c>
      <c r="S133">
        <v>17.37</v>
      </c>
      <c r="T133">
        <v>4185.6099999999997</v>
      </c>
      <c r="U133">
        <v>0.57999999999999996</v>
      </c>
      <c r="V133">
        <v>0.73</v>
      </c>
      <c r="W133">
        <v>1.1599999999999999</v>
      </c>
      <c r="X133">
        <v>0.26</v>
      </c>
      <c r="Y133">
        <v>1</v>
      </c>
      <c r="Z133">
        <v>10</v>
      </c>
    </row>
    <row r="134" spans="1:26" x14ac:dyDescent="0.3">
      <c r="A134">
        <v>25</v>
      </c>
      <c r="B134">
        <v>140</v>
      </c>
      <c r="C134" t="s">
        <v>26</v>
      </c>
      <c r="D134">
        <v>9.5173000000000005</v>
      </c>
      <c r="E134">
        <v>10.51</v>
      </c>
      <c r="F134">
        <v>6.93</v>
      </c>
      <c r="G134">
        <v>31.97</v>
      </c>
      <c r="H134">
        <v>0.45</v>
      </c>
      <c r="I134">
        <v>13</v>
      </c>
      <c r="J134">
        <v>286.39999999999998</v>
      </c>
      <c r="K134">
        <v>60.56</v>
      </c>
      <c r="L134">
        <v>7.25</v>
      </c>
      <c r="M134">
        <v>11</v>
      </c>
      <c r="N134">
        <v>78.59</v>
      </c>
      <c r="O134">
        <v>35556.78</v>
      </c>
      <c r="P134">
        <v>118.58</v>
      </c>
      <c r="Q134">
        <v>204.18</v>
      </c>
      <c r="R134">
        <v>29.21</v>
      </c>
      <c r="S134">
        <v>17.37</v>
      </c>
      <c r="T134">
        <v>3782.98</v>
      </c>
      <c r="U134">
        <v>0.59</v>
      </c>
      <c r="V134">
        <v>0.74</v>
      </c>
      <c r="W134">
        <v>1.1499999999999999</v>
      </c>
      <c r="X134">
        <v>0.24</v>
      </c>
      <c r="Y134">
        <v>1</v>
      </c>
      <c r="Z134">
        <v>10</v>
      </c>
    </row>
    <row r="135" spans="1:26" x14ac:dyDescent="0.3">
      <c r="A135">
        <v>26</v>
      </c>
      <c r="B135">
        <v>140</v>
      </c>
      <c r="C135" t="s">
        <v>26</v>
      </c>
      <c r="D135">
        <v>9.5177999999999994</v>
      </c>
      <c r="E135">
        <v>10.51</v>
      </c>
      <c r="F135">
        <v>6.93</v>
      </c>
      <c r="G135">
        <v>31.97</v>
      </c>
      <c r="H135">
        <v>0.47</v>
      </c>
      <c r="I135">
        <v>13</v>
      </c>
      <c r="J135">
        <v>286.89999999999998</v>
      </c>
      <c r="K135">
        <v>60.56</v>
      </c>
      <c r="L135">
        <v>7.5</v>
      </c>
      <c r="M135">
        <v>11</v>
      </c>
      <c r="N135">
        <v>78.849999999999994</v>
      </c>
      <c r="O135">
        <v>35618.800000000003</v>
      </c>
      <c r="P135">
        <v>118.56</v>
      </c>
      <c r="Q135">
        <v>204.14</v>
      </c>
      <c r="R135">
        <v>29.05</v>
      </c>
      <c r="S135">
        <v>17.37</v>
      </c>
      <c r="T135">
        <v>3700.96</v>
      </c>
      <c r="U135">
        <v>0.6</v>
      </c>
      <c r="V135">
        <v>0.74</v>
      </c>
      <c r="W135">
        <v>1.1599999999999999</v>
      </c>
      <c r="X135">
        <v>0.24</v>
      </c>
      <c r="Y135">
        <v>1</v>
      </c>
      <c r="Z135">
        <v>10</v>
      </c>
    </row>
    <row r="136" spans="1:26" x14ac:dyDescent="0.3">
      <c r="A136">
        <v>27</v>
      </c>
      <c r="B136">
        <v>140</v>
      </c>
      <c r="C136" t="s">
        <v>26</v>
      </c>
      <c r="D136">
        <v>9.5795999999999992</v>
      </c>
      <c r="E136">
        <v>10.44</v>
      </c>
      <c r="F136">
        <v>6.91</v>
      </c>
      <c r="G136">
        <v>34.56</v>
      </c>
      <c r="H136">
        <v>0.48</v>
      </c>
      <c r="I136">
        <v>12</v>
      </c>
      <c r="J136">
        <v>287.41000000000003</v>
      </c>
      <c r="K136">
        <v>60.56</v>
      </c>
      <c r="L136">
        <v>7.75</v>
      </c>
      <c r="M136">
        <v>10</v>
      </c>
      <c r="N136">
        <v>79.099999999999994</v>
      </c>
      <c r="O136">
        <v>35680.92</v>
      </c>
      <c r="P136">
        <v>118.18</v>
      </c>
      <c r="Q136">
        <v>204.14</v>
      </c>
      <c r="R136">
        <v>28.75</v>
      </c>
      <c r="S136">
        <v>17.37</v>
      </c>
      <c r="T136">
        <v>3558.14</v>
      </c>
      <c r="U136">
        <v>0.6</v>
      </c>
      <c r="V136">
        <v>0.74</v>
      </c>
      <c r="W136">
        <v>1.1499999999999999</v>
      </c>
      <c r="X136">
        <v>0.22</v>
      </c>
      <c r="Y136">
        <v>1</v>
      </c>
      <c r="Z136">
        <v>10</v>
      </c>
    </row>
    <row r="137" spans="1:26" x14ac:dyDescent="0.3">
      <c r="A137">
        <v>28</v>
      </c>
      <c r="B137">
        <v>140</v>
      </c>
      <c r="C137" t="s">
        <v>26</v>
      </c>
      <c r="D137">
        <v>9.5756999999999994</v>
      </c>
      <c r="E137">
        <v>10.44</v>
      </c>
      <c r="F137">
        <v>6.92</v>
      </c>
      <c r="G137">
        <v>34.58</v>
      </c>
      <c r="H137">
        <v>0.49</v>
      </c>
      <c r="I137">
        <v>12</v>
      </c>
      <c r="J137">
        <v>287.91000000000003</v>
      </c>
      <c r="K137">
        <v>60.56</v>
      </c>
      <c r="L137">
        <v>8</v>
      </c>
      <c r="M137">
        <v>10</v>
      </c>
      <c r="N137">
        <v>79.36</v>
      </c>
      <c r="O137">
        <v>35743.15</v>
      </c>
      <c r="P137">
        <v>118.26</v>
      </c>
      <c r="Q137">
        <v>204.16</v>
      </c>
      <c r="R137">
        <v>28.67</v>
      </c>
      <c r="S137">
        <v>17.37</v>
      </c>
      <c r="T137">
        <v>3519.15</v>
      </c>
      <c r="U137">
        <v>0.61</v>
      </c>
      <c r="V137">
        <v>0.74</v>
      </c>
      <c r="W137">
        <v>1.1599999999999999</v>
      </c>
      <c r="X137">
        <v>0.22</v>
      </c>
      <c r="Y137">
        <v>1</v>
      </c>
      <c r="Z137">
        <v>10</v>
      </c>
    </row>
    <row r="138" spans="1:26" x14ac:dyDescent="0.3">
      <c r="A138">
        <v>29</v>
      </c>
      <c r="B138">
        <v>140</v>
      </c>
      <c r="C138" t="s">
        <v>26</v>
      </c>
      <c r="D138">
        <v>9.5806000000000004</v>
      </c>
      <c r="E138">
        <v>10.44</v>
      </c>
      <c r="F138">
        <v>6.91</v>
      </c>
      <c r="G138">
        <v>34.549999999999997</v>
      </c>
      <c r="H138">
        <v>0.51</v>
      </c>
      <c r="I138">
        <v>12</v>
      </c>
      <c r="J138">
        <v>288.42</v>
      </c>
      <c r="K138">
        <v>60.56</v>
      </c>
      <c r="L138">
        <v>8.25</v>
      </c>
      <c r="M138">
        <v>10</v>
      </c>
      <c r="N138">
        <v>79.61</v>
      </c>
      <c r="O138">
        <v>35805.480000000003</v>
      </c>
      <c r="P138">
        <v>118.04</v>
      </c>
      <c r="Q138">
        <v>204.16</v>
      </c>
      <c r="R138">
        <v>28.79</v>
      </c>
      <c r="S138">
        <v>17.37</v>
      </c>
      <c r="T138">
        <v>3576.88</v>
      </c>
      <c r="U138">
        <v>0.6</v>
      </c>
      <c r="V138">
        <v>0.74</v>
      </c>
      <c r="W138">
        <v>1.1499999999999999</v>
      </c>
      <c r="X138">
        <v>0.22</v>
      </c>
      <c r="Y138">
        <v>1</v>
      </c>
      <c r="Z138">
        <v>10</v>
      </c>
    </row>
    <row r="139" spans="1:26" x14ac:dyDescent="0.3">
      <c r="A139">
        <v>30</v>
      </c>
      <c r="B139">
        <v>140</v>
      </c>
      <c r="C139" t="s">
        <v>26</v>
      </c>
      <c r="D139">
        <v>9.6538000000000004</v>
      </c>
      <c r="E139">
        <v>10.36</v>
      </c>
      <c r="F139">
        <v>6.88</v>
      </c>
      <c r="G139">
        <v>37.54</v>
      </c>
      <c r="H139">
        <v>0.52</v>
      </c>
      <c r="I139">
        <v>11</v>
      </c>
      <c r="J139">
        <v>288.92</v>
      </c>
      <c r="K139">
        <v>60.56</v>
      </c>
      <c r="L139">
        <v>8.5</v>
      </c>
      <c r="M139">
        <v>9</v>
      </c>
      <c r="N139">
        <v>79.87</v>
      </c>
      <c r="O139">
        <v>35867.910000000003</v>
      </c>
      <c r="P139">
        <v>117.4</v>
      </c>
      <c r="Q139">
        <v>204.14</v>
      </c>
      <c r="R139">
        <v>27.66</v>
      </c>
      <c r="S139">
        <v>17.37</v>
      </c>
      <c r="T139">
        <v>3019.72</v>
      </c>
      <c r="U139">
        <v>0.63</v>
      </c>
      <c r="V139">
        <v>0.74</v>
      </c>
      <c r="W139">
        <v>1.1599999999999999</v>
      </c>
      <c r="X139">
        <v>0.19</v>
      </c>
      <c r="Y139">
        <v>1</v>
      </c>
      <c r="Z139">
        <v>10</v>
      </c>
    </row>
    <row r="140" spans="1:26" x14ac:dyDescent="0.3">
      <c r="A140">
        <v>31</v>
      </c>
      <c r="B140">
        <v>140</v>
      </c>
      <c r="C140" t="s">
        <v>26</v>
      </c>
      <c r="D140">
        <v>9.6569000000000003</v>
      </c>
      <c r="E140">
        <v>10.36</v>
      </c>
      <c r="F140">
        <v>6.88</v>
      </c>
      <c r="G140">
        <v>37.53</v>
      </c>
      <c r="H140">
        <v>0.54</v>
      </c>
      <c r="I140">
        <v>11</v>
      </c>
      <c r="J140">
        <v>289.43</v>
      </c>
      <c r="K140">
        <v>60.56</v>
      </c>
      <c r="L140">
        <v>8.75</v>
      </c>
      <c r="M140">
        <v>9</v>
      </c>
      <c r="N140">
        <v>80.12</v>
      </c>
      <c r="O140">
        <v>35930.44</v>
      </c>
      <c r="P140">
        <v>117.31</v>
      </c>
      <c r="Q140">
        <v>204.17</v>
      </c>
      <c r="R140">
        <v>27.73</v>
      </c>
      <c r="S140">
        <v>17.37</v>
      </c>
      <c r="T140">
        <v>3053.26</v>
      </c>
      <c r="U140">
        <v>0.63</v>
      </c>
      <c r="V140">
        <v>0.74</v>
      </c>
      <c r="W140">
        <v>1.1499999999999999</v>
      </c>
      <c r="X140">
        <v>0.19</v>
      </c>
      <c r="Y140">
        <v>1</v>
      </c>
      <c r="Z140">
        <v>10</v>
      </c>
    </row>
    <row r="141" spans="1:26" x14ac:dyDescent="0.3">
      <c r="A141">
        <v>32</v>
      </c>
      <c r="B141">
        <v>140</v>
      </c>
      <c r="C141" t="s">
        <v>26</v>
      </c>
      <c r="D141">
        <v>9.6441999999999997</v>
      </c>
      <c r="E141">
        <v>10.37</v>
      </c>
      <c r="F141">
        <v>6.89</v>
      </c>
      <c r="G141">
        <v>37.6</v>
      </c>
      <c r="H141">
        <v>0.55000000000000004</v>
      </c>
      <c r="I141">
        <v>11</v>
      </c>
      <c r="J141">
        <v>289.94</v>
      </c>
      <c r="K141">
        <v>60.56</v>
      </c>
      <c r="L141">
        <v>9</v>
      </c>
      <c r="M141">
        <v>9</v>
      </c>
      <c r="N141">
        <v>80.38</v>
      </c>
      <c r="O141">
        <v>35993.08</v>
      </c>
      <c r="P141">
        <v>117.54</v>
      </c>
      <c r="Q141">
        <v>204.15</v>
      </c>
      <c r="R141">
        <v>28.19</v>
      </c>
      <c r="S141">
        <v>17.37</v>
      </c>
      <c r="T141">
        <v>3280.92</v>
      </c>
      <c r="U141">
        <v>0.62</v>
      </c>
      <c r="V141">
        <v>0.74</v>
      </c>
      <c r="W141">
        <v>1.1499999999999999</v>
      </c>
      <c r="X141">
        <v>0.2</v>
      </c>
      <c r="Y141">
        <v>1</v>
      </c>
      <c r="Z141">
        <v>10</v>
      </c>
    </row>
    <row r="142" spans="1:26" x14ac:dyDescent="0.3">
      <c r="A142">
        <v>33</v>
      </c>
      <c r="B142">
        <v>140</v>
      </c>
      <c r="C142" t="s">
        <v>26</v>
      </c>
      <c r="D142">
        <v>9.6480999999999995</v>
      </c>
      <c r="E142">
        <v>10.36</v>
      </c>
      <c r="F142">
        <v>6.89</v>
      </c>
      <c r="G142">
        <v>37.58</v>
      </c>
      <c r="H142">
        <v>0.56999999999999995</v>
      </c>
      <c r="I142">
        <v>11</v>
      </c>
      <c r="J142">
        <v>290.45</v>
      </c>
      <c r="K142">
        <v>60.56</v>
      </c>
      <c r="L142">
        <v>9.25</v>
      </c>
      <c r="M142">
        <v>9</v>
      </c>
      <c r="N142">
        <v>80.64</v>
      </c>
      <c r="O142">
        <v>36055.83</v>
      </c>
      <c r="P142">
        <v>117.25</v>
      </c>
      <c r="Q142">
        <v>204.14</v>
      </c>
      <c r="R142">
        <v>27.87</v>
      </c>
      <c r="S142">
        <v>17.37</v>
      </c>
      <c r="T142">
        <v>3122.18</v>
      </c>
      <c r="U142">
        <v>0.62</v>
      </c>
      <c r="V142">
        <v>0.74</v>
      </c>
      <c r="W142">
        <v>1.1599999999999999</v>
      </c>
      <c r="X142">
        <v>0.2</v>
      </c>
      <c r="Y142">
        <v>1</v>
      </c>
      <c r="Z142">
        <v>10</v>
      </c>
    </row>
    <row r="143" spans="1:26" x14ac:dyDescent="0.3">
      <c r="A143">
        <v>34</v>
      </c>
      <c r="B143">
        <v>140</v>
      </c>
      <c r="C143" t="s">
        <v>26</v>
      </c>
      <c r="D143">
        <v>9.7202999999999999</v>
      </c>
      <c r="E143">
        <v>10.29</v>
      </c>
      <c r="F143">
        <v>6.86</v>
      </c>
      <c r="G143">
        <v>41.19</v>
      </c>
      <c r="H143">
        <v>0.57999999999999996</v>
      </c>
      <c r="I143">
        <v>10</v>
      </c>
      <c r="J143">
        <v>290.95999999999998</v>
      </c>
      <c r="K143">
        <v>60.56</v>
      </c>
      <c r="L143">
        <v>9.5</v>
      </c>
      <c r="M143">
        <v>8</v>
      </c>
      <c r="N143">
        <v>80.900000000000006</v>
      </c>
      <c r="O143">
        <v>36118.68</v>
      </c>
      <c r="P143">
        <v>116.75</v>
      </c>
      <c r="Q143">
        <v>204.14</v>
      </c>
      <c r="R143">
        <v>27.13</v>
      </c>
      <c r="S143">
        <v>17.37</v>
      </c>
      <c r="T143">
        <v>2757.31</v>
      </c>
      <c r="U143">
        <v>0.64</v>
      </c>
      <c r="V143">
        <v>0.74</v>
      </c>
      <c r="W143">
        <v>1.1499999999999999</v>
      </c>
      <c r="X143">
        <v>0.17</v>
      </c>
      <c r="Y143">
        <v>1</v>
      </c>
      <c r="Z143">
        <v>10</v>
      </c>
    </row>
    <row r="144" spans="1:26" x14ac:dyDescent="0.3">
      <c r="A144">
        <v>35</v>
      </c>
      <c r="B144">
        <v>140</v>
      </c>
      <c r="C144" t="s">
        <v>26</v>
      </c>
      <c r="D144">
        <v>9.7175999999999991</v>
      </c>
      <c r="E144">
        <v>10.29</v>
      </c>
      <c r="F144">
        <v>6.87</v>
      </c>
      <c r="G144">
        <v>41.2</v>
      </c>
      <c r="H144">
        <v>0.6</v>
      </c>
      <c r="I144">
        <v>10</v>
      </c>
      <c r="J144">
        <v>291.47000000000003</v>
      </c>
      <c r="K144">
        <v>60.56</v>
      </c>
      <c r="L144">
        <v>9.75</v>
      </c>
      <c r="M144">
        <v>8</v>
      </c>
      <c r="N144">
        <v>81.16</v>
      </c>
      <c r="O144">
        <v>36181.64</v>
      </c>
      <c r="P144">
        <v>116.8</v>
      </c>
      <c r="Q144">
        <v>204.14</v>
      </c>
      <c r="R144">
        <v>27.41</v>
      </c>
      <c r="S144">
        <v>17.37</v>
      </c>
      <c r="T144">
        <v>2895.46</v>
      </c>
      <c r="U144">
        <v>0.63</v>
      </c>
      <c r="V144">
        <v>0.74</v>
      </c>
      <c r="W144">
        <v>1.1499999999999999</v>
      </c>
      <c r="X144">
        <v>0.18</v>
      </c>
      <c r="Y144">
        <v>1</v>
      </c>
      <c r="Z144">
        <v>10</v>
      </c>
    </row>
    <row r="145" spans="1:26" x14ac:dyDescent="0.3">
      <c r="A145">
        <v>36</v>
      </c>
      <c r="B145">
        <v>140</v>
      </c>
      <c r="C145" t="s">
        <v>26</v>
      </c>
      <c r="D145">
        <v>9.7200000000000006</v>
      </c>
      <c r="E145">
        <v>10.29</v>
      </c>
      <c r="F145">
        <v>6.86</v>
      </c>
      <c r="G145">
        <v>41.19</v>
      </c>
      <c r="H145">
        <v>0.61</v>
      </c>
      <c r="I145">
        <v>10</v>
      </c>
      <c r="J145">
        <v>291.98</v>
      </c>
      <c r="K145">
        <v>60.56</v>
      </c>
      <c r="L145">
        <v>10</v>
      </c>
      <c r="M145">
        <v>8</v>
      </c>
      <c r="N145">
        <v>81.42</v>
      </c>
      <c r="O145">
        <v>36244.71</v>
      </c>
      <c r="P145">
        <v>116.86</v>
      </c>
      <c r="Q145">
        <v>204.14</v>
      </c>
      <c r="R145">
        <v>27.21</v>
      </c>
      <c r="S145">
        <v>17.37</v>
      </c>
      <c r="T145">
        <v>2798.95</v>
      </c>
      <c r="U145">
        <v>0.64</v>
      </c>
      <c r="V145">
        <v>0.74</v>
      </c>
      <c r="W145">
        <v>1.1499999999999999</v>
      </c>
      <c r="X145">
        <v>0.17</v>
      </c>
      <c r="Y145">
        <v>1</v>
      </c>
      <c r="Z145">
        <v>10</v>
      </c>
    </row>
    <row r="146" spans="1:26" x14ac:dyDescent="0.3">
      <c r="A146">
        <v>37</v>
      </c>
      <c r="B146">
        <v>140</v>
      </c>
      <c r="C146" t="s">
        <v>26</v>
      </c>
      <c r="D146">
        <v>9.7141999999999999</v>
      </c>
      <c r="E146">
        <v>10.29</v>
      </c>
      <c r="F146">
        <v>6.87</v>
      </c>
      <c r="G146">
        <v>41.23</v>
      </c>
      <c r="H146">
        <v>0.62</v>
      </c>
      <c r="I146">
        <v>10</v>
      </c>
      <c r="J146">
        <v>292.49</v>
      </c>
      <c r="K146">
        <v>60.56</v>
      </c>
      <c r="L146">
        <v>10.25</v>
      </c>
      <c r="M146">
        <v>8</v>
      </c>
      <c r="N146">
        <v>81.680000000000007</v>
      </c>
      <c r="O146">
        <v>36307.879999999997</v>
      </c>
      <c r="P146">
        <v>116.77</v>
      </c>
      <c r="Q146">
        <v>204.14</v>
      </c>
      <c r="R146">
        <v>27.38</v>
      </c>
      <c r="S146">
        <v>17.37</v>
      </c>
      <c r="T146">
        <v>2882.32</v>
      </c>
      <c r="U146">
        <v>0.63</v>
      </c>
      <c r="V146">
        <v>0.74</v>
      </c>
      <c r="W146">
        <v>1.1499999999999999</v>
      </c>
      <c r="X146">
        <v>0.18</v>
      </c>
      <c r="Y146">
        <v>1</v>
      </c>
      <c r="Z146">
        <v>10</v>
      </c>
    </row>
    <row r="147" spans="1:26" x14ac:dyDescent="0.3">
      <c r="A147">
        <v>38</v>
      </c>
      <c r="B147">
        <v>140</v>
      </c>
      <c r="C147" t="s">
        <v>26</v>
      </c>
      <c r="D147">
        <v>9.7855000000000008</v>
      </c>
      <c r="E147">
        <v>10.220000000000001</v>
      </c>
      <c r="F147">
        <v>6.85</v>
      </c>
      <c r="G147">
        <v>45.65</v>
      </c>
      <c r="H147">
        <v>0.64</v>
      </c>
      <c r="I147">
        <v>9</v>
      </c>
      <c r="J147">
        <v>293</v>
      </c>
      <c r="K147">
        <v>60.56</v>
      </c>
      <c r="L147">
        <v>10.5</v>
      </c>
      <c r="M147">
        <v>7</v>
      </c>
      <c r="N147">
        <v>81.95</v>
      </c>
      <c r="O147">
        <v>36371.17</v>
      </c>
      <c r="P147">
        <v>116.22</v>
      </c>
      <c r="Q147">
        <v>204.19</v>
      </c>
      <c r="R147">
        <v>26.72</v>
      </c>
      <c r="S147">
        <v>17.37</v>
      </c>
      <c r="T147">
        <v>2554.92</v>
      </c>
      <c r="U147">
        <v>0.65</v>
      </c>
      <c r="V147">
        <v>0.75</v>
      </c>
      <c r="W147">
        <v>1.1499999999999999</v>
      </c>
      <c r="X147">
        <v>0.16</v>
      </c>
      <c r="Y147">
        <v>1</v>
      </c>
      <c r="Z147">
        <v>10</v>
      </c>
    </row>
    <row r="148" spans="1:26" x14ac:dyDescent="0.3">
      <c r="A148">
        <v>39</v>
      </c>
      <c r="B148">
        <v>140</v>
      </c>
      <c r="C148" t="s">
        <v>26</v>
      </c>
      <c r="D148">
        <v>9.7744</v>
      </c>
      <c r="E148">
        <v>10.23</v>
      </c>
      <c r="F148">
        <v>6.86</v>
      </c>
      <c r="G148">
        <v>45.73</v>
      </c>
      <c r="H148">
        <v>0.65</v>
      </c>
      <c r="I148">
        <v>9</v>
      </c>
      <c r="J148">
        <v>293.52</v>
      </c>
      <c r="K148">
        <v>60.56</v>
      </c>
      <c r="L148">
        <v>10.75</v>
      </c>
      <c r="M148">
        <v>7</v>
      </c>
      <c r="N148">
        <v>82.21</v>
      </c>
      <c r="O148">
        <v>36434.559999999998</v>
      </c>
      <c r="P148">
        <v>116.67</v>
      </c>
      <c r="Q148">
        <v>204.14</v>
      </c>
      <c r="R148">
        <v>27.12</v>
      </c>
      <c r="S148">
        <v>17.37</v>
      </c>
      <c r="T148">
        <v>2759.64</v>
      </c>
      <c r="U148">
        <v>0.64</v>
      </c>
      <c r="V148">
        <v>0.74</v>
      </c>
      <c r="W148">
        <v>1.1499999999999999</v>
      </c>
      <c r="X148">
        <v>0.17</v>
      </c>
      <c r="Y148">
        <v>1</v>
      </c>
      <c r="Z148">
        <v>10</v>
      </c>
    </row>
    <row r="149" spans="1:26" x14ac:dyDescent="0.3">
      <c r="A149">
        <v>40</v>
      </c>
      <c r="B149">
        <v>140</v>
      </c>
      <c r="C149" t="s">
        <v>26</v>
      </c>
      <c r="D149">
        <v>9.7789000000000001</v>
      </c>
      <c r="E149">
        <v>10.23</v>
      </c>
      <c r="F149">
        <v>6.86</v>
      </c>
      <c r="G149">
        <v>45.7</v>
      </c>
      <c r="H149">
        <v>0.67</v>
      </c>
      <c r="I149">
        <v>9</v>
      </c>
      <c r="J149">
        <v>294.02999999999997</v>
      </c>
      <c r="K149">
        <v>60.56</v>
      </c>
      <c r="L149">
        <v>11</v>
      </c>
      <c r="M149">
        <v>7</v>
      </c>
      <c r="N149">
        <v>82.48</v>
      </c>
      <c r="O149">
        <v>36498.06</v>
      </c>
      <c r="P149">
        <v>116.7</v>
      </c>
      <c r="Q149">
        <v>204.18</v>
      </c>
      <c r="R149">
        <v>26.89</v>
      </c>
      <c r="S149">
        <v>17.37</v>
      </c>
      <c r="T149">
        <v>2644.24</v>
      </c>
      <c r="U149">
        <v>0.65</v>
      </c>
      <c r="V149">
        <v>0.75</v>
      </c>
      <c r="W149">
        <v>1.1499999999999999</v>
      </c>
      <c r="X149">
        <v>0.16</v>
      </c>
      <c r="Y149">
        <v>1</v>
      </c>
      <c r="Z149">
        <v>10</v>
      </c>
    </row>
    <row r="150" spans="1:26" x14ac:dyDescent="0.3">
      <c r="A150">
        <v>41</v>
      </c>
      <c r="B150">
        <v>140</v>
      </c>
      <c r="C150" t="s">
        <v>26</v>
      </c>
      <c r="D150">
        <v>9.7799999999999994</v>
      </c>
      <c r="E150">
        <v>10.220000000000001</v>
      </c>
      <c r="F150">
        <v>6.85</v>
      </c>
      <c r="G150">
        <v>45.69</v>
      </c>
      <c r="H150">
        <v>0.68</v>
      </c>
      <c r="I150">
        <v>9</v>
      </c>
      <c r="J150">
        <v>294.55</v>
      </c>
      <c r="K150">
        <v>60.56</v>
      </c>
      <c r="L150">
        <v>11.25</v>
      </c>
      <c r="M150">
        <v>7</v>
      </c>
      <c r="N150">
        <v>82.74</v>
      </c>
      <c r="O150">
        <v>36561.67</v>
      </c>
      <c r="P150">
        <v>116.46</v>
      </c>
      <c r="Q150">
        <v>204.14</v>
      </c>
      <c r="R150">
        <v>26.94</v>
      </c>
      <c r="S150">
        <v>17.37</v>
      </c>
      <c r="T150">
        <v>2668.09</v>
      </c>
      <c r="U150">
        <v>0.64</v>
      </c>
      <c r="V150">
        <v>0.75</v>
      </c>
      <c r="W150">
        <v>1.1499999999999999</v>
      </c>
      <c r="X150">
        <v>0.16</v>
      </c>
      <c r="Y150">
        <v>1</v>
      </c>
      <c r="Z150">
        <v>10</v>
      </c>
    </row>
    <row r="151" spans="1:26" x14ac:dyDescent="0.3">
      <c r="A151">
        <v>42</v>
      </c>
      <c r="B151">
        <v>140</v>
      </c>
      <c r="C151" t="s">
        <v>26</v>
      </c>
      <c r="D151">
        <v>9.7722999999999995</v>
      </c>
      <c r="E151">
        <v>10.23</v>
      </c>
      <c r="F151">
        <v>6.86</v>
      </c>
      <c r="G151">
        <v>45.75</v>
      </c>
      <c r="H151">
        <v>0.69</v>
      </c>
      <c r="I151">
        <v>9</v>
      </c>
      <c r="J151">
        <v>295.06</v>
      </c>
      <c r="K151">
        <v>60.56</v>
      </c>
      <c r="L151">
        <v>11.5</v>
      </c>
      <c r="M151">
        <v>7</v>
      </c>
      <c r="N151">
        <v>83.01</v>
      </c>
      <c r="O151">
        <v>36625.39</v>
      </c>
      <c r="P151">
        <v>116.53</v>
      </c>
      <c r="Q151">
        <v>204.15</v>
      </c>
      <c r="R151">
        <v>27.19</v>
      </c>
      <c r="S151">
        <v>17.37</v>
      </c>
      <c r="T151">
        <v>2793.61</v>
      </c>
      <c r="U151">
        <v>0.64</v>
      </c>
      <c r="V151">
        <v>0.74</v>
      </c>
      <c r="W151">
        <v>1.1499999999999999</v>
      </c>
      <c r="X151">
        <v>0.17</v>
      </c>
      <c r="Y151">
        <v>1</v>
      </c>
      <c r="Z151">
        <v>10</v>
      </c>
    </row>
    <row r="152" spans="1:26" x14ac:dyDescent="0.3">
      <c r="A152">
        <v>43</v>
      </c>
      <c r="B152">
        <v>140</v>
      </c>
      <c r="C152" t="s">
        <v>26</v>
      </c>
      <c r="D152">
        <v>9.7802000000000007</v>
      </c>
      <c r="E152">
        <v>10.220000000000001</v>
      </c>
      <c r="F152">
        <v>6.85</v>
      </c>
      <c r="G152">
        <v>45.69</v>
      </c>
      <c r="H152">
        <v>0.71</v>
      </c>
      <c r="I152">
        <v>9</v>
      </c>
      <c r="J152">
        <v>295.58</v>
      </c>
      <c r="K152">
        <v>60.56</v>
      </c>
      <c r="L152">
        <v>11.75</v>
      </c>
      <c r="M152">
        <v>7</v>
      </c>
      <c r="N152">
        <v>83.28</v>
      </c>
      <c r="O152">
        <v>36689.22</v>
      </c>
      <c r="P152">
        <v>116.18</v>
      </c>
      <c r="Q152">
        <v>204.14</v>
      </c>
      <c r="R152">
        <v>26.86</v>
      </c>
      <c r="S152">
        <v>17.37</v>
      </c>
      <c r="T152">
        <v>2628.47</v>
      </c>
      <c r="U152">
        <v>0.65</v>
      </c>
      <c r="V152">
        <v>0.75</v>
      </c>
      <c r="W152">
        <v>1.1499999999999999</v>
      </c>
      <c r="X152">
        <v>0.16</v>
      </c>
      <c r="Y152">
        <v>1</v>
      </c>
      <c r="Z152">
        <v>10</v>
      </c>
    </row>
    <row r="153" spans="1:26" x14ac:dyDescent="0.3">
      <c r="A153">
        <v>44</v>
      </c>
      <c r="B153">
        <v>140</v>
      </c>
      <c r="C153" t="s">
        <v>26</v>
      </c>
      <c r="D153">
        <v>9.8529999999999998</v>
      </c>
      <c r="E153">
        <v>10.15</v>
      </c>
      <c r="F153">
        <v>6.83</v>
      </c>
      <c r="G153">
        <v>51.23</v>
      </c>
      <c r="H153">
        <v>0.72</v>
      </c>
      <c r="I153">
        <v>8</v>
      </c>
      <c r="J153">
        <v>296.10000000000002</v>
      </c>
      <c r="K153">
        <v>60.56</v>
      </c>
      <c r="L153">
        <v>12</v>
      </c>
      <c r="M153">
        <v>6</v>
      </c>
      <c r="N153">
        <v>83.54</v>
      </c>
      <c r="O153">
        <v>36753.160000000003</v>
      </c>
      <c r="P153">
        <v>115.79</v>
      </c>
      <c r="Q153">
        <v>204.2</v>
      </c>
      <c r="R153">
        <v>26.17</v>
      </c>
      <c r="S153">
        <v>17.37</v>
      </c>
      <c r="T153">
        <v>2287.27</v>
      </c>
      <c r="U153">
        <v>0.66</v>
      </c>
      <c r="V153">
        <v>0.75</v>
      </c>
      <c r="W153">
        <v>1.1499999999999999</v>
      </c>
      <c r="X153">
        <v>0.14000000000000001</v>
      </c>
      <c r="Y153">
        <v>1</v>
      </c>
      <c r="Z153">
        <v>10</v>
      </c>
    </row>
    <row r="154" spans="1:26" x14ac:dyDescent="0.3">
      <c r="A154">
        <v>45</v>
      </c>
      <c r="B154">
        <v>140</v>
      </c>
      <c r="C154" t="s">
        <v>26</v>
      </c>
      <c r="D154">
        <v>9.8633000000000006</v>
      </c>
      <c r="E154">
        <v>10.14</v>
      </c>
      <c r="F154">
        <v>6.82</v>
      </c>
      <c r="G154">
        <v>51.15</v>
      </c>
      <c r="H154">
        <v>0.74</v>
      </c>
      <c r="I154">
        <v>8</v>
      </c>
      <c r="J154">
        <v>296.62</v>
      </c>
      <c r="K154">
        <v>60.56</v>
      </c>
      <c r="L154">
        <v>12.25</v>
      </c>
      <c r="M154">
        <v>6</v>
      </c>
      <c r="N154">
        <v>83.81</v>
      </c>
      <c r="O154">
        <v>36817.22</v>
      </c>
      <c r="P154">
        <v>115.53</v>
      </c>
      <c r="Q154">
        <v>204.14</v>
      </c>
      <c r="R154">
        <v>25.89</v>
      </c>
      <c r="S154">
        <v>17.37</v>
      </c>
      <c r="T154">
        <v>2147.2399999999998</v>
      </c>
      <c r="U154">
        <v>0.67</v>
      </c>
      <c r="V154">
        <v>0.75</v>
      </c>
      <c r="W154">
        <v>1.1499999999999999</v>
      </c>
      <c r="X154">
        <v>0.13</v>
      </c>
      <c r="Y154">
        <v>1</v>
      </c>
      <c r="Z154">
        <v>10</v>
      </c>
    </row>
    <row r="155" spans="1:26" x14ac:dyDescent="0.3">
      <c r="A155">
        <v>46</v>
      </c>
      <c r="B155">
        <v>140</v>
      </c>
      <c r="C155" t="s">
        <v>26</v>
      </c>
      <c r="D155">
        <v>9.8583999999999996</v>
      </c>
      <c r="E155">
        <v>10.14</v>
      </c>
      <c r="F155">
        <v>6.82</v>
      </c>
      <c r="G155">
        <v>51.19</v>
      </c>
      <c r="H155">
        <v>0.75</v>
      </c>
      <c r="I155">
        <v>8</v>
      </c>
      <c r="J155">
        <v>297.14</v>
      </c>
      <c r="K155">
        <v>60.56</v>
      </c>
      <c r="L155">
        <v>12.5</v>
      </c>
      <c r="M155">
        <v>6</v>
      </c>
      <c r="N155">
        <v>84.08</v>
      </c>
      <c r="O155">
        <v>36881.39</v>
      </c>
      <c r="P155">
        <v>115.51</v>
      </c>
      <c r="Q155">
        <v>204.15</v>
      </c>
      <c r="R155">
        <v>25.89</v>
      </c>
      <c r="S155">
        <v>17.37</v>
      </c>
      <c r="T155">
        <v>2149.06</v>
      </c>
      <c r="U155">
        <v>0.67</v>
      </c>
      <c r="V155">
        <v>0.75</v>
      </c>
      <c r="W155">
        <v>1.1499999999999999</v>
      </c>
      <c r="X155">
        <v>0.13</v>
      </c>
      <c r="Y155">
        <v>1</v>
      </c>
      <c r="Z155">
        <v>10</v>
      </c>
    </row>
    <row r="156" spans="1:26" x14ac:dyDescent="0.3">
      <c r="A156">
        <v>47</v>
      </c>
      <c r="B156">
        <v>140</v>
      </c>
      <c r="C156" t="s">
        <v>26</v>
      </c>
      <c r="D156">
        <v>9.8503000000000007</v>
      </c>
      <c r="E156">
        <v>10.15</v>
      </c>
      <c r="F156">
        <v>6.83</v>
      </c>
      <c r="G156">
        <v>51.25</v>
      </c>
      <c r="H156">
        <v>0.76</v>
      </c>
      <c r="I156">
        <v>8</v>
      </c>
      <c r="J156">
        <v>297.66000000000003</v>
      </c>
      <c r="K156">
        <v>60.56</v>
      </c>
      <c r="L156">
        <v>12.75</v>
      </c>
      <c r="M156">
        <v>6</v>
      </c>
      <c r="N156">
        <v>84.36</v>
      </c>
      <c r="O156">
        <v>36945.67</v>
      </c>
      <c r="P156">
        <v>115.52</v>
      </c>
      <c r="Q156">
        <v>204.14</v>
      </c>
      <c r="R156">
        <v>26.34</v>
      </c>
      <c r="S156">
        <v>17.37</v>
      </c>
      <c r="T156">
        <v>2370.77</v>
      </c>
      <c r="U156">
        <v>0.66</v>
      </c>
      <c r="V156">
        <v>0.75</v>
      </c>
      <c r="W156">
        <v>1.1499999999999999</v>
      </c>
      <c r="X156">
        <v>0.14000000000000001</v>
      </c>
      <c r="Y156">
        <v>1</v>
      </c>
      <c r="Z156">
        <v>10</v>
      </c>
    </row>
    <row r="157" spans="1:26" x14ac:dyDescent="0.3">
      <c r="A157">
        <v>48</v>
      </c>
      <c r="B157">
        <v>140</v>
      </c>
      <c r="C157" t="s">
        <v>26</v>
      </c>
      <c r="D157">
        <v>9.8565000000000005</v>
      </c>
      <c r="E157">
        <v>10.15</v>
      </c>
      <c r="F157">
        <v>6.83</v>
      </c>
      <c r="G157">
        <v>51.2</v>
      </c>
      <c r="H157">
        <v>0.78</v>
      </c>
      <c r="I157">
        <v>8</v>
      </c>
      <c r="J157">
        <v>298.18</v>
      </c>
      <c r="K157">
        <v>60.56</v>
      </c>
      <c r="L157">
        <v>13</v>
      </c>
      <c r="M157">
        <v>6</v>
      </c>
      <c r="N157">
        <v>84.63</v>
      </c>
      <c r="O157">
        <v>37010.06</v>
      </c>
      <c r="P157">
        <v>115.37</v>
      </c>
      <c r="Q157">
        <v>204.14</v>
      </c>
      <c r="R157">
        <v>26.14</v>
      </c>
      <c r="S157">
        <v>17.37</v>
      </c>
      <c r="T157">
        <v>2271.29</v>
      </c>
      <c r="U157">
        <v>0.66</v>
      </c>
      <c r="V157">
        <v>0.75</v>
      </c>
      <c r="W157">
        <v>1.1499999999999999</v>
      </c>
      <c r="X157">
        <v>0.14000000000000001</v>
      </c>
      <c r="Y157">
        <v>1</v>
      </c>
      <c r="Z157">
        <v>10</v>
      </c>
    </row>
    <row r="158" spans="1:26" x14ac:dyDescent="0.3">
      <c r="A158">
        <v>49</v>
      </c>
      <c r="B158">
        <v>140</v>
      </c>
      <c r="C158" t="s">
        <v>26</v>
      </c>
      <c r="D158">
        <v>9.8595000000000006</v>
      </c>
      <c r="E158">
        <v>10.14</v>
      </c>
      <c r="F158">
        <v>6.82</v>
      </c>
      <c r="G158">
        <v>51.18</v>
      </c>
      <c r="H158">
        <v>0.79</v>
      </c>
      <c r="I158">
        <v>8</v>
      </c>
      <c r="J158">
        <v>298.70999999999998</v>
      </c>
      <c r="K158">
        <v>60.56</v>
      </c>
      <c r="L158">
        <v>13.25</v>
      </c>
      <c r="M158">
        <v>6</v>
      </c>
      <c r="N158">
        <v>84.9</v>
      </c>
      <c r="O158">
        <v>37074.57</v>
      </c>
      <c r="P158">
        <v>115.28</v>
      </c>
      <c r="Q158">
        <v>204.14</v>
      </c>
      <c r="R158">
        <v>25.96</v>
      </c>
      <c r="S158">
        <v>17.37</v>
      </c>
      <c r="T158">
        <v>2184.6999999999998</v>
      </c>
      <c r="U158">
        <v>0.67</v>
      </c>
      <c r="V158">
        <v>0.75</v>
      </c>
      <c r="W158">
        <v>1.1499999999999999</v>
      </c>
      <c r="X158">
        <v>0.13</v>
      </c>
      <c r="Y158">
        <v>1</v>
      </c>
      <c r="Z158">
        <v>10</v>
      </c>
    </row>
    <row r="159" spans="1:26" x14ac:dyDescent="0.3">
      <c r="A159">
        <v>50</v>
      </c>
      <c r="B159">
        <v>140</v>
      </c>
      <c r="C159" t="s">
        <v>26</v>
      </c>
      <c r="D159">
        <v>9.8536000000000001</v>
      </c>
      <c r="E159">
        <v>10.15</v>
      </c>
      <c r="F159">
        <v>6.83</v>
      </c>
      <c r="G159">
        <v>51.22</v>
      </c>
      <c r="H159">
        <v>0.8</v>
      </c>
      <c r="I159">
        <v>8</v>
      </c>
      <c r="J159">
        <v>299.23</v>
      </c>
      <c r="K159">
        <v>60.56</v>
      </c>
      <c r="L159">
        <v>13.5</v>
      </c>
      <c r="M159">
        <v>6</v>
      </c>
      <c r="N159">
        <v>85.18</v>
      </c>
      <c r="O159">
        <v>37139.199999999997</v>
      </c>
      <c r="P159">
        <v>115.17</v>
      </c>
      <c r="Q159">
        <v>204.14</v>
      </c>
      <c r="R159">
        <v>26.16</v>
      </c>
      <c r="S159">
        <v>17.37</v>
      </c>
      <c r="T159">
        <v>2281.91</v>
      </c>
      <c r="U159">
        <v>0.66</v>
      </c>
      <c r="V159">
        <v>0.75</v>
      </c>
      <c r="W159">
        <v>1.1499999999999999</v>
      </c>
      <c r="X159">
        <v>0.14000000000000001</v>
      </c>
      <c r="Y159">
        <v>1</v>
      </c>
      <c r="Z159">
        <v>10</v>
      </c>
    </row>
    <row r="160" spans="1:26" x14ac:dyDescent="0.3">
      <c r="A160">
        <v>51</v>
      </c>
      <c r="B160">
        <v>140</v>
      </c>
      <c r="C160" t="s">
        <v>26</v>
      </c>
      <c r="D160">
        <v>9.9305000000000003</v>
      </c>
      <c r="E160">
        <v>10.07</v>
      </c>
      <c r="F160">
        <v>6.8</v>
      </c>
      <c r="G160">
        <v>58.31</v>
      </c>
      <c r="H160">
        <v>0.82</v>
      </c>
      <c r="I160">
        <v>7</v>
      </c>
      <c r="J160">
        <v>299.76</v>
      </c>
      <c r="K160">
        <v>60.56</v>
      </c>
      <c r="L160">
        <v>13.75</v>
      </c>
      <c r="M160">
        <v>5</v>
      </c>
      <c r="N160">
        <v>85.45</v>
      </c>
      <c r="O160">
        <v>37204.07</v>
      </c>
      <c r="P160">
        <v>114.6</v>
      </c>
      <c r="Q160">
        <v>204.14</v>
      </c>
      <c r="R160">
        <v>25.28</v>
      </c>
      <c r="S160">
        <v>17.37</v>
      </c>
      <c r="T160">
        <v>1845.12</v>
      </c>
      <c r="U160">
        <v>0.69</v>
      </c>
      <c r="V160">
        <v>0.75</v>
      </c>
      <c r="W160">
        <v>1.1499999999999999</v>
      </c>
      <c r="X160">
        <v>0.11</v>
      </c>
      <c r="Y160">
        <v>1</v>
      </c>
      <c r="Z160">
        <v>10</v>
      </c>
    </row>
    <row r="161" spans="1:26" x14ac:dyDescent="0.3">
      <c r="A161">
        <v>52</v>
      </c>
      <c r="B161">
        <v>140</v>
      </c>
      <c r="C161" t="s">
        <v>26</v>
      </c>
      <c r="D161">
        <v>9.9309999999999992</v>
      </c>
      <c r="E161">
        <v>10.07</v>
      </c>
      <c r="F161">
        <v>6.8</v>
      </c>
      <c r="G161">
        <v>58.31</v>
      </c>
      <c r="H161">
        <v>0.83</v>
      </c>
      <c r="I161">
        <v>7</v>
      </c>
      <c r="J161">
        <v>300.27999999999997</v>
      </c>
      <c r="K161">
        <v>60.56</v>
      </c>
      <c r="L161">
        <v>14</v>
      </c>
      <c r="M161">
        <v>5</v>
      </c>
      <c r="N161">
        <v>85.73</v>
      </c>
      <c r="O161">
        <v>37268.93</v>
      </c>
      <c r="P161">
        <v>114.81</v>
      </c>
      <c r="Q161">
        <v>204.15</v>
      </c>
      <c r="R161">
        <v>25.29</v>
      </c>
      <c r="S161">
        <v>17.37</v>
      </c>
      <c r="T161">
        <v>1851.66</v>
      </c>
      <c r="U161">
        <v>0.69</v>
      </c>
      <c r="V161">
        <v>0.75</v>
      </c>
      <c r="W161">
        <v>1.1499999999999999</v>
      </c>
      <c r="X161">
        <v>0.11</v>
      </c>
      <c r="Y161">
        <v>1</v>
      </c>
      <c r="Z161">
        <v>10</v>
      </c>
    </row>
    <row r="162" spans="1:26" x14ac:dyDescent="0.3">
      <c r="A162">
        <v>53</v>
      </c>
      <c r="B162">
        <v>140</v>
      </c>
      <c r="C162" t="s">
        <v>26</v>
      </c>
      <c r="D162">
        <v>9.9275000000000002</v>
      </c>
      <c r="E162">
        <v>10.07</v>
      </c>
      <c r="F162">
        <v>6.81</v>
      </c>
      <c r="G162">
        <v>58.34</v>
      </c>
      <c r="H162">
        <v>0.84</v>
      </c>
      <c r="I162">
        <v>7</v>
      </c>
      <c r="J162">
        <v>300.81</v>
      </c>
      <c r="K162">
        <v>60.56</v>
      </c>
      <c r="L162">
        <v>14.25</v>
      </c>
      <c r="M162">
        <v>5</v>
      </c>
      <c r="N162">
        <v>86</v>
      </c>
      <c r="O162">
        <v>37333.9</v>
      </c>
      <c r="P162">
        <v>114.98</v>
      </c>
      <c r="Q162">
        <v>204.15</v>
      </c>
      <c r="R162">
        <v>25.41</v>
      </c>
      <c r="S162">
        <v>17.37</v>
      </c>
      <c r="T162">
        <v>1914.2</v>
      </c>
      <c r="U162">
        <v>0.68</v>
      </c>
      <c r="V162">
        <v>0.75</v>
      </c>
      <c r="W162">
        <v>1.1499999999999999</v>
      </c>
      <c r="X162">
        <v>0.12</v>
      </c>
      <c r="Y162">
        <v>1</v>
      </c>
      <c r="Z162">
        <v>10</v>
      </c>
    </row>
    <row r="163" spans="1:26" x14ac:dyDescent="0.3">
      <c r="A163">
        <v>54</v>
      </c>
      <c r="B163">
        <v>140</v>
      </c>
      <c r="C163" t="s">
        <v>26</v>
      </c>
      <c r="D163">
        <v>9.9329999999999998</v>
      </c>
      <c r="E163">
        <v>10.07</v>
      </c>
      <c r="F163">
        <v>6.8</v>
      </c>
      <c r="G163">
        <v>58.29</v>
      </c>
      <c r="H163">
        <v>0.86</v>
      </c>
      <c r="I163">
        <v>7</v>
      </c>
      <c r="J163">
        <v>301.33999999999997</v>
      </c>
      <c r="K163">
        <v>60.56</v>
      </c>
      <c r="L163">
        <v>14.5</v>
      </c>
      <c r="M163">
        <v>5</v>
      </c>
      <c r="N163">
        <v>86.28</v>
      </c>
      <c r="O163">
        <v>37399</v>
      </c>
      <c r="P163">
        <v>115.05</v>
      </c>
      <c r="Q163">
        <v>204.14</v>
      </c>
      <c r="R163">
        <v>25.23</v>
      </c>
      <c r="S163">
        <v>17.37</v>
      </c>
      <c r="T163">
        <v>1822.18</v>
      </c>
      <c r="U163">
        <v>0.69</v>
      </c>
      <c r="V163">
        <v>0.75</v>
      </c>
      <c r="W163">
        <v>1.1499999999999999</v>
      </c>
      <c r="X163">
        <v>0.11</v>
      </c>
      <c r="Y163">
        <v>1</v>
      </c>
      <c r="Z163">
        <v>10</v>
      </c>
    </row>
    <row r="164" spans="1:26" x14ac:dyDescent="0.3">
      <c r="A164">
        <v>55</v>
      </c>
      <c r="B164">
        <v>140</v>
      </c>
      <c r="C164" t="s">
        <v>26</v>
      </c>
      <c r="D164">
        <v>9.9212000000000007</v>
      </c>
      <c r="E164">
        <v>10.08</v>
      </c>
      <c r="F164">
        <v>6.81</v>
      </c>
      <c r="G164">
        <v>58.4</v>
      </c>
      <c r="H164">
        <v>0.87</v>
      </c>
      <c r="I164">
        <v>7</v>
      </c>
      <c r="J164">
        <v>301.86</v>
      </c>
      <c r="K164">
        <v>60.56</v>
      </c>
      <c r="L164">
        <v>14.75</v>
      </c>
      <c r="M164">
        <v>5</v>
      </c>
      <c r="N164">
        <v>86.56</v>
      </c>
      <c r="O164">
        <v>37464.21</v>
      </c>
      <c r="P164">
        <v>115.17</v>
      </c>
      <c r="Q164">
        <v>204.18</v>
      </c>
      <c r="R164">
        <v>25.66</v>
      </c>
      <c r="S164">
        <v>17.37</v>
      </c>
      <c r="T164">
        <v>2039.55</v>
      </c>
      <c r="U164">
        <v>0.68</v>
      </c>
      <c r="V164">
        <v>0.75</v>
      </c>
      <c r="W164">
        <v>1.1499999999999999</v>
      </c>
      <c r="X164">
        <v>0.12</v>
      </c>
      <c r="Y164">
        <v>1</v>
      </c>
      <c r="Z164">
        <v>10</v>
      </c>
    </row>
    <row r="165" spans="1:26" x14ac:dyDescent="0.3">
      <c r="A165">
        <v>56</v>
      </c>
      <c r="B165">
        <v>140</v>
      </c>
      <c r="C165" t="s">
        <v>26</v>
      </c>
      <c r="D165">
        <v>9.9228000000000005</v>
      </c>
      <c r="E165">
        <v>10.08</v>
      </c>
      <c r="F165">
        <v>6.81</v>
      </c>
      <c r="G165">
        <v>58.38</v>
      </c>
      <c r="H165">
        <v>0.88</v>
      </c>
      <c r="I165">
        <v>7</v>
      </c>
      <c r="J165">
        <v>302.39</v>
      </c>
      <c r="K165">
        <v>60.56</v>
      </c>
      <c r="L165">
        <v>15</v>
      </c>
      <c r="M165">
        <v>5</v>
      </c>
      <c r="N165">
        <v>86.84</v>
      </c>
      <c r="O165">
        <v>37529.550000000003</v>
      </c>
      <c r="P165">
        <v>115.12</v>
      </c>
      <c r="Q165">
        <v>204.14</v>
      </c>
      <c r="R165">
        <v>25.57</v>
      </c>
      <c r="S165">
        <v>17.37</v>
      </c>
      <c r="T165">
        <v>1990.28</v>
      </c>
      <c r="U165">
        <v>0.68</v>
      </c>
      <c r="V165">
        <v>0.75</v>
      </c>
      <c r="W165">
        <v>1.1499999999999999</v>
      </c>
      <c r="X165">
        <v>0.12</v>
      </c>
      <c r="Y165">
        <v>1</v>
      </c>
      <c r="Z165">
        <v>10</v>
      </c>
    </row>
    <row r="166" spans="1:26" x14ac:dyDescent="0.3">
      <c r="A166">
        <v>57</v>
      </c>
      <c r="B166">
        <v>140</v>
      </c>
      <c r="C166" t="s">
        <v>26</v>
      </c>
      <c r="D166">
        <v>9.9192999999999998</v>
      </c>
      <c r="E166">
        <v>10.08</v>
      </c>
      <c r="F166">
        <v>6.81</v>
      </c>
      <c r="G166">
        <v>58.41</v>
      </c>
      <c r="H166">
        <v>0.9</v>
      </c>
      <c r="I166">
        <v>7</v>
      </c>
      <c r="J166">
        <v>302.92</v>
      </c>
      <c r="K166">
        <v>60.56</v>
      </c>
      <c r="L166">
        <v>15.25</v>
      </c>
      <c r="M166">
        <v>5</v>
      </c>
      <c r="N166">
        <v>87.12</v>
      </c>
      <c r="O166">
        <v>37595</v>
      </c>
      <c r="P166">
        <v>115.02</v>
      </c>
      <c r="Q166">
        <v>204.16</v>
      </c>
      <c r="R166">
        <v>25.63</v>
      </c>
      <c r="S166">
        <v>17.37</v>
      </c>
      <c r="T166">
        <v>2021.1</v>
      </c>
      <c r="U166">
        <v>0.68</v>
      </c>
      <c r="V166">
        <v>0.75</v>
      </c>
      <c r="W166">
        <v>1.1499999999999999</v>
      </c>
      <c r="X166">
        <v>0.12</v>
      </c>
      <c r="Y166">
        <v>1</v>
      </c>
      <c r="Z166">
        <v>10</v>
      </c>
    </row>
    <row r="167" spans="1:26" x14ac:dyDescent="0.3">
      <c r="A167">
        <v>58</v>
      </c>
      <c r="B167">
        <v>140</v>
      </c>
      <c r="C167" t="s">
        <v>26</v>
      </c>
      <c r="D167">
        <v>9.9176000000000002</v>
      </c>
      <c r="E167">
        <v>10.08</v>
      </c>
      <c r="F167">
        <v>6.82</v>
      </c>
      <c r="G167">
        <v>58.43</v>
      </c>
      <c r="H167">
        <v>0.91</v>
      </c>
      <c r="I167">
        <v>7</v>
      </c>
      <c r="J167">
        <v>303.45999999999998</v>
      </c>
      <c r="K167">
        <v>60.56</v>
      </c>
      <c r="L167">
        <v>15.5</v>
      </c>
      <c r="M167">
        <v>5</v>
      </c>
      <c r="N167">
        <v>87.4</v>
      </c>
      <c r="O167">
        <v>37660.57</v>
      </c>
      <c r="P167">
        <v>114.87</v>
      </c>
      <c r="Q167">
        <v>204.14</v>
      </c>
      <c r="R167">
        <v>25.66</v>
      </c>
      <c r="S167">
        <v>17.37</v>
      </c>
      <c r="T167">
        <v>2035.34</v>
      </c>
      <c r="U167">
        <v>0.68</v>
      </c>
      <c r="V167">
        <v>0.75</v>
      </c>
      <c r="W167">
        <v>1.1499999999999999</v>
      </c>
      <c r="X167">
        <v>0.12</v>
      </c>
      <c r="Y167">
        <v>1</v>
      </c>
      <c r="Z167">
        <v>10</v>
      </c>
    </row>
    <row r="168" spans="1:26" x14ac:dyDescent="0.3">
      <c r="A168">
        <v>59</v>
      </c>
      <c r="B168">
        <v>140</v>
      </c>
      <c r="C168" t="s">
        <v>26</v>
      </c>
      <c r="D168">
        <v>9.9192999999999998</v>
      </c>
      <c r="E168">
        <v>10.08</v>
      </c>
      <c r="F168">
        <v>6.81</v>
      </c>
      <c r="G168">
        <v>58.41</v>
      </c>
      <c r="H168">
        <v>0.92</v>
      </c>
      <c r="I168">
        <v>7</v>
      </c>
      <c r="J168">
        <v>303.99</v>
      </c>
      <c r="K168">
        <v>60.56</v>
      </c>
      <c r="L168">
        <v>15.75</v>
      </c>
      <c r="M168">
        <v>5</v>
      </c>
      <c r="N168">
        <v>87.68</v>
      </c>
      <c r="O168">
        <v>37726.269999999997</v>
      </c>
      <c r="P168">
        <v>114.73</v>
      </c>
      <c r="Q168">
        <v>204.14</v>
      </c>
      <c r="R168">
        <v>25.77</v>
      </c>
      <c r="S168">
        <v>17.37</v>
      </c>
      <c r="T168">
        <v>2094.14</v>
      </c>
      <c r="U168">
        <v>0.67</v>
      </c>
      <c r="V168">
        <v>0.75</v>
      </c>
      <c r="W168">
        <v>1.1499999999999999</v>
      </c>
      <c r="X168">
        <v>0.12</v>
      </c>
      <c r="Y168">
        <v>1</v>
      </c>
      <c r="Z168">
        <v>10</v>
      </c>
    </row>
    <row r="169" spans="1:26" x14ac:dyDescent="0.3">
      <c r="A169">
        <v>60</v>
      </c>
      <c r="B169">
        <v>140</v>
      </c>
      <c r="C169" t="s">
        <v>26</v>
      </c>
      <c r="D169">
        <v>9.9212000000000007</v>
      </c>
      <c r="E169">
        <v>10.08</v>
      </c>
      <c r="F169">
        <v>6.81</v>
      </c>
      <c r="G169">
        <v>58.4</v>
      </c>
      <c r="H169">
        <v>0.94</v>
      </c>
      <c r="I169">
        <v>7</v>
      </c>
      <c r="J169">
        <v>304.52</v>
      </c>
      <c r="K169">
        <v>60.56</v>
      </c>
      <c r="L169">
        <v>16</v>
      </c>
      <c r="M169">
        <v>5</v>
      </c>
      <c r="N169">
        <v>87.97</v>
      </c>
      <c r="O169">
        <v>37792.080000000002</v>
      </c>
      <c r="P169">
        <v>114.56</v>
      </c>
      <c r="Q169">
        <v>204.16</v>
      </c>
      <c r="R169">
        <v>25.67</v>
      </c>
      <c r="S169">
        <v>17.37</v>
      </c>
      <c r="T169">
        <v>2044.74</v>
      </c>
      <c r="U169">
        <v>0.68</v>
      </c>
      <c r="V169">
        <v>0.75</v>
      </c>
      <c r="W169">
        <v>1.1499999999999999</v>
      </c>
      <c r="X169">
        <v>0.12</v>
      </c>
      <c r="Y169">
        <v>1</v>
      </c>
      <c r="Z169">
        <v>10</v>
      </c>
    </row>
    <row r="170" spans="1:26" x14ac:dyDescent="0.3">
      <c r="A170">
        <v>61</v>
      </c>
      <c r="B170">
        <v>140</v>
      </c>
      <c r="C170" t="s">
        <v>26</v>
      </c>
      <c r="D170">
        <v>9.9285999999999994</v>
      </c>
      <c r="E170">
        <v>10.07</v>
      </c>
      <c r="F170">
        <v>6.81</v>
      </c>
      <c r="G170">
        <v>58.33</v>
      </c>
      <c r="H170">
        <v>0.95</v>
      </c>
      <c r="I170">
        <v>7</v>
      </c>
      <c r="J170">
        <v>305.06</v>
      </c>
      <c r="K170">
        <v>60.56</v>
      </c>
      <c r="L170">
        <v>16.25</v>
      </c>
      <c r="M170">
        <v>5</v>
      </c>
      <c r="N170">
        <v>88.25</v>
      </c>
      <c r="O170">
        <v>37858.019999999997</v>
      </c>
      <c r="P170">
        <v>114.23</v>
      </c>
      <c r="Q170">
        <v>204.17</v>
      </c>
      <c r="R170">
        <v>25.42</v>
      </c>
      <c r="S170">
        <v>17.37</v>
      </c>
      <c r="T170">
        <v>1915</v>
      </c>
      <c r="U170">
        <v>0.68</v>
      </c>
      <c r="V170">
        <v>0.75</v>
      </c>
      <c r="W170">
        <v>1.1499999999999999</v>
      </c>
      <c r="X170">
        <v>0.11</v>
      </c>
      <c r="Y170">
        <v>1</v>
      </c>
      <c r="Z170">
        <v>10</v>
      </c>
    </row>
    <row r="171" spans="1:26" x14ac:dyDescent="0.3">
      <c r="A171">
        <v>62</v>
      </c>
      <c r="B171">
        <v>140</v>
      </c>
      <c r="C171" t="s">
        <v>26</v>
      </c>
      <c r="D171">
        <v>10.0017</v>
      </c>
      <c r="E171">
        <v>10</v>
      </c>
      <c r="F171">
        <v>6.78</v>
      </c>
      <c r="G171">
        <v>67.84</v>
      </c>
      <c r="H171">
        <v>0.96</v>
      </c>
      <c r="I171">
        <v>6</v>
      </c>
      <c r="J171">
        <v>305.58999999999997</v>
      </c>
      <c r="K171">
        <v>60.56</v>
      </c>
      <c r="L171">
        <v>16.5</v>
      </c>
      <c r="M171">
        <v>4</v>
      </c>
      <c r="N171">
        <v>88.54</v>
      </c>
      <c r="O171">
        <v>37924.080000000002</v>
      </c>
      <c r="P171">
        <v>113.84</v>
      </c>
      <c r="Q171">
        <v>204.14</v>
      </c>
      <c r="R171">
        <v>24.7</v>
      </c>
      <c r="S171">
        <v>17.37</v>
      </c>
      <c r="T171">
        <v>1562.12</v>
      </c>
      <c r="U171">
        <v>0.7</v>
      </c>
      <c r="V171">
        <v>0.75</v>
      </c>
      <c r="W171">
        <v>1.1499999999999999</v>
      </c>
      <c r="X171">
        <v>0.09</v>
      </c>
      <c r="Y171">
        <v>1</v>
      </c>
      <c r="Z171">
        <v>10</v>
      </c>
    </row>
    <row r="172" spans="1:26" x14ac:dyDescent="0.3">
      <c r="A172">
        <v>63</v>
      </c>
      <c r="B172">
        <v>140</v>
      </c>
      <c r="C172" t="s">
        <v>26</v>
      </c>
      <c r="D172">
        <v>9.9975000000000005</v>
      </c>
      <c r="E172">
        <v>10</v>
      </c>
      <c r="F172">
        <v>6.79</v>
      </c>
      <c r="G172">
        <v>67.88</v>
      </c>
      <c r="H172">
        <v>0.97</v>
      </c>
      <c r="I172">
        <v>6</v>
      </c>
      <c r="J172">
        <v>306.13</v>
      </c>
      <c r="K172">
        <v>60.56</v>
      </c>
      <c r="L172">
        <v>16.75</v>
      </c>
      <c r="M172">
        <v>4</v>
      </c>
      <c r="N172">
        <v>88.83</v>
      </c>
      <c r="O172">
        <v>37990.269999999997</v>
      </c>
      <c r="P172">
        <v>113.99</v>
      </c>
      <c r="Q172">
        <v>204.14</v>
      </c>
      <c r="R172">
        <v>24.79</v>
      </c>
      <c r="S172">
        <v>17.37</v>
      </c>
      <c r="T172">
        <v>1605.45</v>
      </c>
      <c r="U172">
        <v>0.7</v>
      </c>
      <c r="V172">
        <v>0.75</v>
      </c>
      <c r="W172">
        <v>1.1499999999999999</v>
      </c>
      <c r="X172">
        <v>0.1</v>
      </c>
      <c r="Y172">
        <v>1</v>
      </c>
      <c r="Z172">
        <v>10</v>
      </c>
    </row>
    <row r="173" spans="1:26" x14ac:dyDescent="0.3">
      <c r="A173">
        <v>64</v>
      </c>
      <c r="B173">
        <v>140</v>
      </c>
      <c r="C173" t="s">
        <v>26</v>
      </c>
      <c r="D173">
        <v>9.9992000000000001</v>
      </c>
      <c r="E173">
        <v>10</v>
      </c>
      <c r="F173">
        <v>6.79</v>
      </c>
      <c r="G173">
        <v>67.86</v>
      </c>
      <c r="H173">
        <v>0.99</v>
      </c>
      <c r="I173">
        <v>6</v>
      </c>
      <c r="J173">
        <v>306.67</v>
      </c>
      <c r="K173">
        <v>60.56</v>
      </c>
      <c r="L173">
        <v>17</v>
      </c>
      <c r="M173">
        <v>4</v>
      </c>
      <c r="N173">
        <v>89.11</v>
      </c>
      <c r="O173">
        <v>38056.58</v>
      </c>
      <c r="P173">
        <v>113.97</v>
      </c>
      <c r="Q173">
        <v>204.14</v>
      </c>
      <c r="R173">
        <v>24.87</v>
      </c>
      <c r="S173">
        <v>17.37</v>
      </c>
      <c r="T173">
        <v>1649.13</v>
      </c>
      <c r="U173">
        <v>0.7</v>
      </c>
      <c r="V173">
        <v>0.75</v>
      </c>
      <c r="W173">
        <v>1.1399999999999999</v>
      </c>
      <c r="X173">
        <v>0.1</v>
      </c>
      <c r="Y173">
        <v>1</v>
      </c>
      <c r="Z173">
        <v>10</v>
      </c>
    </row>
    <row r="174" spans="1:26" x14ac:dyDescent="0.3">
      <c r="A174">
        <v>65</v>
      </c>
      <c r="B174">
        <v>140</v>
      </c>
      <c r="C174" t="s">
        <v>26</v>
      </c>
      <c r="D174">
        <v>9.9971999999999994</v>
      </c>
      <c r="E174">
        <v>10</v>
      </c>
      <c r="F174">
        <v>6.79</v>
      </c>
      <c r="G174">
        <v>67.88</v>
      </c>
      <c r="H174">
        <v>1</v>
      </c>
      <c r="I174">
        <v>6</v>
      </c>
      <c r="J174">
        <v>307.20999999999998</v>
      </c>
      <c r="K174">
        <v>60.56</v>
      </c>
      <c r="L174">
        <v>17.25</v>
      </c>
      <c r="M174">
        <v>4</v>
      </c>
      <c r="N174">
        <v>89.4</v>
      </c>
      <c r="O174">
        <v>38123.01</v>
      </c>
      <c r="P174">
        <v>114.2</v>
      </c>
      <c r="Q174">
        <v>204.14</v>
      </c>
      <c r="R174">
        <v>24.83</v>
      </c>
      <c r="S174">
        <v>17.37</v>
      </c>
      <c r="T174">
        <v>1627.72</v>
      </c>
      <c r="U174">
        <v>0.7</v>
      </c>
      <c r="V174">
        <v>0.75</v>
      </c>
      <c r="W174">
        <v>1.1499999999999999</v>
      </c>
      <c r="X174">
        <v>0.1</v>
      </c>
      <c r="Y174">
        <v>1</v>
      </c>
      <c r="Z174">
        <v>10</v>
      </c>
    </row>
    <row r="175" spans="1:26" x14ac:dyDescent="0.3">
      <c r="A175">
        <v>66</v>
      </c>
      <c r="B175">
        <v>140</v>
      </c>
      <c r="C175" t="s">
        <v>26</v>
      </c>
      <c r="D175">
        <v>9.9922000000000004</v>
      </c>
      <c r="E175">
        <v>10.01</v>
      </c>
      <c r="F175">
        <v>6.79</v>
      </c>
      <c r="G175">
        <v>67.930000000000007</v>
      </c>
      <c r="H175">
        <v>1.01</v>
      </c>
      <c r="I175">
        <v>6</v>
      </c>
      <c r="J175">
        <v>307.75</v>
      </c>
      <c r="K175">
        <v>60.56</v>
      </c>
      <c r="L175">
        <v>17.5</v>
      </c>
      <c r="M175">
        <v>4</v>
      </c>
      <c r="N175">
        <v>89.69</v>
      </c>
      <c r="O175">
        <v>38189.58</v>
      </c>
      <c r="P175">
        <v>114.31</v>
      </c>
      <c r="Q175">
        <v>204.14</v>
      </c>
      <c r="R175">
        <v>25.06</v>
      </c>
      <c r="S175">
        <v>17.37</v>
      </c>
      <c r="T175">
        <v>1742.46</v>
      </c>
      <c r="U175">
        <v>0.69</v>
      </c>
      <c r="V175">
        <v>0.75</v>
      </c>
      <c r="W175">
        <v>1.1499999999999999</v>
      </c>
      <c r="X175">
        <v>0.1</v>
      </c>
      <c r="Y175">
        <v>1</v>
      </c>
      <c r="Z175">
        <v>10</v>
      </c>
    </row>
    <row r="176" spans="1:26" x14ac:dyDescent="0.3">
      <c r="A176">
        <v>67</v>
      </c>
      <c r="B176">
        <v>140</v>
      </c>
      <c r="C176" t="s">
        <v>26</v>
      </c>
      <c r="D176">
        <v>10.0022</v>
      </c>
      <c r="E176">
        <v>10</v>
      </c>
      <c r="F176">
        <v>6.78</v>
      </c>
      <c r="G176">
        <v>67.83</v>
      </c>
      <c r="H176">
        <v>1.03</v>
      </c>
      <c r="I176">
        <v>6</v>
      </c>
      <c r="J176">
        <v>308.29000000000002</v>
      </c>
      <c r="K176">
        <v>60.56</v>
      </c>
      <c r="L176">
        <v>17.75</v>
      </c>
      <c r="M176">
        <v>4</v>
      </c>
      <c r="N176">
        <v>89.98</v>
      </c>
      <c r="O176">
        <v>38256.26</v>
      </c>
      <c r="P176">
        <v>114.12</v>
      </c>
      <c r="Q176">
        <v>204.15</v>
      </c>
      <c r="R176">
        <v>24.68</v>
      </c>
      <c r="S176">
        <v>17.37</v>
      </c>
      <c r="T176">
        <v>1550.63</v>
      </c>
      <c r="U176">
        <v>0.7</v>
      </c>
      <c r="V176">
        <v>0.75</v>
      </c>
      <c r="W176">
        <v>1.1499999999999999</v>
      </c>
      <c r="X176">
        <v>0.09</v>
      </c>
      <c r="Y176">
        <v>1</v>
      </c>
      <c r="Z176">
        <v>10</v>
      </c>
    </row>
    <row r="177" spans="1:26" x14ac:dyDescent="0.3">
      <c r="A177">
        <v>68</v>
      </c>
      <c r="B177">
        <v>140</v>
      </c>
      <c r="C177" t="s">
        <v>26</v>
      </c>
      <c r="D177">
        <v>10.0017</v>
      </c>
      <c r="E177">
        <v>10</v>
      </c>
      <c r="F177">
        <v>6.78</v>
      </c>
      <c r="G177">
        <v>67.84</v>
      </c>
      <c r="H177">
        <v>1.04</v>
      </c>
      <c r="I177">
        <v>6</v>
      </c>
      <c r="J177">
        <v>308.83</v>
      </c>
      <c r="K177">
        <v>60.56</v>
      </c>
      <c r="L177">
        <v>18</v>
      </c>
      <c r="M177">
        <v>4</v>
      </c>
      <c r="N177">
        <v>90.27</v>
      </c>
      <c r="O177">
        <v>38323.08</v>
      </c>
      <c r="P177">
        <v>114.05</v>
      </c>
      <c r="Q177">
        <v>204.14</v>
      </c>
      <c r="R177">
        <v>24.63</v>
      </c>
      <c r="S177">
        <v>17.37</v>
      </c>
      <c r="T177">
        <v>1526.11</v>
      </c>
      <c r="U177">
        <v>0.71</v>
      </c>
      <c r="V177">
        <v>0.75</v>
      </c>
      <c r="W177">
        <v>1.1499999999999999</v>
      </c>
      <c r="X177">
        <v>0.09</v>
      </c>
      <c r="Y177">
        <v>1</v>
      </c>
      <c r="Z177">
        <v>10</v>
      </c>
    </row>
    <row r="178" spans="1:26" x14ac:dyDescent="0.3">
      <c r="A178">
        <v>69</v>
      </c>
      <c r="B178">
        <v>140</v>
      </c>
      <c r="C178" t="s">
        <v>26</v>
      </c>
      <c r="D178">
        <v>9.9997000000000007</v>
      </c>
      <c r="E178">
        <v>10</v>
      </c>
      <c r="F178">
        <v>6.79</v>
      </c>
      <c r="G178">
        <v>67.86</v>
      </c>
      <c r="H178">
        <v>1.05</v>
      </c>
      <c r="I178">
        <v>6</v>
      </c>
      <c r="J178">
        <v>309.37</v>
      </c>
      <c r="K178">
        <v>60.56</v>
      </c>
      <c r="L178">
        <v>18.25</v>
      </c>
      <c r="M178">
        <v>4</v>
      </c>
      <c r="N178">
        <v>90.57</v>
      </c>
      <c r="O178">
        <v>38390.019999999997</v>
      </c>
      <c r="P178">
        <v>113.91</v>
      </c>
      <c r="Q178">
        <v>204.14</v>
      </c>
      <c r="R178">
        <v>24.73</v>
      </c>
      <c r="S178">
        <v>17.37</v>
      </c>
      <c r="T178">
        <v>1575.26</v>
      </c>
      <c r="U178">
        <v>0.7</v>
      </c>
      <c r="V178">
        <v>0.75</v>
      </c>
      <c r="W178">
        <v>1.1499999999999999</v>
      </c>
      <c r="X178">
        <v>0.09</v>
      </c>
      <c r="Y178">
        <v>1</v>
      </c>
      <c r="Z178">
        <v>10</v>
      </c>
    </row>
    <row r="179" spans="1:26" x14ac:dyDescent="0.3">
      <c r="A179">
        <v>70</v>
      </c>
      <c r="B179">
        <v>140</v>
      </c>
      <c r="C179" t="s">
        <v>26</v>
      </c>
      <c r="D179">
        <v>9.9997000000000007</v>
      </c>
      <c r="E179">
        <v>10</v>
      </c>
      <c r="F179">
        <v>6.79</v>
      </c>
      <c r="G179">
        <v>67.86</v>
      </c>
      <c r="H179">
        <v>1.06</v>
      </c>
      <c r="I179">
        <v>6</v>
      </c>
      <c r="J179">
        <v>309.91000000000003</v>
      </c>
      <c r="K179">
        <v>60.56</v>
      </c>
      <c r="L179">
        <v>18.5</v>
      </c>
      <c r="M179">
        <v>4</v>
      </c>
      <c r="N179">
        <v>90.86</v>
      </c>
      <c r="O179">
        <v>38457.089999999997</v>
      </c>
      <c r="P179">
        <v>113.84</v>
      </c>
      <c r="Q179">
        <v>204.14</v>
      </c>
      <c r="R179">
        <v>24.8</v>
      </c>
      <c r="S179">
        <v>17.37</v>
      </c>
      <c r="T179">
        <v>1612.87</v>
      </c>
      <c r="U179">
        <v>0.7</v>
      </c>
      <c r="V179">
        <v>0.75</v>
      </c>
      <c r="W179">
        <v>1.1499999999999999</v>
      </c>
      <c r="X179">
        <v>0.09</v>
      </c>
      <c r="Y179">
        <v>1</v>
      </c>
      <c r="Z179">
        <v>10</v>
      </c>
    </row>
    <row r="180" spans="1:26" x14ac:dyDescent="0.3">
      <c r="A180">
        <v>71</v>
      </c>
      <c r="B180">
        <v>140</v>
      </c>
      <c r="C180" t="s">
        <v>26</v>
      </c>
      <c r="D180">
        <v>9.9910999999999994</v>
      </c>
      <c r="E180">
        <v>10.01</v>
      </c>
      <c r="F180">
        <v>6.79</v>
      </c>
      <c r="G180">
        <v>67.94</v>
      </c>
      <c r="H180">
        <v>1.08</v>
      </c>
      <c r="I180">
        <v>6</v>
      </c>
      <c r="J180">
        <v>310.45999999999998</v>
      </c>
      <c r="K180">
        <v>60.56</v>
      </c>
      <c r="L180">
        <v>18.75</v>
      </c>
      <c r="M180">
        <v>4</v>
      </c>
      <c r="N180">
        <v>91.16</v>
      </c>
      <c r="O180">
        <v>38524.29</v>
      </c>
      <c r="P180">
        <v>113.98</v>
      </c>
      <c r="Q180">
        <v>204.14</v>
      </c>
      <c r="R180">
        <v>25.05</v>
      </c>
      <c r="S180">
        <v>17.37</v>
      </c>
      <c r="T180">
        <v>1737.75</v>
      </c>
      <c r="U180">
        <v>0.69</v>
      </c>
      <c r="V180">
        <v>0.75</v>
      </c>
      <c r="W180">
        <v>1.1499999999999999</v>
      </c>
      <c r="X180">
        <v>0.1</v>
      </c>
      <c r="Y180">
        <v>1</v>
      </c>
      <c r="Z180">
        <v>10</v>
      </c>
    </row>
    <row r="181" spans="1:26" x14ac:dyDescent="0.3">
      <c r="A181">
        <v>72</v>
      </c>
      <c r="B181">
        <v>140</v>
      </c>
      <c r="C181" t="s">
        <v>26</v>
      </c>
      <c r="D181">
        <v>9.9993999999999996</v>
      </c>
      <c r="E181">
        <v>10</v>
      </c>
      <c r="F181">
        <v>6.79</v>
      </c>
      <c r="G181">
        <v>67.86</v>
      </c>
      <c r="H181">
        <v>1.0900000000000001</v>
      </c>
      <c r="I181">
        <v>6</v>
      </c>
      <c r="J181">
        <v>311.01</v>
      </c>
      <c r="K181">
        <v>60.56</v>
      </c>
      <c r="L181">
        <v>19</v>
      </c>
      <c r="M181">
        <v>4</v>
      </c>
      <c r="N181">
        <v>91.45</v>
      </c>
      <c r="O181">
        <v>38591.620000000003</v>
      </c>
      <c r="P181">
        <v>113.67</v>
      </c>
      <c r="Q181">
        <v>204.15</v>
      </c>
      <c r="R181">
        <v>24.79</v>
      </c>
      <c r="S181">
        <v>17.37</v>
      </c>
      <c r="T181">
        <v>1608.48</v>
      </c>
      <c r="U181">
        <v>0.7</v>
      </c>
      <c r="V181">
        <v>0.75</v>
      </c>
      <c r="W181">
        <v>1.1499999999999999</v>
      </c>
      <c r="X181">
        <v>0.09</v>
      </c>
      <c r="Y181">
        <v>1</v>
      </c>
      <c r="Z181">
        <v>10</v>
      </c>
    </row>
    <row r="182" spans="1:26" x14ac:dyDescent="0.3">
      <c r="A182">
        <v>73</v>
      </c>
      <c r="B182">
        <v>140</v>
      </c>
      <c r="C182" t="s">
        <v>26</v>
      </c>
      <c r="D182">
        <v>9.9975000000000005</v>
      </c>
      <c r="E182">
        <v>10</v>
      </c>
      <c r="F182">
        <v>6.79</v>
      </c>
      <c r="G182">
        <v>67.88</v>
      </c>
      <c r="H182">
        <v>1.1000000000000001</v>
      </c>
      <c r="I182">
        <v>6</v>
      </c>
      <c r="J182">
        <v>311.55</v>
      </c>
      <c r="K182">
        <v>60.56</v>
      </c>
      <c r="L182">
        <v>19.25</v>
      </c>
      <c r="M182">
        <v>4</v>
      </c>
      <c r="N182">
        <v>91.75</v>
      </c>
      <c r="O182">
        <v>38659.08</v>
      </c>
      <c r="P182">
        <v>113.59</v>
      </c>
      <c r="Q182">
        <v>204.14</v>
      </c>
      <c r="R182">
        <v>24.91</v>
      </c>
      <c r="S182">
        <v>17.37</v>
      </c>
      <c r="T182">
        <v>1668.73</v>
      </c>
      <c r="U182">
        <v>0.7</v>
      </c>
      <c r="V182">
        <v>0.75</v>
      </c>
      <c r="W182">
        <v>1.1399999999999999</v>
      </c>
      <c r="X182">
        <v>0.1</v>
      </c>
      <c r="Y182">
        <v>1</v>
      </c>
      <c r="Z182">
        <v>10</v>
      </c>
    </row>
    <row r="183" spans="1:26" x14ac:dyDescent="0.3">
      <c r="A183">
        <v>74</v>
      </c>
      <c r="B183">
        <v>140</v>
      </c>
      <c r="C183" t="s">
        <v>26</v>
      </c>
      <c r="D183">
        <v>9.9963999999999995</v>
      </c>
      <c r="E183">
        <v>10</v>
      </c>
      <c r="F183">
        <v>6.79</v>
      </c>
      <c r="G183">
        <v>67.89</v>
      </c>
      <c r="H183">
        <v>1.1100000000000001</v>
      </c>
      <c r="I183">
        <v>6</v>
      </c>
      <c r="J183">
        <v>312.10000000000002</v>
      </c>
      <c r="K183">
        <v>60.56</v>
      </c>
      <c r="L183">
        <v>19.5</v>
      </c>
      <c r="M183">
        <v>4</v>
      </c>
      <c r="N183">
        <v>92.05</v>
      </c>
      <c r="O183">
        <v>38726.800000000003</v>
      </c>
      <c r="P183">
        <v>113.69</v>
      </c>
      <c r="Q183">
        <v>204.14</v>
      </c>
      <c r="R183">
        <v>24.8</v>
      </c>
      <c r="S183">
        <v>17.37</v>
      </c>
      <c r="T183">
        <v>1613.86</v>
      </c>
      <c r="U183">
        <v>0.7</v>
      </c>
      <c r="V183">
        <v>0.75</v>
      </c>
      <c r="W183">
        <v>1.1499999999999999</v>
      </c>
      <c r="X183">
        <v>0.1</v>
      </c>
      <c r="Y183">
        <v>1</v>
      </c>
      <c r="Z183">
        <v>10</v>
      </c>
    </row>
    <row r="184" spans="1:26" x14ac:dyDescent="0.3">
      <c r="A184">
        <v>75</v>
      </c>
      <c r="B184">
        <v>140</v>
      </c>
      <c r="C184" t="s">
        <v>26</v>
      </c>
      <c r="D184">
        <v>10</v>
      </c>
      <c r="E184">
        <v>10</v>
      </c>
      <c r="F184">
        <v>6.79</v>
      </c>
      <c r="G184">
        <v>67.86</v>
      </c>
      <c r="H184">
        <v>1.1299999999999999</v>
      </c>
      <c r="I184">
        <v>6</v>
      </c>
      <c r="J184">
        <v>312.64999999999998</v>
      </c>
      <c r="K184">
        <v>60.56</v>
      </c>
      <c r="L184">
        <v>19.75</v>
      </c>
      <c r="M184">
        <v>4</v>
      </c>
      <c r="N184">
        <v>92.35</v>
      </c>
      <c r="O184">
        <v>38794.53</v>
      </c>
      <c r="P184">
        <v>113.5</v>
      </c>
      <c r="Q184">
        <v>204.14</v>
      </c>
      <c r="R184">
        <v>24.82</v>
      </c>
      <c r="S184">
        <v>17.37</v>
      </c>
      <c r="T184">
        <v>1623.07</v>
      </c>
      <c r="U184">
        <v>0.7</v>
      </c>
      <c r="V184">
        <v>0.75</v>
      </c>
      <c r="W184">
        <v>1.1399999999999999</v>
      </c>
      <c r="X184">
        <v>0.09</v>
      </c>
      <c r="Y184">
        <v>1</v>
      </c>
      <c r="Z184">
        <v>10</v>
      </c>
    </row>
    <row r="185" spans="1:26" x14ac:dyDescent="0.3">
      <c r="A185">
        <v>76</v>
      </c>
      <c r="B185">
        <v>140</v>
      </c>
      <c r="C185" t="s">
        <v>26</v>
      </c>
      <c r="D185">
        <v>9.9906000000000006</v>
      </c>
      <c r="E185">
        <v>10.01</v>
      </c>
      <c r="F185">
        <v>6.79</v>
      </c>
      <c r="G185">
        <v>67.95</v>
      </c>
      <c r="H185">
        <v>1.1399999999999999</v>
      </c>
      <c r="I185">
        <v>6</v>
      </c>
      <c r="J185">
        <v>313.2</v>
      </c>
      <c r="K185">
        <v>60.56</v>
      </c>
      <c r="L185">
        <v>20</v>
      </c>
      <c r="M185">
        <v>4</v>
      </c>
      <c r="N185">
        <v>92.65</v>
      </c>
      <c r="O185">
        <v>38862.400000000001</v>
      </c>
      <c r="P185">
        <v>113.33</v>
      </c>
      <c r="Q185">
        <v>204.15</v>
      </c>
      <c r="R185">
        <v>25.1</v>
      </c>
      <c r="S185">
        <v>17.37</v>
      </c>
      <c r="T185">
        <v>1761.12</v>
      </c>
      <c r="U185">
        <v>0.69</v>
      </c>
      <c r="V185">
        <v>0.75</v>
      </c>
      <c r="W185">
        <v>1.1499999999999999</v>
      </c>
      <c r="X185">
        <v>0.1</v>
      </c>
      <c r="Y185">
        <v>1</v>
      </c>
      <c r="Z185">
        <v>10</v>
      </c>
    </row>
    <row r="186" spans="1:26" x14ac:dyDescent="0.3">
      <c r="A186">
        <v>77</v>
      </c>
      <c r="B186">
        <v>140</v>
      </c>
      <c r="C186" t="s">
        <v>26</v>
      </c>
      <c r="D186">
        <v>10.0708</v>
      </c>
      <c r="E186">
        <v>9.93</v>
      </c>
      <c r="F186">
        <v>6.77</v>
      </c>
      <c r="G186">
        <v>81.209999999999994</v>
      </c>
      <c r="H186">
        <v>1.1499999999999999</v>
      </c>
      <c r="I186">
        <v>5</v>
      </c>
      <c r="J186">
        <v>313.75</v>
      </c>
      <c r="K186">
        <v>60.56</v>
      </c>
      <c r="L186">
        <v>20.25</v>
      </c>
      <c r="M186">
        <v>3</v>
      </c>
      <c r="N186">
        <v>92.95</v>
      </c>
      <c r="O186">
        <v>38930.39</v>
      </c>
      <c r="P186">
        <v>112.58</v>
      </c>
      <c r="Q186">
        <v>204.15</v>
      </c>
      <c r="R186">
        <v>24.24</v>
      </c>
      <c r="S186">
        <v>17.37</v>
      </c>
      <c r="T186">
        <v>1335.82</v>
      </c>
      <c r="U186">
        <v>0.72</v>
      </c>
      <c r="V186">
        <v>0.75</v>
      </c>
      <c r="W186">
        <v>1.1399999999999999</v>
      </c>
      <c r="X186">
        <v>0.08</v>
      </c>
      <c r="Y186">
        <v>1</v>
      </c>
      <c r="Z186">
        <v>10</v>
      </c>
    </row>
    <row r="187" spans="1:26" x14ac:dyDescent="0.3">
      <c r="A187">
        <v>78</v>
      </c>
      <c r="B187">
        <v>140</v>
      </c>
      <c r="C187" t="s">
        <v>26</v>
      </c>
      <c r="D187">
        <v>10.0646</v>
      </c>
      <c r="E187">
        <v>9.94</v>
      </c>
      <c r="F187">
        <v>6.77</v>
      </c>
      <c r="G187">
        <v>81.28</v>
      </c>
      <c r="H187">
        <v>1.1599999999999999</v>
      </c>
      <c r="I187">
        <v>5</v>
      </c>
      <c r="J187">
        <v>314.3</v>
      </c>
      <c r="K187">
        <v>60.56</v>
      </c>
      <c r="L187">
        <v>20.5</v>
      </c>
      <c r="M187">
        <v>3</v>
      </c>
      <c r="N187">
        <v>93.25</v>
      </c>
      <c r="O187">
        <v>38998.53</v>
      </c>
      <c r="P187">
        <v>112.98</v>
      </c>
      <c r="Q187">
        <v>204.14</v>
      </c>
      <c r="R187">
        <v>24.43</v>
      </c>
      <c r="S187">
        <v>17.37</v>
      </c>
      <c r="T187">
        <v>1434.4</v>
      </c>
      <c r="U187">
        <v>0.71</v>
      </c>
      <c r="V187">
        <v>0.75</v>
      </c>
      <c r="W187">
        <v>1.1399999999999999</v>
      </c>
      <c r="X187">
        <v>0.08</v>
      </c>
      <c r="Y187">
        <v>1</v>
      </c>
      <c r="Z187">
        <v>10</v>
      </c>
    </row>
    <row r="188" spans="1:26" x14ac:dyDescent="0.3">
      <c r="A188">
        <v>79</v>
      </c>
      <c r="B188">
        <v>140</v>
      </c>
      <c r="C188" t="s">
        <v>26</v>
      </c>
      <c r="D188">
        <v>10.0609</v>
      </c>
      <c r="E188">
        <v>9.94</v>
      </c>
      <c r="F188">
        <v>6.78</v>
      </c>
      <c r="G188">
        <v>81.33</v>
      </c>
      <c r="H188">
        <v>1.17</v>
      </c>
      <c r="I188">
        <v>5</v>
      </c>
      <c r="J188">
        <v>314.86</v>
      </c>
      <c r="K188">
        <v>60.56</v>
      </c>
      <c r="L188">
        <v>20.75</v>
      </c>
      <c r="M188">
        <v>3</v>
      </c>
      <c r="N188">
        <v>93.55</v>
      </c>
      <c r="O188">
        <v>39066.800000000003</v>
      </c>
      <c r="P188">
        <v>113.18</v>
      </c>
      <c r="Q188">
        <v>204.14</v>
      </c>
      <c r="R188">
        <v>24.58</v>
      </c>
      <c r="S188">
        <v>17.37</v>
      </c>
      <c r="T188">
        <v>1507.56</v>
      </c>
      <c r="U188">
        <v>0.71</v>
      </c>
      <c r="V188">
        <v>0.75</v>
      </c>
      <c r="W188">
        <v>1.1399999999999999</v>
      </c>
      <c r="X188">
        <v>0.09</v>
      </c>
      <c r="Y188">
        <v>1</v>
      </c>
      <c r="Z188">
        <v>10</v>
      </c>
    </row>
    <row r="189" spans="1:26" x14ac:dyDescent="0.3">
      <c r="A189">
        <v>80</v>
      </c>
      <c r="B189">
        <v>140</v>
      </c>
      <c r="C189" t="s">
        <v>26</v>
      </c>
      <c r="D189">
        <v>10.060600000000001</v>
      </c>
      <c r="E189">
        <v>9.94</v>
      </c>
      <c r="F189">
        <v>6.78</v>
      </c>
      <c r="G189">
        <v>81.33</v>
      </c>
      <c r="H189">
        <v>1.19</v>
      </c>
      <c r="I189">
        <v>5</v>
      </c>
      <c r="J189">
        <v>315.41000000000003</v>
      </c>
      <c r="K189">
        <v>60.56</v>
      </c>
      <c r="L189">
        <v>21</v>
      </c>
      <c r="M189">
        <v>3</v>
      </c>
      <c r="N189">
        <v>93.86</v>
      </c>
      <c r="O189">
        <v>39135.199999999997</v>
      </c>
      <c r="P189">
        <v>113.33</v>
      </c>
      <c r="Q189">
        <v>204.14</v>
      </c>
      <c r="R189">
        <v>24.51</v>
      </c>
      <c r="S189">
        <v>17.37</v>
      </c>
      <c r="T189">
        <v>1470.32</v>
      </c>
      <c r="U189">
        <v>0.71</v>
      </c>
      <c r="V189">
        <v>0.75</v>
      </c>
      <c r="W189">
        <v>1.1499999999999999</v>
      </c>
      <c r="X189">
        <v>0.09</v>
      </c>
      <c r="Y189">
        <v>1</v>
      </c>
      <c r="Z189">
        <v>10</v>
      </c>
    </row>
    <row r="190" spans="1:26" x14ac:dyDescent="0.3">
      <c r="A190">
        <v>81</v>
      </c>
      <c r="B190">
        <v>140</v>
      </c>
      <c r="C190" t="s">
        <v>26</v>
      </c>
      <c r="D190">
        <v>10.068</v>
      </c>
      <c r="E190">
        <v>9.93</v>
      </c>
      <c r="F190">
        <v>6.77</v>
      </c>
      <c r="G190">
        <v>81.239999999999995</v>
      </c>
      <c r="H190">
        <v>1.2</v>
      </c>
      <c r="I190">
        <v>5</v>
      </c>
      <c r="J190">
        <v>315.97000000000003</v>
      </c>
      <c r="K190">
        <v>60.56</v>
      </c>
      <c r="L190">
        <v>21.25</v>
      </c>
      <c r="M190">
        <v>3</v>
      </c>
      <c r="N190">
        <v>94.16</v>
      </c>
      <c r="O190">
        <v>39203.74</v>
      </c>
      <c r="P190">
        <v>113.37</v>
      </c>
      <c r="Q190">
        <v>204.14</v>
      </c>
      <c r="R190">
        <v>24.3</v>
      </c>
      <c r="S190">
        <v>17.37</v>
      </c>
      <c r="T190">
        <v>1367.38</v>
      </c>
      <c r="U190">
        <v>0.71</v>
      </c>
      <c r="V190">
        <v>0.75</v>
      </c>
      <c r="W190">
        <v>1.1399999999999999</v>
      </c>
      <c r="X190">
        <v>0.08</v>
      </c>
      <c r="Y190">
        <v>1</v>
      </c>
      <c r="Z190">
        <v>10</v>
      </c>
    </row>
    <row r="191" spans="1:26" x14ac:dyDescent="0.3">
      <c r="A191">
        <v>82</v>
      </c>
      <c r="B191">
        <v>140</v>
      </c>
      <c r="C191" t="s">
        <v>26</v>
      </c>
      <c r="D191">
        <v>10.062900000000001</v>
      </c>
      <c r="E191">
        <v>9.94</v>
      </c>
      <c r="F191">
        <v>6.78</v>
      </c>
      <c r="G191">
        <v>81.3</v>
      </c>
      <c r="H191">
        <v>1.21</v>
      </c>
      <c r="I191">
        <v>5</v>
      </c>
      <c r="J191">
        <v>316.52999999999997</v>
      </c>
      <c r="K191">
        <v>60.56</v>
      </c>
      <c r="L191">
        <v>21.5</v>
      </c>
      <c r="M191">
        <v>3</v>
      </c>
      <c r="N191">
        <v>94.47</v>
      </c>
      <c r="O191">
        <v>39272.42</v>
      </c>
      <c r="P191">
        <v>113.55</v>
      </c>
      <c r="Q191">
        <v>204.15</v>
      </c>
      <c r="R191">
        <v>24.46</v>
      </c>
      <c r="S191">
        <v>17.37</v>
      </c>
      <c r="T191">
        <v>1447.75</v>
      </c>
      <c r="U191">
        <v>0.71</v>
      </c>
      <c r="V191">
        <v>0.75</v>
      </c>
      <c r="W191">
        <v>1.1399999999999999</v>
      </c>
      <c r="X191">
        <v>0.08</v>
      </c>
      <c r="Y191">
        <v>1</v>
      </c>
      <c r="Z191">
        <v>10</v>
      </c>
    </row>
    <row r="192" spans="1:26" x14ac:dyDescent="0.3">
      <c r="A192">
        <v>83</v>
      </c>
      <c r="B192">
        <v>140</v>
      </c>
      <c r="C192" t="s">
        <v>26</v>
      </c>
      <c r="D192">
        <v>10.0601</v>
      </c>
      <c r="E192">
        <v>9.94</v>
      </c>
      <c r="F192">
        <v>6.78</v>
      </c>
      <c r="G192">
        <v>81.34</v>
      </c>
      <c r="H192">
        <v>1.22</v>
      </c>
      <c r="I192">
        <v>5</v>
      </c>
      <c r="J192">
        <v>317.08</v>
      </c>
      <c r="K192">
        <v>60.56</v>
      </c>
      <c r="L192">
        <v>21.75</v>
      </c>
      <c r="M192">
        <v>3</v>
      </c>
      <c r="N192">
        <v>94.78</v>
      </c>
      <c r="O192">
        <v>39341.24</v>
      </c>
      <c r="P192">
        <v>113.55</v>
      </c>
      <c r="Q192">
        <v>204.16</v>
      </c>
      <c r="R192">
        <v>24.47</v>
      </c>
      <c r="S192">
        <v>17.37</v>
      </c>
      <c r="T192">
        <v>1452.11</v>
      </c>
      <c r="U192">
        <v>0.71</v>
      </c>
      <c r="V192">
        <v>0.75</v>
      </c>
      <c r="W192">
        <v>1.1499999999999999</v>
      </c>
      <c r="X192">
        <v>0.09</v>
      </c>
      <c r="Y192">
        <v>1</v>
      </c>
      <c r="Z192">
        <v>10</v>
      </c>
    </row>
    <row r="193" spans="1:26" x14ac:dyDescent="0.3">
      <c r="A193">
        <v>84</v>
      </c>
      <c r="B193">
        <v>140</v>
      </c>
      <c r="C193" t="s">
        <v>26</v>
      </c>
      <c r="D193">
        <v>10.066000000000001</v>
      </c>
      <c r="E193">
        <v>9.93</v>
      </c>
      <c r="F193">
        <v>6.77</v>
      </c>
      <c r="G193">
        <v>81.27</v>
      </c>
      <c r="H193">
        <v>1.23</v>
      </c>
      <c r="I193">
        <v>5</v>
      </c>
      <c r="J193">
        <v>317.64</v>
      </c>
      <c r="K193">
        <v>60.56</v>
      </c>
      <c r="L193">
        <v>22</v>
      </c>
      <c r="M193">
        <v>3</v>
      </c>
      <c r="N193">
        <v>95.09</v>
      </c>
      <c r="O193">
        <v>39410.199999999997</v>
      </c>
      <c r="P193">
        <v>113.42</v>
      </c>
      <c r="Q193">
        <v>204.14</v>
      </c>
      <c r="R193">
        <v>24.39</v>
      </c>
      <c r="S193">
        <v>17.37</v>
      </c>
      <c r="T193">
        <v>1413.45</v>
      </c>
      <c r="U193">
        <v>0.71</v>
      </c>
      <c r="V193">
        <v>0.75</v>
      </c>
      <c r="W193">
        <v>1.1399999999999999</v>
      </c>
      <c r="X193">
        <v>0.08</v>
      </c>
      <c r="Y193">
        <v>1</v>
      </c>
      <c r="Z193">
        <v>10</v>
      </c>
    </row>
    <row r="194" spans="1:26" x14ac:dyDescent="0.3">
      <c r="A194">
        <v>85</v>
      </c>
      <c r="B194">
        <v>140</v>
      </c>
      <c r="C194" t="s">
        <v>26</v>
      </c>
      <c r="D194">
        <v>10.0646</v>
      </c>
      <c r="E194">
        <v>9.94</v>
      </c>
      <c r="F194">
        <v>6.77</v>
      </c>
      <c r="G194">
        <v>81.28</v>
      </c>
      <c r="H194">
        <v>1.25</v>
      </c>
      <c r="I194">
        <v>5</v>
      </c>
      <c r="J194">
        <v>318.2</v>
      </c>
      <c r="K194">
        <v>60.56</v>
      </c>
      <c r="L194">
        <v>22.25</v>
      </c>
      <c r="M194">
        <v>3</v>
      </c>
      <c r="N194">
        <v>95.4</v>
      </c>
      <c r="O194">
        <v>39479.300000000003</v>
      </c>
      <c r="P194">
        <v>113.46</v>
      </c>
      <c r="Q194">
        <v>204.14</v>
      </c>
      <c r="R194">
        <v>24.5</v>
      </c>
      <c r="S194">
        <v>17.37</v>
      </c>
      <c r="T194">
        <v>1466.72</v>
      </c>
      <c r="U194">
        <v>0.71</v>
      </c>
      <c r="V194">
        <v>0.75</v>
      </c>
      <c r="W194">
        <v>1.1399999999999999</v>
      </c>
      <c r="X194">
        <v>0.08</v>
      </c>
      <c r="Y194">
        <v>1</v>
      </c>
      <c r="Z194">
        <v>10</v>
      </c>
    </row>
    <row r="195" spans="1:26" x14ac:dyDescent="0.3">
      <c r="A195">
        <v>86</v>
      </c>
      <c r="B195">
        <v>140</v>
      </c>
      <c r="C195" t="s">
        <v>26</v>
      </c>
      <c r="D195">
        <v>10.061500000000001</v>
      </c>
      <c r="E195">
        <v>9.94</v>
      </c>
      <c r="F195">
        <v>6.78</v>
      </c>
      <c r="G195">
        <v>81.319999999999993</v>
      </c>
      <c r="H195">
        <v>1.26</v>
      </c>
      <c r="I195">
        <v>5</v>
      </c>
      <c r="J195">
        <v>318.76</v>
      </c>
      <c r="K195">
        <v>60.56</v>
      </c>
      <c r="L195">
        <v>22.5</v>
      </c>
      <c r="M195">
        <v>3</v>
      </c>
      <c r="N195">
        <v>95.71</v>
      </c>
      <c r="O195">
        <v>39548.54</v>
      </c>
      <c r="P195">
        <v>113.5</v>
      </c>
      <c r="Q195">
        <v>204.14</v>
      </c>
      <c r="R195">
        <v>24.54</v>
      </c>
      <c r="S195">
        <v>17.37</v>
      </c>
      <c r="T195">
        <v>1484.9</v>
      </c>
      <c r="U195">
        <v>0.71</v>
      </c>
      <c r="V195">
        <v>0.75</v>
      </c>
      <c r="W195">
        <v>1.1399999999999999</v>
      </c>
      <c r="X195">
        <v>0.09</v>
      </c>
      <c r="Y195">
        <v>1</v>
      </c>
      <c r="Z195">
        <v>10</v>
      </c>
    </row>
    <row r="196" spans="1:26" x14ac:dyDescent="0.3">
      <c r="A196">
        <v>87</v>
      </c>
      <c r="B196">
        <v>140</v>
      </c>
      <c r="C196" t="s">
        <v>26</v>
      </c>
      <c r="D196">
        <v>10.065099999999999</v>
      </c>
      <c r="E196">
        <v>9.94</v>
      </c>
      <c r="F196">
        <v>6.77</v>
      </c>
      <c r="G196">
        <v>81.28</v>
      </c>
      <c r="H196">
        <v>1.27</v>
      </c>
      <c r="I196">
        <v>5</v>
      </c>
      <c r="J196">
        <v>319.33</v>
      </c>
      <c r="K196">
        <v>60.56</v>
      </c>
      <c r="L196">
        <v>22.75</v>
      </c>
      <c r="M196">
        <v>3</v>
      </c>
      <c r="N196">
        <v>96.02</v>
      </c>
      <c r="O196">
        <v>39617.93</v>
      </c>
      <c r="P196">
        <v>113.42</v>
      </c>
      <c r="Q196">
        <v>204.14</v>
      </c>
      <c r="R196">
        <v>24.46</v>
      </c>
      <c r="S196">
        <v>17.37</v>
      </c>
      <c r="T196">
        <v>1444.87</v>
      </c>
      <c r="U196">
        <v>0.71</v>
      </c>
      <c r="V196">
        <v>0.75</v>
      </c>
      <c r="W196">
        <v>1.1399999999999999</v>
      </c>
      <c r="X196">
        <v>0.08</v>
      </c>
      <c r="Y196">
        <v>1</v>
      </c>
      <c r="Z196">
        <v>10</v>
      </c>
    </row>
    <row r="197" spans="1:26" x14ac:dyDescent="0.3">
      <c r="A197">
        <v>88</v>
      </c>
      <c r="B197">
        <v>140</v>
      </c>
      <c r="C197" t="s">
        <v>26</v>
      </c>
      <c r="D197">
        <v>10.0646</v>
      </c>
      <c r="E197">
        <v>9.94</v>
      </c>
      <c r="F197">
        <v>6.77</v>
      </c>
      <c r="G197">
        <v>81.28</v>
      </c>
      <c r="H197">
        <v>1.28</v>
      </c>
      <c r="I197">
        <v>5</v>
      </c>
      <c r="J197">
        <v>319.89</v>
      </c>
      <c r="K197">
        <v>60.56</v>
      </c>
      <c r="L197">
        <v>23</v>
      </c>
      <c r="M197">
        <v>3</v>
      </c>
      <c r="N197">
        <v>96.34</v>
      </c>
      <c r="O197">
        <v>39687.46</v>
      </c>
      <c r="P197">
        <v>113.31</v>
      </c>
      <c r="Q197">
        <v>204.14</v>
      </c>
      <c r="R197">
        <v>24.47</v>
      </c>
      <c r="S197">
        <v>17.37</v>
      </c>
      <c r="T197">
        <v>1453.28</v>
      </c>
      <c r="U197">
        <v>0.71</v>
      </c>
      <c r="V197">
        <v>0.75</v>
      </c>
      <c r="W197">
        <v>1.1399999999999999</v>
      </c>
      <c r="X197">
        <v>0.08</v>
      </c>
      <c r="Y197">
        <v>1</v>
      </c>
      <c r="Z197">
        <v>10</v>
      </c>
    </row>
    <row r="198" spans="1:26" x14ac:dyDescent="0.3">
      <c r="A198">
        <v>89</v>
      </c>
      <c r="B198">
        <v>140</v>
      </c>
      <c r="C198" t="s">
        <v>26</v>
      </c>
      <c r="D198">
        <v>10.0649</v>
      </c>
      <c r="E198">
        <v>9.94</v>
      </c>
      <c r="F198">
        <v>6.77</v>
      </c>
      <c r="G198">
        <v>81.28</v>
      </c>
      <c r="H198">
        <v>1.29</v>
      </c>
      <c r="I198">
        <v>5</v>
      </c>
      <c r="J198">
        <v>320.45999999999998</v>
      </c>
      <c r="K198">
        <v>60.56</v>
      </c>
      <c r="L198">
        <v>23.25</v>
      </c>
      <c r="M198">
        <v>3</v>
      </c>
      <c r="N198">
        <v>96.65</v>
      </c>
      <c r="O198">
        <v>39757.129999999997</v>
      </c>
      <c r="P198">
        <v>113.27</v>
      </c>
      <c r="Q198">
        <v>204.14</v>
      </c>
      <c r="R198">
        <v>24.37</v>
      </c>
      <c r="S198">
        <v>17.37</v>
      </c>
      <c r="T198">
        <v>1402.19</v>
      </c>
      <c r="U198">
        <v>0.71</v>
      </c>
      <c r="V198">
        <v>0.75</v>
      </c>
      <c r="W198">
        <v>1.1499999999999999</v>
      </c>
      <c r="X198">
        <v>0.08</v>
      </c>
      <c r="Y198">
        <v>1</v>
      </c>
      <c r="Z198">
        <v>10</v>
      </c>
    </row>
    <row r="199" spans="1:26" x14ac:dyDescent="0.3">
      <c r="A199">
        <v>90</v>
      </c>
      <c r="B199">
        <v>140</v>
      </c>
      <c r="C199" t="s">
        <v>26</v>
      </c>
      <c r="D199">
        <v>10.071300000000001</v>
      </c>
      <c r="E199">
        <v>9.93</v>
      </c>
      <c r="F199">
        <v>6.77</v>
      </c>
      <c r="G199">
        <v>81.2</v>
      </c>
      <c r="H199">
        <v>1.3</v>
      </c>
      <c r="I199">
        <v>5</v>
      </c>
      <c r="J199">
        <v>321.02</v>
      </c>
      <c r="K199">
        <v>60.56</v>
      </c>
      <c r="L199">
        <v>23.5</v>
      </c>
      <c r="M199">
        <v>3</v>
      </c>
      <c r="N199">
        <v>96.97</v>
      </c>
      <c r="O199">
        <v>39826.949999999997</v>
      </c>
      <c r="P199">
        <v>113.02</v>
      </c>
      <c r="Q199">
        <v>204.14</v>
      </c>
      <c r="R199">
        <v>24.18</v>
      </c>
      <c r="S199">
        <v>17.37</v>
      </c>
      <c r="T199">
        <v>1307.29</v>
      </c>
      <c r="U199">
        <v>0.72</v>
      </c>
      <c r="V199">
        <v>0.75</v>
      </c>
      <c r="W199">
        <v>1.1399999999999999</v>
      </c>
      <c r="X199">
        <v>0.08</v>
      </c>
      <c r="Y199">
        <v>1</v>
      </c>
      <c r="Z199">
        <v>10</v>
      </c>
    </row>
    <row r="200" spans="1:26" x14ac:dyDescent="0.3">
      <c r="A200">
        <v>91</v>
      </c>
      <c r="B200">
        <v>140</v>
      </c>
      <c r="C200" t="s">
        <v>26</v>
      </c>
      <c r="D200">
        <v>10.074199999999999</v>
      </c>
      <c r="E200">
        <v>9.93</v>
      </c>
      <c r="F200">
        <v>6.76</v>
      </c>
      <c r="G200">
        <v>81.17</v>
      </c>
      <c r="H200">
        <v>1.32</v>
      </c>
      <c r="I200">
        <v>5</v>
      </c>
      <c r="J200">
        <v>321.58999999999997</v>
      </c>
      <c r="K200">
        <v>60.56</v>
      </c>
      <c r="L200">
        <v>23.75</v>
      </c>
      <c r="M200">
        <v>3</v>
      </c>
      <c r="N200">
        <v>97.28</v>
      </c>
      <c r="O200">
        <v>39896.910000000003</v>
      </c>
      <c r="P200">
        <v>112.81</v>
      </c>
      <c r="Q200">
        <v>204.14</v>
      </c>
      <c r="R200">
        <v>24.11</v>
      </c>
      <c r="S200">
        <v>17.37</v>
      </c>
      <c r="T200">
        <v>1273.0899999999999</v>
      </c>
      <c r="U200">
        <v>0.72</v>
      </c>
      <c r="V200">
        <v>0.75</v>
      </c>
      <c r="W200">
        <v>1.1399999999999999</v>
      </c>
      <c r="X200">
        <v>7.0000000000000007E-2</v>
      </c>
      <c r="Y200">
        <v>1</v>
      </c>
      <c r="Z200">
        <v>10</v>
      </c>
    </row>
    <row r="201" spans="1:26" x14ac:dyDescent="0.3">
      <c r="A201">
        <v>92</v>
      </c>
      <c r="B201">
        <v>140</v>
      </c>
      <c r="C201" t="s">
        <v>26</v>
      </c>
      <c r="D201">
        <v>10.077299999999999</v>
      </c>
      <c r="E201">
        <v>9.92</v>
      </c>
      <c r="F201">
        <v>6.76</v>
      </c>
      <c r="G201">
        <v>81.13</v>
      </c>
      <c r="H201">
        <v>1.33</v>
      </c>
      <c r="I201">
        <v>5</v>
      </c>
      <c r="J201">
        <v>322.16000000000003</v>
      </c>
      <c r="K201">
        <v>60.56</v>
      </c>
      <c r="L201">
        <v>24</v>
      </c>
      <c r="M201">
        <v>3</v>
      </c>
      <c r="N201">
        <v>97.6</v>
      </c>
      <c r="O201">
        <v>39967.019999999997</v>
      </c>
      <c r="P201">
        <v>112.54</v>
      </c>
      <c r="Q201">
        <v>204.14</v>
      </c>
      <c r="R201">
        <v>24.05</v>
      </c>
      <c r="S201">
        <v>17.37</v>
      </c>
      <c r="T201">
        <v>1242.3900000000001</v>
      </c>
      <c r="U201">
        <v>0.72</v>
      </c>
      <c r="V201">
        <v>0.76</v>
      </c>
      <c r="W201">
        <v>1.1399999999999999</v>
      </c>
      <c r="X201">
        <v>7.0000000000000007E-2</v>
      </c>
      <c r="Y201">
        <v>1</v>
      </c>
      <c r="Z201">
        <v>10</v>
      </c>
    </row>
    <row r="202" spans="1:26" x14ac:dyDescent="0.3">
      <c r="A202">
        <v>93</v>
      </c>
      <c r="B202">
        <v>140</v>
      </c>
      <c r="C202" t="s">
        <v>26</v>
      </c>
      <c r="D202">
        <v>10.0739</v>
      </c>
      <c r="E202">
        <v>9.93</v>
      </c>
      <c r="F202">
        <v>6.76</v>
      </c>
      <c r="G202">
        <v>81.17</v>
      </c>
      <c r="H202">
        <v>1.34</v>
      </c>
      <c r="I202">
        <v>5</v>
      </c>
      <c r="J202">
        <v>322.73</v>
      </c>
      <c r="K202">
        <v>60.56</v>
      </c>
      <c r="L202">
        <v>24.25</v>
      </c>
      <c r="M202">
        <v>3</v>
      </c>
      <c r="N202">
        <v>97.92</v>
      </c>
      <c r="O202">
        <v>40037.279999999999</v>
      </c>
      <c r="P202">
        <v>112.44</v>
      </c>
      <c r="Q202">
        <v>204.14</v>
      </c>
      <c r="R202">
        <v>24.02</v>
      </c>
      <c r="S202">
        <v>17.37</v>
      </c>
      <c r="T202">
        <v>1229.79</v>
      </c>
      <c r="U202">
        <v>0.72</v>
      </c>
      <c r="V202">
        <v>0.75</v>
      </c>
      <c r="W202">
        <v>1.1499999999999999</v>
      </c>
      <c r="X202">
        <v>7.0000000000000007E-2</v>
      </c>
      <c r="Y202">
        <v>1</v>
      </c>
      <c r="Z202">
        <v>10</v>
      </c>
    </row>
    <row r="203" spans="1:26" x14ac:dyDescent="0.3">
      <c r="A203">
        <v>94</v>
      </c>
      <c r="B203">
        <v>140</v>
      </c>
      <c r="C203" t="s">
        <v>26</v>
      </c>
      <c r="D203">
        <v>10.0733</v>
      </c>
      <c r="E203">
        <v>9.93</v>
      </c>
      <c r="F203">
        <v>6.76</v>
      </c>
      <c r="G203">
        <v>81.180000000000007</v>
      </c>
      <c r="H203">
        <v>1.35</v>
      </c>
      <c r="I203">
        <v>5</v>
      </c>
      <c r="J203">
        <v>323.3</v>
      </c>
      <c r="K203">
        <v>60.56</v>
      </c>
      <c r="L203">
        <v>24.5</v>
      </c>
      <c r="M203">
        <v>3</v>
      </c>
      <c r="N203">
        <v>98.24</v>
      </c>
      <c r="O203">
        <v>40107.81</v>
      </c>
      <c r="P203">
        <v>112.19</v>
      </c>
      <c r="Q203">
        <v>204.14</v>
      </c>
      <c r="R203">
        <v>24.14</v>
      </c>
      <c r="S203">
        <v>17.37</v>
      </c>
      <c r="T203">
        <v>1289.4100000000001</v>
      </c>
      <c r="U203">
        <v>0.72</v>
      </c>
      <c r="V203">
        <v>0.75</v>
      </c>
      <c r="W203">
        <v>1.1399999999999999</v>
      </c>
      <c r="X203">
        <v>7.0000000000000007E-2</v>
      </c>
      <c r="Y203">
        <v>1</v>
      </c>
      <c r="Z203">
        <v>10</v>
      </c>
    </row>
    <row r="204" spans="1:26" x14ac:dyDescent="0.3">
      <c r="A204">
        <v>95</v>
      </c>
      <c r="B204">
        <v>140</v>
      </c>
      <c r="C204" t="s">
        <v>26</v>
      </c>
      <c r="D204">
        <v>10.071899999999999</v>
      </c>
      <c r="E204">
        <v>9.93</v>
      </c>
      <c r="F204">
        <v>6.77</v>
      </c>
      <c r="G204">
        <v>81.2</v>
      </c>
      <c r="H204">
        <v>1.36</v>
      </c>
      <c r="I204">
        <v>5</v>
      </c>
      <c r="J204">
        <v>323.87</v>
      </c>
      <c r="K204">
        <v>60.56</v>
      </c>
      <c r="L204">
        <v>24.75</v>
      </c>
      <c r="M204">
        <v>3</v>
      </c>
      <c r="N204">
        <v>98.57</v>
      </c>
      <c r="O204">
        <v>40178.370000000003</v>
      </c>
      <c r="P204">
        <v>111.99</v>
      </c>
      <c r="Q204">
        <v>204.14</v>
      </c>
      <c r="R204">
        <v>24.19</v>
      </c>
      <c r="S204">
        <v>17.37</v>
      </c>
      <c r="T204">
        <v>1312.8</v>
      </c>
      <c r="U204">
        <v>0.72</v>
      </c>
      <c r="V204">
        <v>0.75</v>
      </c>
      <c r="W204">
        <v>1.1399999999999999</v>
      </c>
      <c r="X204">
        <v>7.0000000000000007E-2</v>
      </c>
      <c r="Y204">
        <v>1</v>
      </c>
      <c r="Z204">
        <v>10</v>
      </c>
    </row>
    <row r="205" spans="1:26" x14ac:dyDescent="0.3">
      <c r="A205">
        <v>96</v>
      </c>
      <c r="B205">
        <v>140</v>
      </c>
      <c r="C205" t="s">
        <v>26</v>
      </c>
      <c r="D205">
        <v>10.069599999999999</v>
      </c>
      <c r="E205">
        <v>9.93</v>
      </c>
      <c r="F205">
        <v>6.77</v>
      </c>
      <c r="G205">
        <v>81.22</v>
      </c>
      <c r="H205">
        <v>1.37</v>
      </c>
      <c r="I205">
        <v>5</v>
      </c>
      <c r="J205">
        <v>324.44</v>
      </c>
      <c r="K205">
        <v>60.56</v>
      </c>
      <c r="L205">
        <v>25</v>
      </c>
      <c r="M205">
        <v>3</v>
      </c>
      <c r="N205">
        <v>98.89</v>
      </c>
      <c r="O205">
        <v>40249.08</v>
      </c>
      <c r="P205">
        <v>111.98</v>
      </c>
      <c r="Q205">
        <v>204.14</v>
      </c>
      <c r="R205">
        <v>24.24</v>
      </c>
      <c r="S205">
        <v>17.37</v>
      </c>
      <c r="T205">
        <v>1336.25</v>
      </c>
      <c r="U205">
        <v>0.72</v>
      </c>
      <c r="V205">
        <v>0.75</v>
      </c>
      <c r="W205">
        <v>1.1499999999999999</v>
      </c>
      <c r="X205">
        <v>0.08</v>
      </c>
      <c r="Y205">
        <v>1</v>
      </c>
      <c r="Z205">
        <v>10</v>
      </c>
    </row>
    <row r="206" spans="1:26" x14ac:dyDescent="0.3">
      <c r="A206">
        <v>97</v>
      </c>
      <c r="B206">
        <v>140</v>
      </c>
      <c r="C206" t="s">
        <v>26</v>
      </c>
      <c r="D206">
        <v>10.070499999999999</v>
      </c>
      <c r="E206">
        <v>9.93</v>
      </c>
      <c r="F206">
        <v>6.77</v>
      </c>
      <c r="G206">
        <v>81.209999999999994</v>
      </c>
      <c r="H206">
        <v>1.38</v>
      </c>
      <c r="I206">
        <v>5</v>
      </c>
      <c r="J206">
        <v>325.02</v>
      </c>
      <c r="K206">
        <v>60.56</v>
      </c>
      <c r="L206">
        <v>25.25</v>
      </c>
      <c r="M206">
        <v>3</v>
      </c>
      <c r="N206">
        <v>99.21</v>
      </c>
      <c r="O206">
        <v>40319.949999999997</v>
      </c>
      <c r="P206">
        <v>111.97</v>
      </c>
      <c r="Q206">
        <v>204.15</v>
      </c>
      <c r="R206">
        <v>24.22</v>
      </c>
      <c r="S206">
        <v>17.37</v>
      </c>
      <c r="T206">
        <v>1329.55</v>
      </c>
      <c r="U206">
        <v>0.72</v>
      </c>
      <c r="V206">
        <v>0.75</v>
      </c>
      <c r="W206">
        <v>1.1399999999999999</v>
      </c>
      <c r="X206">
        <v>0.08</v>
      </c>
      <c r="Y206">
        <v>1</v>
      </c>
      <c r="Z206">
        <v>10</v>
      </c>
    </row>
    <row r="207" spans="1:26" x14ac:dyDescent="0.3">
      <c r="A207">
        <v>98</v>
      </c>
      <c r="B207">
        <v>140</v>
      </c>
      <c r="C207" t="s">
        <v>26</v>
      </c>
      <c r="D207">
        <v>10.0671</v>
      </c>
      <c r="E207">
        <v>9.93</v>
      </c>
      <c r="F207">
        <v>6.77</v>
      </c>
      <c r="G207">
        <v>81.25</v>
      </c>
      <c r="H207">
        <v>1.4</v>
      </c>
      <c r="I207">
        <v>5</v>
      </c>
      <c r="J207">
        <v>325.58999999999997</v>
      </c>
      <c r="K207">
        <v>60.56</v>
      </c>
      <c r="L207">
        <v>25.5</v>
      </c>
      <c r="M207">
        <v>3</v>
      </c>
      <c r="N207">
        <v>99.54</v>
      </c>
      <c r="O207">
        <v>40390.959999999999</v>
      </c>
      <c r="P207">
        <v>111.91</v>
      </c>
      <c r="Q207">
        <v>204.16</v>
      </c>
      <c r="R207">
        <v>24.3</v>
      </c>
      <c r="S207">
        <v>17.37</v>
      </c>
      <c r="T207">
        <v>1365.2</v>
      </c>
      <c r="U207">
        <v>0.72</v>
      </c>
      <c r="V207">
        <v>0.75</v>
      </c>
      <c r="W207">
        <v>1.1399999999999999</v>
      </c>
      <c r="X207">
        <v>0.08</v>
      </c>
      <c r="Y207">
        <v>1</v>
      </c>
      <c r="Z207">
        <v>10</v>
      </c>
    </row>
    <row r="208" spans="1:26" x14ac:dyDescent="0.3">
      <c r="A208">
        <v>99</v>
      </c>
      <c r="B208">
        <v>140</v>
      </c>
      <c r="C208" t="s">
        <v>26</v>
      </c>
      <c r="D208">
        <v>10.0649</v>
      </c>
      <c r="E208">
        <v>9.94</v>
      </c>
      <c r="F208">
        <v>6.77</v>
      </c>
      <c r="G208">
        <v>81.28</v>
      </c>
      <c r="H208">
        <v>1.41</v>
      </c>
      <c r="I208">
        <v>5</v>
      </c>
      <c r="J208">
        <v>326.17</v>
      </c>
      <c r="K208">
        <v>60.56</v>
      </c>
      <c r="L208">
        <v>25.75</v>
      </c>
      <c r="M208">
        <v>3</v>
      </c>
      <c r="N208">
        <v>99.87</v>
      </c>
      <c r="O208">
        <v>40462.129999999997</v>
      </c>
      <c r="P208">
        <v>111.86</v>
      </c>
      <c r="Q208">
        <v>204.14</v>
      </c>
      <c r="R208">
        <v>24.38</v>
      </c>
      <c r="S208">
        <v>17.37</v>
      </c>
      <c r="T208">
        <v>1408.67</v>
      </c>
      <c r="U208">
        <v>0.71</v>
      </c>
      <c r="V208">
        <v>0.75</v>
      </c>
      <c r="W208">
        <v>1.1499999999999999</v>
      </c>
      <c r="X208">
        <v>0.08</v>
      </c>
      <c r="Y208">
        <v>1</v>
      </c>
      <c r="Z208">
        <v>10</v>
      </c>
    </row>
    <row r="209" spans="1:26" x14ac:dyDescent="0.3">
      <c r="A209">
        <v>100</v>
      </c>
      <c r="B209">
        <v>140</v>
      </c>
      <c r="C209" t="s">
        <v>26</v>
      </c>
      <c r="D209">
        <v>10.0663</v>
      </c>
      <c r="E209">
        <v>9.93</v>
      </c>
      <c r="F209">
        <v>6.77</v>
      </c>
      <c r="G209">
        <v>81.260000000000005</v>
      </c>
      <c r="H209">
        <v>1.42</v>
      </c>
      <c r="I209">
        <v>5</v>
      </c>
      <c r="J209">
        <v>326.75</v>
      </c>
      <c r="K209">
        <v>60.56</v>
      </c>
      <c r="L209">
        <v>26</v>
      </c>
      <c r="M209">
        <v>3</v>
      </c>
      <c r="N209">
        <v>100.2</v>
      </c>
      <c r="O209">
        <v>40533.46</v>
      </c>
      <c r="P209">
        <v>111.62</v>
      </c>
      <c r="Q209">
        <v>204.14</v>
      </c>
      <c r="R209">
        <v>24.29</v>
      </c>
      <c r="S209">
        <v>17.37</v>
      </c>
      <c r="T209">
        <v>1360.8</v>
      </c>
      <c r="U209">
        <v>0.72</v>
      </c>
      <c r="V209">
        <v>0.75</v>
      </c>
      <c r="W209">
        <v>1.1499999999999999</v>
      </c>
      <c r="X209">
        <v>0.08</v>
      </c>
      <c r="Y209">
        <v>1</v>
      </c>
      <c r="Z209">
        <v>10</v>
      </c>
    </row>
    <row r="210" spans="1:26" x14ac:dyDescent="0.3">
      <c r="A210">
        <v>101</v>
      </c>
      <c r="B210">
        <v>140</v>
      </c>
      <c r="C210" t="s">
        <v>26</v>
      </c>
      <c r="D210">
        <v>10.071300000000001</v>
      </c>
      <c r="E210">
        <v>9.93</v>
      </c>
      <c r="F210">
        <v>6.77</v>
      </c>
      <c r="G210">
        <v>81.2</v>
      </c>
      <c r="H210">
        <v>1.43</v>
      </c>
      <c r="I210">
        <v>5</v>
      </c>
      <c r="J210">
        <v>327.33</v>
      </c>
      <c r="K210">
        <v>60.56</v>
      </c>
      <c r="L210">
        <v>26.25</v>
      </c>
      <c r="M210">
        <v>3</v>
      </c>
      <c r="N210">
        <v>100.52</v>
      </c>
      <c r="O210">
        <v>40604.94</v>
      </c>
      <c r="P210">
        <v>111.34</v>
      </c>
      <c r="Q210">
        <v>204.14</v>
      </c>
      <c r="R210">
        <v>24.2</v>
      </c>
      <c r="S210">
        <v>17.37</v>
      </c>
      <c r="T210">
        <v>1314.86</v>
      </c>
      <c r="U210">
        <v>0.72</v>
      </c>
      <c r="V210">
        <v>0.75</v>
      </c>
      <c r="W210">
        <v>1.1399999999999999</v>
      </c>
      <c r="X210">
        <v>0.08</v>
      </c>
      <c r="Y210">
        <v>1</v>
      </c>
      <c r="Z210">
        <v>10</v>
      </c>
    </row>
    <row r="211" spans="1:26" x14ac:dyDescent="0.3">
      <c r="A211">
        <v>102</v>
      </c>
      <c r="B211">
        <v>140</v>
      </c>
      <c r="C211" t="s">
        <v>26</v>
      </c>
      <c r="D211">
        <v>10.150600000000001</v>
      </c>
      <c r="E211">
        <v>9.85</v>
      </c>
      <c r="F211">
        <v>6.74</v>
      </c>
      <c r="G211">
        <v>101.12</v>
      </c>
      <c r="H211">
        <v>1.44</v>
      </c>
      <c r="I211">
        <v>4</v>
      </c>
      <c r="J211">
        <v>327.91</v>
      </c>
      <c r="K211">
        <v>60.56</v>
      </c>
      <c r="L211">
        <v>26.5</v>
      </c>
      <c r="M211">
        <v>2</v>
      </c>
      <c r="N211">
        <v>100.86</v>
      </c>
      <c r="O211">
        <v>40676.58</v>
      </c>
      <c r="P211">
        <v>110.73</v>
      </c>
      <c r="Q211">
        <v>204.14</v>
      </c>
      <c r="R211">
        <v>23.47</v>
      </c>
      <c r="S211">
        <v>17.37</v>
      </c>
      <c r="T211">
        <v>955.05</v>
      </c>
      <c r="U211">
        <v>0.74</v>
      </c>
      <c r="V211">
        <v>0.76</v>
      </c>
      <c r="W211">
        <v>1.1399999999999999</v>
      </c>
      <c r="X211">
        <v>0.05</v>
      </c>
      <c r="Y211">
        <v>1</v>
      </c>
      <c r="Z211">
        <v>10</v>
      </c>
    </row>
    <row r="212" spans="1:26" x14ac:dyDescent="0.3">
      <c r="A212">
        <v>103</v>
      </c>
      <c r="B212">
        <v>140</v>
      </c>
      <c r="C212" t="s">
        <v>26</v>
      </c>
      <c r="D212">
        <v>10.149699999999999</v>
      </c>
      <c r="E212">
        <v>9.85</v>
      </c>
      <c r="F212">
        <v>6.74</v>
      </c>
      <c r="G212">
        <v>101.14</v>
      </c>
      <c r="H212">
        <v>1.45</v>
      </c>
      <c r="I212">
        <v>4</v>
      </c>
      <c r="J212">
        <v>328.49</v>
      </c>
      <c r="K212">
        <v>60.56</v>
      </c>
      <c r="L212">
        <v>26.75</v>
      </c>
      <c r="M212">
        <v>2</v>
      </c>
      <c r="N212">
        <v>101.19</v>
      </c>
      <c r="O212">
        <v>40748.370000000003</v>
      </c>
      <c r="P212">
        <v>110.75</v>
      </c>
      <c r="Q212">
        <v>204.14</v>
      </c>
      <c r="R212">
        <v>23.45</v>
      </c>
      <c r="S212">
        <v>17.37</v>
      </c>
      <c r="T212">
        <v>949.77</v>
      </c>
      <c r="U212">
        <v>0.74</v>
      </c>
      <c r="V212">
        <v>0.76</v>
      </c>
      <c r="W212">
        <v>1.1399999999999999</v>
      </c>
      <c r="X212">
        <v>0.05</v>
      </c>
      <c r="Y212">
        <v>1</v>
      </c>
      <c r="Z212">
        <v>10</v>
      </c>
    </row>
    <row r="213" spans="1:26" x14ac:dyDescent="0.3">
      <c r="A213">
        <v>104</v>
      </c>
      <c r="B213">
        <v>140</v>
      </c>
      <c r="C213" t="s">
        <v>26</v>
      </c>
      <c r="D213">
        <v>10.1509</v>
      </c>
      <c r="E213">
        <v>9.85</v>
      </c>
      <c r="F213">
        <v>6.74</v>
      </c>
      <c r="G213">
        <v>101.12</v>
      </c>
      <c r="H213">
        <v>1.46</v>
      </c>
      <c r="I213">
        <v>4</v>
      </c>
      <c r="J213">
        <v>329.08</v>
      </c>
      <c r="K213">
        <v>60.56</v>
      </c>
      <c r="L213">
        <v>27</v>
      </c>
      <c r="M213">
        <v>2</v>
      </c>
      <c r="N213">
        <v>101.52</v>
      </c>
      <c r="O213">
        <v>40820.32</v>
      </c>
      <c r="P213">
        <v>110.91</v>
      </c>
      <c r="Q213">
        <v>204.15</v>
      </c>
      <c r="R213">
        <v>23.45</v>
      </c>
      <c r="S213">
        <v>17.37</v>
      </c>
      <c r="T213">
        <v>946.43</v>
      </c>
      <c r="U213">
        <v>0.74</v>
      </c>
      <c r="V213">
        <v>0.76</v>
      </c>
      <c r="W213">
        <v>1.1399999999999999</v>
      </c>
      <c r="X213">
        <v>0.05</v>
      </c>
      <c r="Y213">
        <v>1</v>
      </c>
      <c r="Z213">
        <v>10</v>
      </c>
    </row>
    <row r="214" spans="1:26" x14ac:dyDescent="0.3">
      <c r="A214">
        <v>105</v>
      </c>
      <c r="B214">
        <v>140</v>
      </c>
      <c r="C214" t="s">
        <v>26</v>
      </c>
      <c r="D214">
        <v>10.1434</v>
      </c>
      <c r="E214">
        <v>9.86</v>
      </c>
      <c r="F214">
        <v>6.75</v>
      </c>
      <c r="G214">
        <v>101.23</v>
      </c>
      <c r="H214">
        <v>1.47</v>
      </c>
      <c r="I214">
        <v>4</v>
      </c>
      <c r="J214">
        <v>329.66</v>
      </c>
      <c r="K214">
        <v>60.56</v>
      </c>
      <c r="L214">
        <v>27.25</v>
      </c>
      <c r="M214">
        <v>2</v>
      </c>
      <c r="N214">
        <v>101.86</v>
      </c>
      <c r="O214">
        <v>40892.44</v>
      </c>
      <c r="P214">
        <v>111.12</v>
      </c>
      <c r="Q214">
        <v>204.14</v>
      </c>
      <c r="R214">
        <v>23.58</v>
      </c>
      <c r="S214">
        <v>17.37</v>
      </c>
      <c r="T214">
        <v>1010.98</v>
      </c>
      <c r="U214">
        <v>0.74</v>
      </c>
      <c r="V214">
        <v>0.76</v>
      </c>
      <c r="W214">
        <v>1.1399999999999999</v>
      </c>
      <c r="X214">
        <v>0.06</v>
      </c>
      <c r="Y214">
        <v>1</v>
      </c>
      <c r="Z214">
        <v>10</v>
      </c>
    </row>
    <row r="215" spans="1:26" x14ac:dyDescent="0.3">
      <c r="A215">
        <v>106</v>
      </c>
      <c r="B215">
        <v>140</v>
      </c>
      <c r="C215" t="s">
        <v>26</v>
      </c>
      <c r="D215">
        <v>10.142799999999999</v>
      </c>
      <c r="E215">
        <v>9.86</v>
      </c>
      <c r="F215">
        <v>6.75</v>
      </c>
      <c r="G215">
        <v>101.24</v>
      </c>
      <c r="H215">
        <v>1.48</v>
      </c>
      <c r="I215">
        <v>4</v>
      </c>
      <c r="J215">
        <v>330.25</v>
      </c>
      <c r="K215">
        <v>60.56</v>
      </c>
      <c r="L215">
        <v>27.5</v>
      </c>
      <c r="M215">
        <v>2</v>
      </c>
      <c r="N215">
        <v>102.19</v>
      </c>
      <c r="O215">
        <v>40964.71</v>
      </c>
      <c r="P215">
        <v>111.34</v>
      </c>
      <c r="Q215">
        <v>204.14</v>
      </c>
      <c r="R215">
        <v>23.66</v>
      </c>
      <c r="S215">
        <v>17.37</v>
      </c>
      <c r="T215">
        <v>1052.2</v>
      </c>
      <c r="U215">
        <v>0.73</v>
      </c>
      <c r="V215">
        <v>0.76</v>
      </c>
      <c r="W215">
        <v>1.1399999999999999</v>
      </c>
      <c r="X215">
        <v>0.06</v>
      </c>
      <c r="Y215">
        <v>1</v>
      </c>
      <c r="Z215">
        <v>10</v>
      </c>
    </row>
    <row r="216" spans="1:26" x14ac:dyDescent="0.3">
      <c r="A216">
        <v>107</v>
      </c>
      <c r="B216">
        <v>140</v>
      </c>
      <c r="C216" t="s">
        <v>26</v>
      </c>
      <c r="D216">
        <v>10.144299999999999</v>
      </c>
      <c r="E216">
        <v>9.86</v>
      </c>
      <c r="F216">
        <v>6.75</v>
      </c>
      <c r="G216">
        <v>101.22</v>
      </c>
      <c r="H216">
        <v>1.49</v>
      </c>
      <c r="I216">
        <v>4</v>
      </c>
      <c r="J216">
        <v>330.83</v>
      </c>
      <c r="K216">
        <v>60.56</v>
      </c>
      <c r="L216">
        <v>27.75</v>
      </c>
      <c r="M216">
        <v>2</v>
      </c>
      <c r="N216">
        <v>102.53</v>
      </c>
      <c r="O216">
        <v>41037.15</v>
      </c>
      <c r="P216">
        <v>111.41</v>
      </c>
      <c r="Q216">
        <v>204.14</v>
      </c>
      <c r="R216">
        <v>23.65</v>
      </c>
      <c r="S216">
        <v>17.37</v>
      </c>
      <c r="T216">
        <v>1047.95</v>
      </c>
      <c r="U216">
        <v>0.73</v>
      </c>
      <c r="V216">
        <v>0.76</v>
      </c>
      <c r="W216">
        <v>1.1399999999999999</v>
      </c>
      <c r="X216">
        <v>0.06</v>
      </c>
      <c r="Y216">
        <v>1</v>
      </c>
      <c r="Z216">
        <v>10</v>
      </c>
    </row>
    <row r="217" spans="1:26" x14ac:dyDescent="0.3">
      <c r="A217">
        <v>108</v>
      </c>
      <c r="B217">
        <v>140</v>
      </c>
      <c r="C217" t="s">
        <v>26</v>
      </c>
      <c r="D217">
        <v>10.1411</v>
      </c>
      <c r="E217">
        <v>9.86</v>
      </c>
      <c r="F217">
        <v>6.75</v>
      </c>
      <c r="G217">
        <v>101.26</v>
      </c>
      <c r="H217">
        <v>1.51</v>
      </c>
      <c r="I217">
        <v>4</v>
      </c>
      <c r="J217">
        <v>331.42</v>
      </c>
      <c r="K217">
        <v>60.56</v>
      </c>
      <c r="L217">
        <v>28</v>
      </c>
      <c r="M217">
        <v>2</v>
      </c>
      <c r="N217">
        <v>102.87</v>
      </c>
      <c r="O217">
        <v>41109.75</v>
      </c>
      <c r="P217">
        <v>111.6</v>
      </c>
      <c r="Q217">
        <v>204.14</v>
      </c>
      <c r="R217">
        <v>23.67</v>
      </c>
      <c r="S217">
        <v>17.37</v>
      </c>
      <c r="T217">
        <v>1058.3499999999999</v>
      </c>
      <c r="U217">
        <v>0.73</v>
      </c>
      <c r="V217">
        <v>0.76</v>
      </c>
      <c r="W217">
        <v>1.1399999999999999</v>
      </c>
      <c r="X217">
        <v>0.06</v>
      </c>
      <c r="Y217">
        <v>1</v>
      </c>
      <c r="Z217">
        <v>10</v>
      </c>
    </row>
    <row r="218" spans="1:26" x14ac:dyDescent="0.3">
      <c r="A218">
        <v>109</v>
      </c>
      <c r="B218">
        <v>140</v>
      </c>
      <c r="C218" t="s">
        <v>26</v>
      </c>
      <c r="D218">
        <v>10.1394</v>
      </c>
      <c r="E218">
        <v>9.86</v>
      </c>
      <c r="F218">
        <v>6.75</v>
      </c>
      <c r="G218">
        <v>101.29</v>
      </c>
      <c r="H218">
        <v>1.52</v>
      </c>
      <c r="I218">
        <v>4</v>
      </c>
      <c r="J218">
        <v>332.01</v>
      </c>
      <c r="K218">
        <v>60.56</v>
      </c>
      <c r="L218">
        <v>28.25</v>
      </c>
      <c r="M218">
        <v>2</v>
      </c>
      <c r="N218">
        <v>103.21</v>
      </c>
      <c r="O218">
        <v>41182.519999999997</v>
      </c>
      <c r="P218">
        <v>111.72</v>
      </c>
      <c r="Q218">
        <v>204.15</v>
      </c>
      <c r="R218">
        <v>23.75</v>
      </c>
      <c r="S218">
        <v>17.37</v>
      </c>
      <c r="T218">
        <v>1094.94</v>
      </c>
      <c r="U218">
        <v>0.73</v>
      </c>
      <c r="V218">
        <v>0.76</v>
      </c>
      <c r="W218">
        <v>1.1399999999999999</v>
      </c>
      <c r="X218">
        <v>0.06</v>
      </c>
      <c r="Y218">
        <v>1</v>
      </c>
      <c r="Z218">
        <v>10</v>
      </c>
    </row>
    <row r="219" spans="1:26" x14ac:dyDescent="0.3">
      <c r="A219">
        <v>110</v>
      </c>
      <c r="B219">
        <v>140</v>
      </c>
      <c r="C219" t="s">
        <v>26</v>
      </c>
      <c r="D219">
        <v>10.144</v>
      </c>
      <c r="E219">
        <v>9.86</v>
      </c>
      <c r="F219">
        <v>6.75</v>
      </c>
      <c r="G219">
        <v>101.22</v>
      </c>
      <c r="H219">
        <v>1.53</v>
      </c>
      <c r="I219">
        <v>4</v>
      </c>
      <c r="J219">
        <v>332.6</v>
      </c>
      <c r="K219">
        <v>60.56</v>
      </c>
      <c r="L219">
        <v>28.5</v>
      </c>
      <c r="M219">
        <v>2</v>
      </c>
      <c r="N219">
        <v>103.55</v>
      </c>
      <c r="O219">
        <v>41255.449999999997</v>
      </c>
      <c r="P219">
        <v>111.87</v>
      </c>
      <c r="Q219">
        <v>204.14</v>
      </c>
      <c r="R219">
        <v>23.62</v>
      </c>
      <c r="S219">
        <v>17.37</v>
      </c>
      <c r="T219">
        <v>1034.75</v>
      </c>
      <c r="U219">
        <v>0.74</v>
      </c>
      <c r="V219">
        <v>0.76</v>
      </c>
      <c r="W219">
        <v>1.1399999999999999</v>
      </c>
      <c r="X219">
        <v>0.06</v>
      </c>
      <c r="Y219">
        <v>1</v>
      </c>
      <c r="Z219">
        <v>10</v>
      </c>
    </row>
    <row r="220" spans="1:26" x14ac:dyDescent="0.3">
      <c r="A220">
        <v>111</v>
      </c>
      <c r="B220">
        <v>140</v>
      </c>
      <c r="C220" t="s">
        <v>26</v>
      </c>
      <c r="D220">
        <v>10.146000000000001</v>
      </c>
      <c r="E220">
        <v>9.86</v>
      </c>
      <c r="F220">
        <v>6.75</v>
      </c>
      <c r="G220">
        <v>101.19</v>
      </c>
      <c r="H220">
        <v>1.54</v>
      </c>
      <c r="I220">
        <v>4</v>
      </c>
      <c r="J220">
        <v>333.2</v>
      </c>
      <c r="K220">
        <v>60.56</v>
      </c>
      <c r="L220">
        <v>28.75</v>
      </c>
      <c r="M220">
        <v>2</v>
      </c>
      <c r="N220">
        <v>103.89</v>
      </c>
      <c r="O220">
        <v>41328.54</v>
      </c>
      <c r="P220">
        <v>111.9</v>
      </c>
      <c r="Q220">
        <v>204.15</v>
      </c>
      <c r="R220">
        <v>23.55</v>
      </c>
      <c r="S220">
        <v>17.37</v>
      </c>
      <c r="T220">
        <v>995.71</v>
      </c>
      <c r="U220">
        <v>0.74</v>
      </c>
      <c r="V220">
        <v>0.76</v>
      </c>
      <c r="W220">
        <v>1.1399999999999999</v>
      </c>
      <c r="X220">
        <v>0.05</v>
      </c>
      <c r="Y220">
        <v>1</v>
      </c>
      <c r="Z220">
        <v>10</v>
      </c>
    </row>
    <row r="221" spans="1:26" x14ac:dyDescent="0.3">
      <c r="A221">
        <v>112</v>
      </c>
      <c r="B221">
        <v>140</v>
      </c>
      <c r="C221" t="s">
        <v>26</v>
      </c>
      <c r="D221">
        <v>10.1509</v>
      </c>
      <c r="E221">
        <v>9.85</v>
      </c>
      <c r="F221">
        <v>6.74</v>
      </c>
      <c r="G221">
        <v>101.12</v>
      </c>
      <c r="H221">
        <v>1.55</v>
      </c>
      <c r="I221">
        <v>4</v>
      </c>
      <c r="J221">
        <v>333.79</v>
      </c>
      <c r="K221">
        <v>60.56</v>
      </c>
      <c r="L221">
        <v>29</v>
      </c>
      <c r="M221">
        <v>2</v>
      </c>
      <c r="N221">
        <v>104.24</v>
      </c>
      <c r="O221">
        <v>41401.93</v>
      </c>
      <c r="P221">
        <v>111.84</v>
      </c>
      <c r="Q221">
        <v>204.14</v>
      </c>
      <c r="R221">
        <v>23.43</v>
      </c>
      <c r="S221">
        <v>17.37</v>
      </c>
      <c r="T221">
        <v>939.05</v>
      </c>
      <c r="U221">
        <v>0.74</v>
      </c>
      <c r="V221">
        <v>0.76</v>
      </c>
      <c r="W221">
        <v>1.1399999999999999</v>
      </c>
      <c r="X221">
        <v>0.05</v>
      </c>
      <c r="Y221">
        <v>1</v>
      </c>
      <c r="Z221">
        <v>10</v>
      </c>
    </row>
    <row r="222" spans="1:26" x14ac:dyDescent="0.3">
      <c r="A222">
        <v>113</v>
      </c>
      <c r="B222">
        <v>140</v>
      </c>
      <c r="C222" t="s">
        <v>26</v>
      </c>
      <c r="D222">
        <v>10.146800000000001</v>
      </c>
      <c r="E222">
        <v>9.86</v>
      </c>
      <c r="F222">
        <v>6.75</v>
      </c>
      <c r="G222">
        <v>101.18</v>
      </c>
      <c r="H222">
        <v>1.56</v>
      </c>
      <c r="I222">
        <v>4</v>
      </c>
      <c r="J222">
        <v>334.39</v>
      </c>
      <c r="K222">
        <v>60.56</v>
      </c>
      <c r="L222">
        <v>29.25</v>
      </c>
      <c r="M222">
        <v>2</v>
      </c>
      <c r="N222">
        <v>104.58</v>
      </c>
      <c r="O222">
        <v>41475.370000000003</v>
      </c>
      <c r="P222">
        <v>112.04</v>
      </c>
      <c r="Q222">
        <v>204.14</v>
      </c>
      <c r="R222">
        <v>23.52</v>
      </c>
      <c r="S222">
        <v>17.37</v>
      </c>
      <c r="T222">
        <v>979.84</v>
      </c>
      <c r="U222">
        <v>0.74</v>
      </c>
      <c r="V222">
        <v>0.76</v>
      </c>
      <c r="W222">
        <v>1.1399999999999999</v>
      </c>
      <c r="X222">
        <v>0.05</v>
      </c>
      <c r="Y222">
        <v>1</v>
      </c>
      <c r="Z222">
        <v>10</v>
      </c>
    </row>
    <row r="223" spans="1:26" x14ac:dyDescent="0.3">
      <c r="A223">
        <v>114</v>
      </c>
      <c r="B223">
        <v>140</v>
      </c>
      <c r="C223" t="s">
        <v>26</v>
      </c>
      <c r="D223">
        <v>10.1486</v>
      </c>
      <c r="E223">
        <v>9.85</v>
      </c>
      <c r="F223">
        <v>6.74</v>
      </c>
      <c r="G223">
        <v>101.15</v>
      </c>
      <c r="H223">
        <v>1.57</v>
      </c>
      <c r="I223">
        <v>4</v>
      </c>
      <c r="J223">
        <v>334.98</v>
      </c>
      <c r="K223">
        <v>60.56</v>
      </c>
      <c r="L223">
        <v>29.5</v>
      </c>
      <c r="M223">
        <v>2</v>
      </c>
      <c r="N223">
        <v>104.93</v>
      </c>
      <c r="O223">
        <v>41548.980000000003</v>
      </c>
      <c r="P223">
        <v>112.08</v>
      </c>
      <c r="Q223">
        <v>204.14</v>
      </c>
      <c r="R223">
        <v>23.52</v>
      </c>
      <c r="S223">
        <v>17.37</v>
      </c>
      <c r="T223">
        <v>983.79</v>
      </c>
      <c r="U223">
        <v>0.74</v>
      </c>
      <c r="V223">
        <v>0.76</v>
      </c>
      <c r="W223">
        <v>1.1399999999999999</v>
      </c>
      <c r="X223">
        <v>0.05</v>
      </c>
      <c r="Y223">
        <v>1</v>
      </c>
      <c r="Z223">
        <v>10</v>
      </c>
    </row>
    <row r="224" spans="1:26" x14ac:dyDescent="0.3">
      <c r="A224">
        <v>115</v>
      </c>
      <c r="B224">
        <v>140</v>
      </c>
      <c r="C224" t="s">
        <v>26</v>
      </c>
      <c r="D224">
        <v>10.143700000000001</v>
      </c>
      <c r="E224">
        <v>9.86</v>
      </c>
      <c r="F224">
        <v>6.75</v>
      </c>
      <c r="G224">
        <v>101.22</v>
      </c>
      <c r="H224">
        <v>1.58</v>
      </c>
      <c r="I224">
        <v>4</v>
      </c>
      <c r="J224">
        <v>335.58</v>
      </c>
      <c r="K224">
        <v>60.56</v>
      </c>
      <c r="L224">
        <v>29.75</v>
      </c>
      <c r="M224">
        <v>2</v>
      </c>
      <c r="N224">
        <v>105.28</v>
      </c>
      <c r="O224">
        <v>41622.76</v>
      </c>
      <c r="P224">
        <v>112.13</v>
      </c>
      <c r="Q224">
        <v>204.16</v>
      </c>
      <c r="R224">
        <v>23.6</v>
      </c>
      <c r="S224">
        <v>17.37</v>
      </c>
      <c r="T224">
        <v>1024.5899999999999</v>
      </c>
      <c r="U224">
        <v>0.74</v>
      </c>
      <c r="V224">
        <v>0.76</v>
      </c>
      <c r="W224">
        <v>1.1399999999999999</v>
      </c>
      <c r="X224">
        <v>0.06</v>
      </c>
      <c r="Y224">
        <v>1</v>
      </c>
      <c r="Z224">
        <v>10</v>
      </c>
    </row>
    <row r="225" spans="1:26" x14ac:dyDescent="0.3">
      <c r="A225">
        <v>116</v>
      </c>
      <c r="B225">
        <v>140</v>
      </c>
      <c r="C225" t="s">
        <v>26</v>
      </c>
      <c r="D225">
        <v>10.1371</v>
      </c>
      <c r="E225">
        <v>9.86</v>
      </c>
      <c r="F225">
        <v>6.75</v>
      </c>
      <c r="G225">
        <v>101.32</v>
      </c>
      <c r="H225">
        <v>1.59</v>
      </c>
      <c r="I225">
        <v>4</v>
      </c>
      <c r="J225">
        <v>336.18</v>
      </c>
      <c r="K225">
        <v>60.56</v>
      </c>
      <c r="L225">
        <v>30</v>
      </c>
      <c r="M225">
        <v>2</v>
      </c>
      <c r="N225">
        <v>105.63</v>
      </c>
      <c r="O225">
        <v>41696.71</v>
      </c>
      <c r="P225">
        <v>112.31</v>
      </c>
      <c r="Q225">
        <v>204.14</v>
      </c>
      <c r="R225">
        <v>23.78</v>
      </c>
      <c r="S225">
        <v>17.37</v>
      </c>
      <c r="T225">
        <v>1112.79</v>
      </c>
      <c r="U225">
        <v>0.73</v>
      </c>
      <c r="V225">
        <v>0.76</v>
      </c>
      <c r="W225">
        <v>1.1399999999999999</v>
      </c>
      <c r="X225">
        <v>0.06</v>
      </c>
      <c r="Y225">
        <v>1</v>
      </c>
      <c r="Z225">
        <v>10</v>
      </c>
    </row>
    <row r="226" spans="1:26" x14ac:dyDescent="0.3">
      <c r="A226">
        <v>117</v>
      </c>
      <c r="B226">
        <v>140</v>
      </c>
      <c r="C226" t="s">
        <v>26</v>
      </c>
      <c r="D226">
        <v>10.144</v>
      </c>
      <c r="E226">
        <v>9.86</v>
      </c>
      <c r="F226">
        <v>6.75</v>
      </c>
      <c r="G226">
        <v>101.22</v>
      </c>
      <c r="H226">
        <v>1.6</v>
      </c>
      <c r="I226">
        <v>4</v>
      </c>
      <c r="J226">
        <v>336.78</v>
      </c>
      <c r="K226">
        <v>60.56</v>
      </c>
      <c r="L226">
        <v>30.25</v>
      </c>
      <c r="M226">
        <v>2</v>
      </c>
      <c r="N226">
        <v>105.98</v>
      </c>
      <c r="O226">
        <v>41770.83</v>
      </c>
      <c r="P226">
        <v>112.2</v>
      </c>
      <c r="Q226">
        <v>204.17</v>
      </c>
      <c r="R226">
        <v>23.65</v>
      </c>
      <c r="S226">
        <v>17.37</v>
      </c>
      <c r="T226">
        <v>1048.6300000000001</v>
      </c>
      <c r="U226">
        <v>0.73</v>
      </c>
      <c r="V226">
        <v>0.76</v>
      </c>
      <c r="W226">
        <v>1.1399999999999999</v>
      </c>
      <c r="X226">
        <v>0.06</v>
      </c>
      <c r="Y226">
        <v>1</v>
      </c>
      <c r="Z226">
        <v>10</v>
      </c>
    </row>
    <row r="227" spans="1:26" x14ac:dyDescent="0.3">
      <c r="A227">
        <v>118</v>
      </c>
      <c r="B227">
        <v>140</v>
      </c>
      <c r="C227" t="s">
        <v>26</v>
      </c>
      <c r="D227">
        <v>10.1411</v>
      </c>
      <c r="E227">
        <v>9.86</v>
      </c>
      <c r="F227">
        <v>6.75</v>
      </c>
      <c r="G227">
        <v>101.26</v>
      </c>
      <c r="H227">
        <v>1.61</v>
      </c>
      <c r="I227">
        <v>4</v>
      </c>
      <c r="J227">
        <v>337.39</v>
      </c>
      <c r="K227">
        <v>60.56</v>
      </c>
      <c r="L227">
        <v>30.5</v>
      </c>
      <c r="M227">
        <v>2</v>
      </c>
      <c r="N227">
        <v>106.33</v>
      </c>
      <c r="O227">
        <v>41845.129999999997</v>
      </c>
      <c r="P227">
        <v>112.27</v>
      </c>
      <c r="Q227">
        <v>204.21</v>
      </c>
      <c r="R227">
        <v>23.74</v>
      </c>
      <c r="S227">
        <v>17.37</v>
      </c>
      <c r="T227">
        <v>1092.26</v>
      </c>
      <c r="U227">
        <v>0.73</v>
      </c>
      <c r="V227">
        <v>0.76</v>
      </c>
      <c r="W227">
        <v>1.1399999999999999</v>
      </c>
      <c r="X227">
        <v>0.06</v>
      </c>
      <c r="Y227">
        <v>1</v>
      </c>
      <c r="Z227">
        <v>10</v>
      </c>
    </row>
    <row r="228" spans="1:26" x14ac:dyDescent="0.3">
      <c r="A228">
        <v>119</v>
      </c>
      <c r="B228">
        <v>140</v>
      </c>
      <c r="C228" t="s">
        <v>26</v>
      </c>
      <c r="D228">
        <v>10.143700000000001</v>
      </c>
      <c r="E228">
        <v>9.86</v>
      </c>
      <c r="F228">
        <v>6.75</v>
      </c>
      <c r="G228">
        <v>101.22</v>
      </c>
      <c r="H228">
        <v>1.62</v>
      </c>
      <c r="I228">
        <v>4</v>
      </c>
      <c r="J228">
        <v>337.99</v>
      </c>
      <c r="K228">
        <v>60.56</v>
      </c>
      <c r="L228">
        <v>30.75</v>
      </c>
      <c r="M228">
        <v>2</v>
      </c>
      <c r="N228">
        <v>106.68</v>
      </c>
      <c r="O228">
        <v>41919.61</v>
      </c>
      <c r="P228">
        <v>112.23</v>
      </c>
      <c r="Q228">
        <v>204.14</v>
      </c>
      <c r="R228">
        <v>23.63</v>
      </c>
      <c r="S228">
        <v>17.37</v>
      </c>
      <c r="T228">
        <v>1037.04</v>
      </c>
      <c r="U228">
        <v>0.74</v>
      </c>
      <c r="V228">
        <v>0.76</v>
      </c>
      <c r="W228">
        <v>1.1399999999999999</v>
      </c>
      <c r="X228">
        <v>0.06</v>
      </c>
      <c r="Y228">
        <v>1</v>
      </c>
      <c r="Z228">
        <v>10</v>
      </c>
    </row>
    <row r="229" spans="1:26" x14ac:dyDescent="0.3">
      <c r="A229">
        <v>120</v>
      </c>
      <c r="B229">
        <v>140</v>
      </c>
      <c r="C229" t="s">
        <v>26</v>
      </c>
      <c r="D229">
        <v>10.1471</v>
      </c>
      <c r="E229">
        <v>9.86</v>
      </c>
      <c r="F229">
        <v>6.75</v>
      </c>
      <c r="G229">
        <v>101.17</v>
      </c>
      <c r="H229">
        <v>1.63</v>
      </c>
      <c r="I229">
        <v>4</v>
      </c>
      <c r="J229">
        <v>338.59</v>
      </c>
      <c r="K229">
        <v>60.56</v>
      </c>
      <c r="L229">
        <v>31</v>
      </c>
      <c r="M229">
        <v>2</v>
      </c>
      <c r="N229">
        <v>107.04</v>
      </c>
      <c r="O229">
        <v>41994.26</v>
      </c>
      <c r="P229">
        <v>112.09</v>
      </c>
      <c r="Q229">
        <v>204.14</v>
      </c>
      <c r="R229">
        <v>23.55</v>
      </c>
      <c r="S229">
        <v>17.37</v>
      </c>
      <c r="T229">
        <v>999.64</v>
      </c>
      <c r="U229">
        <v>0.74</v>
      </c>
      <c r="V229">
        <v>0.76</v>
      </c>
      <c r="W229">
        <v>1.1399999999999999</v>
      </c>
      <c r="X229">
        <v>0.05</v>
      </c>
      <c r="Y229">
        <v>1</v>
      </c>
      <c r="Z229">
        <v>10</v>
      </c>
    </row>
    <row r="230" spans="1:26" x14ac:dyDescent="0.3">
      <c r="A230">
        <v>121</v>
      </c>
      <c r="B230">
        <v>140</v>
      </c>
      <c r="C230" t="s">
        <v>26</v>
      </c>
      <c r="D230">
        <v>10.147399999999999</v>
      </c>
      <c r="E230">
        <v>9.85</v>
      </c>
      <c r="F230">
        <v>6.74</v>
      </c>
      <c r="G230">
        <v>101.17</v>
      </c>
      <c r="H230">
        <v>1.64</v>
      </c>
      <c r="I230">
        <v>4</v>
      </c>
      <c r="J230">
        <v>339.2</v>
      </c>
      <c r="K230">
        <v>60.56</v>
      </c>
      <c r="L230">
        <v>31.25</v>
      </c>
      <c r="M230">
        <v>2</v>
      </c>
      <c r="N230">
        <v>107.4</v>
      </c>
      <c r="O230">
        <v>42069.09</v>
      </c>
      <c r="P230">
        <v>112.13</v>
      </c>
      <c r="Q230">
        <v>204.15</v>
      </c>
      <c r="R230">
        <v>23.52</v>
      </c>
      <c r="S230">
        <v>17.37</v>
      </c>
      <c r="T230">
        <v>982.79</v>
      </c>
      <c r="U230">
        <v>0.74</v>
      </c>
      <c r="V230">
        <v>0.76</v>
      </c>
      <c r="W230">
        <v>1.1399999999999999</v>
      </c>
      <c r="X230">
        <v>0.05</v>
      </c>
      <c r="Y230">
        <v>1</v>
      </c>
      <c r="Z230">
        <v>10</v>
      </c>
    </row>
    <row r="231" spans="1:26" x14ac:dyDescent="0.3">
      <c r="A231">
        <v>122</v>
      </c>
      <c r="B231">
        <v>140</v>
      </c>
      <c r="C231" t="s">
        <v>26</v>
      </c>
      <c r="D231">
        <v>10.1463</v>
      </c>
      <c r="E231">
        <v>9.86</v>
      </c>
      <c r="F231">
        <v>6.75</v>
      </c>
      <c r="G231">
        <v>101.19</v>
      </c>
      <c r="H231">
        <v>1.65</v>
      </c>
      <c r="I231">
        <v>4</v>
      </c>
      <c r="J231">
        <v>339.81</v>
      </c>
      <c r="K231">
        <v>60.56</v>
      </c>
      <c r="L231">
        <v>31.5</v>
      </c>
      <c r="M231">
        <v>2</v>
      </c>
      <c r="N231">
        <v>107.75</v>
      </c>
      <c r="O231">
        <v>42144.11</v>
      </c>
      <c r="P231">
        <v>112.15</v>
      </c>
      <c r="Q231">
        <v>204.14</v>
      </c>
      <c r="R231">
        <v>23.55</v>
      </c>
      <c r="S231">
        <v>17.37</v>
      </c>
      <c r="T231">
        <v>995.49</v>
      </c>
      <c r="U231">
        <v>0.74</v>
      </c>
      <c r="V231">
        <v>0.76</v>
      </c>
      <c r="W231">
        <v>1.1399999999999999</v>
      </c>
      <c r="X231">
        <v>0.05</v>
      </c>
      <c r="Y231">
        <v>1</v>
      </c>
      <c r="Z231">
        <v>10</v>
      </c>
    </row>
    <row r="232" spans="1:26" x14ac:dyDescent="0.3">
      <c r="A232">
        <v>123</v>
      </c>
      <c r="B232">
        <v>140</v>
      </c>
      <c r="C232" t="s">
        <v>26</v>
      </c>
      <c r="D232">
        <v>10.146800000000001</v>
      </c>
      <c r="E232">
        <v>9.86</v>
      </c>
      <c r="F232">
        <v>6.75</v>
      </c>
      <c r="G232">
        <v>101.18</v>
      </c>
      <c r="H232">
        <v>1.66</v>
      </c>
      <c r="I232">
        <v>4</v>
      </c>
      <c r="J232">
        <v>340.42</v>
      </c>
      <c r="K232">
        <v>60.56</v>
      </c>
      <c r="L232">
        <v>31.75</v>
      </c>
      <c r="M232">
        <v>2</v>
      </c>
      <c r="N232">
        <v>108.11</v>
      </c>
      <c r="O232">
        <v>42219.3</v>
      </c>
      <c r="P232">
        <v>112.08</v>
      </c>
      <c r="Q232">
        <v>204.14</v>
      </c>
      <c r="R232">
        <v>23.44</v>
      </c>
      <c r="S232">
        <v>17.37</v>
      </c>
      <c r="T232">
        <v>940.13</v>
      </c>
      <c r="U232">
        <v>0.74</v>
      </c>
      <c r="V232">
        <v>0.76</v>
      </c>
      <c r="W232">
        <v>1.1399999999999999</v>
      </c>
      <c r="X232">
        <v>0.05</v>
      </c>
      <c r="Y232">
        <v>1</v>
      </c>
      <c r="Z232">
        <v>10</v>
      </c>
    </row>
    <row r="233" spans="1:26" x14ac:dyDescent="0.3">
      <c r="A233">
        <v>124</v>
      </c>
      <c r="B233">
        <v>140</v>
      </c>
      <c r="C233" t="s">
        <v>26</v>
      </c>
      <c r="D233">
        <v>10.149699999999999</v>
      </c>
      <c r="E233">
        <v>9.85</v>
      </c>
      <c r="F233">
        <v>6.74</v>
      </c>
      <c r="G233">
        <v>101.14</v>
      </c>
      <c r="H233">
        <v>1.67</v>
      </c>
      <c r="I233">
        <v>4</v>
      </c>
      <c r="J233">
        <v>341.03</v>
      </c>
      <c r="K233">
        <v>60.56</v>
      </c>
      <c r="L233">
        <v>32</v>
      </c>
      <c r="M233">
        <v>2</v>
      </c>
      <c r="N233">
        <v>108.48</v>
      </c>
      <c r="O233">
        <v>42294.68</v>
      </c>
      <c r="P233">
        <v>111.99</v>
      </c>
      <c r="Q233">
        <v>204.14</v>
      </c>
      <c r="R233">
        <v>23.37</v>
      </c>
      <c r="S233">
        <v>17.37</v>
      </c>
      <c r="T233">
        <v>905.32</v>
      </c>
      <c r="U233">
        <v>0.74</v>
      </c>
      <c r="V233">
        <v>0.76</v>
      </c>
      <c r="W233">
        <v>1.1399999999999999</v>
      </c>
      <c r="X233">
        <v>0.05</v>
      </c>
      <c r="Y233">
        <v>1</v>
      </c>
      <c r="Z233">
        <v>10</v>
      </c>
    </row>
    <row r="234" spans="1:26" x14ac:dyDescent="0.3">
      <c r="A234">
        <v>125</v>
      </c>
      <c r="B234">
        <v>140</v>
      </c>
      <c r="C234" t="s">
        <v>26</v>
      </c>
      <c r="D234">
        <v>10.1488</v>
      </c>
      <c r="E234">
        <v>9.85</v>
      </c>
      <c r="F234">
        <v>6.74</v>
      </c>
      <c r="G234">
        <v>101.15</v>
      </c>
      <c r="H234">
        <v>1.68</v>
      </c>
      <c r="I234">
        <v>4</v>
      </c>
      <c r="J234">
        <v>341.64</v>
      </c>
      <c r="K234">
        <v>60.56</v>
      </c>
      <c r="L234">
        <v>32.25</v>
      </c>
      <c r="M234">
        <v>2</v>
      </c>
      <c r="N234">
        <v>108.84</v>
      </c>
      <c r="O234">
        <v>42370.23</v>
      </c>
      <c r="P234">
        <v>111.93</v>
      </c>
      <c r="Q234">
        <v>204.15</v>
      </c>
      <c r="R234">
        <v>23.47</v>
      </c>
      <c r="S234">
        <v>17.37</v>
      </c>
      <c r="T234">
        <v>955.44</v>
      </c>
      <c r="U234">
        <v>0.74</v>
      </c>
      <c r="V234">
        <v>0.76</v>
      </c>
      <c r="W234">
        <v>1.1399999999999999</v>
      </c>
      <c r="X234">
        <v>0.05</v>
      </c>
      <c r="Y234">
        <v>1</v>
      </c>
      <c r="Z234">
        <v>10</v>
      </c>
    </row>
    <row r="235" spans="1:26" x14ac:dyDescent="0.3">
      <c r="A235">
        <v>126</v>
      </c>
      <c r="B235">
        <v>140</v>
      </c>
      <c r="C235" t="s">
        <v>26</v>
      </c>
      <c r="D235">
        <v>10.149699999999999</v>
      </c>
      <c r="E235">
        <v>9.85</v>
      </c>
      <c r="F235">
        <v>6.74</v>
      </c>
      <c r="G235">
        <v>101.14</v>
      </c>
      <c r="H235">
        <v>1.69</v>
      </c>
      <c r="I235">
        <v>4</v>
      </c>
      <c r="J235">
        <v>342.26</v>
      </c>
      <c r="K235">
        <v>60.56</v>
      </c>
      <c r="L235">
        <v>32.5</v>
      </c>
      <c r="M235">
        <v>2</v>
      </c>
      <c r="N235">
        <v>109.2</v>
      </c>
      <c r="O235">
        <v>42445.98</v>
      </c>
      <c r="P235">
        <v>111.82</v>
      </c>
      <c r="Q235">
        <v>204.14</v>
      </c>
      <c r="R235">
        <v>23.48</v>
      </c>
      <c r="S235">
        <v>17.37</v>
      </c>
      <c r="T235">
        <v>961.69</v>
      </c>
      <c r="U235">
        <v>0.74</v>
      </c>
      <c r="V235">
        <v>0.76</v>
      </c>
      <c r="W235">
        <v>1.1399999999999999</v>
      </c>
      <c r="X235">
        <v>0.05</v>
      </c>
      <c r="Y235">
        <v>1</v>
      </c>
      <c r="Z235">
        <v>10</v>
      </c>
    </row>
    <row r="236" spans="1:26" x14ac:dyDescent="0.3">
      <c r="A236">
        <v>127</v>
      </c>
      <c r="B236">
        <v>140</v>
      </c>
      <c r="C236" t="s">
        <v>26</v>
      </c>
      <c r="D236">
        <v>10.15</v>
      </c>
      <c r="E236">
        <v>9.85</v>
      </c>
      <c r="F236">
        <v>6.74</v>
      </c>
      <c r="G236">
        <v>101.13</v>
      </c>
      <c r="H236">
        <v>1.7</v>
      </c>
      <c r="I236">
        <v>4</v>
      </c>
      <c r="J236">
        <v>342.87</v>
      </c>
      <c r="K236">
        <v>60.56</v>
      </c>
      <c r="L236">
        <v>32.75</v>
      </c>
      <c r="M236">
        <v>2</v>
      </c>
      <c r="N236">
        <v>109.57</v>
      </c>
      <c r="O236">
        <v>42521.91</v>
      </c>
      <c r="P236">
        <v>111.74</v>
      </c>
      <c r="Q236">
        <v>204.14</v>
      </c>
      <c r="R236">
        <v>23.41</v>
      </c>
      <c r="S236">
        <v>17.37</v>
      </c>
      <c r="T236">
        <v>927.08</v>
      </c>
      <c r="U236">
        <v>0.74</v>
      </c>
      <c r="V236">
        <v>0.76</v>
      </c>
      <c r="W236">
        <v>1.1399999999999999</v>
      </c>
      <c r="X236">
        <v>0.05</v>
      </c>
      <c r="Y236">
        <v>1</v>
      </c>
      <c r="Z236">
        <v>10</v>
      </c>
    </row>
    <row r="237" spans="1:26" x14ac:dyDescent="0.3">
      <c r="A237">
        <v>128</v>
      </c>
      <c r="B237">
        <v>140</v>
      </c>
      <c r="C237" t="s">
        <v>26</v>
      </c>
      <c r="D237">
        <v>10.1503</v>
      </c>
      <c r="E237">
        <v>9.85</v>
      </c>
      <c r="F237">
        <v>6.74</v>
      </c>
      <c r="G237">
        <v>101.13</v>
      </c>
      <c r="H237">
        <v>1.71</v>
      </c>
      <c r="I237">
        <v>4</v>
      </c>
      <c r="J237">
        <v>343.49</v>
      </c>
      <c r="K237">
        <v>60.56</v>
      </c>
      <c r="L237">
        <v>33</v>
      </c>
      <c r="M237">
        <v>2</v>
      </c>
      <c r="N237">
        <v>109.94</v>
      </c>
      <c r="O237">
        <v>42598.03</v>
      </c>
      <c r="P237">
        <v>111.72</v>
      </c>
      <c r="Q237">
        <v>204.14</v>
      </c>
      <c r="R237">
        <v>23.38</v>
      </c>
      <c r="S237">
        <v>17.37</v>
      </c>
      <c r="T237">
        <v>910.2</v>
      </c>
      <c r="U237">
        <v>0.74</v>
      </c>
      <c r="V237">
        <v>0.76</v>
      </c>
      <c r="W237">
        <v>1.1399999999999999</v>
      </c>
      <c r="X237">
        <v>0.05</v>
      </c>
      <c r="Y237">
        <v>1</v>
      </c>
      <c r="Z237">
        <v>10</v>
      </c>
    </row>
    <row r="238" spans="1:26" x14ac:dyDescent="0.3">
      <c r="A238">
        <v>129</v>
      </c>
      <c r="B238">
        <v>140</v>
      </c>
      <c r="C238" t="s">
        <v>26</v>
      </c>
      <c r="D238">
        <v>10.1517</v>
      </c>
      <c r="E238">
        <v>9.85</v>
      </c>
      <c r="F238">
        <v>6.74</v>
      </c>
      <c r="G238">
        <v>101.11</v>
      </c>
      <c r="H238">
        <v>1.72</v>
      </c>
      <c r="I238">
        <v>4</v>
      </c>
      <c r="J238">
        <v>344.11</v>
      </c>
      <c r="K238">
        <v>60.56</v>
      </c>
      <c r="L238">
        <v>33.25</v>
      </c>
      <c r="M238">
        <v>2</v>
      </c>
      <c r="N238">
        <v>110.3</v>
      </c>
      <c r="O238">
        <v>42674.47</v>
      </c>
      <c r="P238">
        <v>111.51</v>
      </c>
      <c r="Q238">
        <v>204.14</v>
      </c>
      <c r="R238">
        <v>23.35</v>
      </c>
      <c r="S238">
        <v>17.37</v>
      </c>
      <c r="T238">
        <v>895.74</v>
      </c>
      <c r="U238">
        <v>0.74</v>
      </c>
      <c r="V238">
        <v>0.76</v>
      </c>
      <c r="W238">
        <v>1.1399999999999999</v>
      </c>
      <c r="X238">
        <v>0.05</v>
      </c>
      <c r="Y238">
        <v>1</v>
      </c>
      <c r="Z238">
        <v>10</v>
      </c>
    </row>
    <row r="239" spans="1:26" x14ac:dyDescent="0.3">
      <c r="A239">
        <v>130</v>
      </c>
      <c r="B239">
        <v>140</v>
      </c>
      <c r="C239" t="s">
        <v>26</v>
      </c>
      <c r="D239">
        <v>10.1477</v>
      </c>
      <c r="E239">
        <v>9.85</v>
      </c>
      <c r="F239">
        <v>6.74</v>
      </c>
      <c r="G239">
        <v>101.17</v>
      </c>
      <c r="H239">
        <v>1.73</v>
      </c>
      <c r="I239">
        <v>4</v>
      </c>
      <c r="J239">
        <v>344.73</v>
      </c>
      <c r="K239">
        <v>60.56</v>
      </c>
      <c r="L239">
        <v>33.5</v>
      </c>
      <c r="M239">
        <v>2</v>
      </c>
      <c r="N239">
        <v>110.67</v>
      </c>
      <c r="O239">
        <v>42750.97</v>
      </c>
      <c r="P239">
        <v>111.51</v>
      </c>
      <c r="Q239">
        <v>204.14</v>
      </c>
      <c r="R239">
        <v>23.45</v>
      </c>
      <c r="S239">
        <v>17.37</v>
      </c>
      <c r="T239">
        <v>946.62</v>
      </c>
      <c r="U239">
        <v>0.74</v>
      </c>
      <c r="V239">
        <v>0.76</v>
      </c>
      <c r="W239">
        <v>1.1399999999999999</v>
      </c>
      <c r="X239">
        <v>0.05</v>
      </c>
      <c r="Y239">
        <v>1</v>
      </c>
      <c r="Z239">
        <v>10</v>
      </c>
    </row>
    <row r="240" spans="1:26" x14ac:dyDescent="0.3">
      <c r="A240">
        <v>131</v>
      </c>
      <c r="B240">
        <v>140</v>
      </c>
      <c r="C240" t="s">
        <v>26</v>
      </c>
      <c r="D240">
        <v>10.154299999999999</v>
      </c>
      <c r="E240">
        <v>9.85</v>
      </c>
      <c r="F240">
        <v>6.74</v>
      </c>
      <c r="G240">
        <v>101.07</v>
      </c>
      <c r="H240">
        <v>1.74</v>
      </c>
      <c r="I240">
        <v>4</v>
      </c>
      <c r="J240">
        <v>345.35</v>
      </c>
      <c r="K240">
        <v>60.56</v>
      </c>
      <c r="L240">
        <v>33.75</v>
      </c>
      <c r="M240">
        <v>2</v>
      </c>
      <c r="N240">
        <v>111.05</v>
      </c>
      <c r="O240">
        <v>42827.67</v>
      </c>
      <c r="P240">
        <v>111.34</v>
      </c>
      <c r="Q240">
        <v>204.18</v>
      </c>
      <c r="R240">
        <v>23.27</v>
      </c>
      <c r="S240">
        <v>17.37</v>
      </c>
      <c r="T240">
        <v>857.3</v>
      </c>
      <c r="U240">
        <v>0.75</v>
      </c>
      <c r="V240">
        <v>0.76</v>
      </c>
      <c r="W240">
        <v>1.1399999999999999</v>
      </c>
      <c r="X240">
        <v>0.05</v>
      </c>
      <c r="Y240">
        <v>1</v>
      </c>
      <c r="Z240">
        <v>10</v>
      </c>
    </row>
    <row r="241" spans="1:26" x14ac:dyDescent="0.3">
      <c r="A241">
        <v>132</v>
      </c>
      <c r="B241">
        <v>140</v>
      </c>
      <c r="C241" t="s">
        <v>26</v>
      </c>
      <c r="D241">
        <v>10.1569</v>
      </c>
      <c r="E241">
        <v>9.85</v>
      </c>
      <c r="F241">
        <v>6.74</v>
      </c>
      <c r="G241">
        <v>101.03</v>
      </c>
      <c r="H241">
        <v>1.75</v>
      </c>
      <c r="I241">
        <v>4</v>
      </c>
      <c r="J241">
        <v>345.97</v>
      </c>
      <c r="K241">
        <v>60.56</v>
      </c>
      <c r="L241">
        <v>34</v>
      </c>
      <c r="M241">
        <v>2</v>
      </c>
      <c r="N241">
        <v>111.42</v>
      </c>
      <c r="O241">
        <v>42904.56</v>
      </c>
      <c r="P241">
        <v>111.12</v>
      </c>
      <c r="Q241">
        <v>204.14</v>
      </c>
      <c r="R241">
        <v>23.16</v>
      </c>
      <c r="S241">
        <v>17.37</v>
      </c>
      <c r="T241">
        <v>803.87</v>
      </c>
      <c r="U241">
        <v>0.75</v>
      </c>
      <c r="V241">
        <v>0.76</v>
      </c>
      <c r="W241">
        <v>1.1399999999999999</v>
      </c>
      <c r="X241">
        <v>0.04</v>
      </c>
      <c r="Y241">
        <v>1</v>
      </c>
      <c r="Z241">
        <v>10</v>
      </c>
    </row>
    <row r="242" spans="1:26" x14ac:dyDescent="0.3">
      <c r="A242">
        <v>133</v>
      </c>
      <c r="B242">
        <v>140</v>
      </c>
      <c r="C242" t="s">
        <v>26</v>
      </c>
      <c r="D242">
        <v>10.1594</v>
      </c>
      <c r="E242">
        <v>9.84</v>
      </c>
      <c r="F242">
        <v>6.73</v>
      </c>
      <c r="G242">
        <v>101</v>
      </c>
      <c r="H242">
        <v>1.76</v>
      </c>
      <c r="I242">
        <v>4</v>
      </c>
      <c r="J242">
        <v>346.6</v>
      </c>
      <c r="K242">
        <v>60.56</v>
      </c>
      <c r="L242">
        <v>34.25</v>
      </c>
      <c r="M242">
        <v>2</v>
      </c>
      <c r="N242">
        <v>111.8</v>
      </c>
      <c r="O242">
        <v>42981.64</v>
      </c>
      <c r="P242">
        <v>111.08</v>
      </c>
      <c r="Q242">
        <v>204.14</v>
      </c>
      <c r="R242">
        <v>23.1</v>
      </c>
      <c r="S242">
        <v>17.37</v>
      </c>
      <c r="T242">
        <v>771.92</v>
      </c>
      <c r="U242">
        <v>0.75</v>
      </c>
      <c r="V242">
        <v>0.76</v>
      </c>
      <c r="W242">
        <v>1.1399999999999999</v>
      </c>
      <c r="X242">
        <v>0.04</v>
      </c>
      <c r="Y242">
        <v>1</v>
      </c>
      <c r="Z242">
        <v>10</v>
      </c>
    </row>
    <row r="243" spans="1:26" x14ac:dyDescent="0.3">
      <c r="A243">
        <v>134</v>
      </c>
      <c r="B243">
        <v>140</v>
      </c>
      <c r="C243" t="s">
        <v>26</v>
      </c>
      <c r="D243">
        <v>10.1569</v>
      </c>
      <c r="E243">
        <v>9.85</v>
      </c>
      <c r="F243">
        <v>6.74</v>
      </c>
      <c r="G243">
        <v>101.03</v>
      </c>
      <c r="H243">
        <v>1.77</v>
      </c>
      <c r="I243">
        <v>4</v>
      </c>
      <c r="J243">
        <v>347.23</v>
      </c>
      <c r="K243">
        <v>60.56</v>
      </c>
      <c r="L243">
        <v>34.5</v>
      </c>
      <c r="M243">
        <v>2</v>
      </c>
      <c r="N243">
        <v>112.17</v>
      </c>
      <c r="O243">
        <v>43058.93</v>
      </c>
      <c r="P243">
        <v>110.93</v>
      </c>
      <c r="Q243">
        <v>204.14</v>
      </c>
      <c r="R243">
        <v>23.14</v>
      </c>
      <c r="S243">
        <v>17.37</v>
      </c>
      <c r="T243">
        <v>792.31</v>
      </c>
      <c r="U243">
        <v>0.75</v>
      </c>
      <c r="V243">
        <v>0.76</v>
      </c>
      <c r="W243">
        <v>1.1399999999999999</v>
      </c>
      <c r="X243">
        <v>0.04</v>
      </c>
      <c r="Y243">
        <v>1</v>
      </c>
      <c r="Z243">
        <v>10</v>
      </c>
    </row>
    <row r="244" spans="1:26" x14ac:dyDescent="0.3">
      <c r="A244">
        <v>135</v>
      </c>
      <c r="B244">
        <v>140</v>
      </c>
      <c r="C244" t="s">
        <v>26</v>
      </c>
      <c r="D244">
        <v>10.156000000000001</v>
      </c>
      <c r="E244">
        <v>9.85</v>
      </c>
      <c r="F244">
        <v>6.74</v>
      </c>
      <c r="G244">
        <v>101.05</v>
      </c>
      <c r="H244">
        <v>1.78</v>
      </c>
      <c r="I244">
        <v>4</v>
      </c>
      <c r="J244">
        <v>347.85</v>
      </c>
      <c r="K244">
        <v>60.56</v>
      </c>
      <c r="L244">
        <v>34.75</v>
      </c>
      <c r="M244">
        <v>2</v>
      </c>
      <c r="N244">
        <v>112.55</v>
      </c>
      <c r="O244">
        <v>43136.41</v>
      </c>
      <c r="P244">
        <v>110.84</v>
      </c>
      <c r="Q244">
        <v>204.14</v>
      </c>
      <c r="R244">
        <v>23.18</v>
      </c>
      <c r="S244">
        <v>17.37</v>
      </c>
      <c r="T244">
        <v>813.39</v>
      </c>
      <c r="U244">
        <v>0.75</v>
      </c>
      <c r="V244">
        <v>0.76</v>
      </c>
      <c r="W244">
        <v>1.1399999999999999</v>
      </c>
      <c r="X244">
        <v>0.05</v>
      </c>
      <c r="Y244">
        <v>1</v>
      </c>
      <c r="Z244">
        <v>10</v>
      </c>
    </row>
    <row r="245" spans="1:26" x14ac:dyDescent="0.3">
      <c r="A245">
        <v>136</v>
      </c>
      <c r="B245">
        <v>140</v>
      </c>
      <c r="C245" t="s">
        <v>26</v>
      </c>
      <c r="D245">
        <v>10.1572</v>
      </c>
      <c r="E245">
        <v>9.85</v>
      </c>
      <c r="F245">
        <v>6.74</v>
      </c>
      <c r="G245">
        <v>101.03</v>
      </c>
      <c r="H245">
        <v>1.79</v>
      </c>
      <c r="I245">
        <v>4</v>
      </c>
      <c r="J245">
        <v>348.48</v>
      </c>
      <c r="K245">
        <v>60.56</v>
      </c>
      <c r="L245">
        <v>35</v>
      </c>
      <c r="M245">
        <v>2</v>
      </c>
      <c r="N245">
        <v>112.93</v>
      </c>
      <c r="O245">
        <v>43214.09</v>
      </c>
      <c r="P245">
        <v>110.68</v>
      </c>
      <c r="Q245">
        <v>204.14</v>
      </c>
      <c r="R245">
        <v>23.22</v>
      </c>
      <c r="S245">
        <v>17.37</v>
      </c>
      <c r="T245">
        <v>829.92</v>
      </c>
      <c r="U245">
        <v>0.75</v>
      </c>
      <c r="V245">
        <v>0.76</v>
      </c>
      <c r="W245">
        <v>1.1399999999999999</v>
      </c>
      <c r="X245">
        <v>0.04</v>
      </c>
      <c r="Y245">
        <v>1</v>
      </c>
      <c r="Z245">
        <v>10</v>
      </c>
    </row>
    <row r="246" spans="1:26" x14ac:dyDescent="0.3">
      <c r="A246">
        <v>137</v>
      </c>
      <c r="B246">
        <v>140</v>
      </c>
      <c r="C246" t="s">
        <v>26</v>
      </c>
      <c r="D246">
        <v>10.1557</v>
      </c>
      <c r="E246">
        <v>9.85</v>
      </c>
      <c r="F246">
        <v>6.74</v>
      </c>
      <c r="G246">
        <v>101.05</v>
      </c>
      <c r="H246">
        <v>1.8</v>
      </c>
      <c r="I246">
        <v>4</v>
      </c>
      <c r="J246">
        <v>349.12</v>
      </c>
      <c r="K246">
        <v>60.56</v>
      </c>
      <c r="L246">
        <v>35.25</v>
      </c>
      <c r="M246">
        <v>2</v>
      </c>
      <c r="N246">
        <v>113.31</v>
      </c>
      <c r="O246">
        <v>43291.97</v>
      </c>
      <c r="P246">
        <v>110.7</v>
      </c>
      <c r="Q246">
        <v>204.14</v>
      </c>
      <c r="R246">
        <v>23.23</v>
      </c>
      <c r="S246">
        <v>17.37</v>
      </c>
      <c r="T246">
        <v>837.53</v>
      </c>
      <c r="U246">
        <v>0.75</v>
      </c>
      <c r="V246">
        <v>0.76</v>
      </c>
      <c r="W246">
        <v>1.1399999999999999</v>
      </c>
      <c r="X246">
        <v>0.05</v>
      </c>
      <c r="Y246">
        <v>1</v>
      </c>
      <c r="Z246">
        <v>10</v>
      </c>
    </row>
    <row r="247" spans="1:26" x14ac:dyDescent="0.3">
      <c r="A247">
        <v>138</v>
      </c>
      <c r="B247">
        <v>140</v>
      </c>
      <c r="C247" t="s">
        <v>26</v>
      </c>
      <c r="D247">
        <v>10.1534</v>
      </c>
      <c r="E247">
        <v>9.85</v>
      </c>
      <c r="F247">
        <v>6.74</v>
      </c>
      <c r="G247">
        <v>101.08</v>
      </c>
      <c r="H247">
        <v>1.81</v>
      </c>
      <c r="I247">
        <v>4</v>
      </c>
      <c r="J247">
        <v>349.75</v>
      </c>
      <c r="K247">
        <v>60.56</v>
      </c>
      <c r="L247">
        <v>35.5</v>
      </c>
      <c r="M247">
        <v>2</v>
      </c>
      <c r="N247">
        <v>113.69</v>
      </c>
      <c r="O247">
        <v>43370.05</v>
      </c>
      <c r="P247">
        <v>110.6</v>
      </c>
      <c r="Q247">
        <v>204.14</v>
      </c>
      <c r="R247">
        <v>23.27</v>
      </c>
      <c r="S247">
        <v>17.37</v>
      </c>
      <c r="T247">
        <v>855.08</v>
      </c>
      <c r="U247">
        <v>0.75</v>
      </c>
      <c r="V247">
        <v>0.76</v>
      </c>
      <c r="W247">
        <v>1.1399999999999999</v>
      </c>
      <c r="X247">
        <v>0.05</v>
      </c>
      <c r="Y247">
        <v>1</v>
      </c>
      <c r="Z247">
        <v>10</v>
      </c>
    </row>
    <row r="248" spans="1:26" x14ac:dyDescent="0.3">
      <c r="A248">
        <v>139</v>
      </c>
      <c r="B248">
        <v>140</v>
      </c>
      <c r="C248" t="s">
        <v>26</v>
      </c>
      <c r="D248">
        <v>10.1511</v>
      </c>
      <c r="E248">
        <v>9.85</v>
      </c>
      <c r="F248">
        <v>6.74</v>
      </c>
      <c r="G248">
        <v>101.12</v>
      </c>
      <c r="H248">
        <v>1.82</v>
      </c>
      <c r="I248">
        <v>4</v>
      </c>
      <c r="J248">
        <v>350.38</v>
      </c>
      <c r="K248">
        <v>60.56</v>
      </c>
      <c r="L248">
        <v>35.75</v>
      </c>
      <c r="M248">
        <v>2</v>
      </c>
      <c r="N248">
        <v>114.08</v>
      </c>
      <c r="O248">
        <v>43448.34</v>
      </c>
      <c r="P248">
        <v>110.53</v>
      </c>
      <c r="Q248">
        <v>204.14</v>
      </c>
      <c r="R248">
        <v>23.37</v>
      </c>
      <c r="S248">
        <v>17.37</v>
      </c>
      <c r="T248">
        <v>908.14</v>
      </c>
      <c r="U248">
        <v>0.74</v>
      </c>
      <c r="V248">
        <v>0.76</v>
      </c>
      <c r="W248">
        <v>1.1399999999999999</v>
      </c>
      <c r="X248">
        <v>0.05</v>
      </c>
      <c r="Y248">
        <v>1</v>
      </c>
      <c r="Z248">
        <v>10</v>
      </c>
    </row>
    <row r="249" spans="1:26" x14ac:dyDescent="0.3">
      <c r="A249">
        <v>140</v>
      </c>
      <c r="B249">
        <v>140</v>
      </c>
      <c r="C249" t="s">
        <v>26</v>
      </c>
      <c r="D249">
        <v>10.1526</v>
      </c>
      <c r="E249">
        <v>9.85</v>
      </c>
      <c r="F249">
        <v>6.74</v>
      </c>
      <c r="G249">
        <v>101.1</v>
      </c>
      <c r="H249">
        <v>1.83</v>
      </c>
      <c r="I249">
        <v>4</v>
      </c>
      <c r="J249">
        <v>351.02</v>
      </c>
      <c r="K249">
        <v>60.56</v>
      </c>
      <c r="L249">
        <v>36</v>
      </c>
      <c r="M249">
        <v>2</v>
      </c>
      <c r="N249">
        <v>114.47</v>
      </c>
      <c r="O249">
        <v>43526.84</v>
      </c>
      <c r="P249">
        <v>110.23</v>
      </c>
      <c r="Q249">
        <v>204.14</v>
      </c>
      <c r="R249">
        <v>23.39</v>
      </c>
      <c r="S249">
        <v>17.37</v>
      </c>
      <c r="T249">
        <v>916.17</v>
      </c>
      <c r="U249">
        <v>0.74</v>
      </c>
      <c r="V249">
        <v>0.76</v>
      </c>
      <c r="W249">
        <v>1.1399999999999999</v>
      </c>
      <c r="X249">
        <v>0.05</v>
      </c>
      <c r="Y249">
        <v>1</v>
      </c>
      <c r="Z249">
        <v>10</v>
      </c>
    </row>
    <row r="250" spans="1:26" x14ac:dyDescent="0.3">
      <c r="A250">
        <v>141</v>
      </c>
      <c r="B250">
        <v>140</v>
      </c>
      <c r="C250" t="s">
        <v>26</v>
      </c>
      <c r="D250">
        <v>10.150600000000001</v>
      </c>
      <c r="E250">
        <v>9.85</v>
      </c>
      <c r="F250">
        <v>6.74</v>
      </c>
      <c r="G250">
        <v>101.12</v>
      </c>
      <c r="H250">
        <v>1.84</v>
      </c>
      <c r="I250">
        <v>4</v>
      </c>
      <c r="J250">
        <v>351.66</v>
      </c>
      <c r="K250">
        <v>60.56</v>
      </c>
      <c r="L250">
        <v>36.25</v>
      </c>
      <c r="M250">
        <v>2</v>
      </c>
      <c r="N250">
        <v>114.85</v>
      </c>
      <c r="O250">
        <v>43605.54</v>
      </c>
      <c r="P250">
        <v>110.17</v>
      </c>
      <c r="Q250">
        <v>204.14</v>
      </c>
      <c r="R250">
        <v>23.42</v>
      </c>
      <c r="S250">
        <v>17.37</v>
      </c>
      <c r="T250">
        <v>933.03</v>
      </c>
      <c r="U250">
        <v>0.74</v>
      </c>
      <c r="V250">
        <v>0.76</v>
      </c>
      <c r="W250">
        <v>1.1399999999999999</v>
      </c>
      <c r="X250">
        <v>0.05</v>
      </c>
      <c r="Y250">
        <v>1</v>
      </c>
      <c r="Z250">
        <v>10</v>
      </c>
    </row>
    <row r="251" spans="1:26" x14ac:dyDescent="0.3">
      <c r="A251">
        <v>142</v>
      </c>
      <c r="B251">
        <v>140</v>
      </c>
      <c r="C251" t="s">
        <v>26</v>
      </c>
      <c r="D251">
        <v>10.1534</v>
      </c>
      <c r="E251">
        <v>9.85</v>
      </c>
      <c r="F251">
        <v>6.74</v>
      </c>
      <c r="G251">
        <v>101.08</v>
      </c>
      <c r="H251">
        <v>1.85</v>
      </c>
      <c r="I251">
        <v>4</v>
      </c>
      <c r="J251">
        <v>352.3</v>
      </c>
      <c r="K251">
        <v>60.56</v>
      </c>
      <c r="L251">
        <v>36.5</v>
      </c>
      <c r="M251">
        <v>2</v>
      </c>
      <c r="N251">
        <v>115.24</v>
      </c>
      <c r="O251">
        <v>43684.46</v>
      </c>
      <c r="P251">
        <v>110.02</v>
      </c>
      <c r="Q251">
        <v>204.14</v>
      </c>
      <c r="R251">
        <v>23.25</v>
      </c>
      <c r="S251">
        <v>17.37</v>
      </c>
      <c r="T251">
        <v>845.06</v>
      </c>
      <c r="U251">
        <v>0.75</v>
      </c>
      <c r="V251">
        <v>0.76</v>
      </c>
      <c r="W251">
        <v>1.1399999999999999</v>
      </c>
      <c r="X251">
        <v>0.05</v>
      </c>
      <c r="Y251">
        <v>1</v>
      </c>
      <c r="Z251">
        <v>10</v>
      </c>
    </row>
    <row r="252" spans="1:26" x14ac:dyDescent="0.3">
      <c r="A252">
        <v>143</v>
      </c>
      <c r="B252">
        <v>140</v>
      </c>
      <c r="C252" t="s">
        <v>26</v>
      </c>
      <c r="D252">
        <v>10.1534</v>
      </c>
      <c r="E252">
        <v>9.85</v>
      </c>
      <c r="F252">
        <v>6.74</v>
      </c>
      <c r="G252">
        <v>101.08</v>
      </c>
      <c r="H252">
        <v>1.86</v>
      </c>
      <c r="I252">
        <v>4</v>
      </c>
      <c r="J252">
        <v>352.94</v>
      </c>
      <c r="K252">
        <v>60.56</v>
      </c>
      <c r="L252">
        <v>36.75</v>
      </c>
      <c r="M252">
        <v>2</v>
      </c>
      <c r="N252">
        <v>115.64</v>
      </c>
      <c r="O252">
        <v>43763.7</v>
      </c>
      <c r="P252">
        <v>109.89</v>
      </c>
      <c r="Q252">
        <v>204.14</v>
      </c>
      <c r="R252">
        <v>23.26</v>
      </c>
      <c r="S252">
        <v>17.37</v>
      </c>
      <c r="T252">
        <v>854.16</v>
      </c>
      <c r="U252">
        <v>0.75</v>
      </c>
      <c r="V252">
        <v>0.76</v>
      </c>
      <c r="W252">
        <v>1.1399999999999999</v>
      </c>
      <c r="X252">
        <v>0.05</v>
      </c>
      <c r="Y252">
        <v>1</v>
      </c>
      <c r="Z252">
        <v>10</v>
      </c>
    </row>
    <row r="253" spans="1:26" x14ac:dyDescent="0.3">
      <c r="A253">
        <v>144</v>
      </c>
      <c r="B253">
        <v>140</v>
      </c>
      <c r="C253" t="s">
        <v>26</v>
      </c>
      <c r="D253">
        <v>10.153700000000001</v>
      </c>
      <c r="E253">
        <v>9.85</v>
      </c>
      <c r="F253">
        <v>6.74</v>
      </c>
      <c r="G253">
        <v>101.08</v>
      </c>
      <c r="H253">
        <v>1.87</v>
      </c>
      <c r="I253">
        <v>4</v>
      </c>
      <c r="J253">
        <v>353.58</v>
      </c>
      <c r="K253">
        <v>60.56</v>
      </c>
      <c r="L253">
        <v>37</v>
      </c>
      <c r="M253">
        <v>2</v>
      </c>
      <c r="N253">
        <v>116.03</v>
      </c>
      <c r="O253">
        <v>43843.040000000001</v>
      </c>
      <c r="P253">
        <v>109.84</v>
      </c>
      <c r="Q253">
        <v>204.16</v>
      </c>
      <c r="R253">
        <v>23.3</v>
      </c>
      <c r="S253">
        <v>17.37</v>
      </c>
      <c r="T253">
        <v>873.34</v>
      </c>
      <c r="U253">
        <v>0.75</v>
      </c>
      <c r="V253">
        <v>0.76</v>
      </c>
      <c r="W253">
        <v>1.1399999999999999</v>
      </c>
      <c r="X253">
        <v>0.05</v>
      </c>
      <c r="Y253">
        <v>1</v>
      </c>
      <c r="Z253">
        <v>10</v>
      </c>
    </row>
    <row r="254" spans="1:26" x14ac:dyDescent="0.3">
      <c r="A254">
        <v>145</v>
      </c>
      <c r="B254">
        <v>140</v>
      </c>
      <c r="C254" t="s">
        <v>26</v>
      </c>
      <c r="D254">
        <v>10.154299999999999</v>
      </c>
      <c r="E254">
        <v>9.85</v>
      </c>
      <c r="F254">
        <v>6.74</v>
      </c>
      <c r="G254">
        <v>101.07</v>
      </c>
      <c r="H254">
        <v>1.87</v>
      </c>
      <c r="I254">
        <v>4</v>
      </c>
      <c r="J254">
        <v>354.23</v>
      </c>
      <c r="K254">
        <v>60.56</v>
      </c>
      <c r="L254">
        <v>37.25</v>
      </c>
      <c r="M254">
        <v>2</v>
      </c>
      <c r="N254">
        <v>116.42</v>
      </c>
      <c r="O254">
        <v>43922.6</v>
      </c>
      <c r="P254">
        <v>109.75</v>
      </c>
      <c r="Q254">
        <v>204.14</v>
      </c>
      <c r="R254">
        <v>23.25</v>
      </c>
      <c r="S254">
        <v>17.37</v>
      </c>
      <c r="T254">
        <v>849.03</v>
      </c>
      <c r="U254">
        <v>0.75</v>
      </c>
      <c r="V254">
        <v>0.76</v>
      </c>
      <c r="W254">
        <v>1.1399999999999999</v>
      </c>
      <c r="X254">
        <v>0.05</v>
      </c>
      <c r="Y254">
        <v>1</v>
      </c>
      <c r="Z254">
        <v>10</v>
      </c>
    </row>
    <row r="255" spans="1:26" x14ac:dyDescent="0.3">
      <c r="A255">
        <v>146</v>
      </c>
      <c r="B255">
        <v>140</v>
      </c>
      <c r="C255" t="s">
        <v>26</v>
      </c>
      <c r="D255">
        <v>10.154299999999999</v>
      </c>
      <c r="E255">
        <v>9.85</v>
      </c>
      <c r="F255">
        <v>6.74</v>
      </c>
      <c r="G255">
        <v>101.07</v>
      </c>
      <c r="H255">
        <v>1.88</v>
      </c>
      <c r="I255">
        <v>4</v>
      </c>
      <c r="J255">
        <v>354.88</v>
      </c>
      <c r="K255">
        <v>60.56</v>
      </c>
      <c r="L255">
        <v>37.5</v>
      </c>
      <c r="M255">
        <v>2</v>
      </c>
      <c r="N255">
        <v>116.82</v>
      </c>
      <c r="O255">
        <v>44002.37</v>
      </c>
      <c r="P255">
        <v>109.62</v>
      </c>
      <c r="Q255">
        <v>204.14</v>
      </c>
      <c r="R255">
        <v>23.28</v>
      </c>
      <c r="S255">
        <v>17.37</v>
      </c>
      <c r="T255">
        <v>862.11</v>
      </c>
      <c r="U255">
        <v>0.75</v>
      </c>
      <c r="V255">
        <v>0.76</v>
      </c>
      <c r="W255">
        <v>1.1399999999999999</v>
      </c>
      <c r="X255">
        <v>0.05</v>
      </c>
      <c r="Y255">
        <v>1</v>
      </c>
      <c r="Z255">
        <v>10</v>
      </c>
    </row>
    <row r="256" spans="1:26" x14ac:dyDescent="0.3">
      <c r="A256">
        <v>147</v>
      </c>
      <c r="B256">
        <v>140</v>
      </c>
      <c r="C256" t="s">
        <v>26</v>
      </c>
      <c r="D256">
        <v>10.1523</v>
      </c>
      <c r="E256">
        <v>9.85</v>
      </c>
      <c r="F256">
        <v>6.74</v>
      </c>
      <c r="G256">
        <v>101.1</v>
      </c>
      <c r="H256">
        <v>1.89</v>
      </c>
      <c r="I256">
        <v>4</v>
      </c>
      <c r="J256">
        <v>355.52</v>
      </c>
      <c r="K256">
        <v>60.56</v>
      </c>
      <c r="L256">
        <v>37.75</v>
      </c>
      <c r="M256">
        <v>2</v>
      </c>
      <c r="N256">
        <v>117.22</v>
      </c>
      <c r="O256">
        <v>44082.36</v>
      </c>
      <c r="P256">
        <v>109.37</v>
      </c>
      <c r="Q256">
        <v>204.14</v>
      </c>
      <c r="R256">
        <v>23.32</v>
      </c>
      <c r="S256">
        <v>17.37</v>
      </c>
      <c r="T256">
        <v>882.21</v>
      </c>
      <c r="U256">
        <v>0.75</v>
      </c>
      <c r="V256">
        <v>0.76</v>
      </c>
      <c r="W256">
        <v>1.1399999999999999</v>
      </c>
      <c r="X256">
        <v>0.05</v>
      </c>
      <c r="Y256">
        <v>1</v>
      </c>
      <c r="Z256">
        <v>10</v>
      </c>
    </row>
    <row r="257" spans="1:26" x14ac:dyDescent="0.3">
      <c r="A257">
        <v>148</v>
      </c>
      <c r="B257">
        <v>140</v>
      </c>
      <c r="C257" t="s">
        <v>26</v>
      </c>
      <c r="D257">
        <v>10.1477</v>
      </c>
      <c r="E257">
        <v>9.85</v>
      </c>
      <c r="F257">
        <v>6.74</v>
      </c>
      <c r="G257">
        <v>101.17</v>
      </c>
      <c r="H257">
        <v>1.9</v>
      </c>
      <c r="I257">
        <v>4</v>
      </c>
      <c r="J257">
        <v>356.17</v>
      </c>
      <c r="K257">
        <v>60.56</v>
      </c>
      <c r="L257">
        <v>38</v>
      </c>
      <c r="M257">
        <v>2</v>
      </c>
      <c r="N257">
        <v>117.62</v>
      </c>
      <c r="O257">
        <v>44162.57</v>
      </c>
      <c r="P257">
        <v>109.33</v>
      </c>
      <c r="Q257">
        <v>204.14</v>
      </c>
      <c r="R257">
        <v>23.5</v>
      </c>
      <c r="S257">
        <v>17.37</v>
      </c>
      <c r="T257">
        <v>971.66</v>
      </c>
      <c r="U257">
        <v>0.74</v>
      </c>
      <c r="V257">
        <v>0.76</v>
      </c>
      <c r="W257">
        <v>1.1399999999999999</v>
      </c>
      <c r="X257">
        <v>0.05</v>
      </c>
      <c r="Y257">
        <v>1</v>
      </c>
      <c r="Z257">
        <v>10</v>
      </c>
    </row>
    <row r="258" spans="1:26" x14ac:dyDescent="0.3">
      <c r="A258">
        <v>149</v>
      </c>
      <c r="B258">
        <v>140</v>
      </c>
      <c r="C258" t="s">
        <v>26</v>
      </c>
      <c r="D258">
        <v>10.149100000000001</v>
      </c>
      <c r="E258">
        <v>9.85</v>
      </c>
      <c r="F258">
        <v>6.74</v>
      </c>
      <c r="G258">
        <v>101.15</v>
      </c>
      <c r="H258">
        <v>1.91</v>
      </c>
      <c r="I258">
        <v>4</v>
      </c>
      <c r="J258">
        <v>356.83</v>
      </c>
      <c r="K258">
        <v>60.56</v>
      </c>
      <c r="L258">
        <v>38.25</v>
      </c>
      <c r="M258">
        <v>2</v>
      </c>
      <c r="N258">
        <v>118.02</v>
      </c>
      <c r="O258">
        <v>44243</v>
      </c>
      <c r="P258">
        <v>109.02</v>
      </c>
      <c r="Q258">
        <v>204.14</v>
      </c>
      <c r="R258">
        <v>23.4</v>
      </c>
      <c r="S258">
        <v>17.37</v>
      </c>
      <c r="T258">
        <v>920.85</v>
      </c>
      <c r="U258">
        <v>0.74</v>
      </c>
      <c r="V258">
        <v>0.76</v>
      </c>
      <c r="W258">
        <v>1.1399999999999999</v>
      </c>
      <c r="X258">
        <v>0.05</v>
      </c>
      <c r="Y258">
        <v>1</v>
      </c>
      <c r="Z258">
        <v>10</v>
      </c>
    </row>
    <row r="259" spans="1:26" x14ac:dyDescent="0.3">
      <c r="A259">
        <v>150</v>
      </c>
      <c r="B259">
        <v>140</v>
      </c>
      <c r="C259" t="s">
        <v>26</v>
      </c>
      <c r="D259">
        <v>10.152900000000001</v>
      </c>
      <c r="E259">
        <v>9.85</v>
      </c>
      <c r="F259">
        <v>6.74</v>
      </c>
      <c r="G259">
        <v>101.09</v>
      </c>
      <c r="H259">
        <v>1.92</v>
      </c>
      <c r="I259">
        <v>4</v>
      </c>
      <c r="J259">
        <v>357.48</v>
      </c>
      <c r="K259">
        <v>60.56</v>
      </c>
      <c r="L259">
        <v>38.5</v>
      </c>
      <c r="M259">
        <v>2</v>
      </c>
      <c r="N259">
        <v>118.43</v>
      </c>
      <c r="O259">
        <v>44323.66</v>
      </c>
      <c r="P259">
        <v>108.83</v>
      </c>
      <c r="Q259">
        <v>204.14</v>
      </c>
      <c r="R259">
        <v>23.34</v>
      </c>
      <c r="S259">
        <v>17.37</v>
      </c>
      <c r="T259">
        <v>891.05</v>
      </c>
      <c r="U259">
        <v>0.74</v>
      </c>
      <c r="V259">
        <v>0.76</v>
      </c>
      <c r="W259">
        <v>1.1399999999999999</v>
      </c>
      <c r="X259">
        <v>0.05</v>
      </c>
      <c r="Y259">
        <v>1</v>
      </c>
      <c r="Z259">
        <v>10</v>
      </c>
    </row>
    <row r="260" spans="1:26" x14ac:dyDescent="0.3">
      <c r="A260">
        <v>151</v>
      </c>
      <c r="B260">
        <v>140</v>
      </c>
      <c r="C260" t="s">
        <v>26</v>
      </c>
      <c r="D260">
        <v>10.2293</v>
      </c>
      <c r="E260">
        <v>9.7799999999999994</v>
      </c>
      <c r="F260">
        <v>6.72</v>
      </c>
      <c r="G260">
        <v>134.36000000000001</v>
      </c>
      <c r="H260">
        <v>1.93</v>
      </c>
      <c r="I260">
        <v>3</v>
      </c>
      <c r="J260">
        <v>358.14</v>
      </c>
      <c r="K260">
        <v>60.56</v>
      </c>
      <c r="L260">
        <v>38.75</v>
      </c>
      <c r="M260">
        <v>1</v>
      </c>
      <c r="N260">
        <v>118.83</v>
      </c>
      <c r="O260">
        <v>44404.54</v>
      </c>
      <c r="P260">
        <v>108.15</v>
      </c>
      <c r="Q260">
        <v>204.16</v>
      </c>
      <c r="R260">
        <v>22.57</v>
      </c>
      <c r="S260">
        <v>17.37</v>
      </c>
      <c r="T260">
        <v>513.78</v>
      </c>
      <c r="U260">
        <v>0.77</v>
      </c>
      <c r="V260">
        <v>0.76</v>
      </c>
      <c r="W260">
        <v>1.1399999999999999</v>
      </c>
      <c r="X260">
        <v>0.03</v>
      </c>
      <c r="Y260">
        <v>1</v>
      </c>
      <c r="Z260">
        <v>10</v>
      </c>
    </row>
    <row r="261" spans="1:26" x14ac:dyDescent="0.3">
      <c r="A261">
        <v>152</v>
      </c>
      <c r="B261">
        <v>140</v>
      </c>
      <c r="C261" t="s">
        <v>26</v>
      </c>
      <c r="D261">
        <v>10.2296</v>
      </c>
      <c r="E261">
        <v>9.7799999999999994</v>
      </c>
      <c r="F261">
        <v>6.72</v>
      </c>
      <c r="G261">
        <v>134.36000000000001</v>
      </c>
      <c r="H261">
        <v>1.94</v>
      </c>
      <c r="I261">
        <v>3</v>
      </c>
      <c r="J261">
        <v>358.79</v>
      </c>
      <c r="K261">
        <v>60.56</v>
      </c>
      <c r="L261">
        <v>39</v>
      </c>
      <c r="M261">
        <v>1</v>
      </c>
      <c r="N261">
        <v>119.24</v>
      </c>
      <c r="O261">
        <v>44485.65</v>
      </c>
      <c r="P261">
        <v>108.28</v>
      </c>
      <c r="Q261">
        <v>204.14</v>
      </c>
      <c r="R261">
        <v>22.6</v>
      </c>
      <c r="S261">
        <v>17.37</v>
      </c>
      <c r="T261">
        <v>528.6</v>
      </c>
      <c r="U261">
        <v>0.77</v>
      </c>
      <c r="V261">
        <v>0.76</v>
      </c>
      <c r="W261">
        <v>1.1399999999999999</v>
      </c>
      <c r="X261">
        <v>0.03</v>
      </c>
      <c r="Y261">
        <v>1</v>
      </c>
      <c r="Z261">
        <v>10</v>
      </c>
    </row>
    <row r="262" spans="1:26" x14ac:dyDescent="0.3">
      <c r="A262">
        <v>153</v>
      </c>
      <c r="B262">
        <v>140</v>
      </c>
      <c r="C262" t="s">
        <v>26</v>
      </c>
      <c r="D262">
        <v>10.2296</v>
      </c>
      <c r="E262">
        <v>9.7799999999999994</v>
      </c>
      <c r="F262">
        <v>6.72</v>
      </c>
      <c r="G262">
        <v>134.36000000000001</v>
      </c>
      <c r="H262">
        <v>1.95</v>
      </c>
      <c r="I262">
        <v>3</v>
      </c>
      <c r="J262">
        <v>359.45</v>
      </c>
      <c r="K262">
        <v>60.56</v>
      </c>
      <c r="L262">
        <v>39.25</v>
      </c>
      <c r="M262">
        <v>1</v>
      </c>
      <c r="N262">
        <v>119.65</v>
      </c>
      <c r="O262">
        <v>44566.98</v>
      </c>
      <c r="P262">
        <v>108.68</v>
      </c>
      <c r="Q262">
        <v>204.14</v>
      </c>
      <c r="R262">
        <v>22.62</v>
      </c>
      <c r="S262">
        <v>17.37</v>
      </c>
      <c r="T262">
        <v>534.99</v>
      </c>
      <c r="U262">
        <v>0.77</v>
      </c>
      <c r="V262">
        <v>0.76</v>
      </c>
      <c r="W262">
        <v>1.1399999999999999</v>
      </c>
      <c r="X262">
        <v>0.03</v>
      </c>
      <c r="Y262">
        <v>1</v>
      </c>
      <c r="Z262">
        <v>10</v>
      </c>
    </row>
    <row r="263" spans="1:26" x14ac:dyDescent="0.3">
      <c r="A263">
        <v>154</v>
      </c>
      <c r="B263">
        <v>140</v>
      </c>
      <c r="C263" t="s">
        <v>26</v>
      </c>
      <c r="D263">
        <v>10.228999999999999</v>
      </c>
      <c r="E263">
        <v>9.7799999999999994</v>
      </c>
      <c r="F263">
        <v>6.72</v>
      </c>
      <c r="G263">
        <v>134.37</v>
      </c>
      <c r="H263">
        <v>1.96</v>
      </c>
      <c r="I263">
        <v>3</v>
      </c>
      <c r="J263">
        <v>360.12</v>
      </c>
      <c r="K263">
        <v>60.56</v>
      </c>
      <c r="L263">
        <v>39.5</v>
      </c>
      <c r="M263">
        <v>1</v>
      </c>
      <c r="N263">
        <v>120.06</v>
      </c>
      <c r="O263">
        <v>44648.55</v>
      </c>
      <c r="P263">
        <v>108.82</v>
      </c>
      <c r="Q263">
        <v>204.14</v>
      </c>
      <c r="R263">
        <v>22.67</v>
      </c>
      <c r="S263">
        <v>17.37</v>
      </c>
      <c r="T263">
        <v>564.65</v>
      </c>
      <c r="U263">
        <v>0.77</v>
      </c>
      <c r="V263">
        <v>0.76</v>
      </c>
      <c r="W263">
        <v>1.1399999999999999</v>
      </c>
      <c r="X263">
        <v>0.03</v>
      </c>
      <c r="Y263">
        <v>1</v>
      </c>
      <c r="Z263">
        <v>10</v>
      </c>
    </row>
    <row r="264" spans="1:26" x14ac:dyDescent="0.3">
      <c r="A264">
        <v>155</v>
      </c>
      <c r="B264">
        <v>140</v>
      </c>
      <c r="C264" t="s">
        <v>26</v>
      </c>
      <c r="D264">
        <v>10.227</v>
      </c>
      <c r="E264">
        <v>9.7799999999999994</v>
      </c>
      <c r="F264">
        <v>6.72</v>
      </c>
      <c r="G264">
        <v>134.41</v>
      </c>
      <c r="H264">
        <v>1.96</v>
      </c>
      <c r="I264">
        <v>3</v>
      </c>
      <c r="J264">
        <v>360.78</v>
      </c>
      <c r="K264">
        <v>60.56</v>
      </c>
      <c r="L264">
        <v>39.75</v>
      </c>
      <c r="M264">
        <v>1</v>
      </c>
      <c r="N264">
        <v>120.47</v>
      </c>
      <c r="O264">
        <v>44730.35</v>
      </c>
      <c r="P264">
        <v>109.15</v>
      </c>
      <c r="Q264">
        <v>204.14</v>
      </c>
      <c r="R264">
        <v>22.69</v>
      </c>
      <c r="S264">
        <v>17.37</v>
      </c>
      <c r="T264">
        <v>570.86</v>
      </c>
      <c r="U264">
        <v>0.77</v>
      </c>
      <c r="V264">
        <v>0.76</v>
      </c>
      <c r="W264">
        <v>1.1399999999999999</v>
      </c>
      <c r="X264">
        <v>0.03</v>
      </c>
      <c r="Y264">
        <v>1</v>
      </c>
      <c r="Z264">
        <v>10</v>
      </c>
    </row>
    <row r="265" spans="1:26" x14ac:dyDescent="0.3">
      <c r="A265">
        <v>156</v>
      </c>
      <c r="B265">
        <v>140</v>
      </c>
      <c r="C265" t="s">
        <v>26</v>
      </c>
      <c r="D265">
        <v>10.2281</v>
      </c>
      <c r="E265">
        <v>9.7799999999999994</v>
      </c>
      <c r="F265">
        <v>6.72</v>
      </c>
      <c r="G265">
        <v>134.38</v>
      </c>
      <c r="H265">
        <v>1.97</v>
      </c>
      <c r="I265">
        <v>3</v>
      </c>
      <c r="J265">
        <v>361.44</v>
      </c>
      <c r="K265">
        <v>60.56</v>
      </c>
      <c r="L265">
        <v>40</v>
      </c>
      <c r="M265">
        <v>1</v>
      </c>
      <c r="N265">
        <v>120.89</v>
      </c>
      <c r="O265">
        <v>44812.39</v>
      </c>
      <c r="P265">
        <v>109.26</v>
      </c>
      <c r="Q265">
        <v>204.14</v>
      </c>
      <c r="R265">
        <v>22.67</v>
      </c>
      <c r="S265">
        <v>17.37</v>
      </c>
      <c r="T265">
        <v>562.27</v>
      </c>
      <c r="U265">
        <v>0.77</v>
      </c>
      <c r="V265">
        <v>0.76</v>
      </c>
      <c r="W265">
        <v>1.1399999999999999</v>
      </c>
      <c r="X265">
        <v>0.03</v>
      </c>
      <c r="Y265">
        <v>1</v>
      </c>
      <c r="Z265">
        <v>10</v>
      </c>
    </row>
    <row r="266" spans="1:26" x14ac:dyDescent="0.3">
      <c r="A266">
        <v>0</v>
      </c>
      <c r="B266">
        <v>40</v>
      </c>
      <c r="C266" t="s">
        <v>26</v>
      </c>
      <c r="D266">
        <v>9.5432000000000006</v>
      </c>
      <c r="E266">
        <v>10.48</v>
      </c>
      <c r="F266">
        <v>7.65</v>
      </c>
      <c r="G266">
        <v>9.77</v>
      </c>
      <c r="H266">
        <v>0.2</v>
      </c>
      <c r="I266">
        <v>47</v>
      </c>
      <c r="J266">
        <v>89.87</v>
      </c>
      <c r="K266">
        <v>37.549999999999997</v>
      </c>
      <c r="L266">
        <v>1</v>
      </c>
      <c r="M266">
        <v>45</v>
      </c>
      <c r="N266">
        <v>11.32</v>
      </c>
      <c r="O266">
        <v>11317.98</v>
      </c>
      <c r="P266">
        <v>63.52</v>
      </c>
      <c r="Q266">
        <v>204.25</v>
      </c>
      <c r="R266">
        <v>51.61</v>
      </c>
      <c r="S266">
        <v>17.37</v>
      </c>
      <c r="T266">
        <v>14809.95</v>
      </c>
      <c r="U266">
        <v>0.34</v>
      </c>
      <c r="V266">
        <v>0.67</v>
      </c>
      <c r="W266">
        <v>1.22</v>
      </c>
      <c r="X266">
        <v>0.96</v>
      </c>
      <c r="Y266">
        <v>1</v>
      </c>
      <c r="Z266">
        <v>10</v>
      </c>
    </row>
    <row r="267" spans="1:26" x14ac:dyDescent="0.3">
      <c r="A267">
        <v>1</v>
      </c>
      <c r="B267">
        <v>40</v>
      </c>
      <c r="C267" t="s">
        <v>26</v>
      </c>
      <c r="D267">
        <v>9.9870000000000001</v>
      </c>
      <c r="E267">
        <v>10.01</v>
      </c>
      <c r="F267">
        <v>7.39</v>
      </c>
      <c r="G267">
        <v>12.32</v>
      </c>
      <c r="H267">
        <v>0.24</v>
      </c>
      <c r="I267">
        <v>36</v>
      </c>
      <c r="J267">
        <v>90.18</v>
      </c>
      <c r="K267">
        <v>37.549999999999997</v>
      </c>
      <c r="L267">
        <v>1.25</v>
      </c>
      <c r="M267">
        <v>34</v>
      </c>
      <c r="N267">
        <v>11.37</v>
      </c>
      <c r="O267">
        <v>11355.7</v>
      </c>
      <c r="P267">
        <v>60.94</v>
      </c>
      <c r="Q267">
        <v>204.2</v>
      </c>
      <c r="R267">
        <v>43.68</v>
      </c>
      <c r="S267">
        <v>17.37</v>
      </c>
      <c r="T267">
        <v>10902.33</v>
      </c>
      <c r="U267">
        <v>0.4</v>
      </c>
      <c r="V267">
        <v>0.69</v>
      </c>
      <c r="W267">
        <v>1.19</v>
      </c>
      <c r="X267">
        <v>0.7</v>
      </c>
      <c r="Y267">
        <v>1</v>
      </c>
      <c r="Z267">
        <v>10</v>
      </c>
    </row>
    <row r="268" spans="1:26" x14ac:dyDescent="0.3">
      <c r="A268">
        <v>2</v>
      </c>
      <c r="B268">
        <v>40</v>
      </c>
      <c r="C268" t="s">
        <v>26</v>
      </c>
      <c r="D268">
        <v>10.230499999999999</v>
      </c>
      <c r="E268">
        <v>9.77</v>
      </c>
      <c r="F268">
        <v>7.27</v>
      </c>
      <c r="G268">
        <v>14.54</v>
      </c>
      <c r="H268">
        <v>0.28999999999999998</v>
      </c>
      <c r="I268">
        <v>30</v>
      </c>
      <c r="J268">
        <v>90.48</v>
      </c>
      <c r="K268">
        <v>37.549999999999997</v>
      </c>
      <c r="L268">
        <v>1.5</v>
      </c>
      <c r="M268">
        <v>28</v>
      </c>
      <c r="N268">
        <v>11.43</v>
      </c>
      <c r="O268">
        <v>11393.43</v>
      </c>
      <c r="P268">
        <v>59.38</v>
      </c>
      <c r="Q268">
        <v>204.15</v>
      </c>
      <c r="R268">
        <v>39.94</v>
      </c>
      <c r="S268">
        <v>17.37</v>
      </c>
      <c r="T268">
        <v>9060.16</v>
      </c>
      <c r="U268">
        <v>0.44</v>
      </c>
      <c r="V268">
        <v>0.7</v>
      </c>
      <c r="W268">
        <v>1.18</v>
      </c>
      <c r="X268">
        <v>0.57999999999999996</v>
      </c>
      <c r="Y268">
        <v>1</v>
      </c>
      <c r="Z268">
        <v>10</v>
      </c>
    </row>
    <row r="269" spans="1:26" x14ac:dyDescent="0.3">
      <c r="A269">
        <v>3</v>
      </c>
      <c r="B269">
        <v>40</v>
      </c>
      <c r="C269" t="s">
        <v>26</v>
      </c>
      <c r="D269">
        <v>10.426299999999999</v>
      </c>
      <c r="E269">
        <v>9.59</v>
      </c>
      <c r="F269">
        <v>7.18</v>
      </c>
      <c r="G269">
        <v>17.23</v>
      </c>
      <c r="H269">
        <v>0.34</v>
      </c>
      <c r="I269">
        <v>25</v>
      </c>
      <c r="J269">
        <v>90.79</v>
      </c>
      <c r="K269">
        <v>37.549999999999997</v>
      </c>
      <c r="L269">
        <v>1.75</v>
      </c>
      <c r="M269">
        <v>23</v>
      </c>
      <c r="N269">
        <v>11.49</v>
      </c>
      <c r="O269">
        <v>11431.19</v>
      </c>
      <c r="P269">
        <v>58.32</v>
      </c>
      <c r="Q269">
        <v>204.15</v>
      </c>
      <c r="R269">
        <v>37.090000000000003</v>
      </c>
      <c r="S269">
        <v>17.37</v>
      </c>
      <c r="T269">
        <v>7660.46</v>
      </c>
      <c r="U269">
        <v>0.47</v>
      </c>
      <c r="V269">
        <v>0.71</v>
      </c>
      <c r="W269">
        <v>1.18</v>
      </c>
      <c r="X269">
        <v>0.49</v>
      </c>
      <c r="Y269">
        <v>1</v>
      </c>
      <c r="Z269">
        <v>10</v>
      </c>
    </row>
    <row r="270" spans="1:26" x14ac:dyDescent="0.3">
      <c r="A270">
        <v>4</v>
      </c>
      <c r="B270">
        <v>40</v>
      </c>
      <c r="C270" t="s">
        <v>26</v>
      </c>
      <c r="D270">
        <v>10.5587</v>
      </c>
      <c r="E270">
        <v>9.4700000000000006</v>
      </c>
      <c r="F270">
        <v>7.12</v>
      </c>
      <c r="G270">
        <v>19.41</v>
      </c>
      <c r="H270">
        <v>0.39</v>
      </c>
      <c r="I270">
        <v>22</v>
      </c>
      <c r="J270">
        <v>91.1</v>
      </c>
      <c r="K270">
        <v>37.549999999999997</v>
      </c>
      <c r="L270">
        <v>2</v>
      </c>
      <c r="M270">
        <v>20</v>
      </c>
      <c r="N270">
        <v>11.54</v>
      </c>
      <c r="O270">
        <v>11468.97</v>
      </c>
      <c r="P270">
        <v>57.4</v>
      </c>
      <c r="Q270">
        <v>204.23</v>
      </c>
      <c r="R270">
        <v>34.909999999999997</v>
      </c>
      <c r="S270">
        <v>17.37</v>
      </c>
      <c r="T270">
        <v>6588.59</v>
      </c>
      <c r="U270">
        <v>0.5</v>
      </c>
      <c r="V270">
        <v>0.72</v>
      </c>
      <c r="W270">
        <v>1.17</v>
      </c>
      <c r="X270">
        <v>0.42</v>
      </c>
      <c r="Y270">
        <v>1</v>
      </c>
      <c r="Z270">
        <v>10</v>
      </c>
    </row>
    <row r="271" spans="1:26" x14ac:dyDescent="0.3">
      <c r="A271">
        <v>5</v>
      </c>
      <c r="B271">
        <v>40</v>
      </c>
      <c r="C271" t="s">
        <v>26</v>
      </c>
      <c r="D271">
        <v>10.7003</v>
      </c>
      <c r="E271">
        <v>9.35</v>
      </c>
      <c r="F271">
        <v>7.05</v>
      </c>
      <c r="G271">
        <v>22.25</v>
      </c>
      <c r="H271">
        <v>0.43</v>
      </c>
      <c r="I271">
        <v>19</v>
      </c>
      <c r="J271">
        <v>91.4</v>
      </c>
      <c r="K271">
        <v>37.549999999999997</v>
      </c>
      <c r="L271">
        <v>2.25</v>
      </c>
      <c r="M271">
        <v>17</v>
      </c>
      <c r="N271">
        <v>11.6</v>
      </c>
      <c r="O271">
        <v>11506.78</v>
      </c>
      <c r="P271">
        <v>56.26</v>
      </c>
      <c r="Q271">
        <v>204.15</v>
      </c>
      <c r="R271">
        <v>32.950000000000003</v>
      </c>
      <c r="S271">
        <v>17.37</v>
      </c>
      <c r="T271">
        <v>5623.15</v>
      </c>
      <c r="U271">
        <v>0.53</v>
      </c>
      <c r="V271">
        <v>0.72</v>
      </c>
      <c r="W271">
        <v>1.1599999999999999</v>
      </c>
      <c r="X271">
        <v>0.35</v>
      </c>
      <c r="Y271">
        <v>1</v>
      </c>
      <c r="Z271">
        <v>10</v>
      </c>
    </row>
    <row r="272" spans="1:26" x14ac:dyDescent="0.3">
      <c r="A272">
        <v>6</v>
      </c>
      <c r="B272">
        <v>40</v>
      </c>
      <c r="C272" t="s">
        <v>26</v>
      </c>
      <c r="D272">
        <v>10.7859</v>
      </c>
      <c r="E272">
        <v>9.27</v>
      </c>
      <c r="F272">
        <v>7.01</v>
      </c>
      <c r="G272">
        <v>24.74</v>
      </c>
      <c r="H272">
        <v>0.48</v>
      </c>
      <c r="I272">
        <v>17</v>
      </c>
      <c r="J272">
        <v>91.71</v>
      </c>
      <c r="K272">
        <v>37.549999999999997</v>
      </c>
      <c r="L272">
        <v>2.5</v>
      </c>
      <c r="M272">
        <v>15</v>
      </c>
      <c r="N272">
        <v>11.66</v>
      </c>
      <c r="O272">
        <v>11544.61</v>
      </c>
      <c r="P272">
        <v>55.47</v>
      </c>
      <c r="Q272">
        <v>204.14</v>
      </c>
      <c r="R272">
        <v>31.59</v>
      </c>
      <c r="S272">
        <v>17.37</v>
      </c>
      <c r="T272">
        <v>4950.38</v>
      </c>
      <c r="U272">
        <v>0.55000000000000004</v>
      </c>
      <c r="V272">
        <v>0.73</v>
      </c>
      <c r="W272">
        <v>1.17</v>
      </c>
      <c r="X272">
        <v>0.32</v>
      </c>
      <c r="Y272">
        <v>1</v>
      </c>
      <c r="Z272">
        <v>10</v>
      </c>
    </row>
    <row r="273" spans="1:26" x14ac:dyDescent="0.3">
      <c r="A273">
        <v>7</v>
      </c>
      <c r="B273">
        <v>40</v>
      </c>
      <c r="C273" t="s">
        <v>26</v>
      </c>
      <c r="D273">
        <v>10.805899999999999</v>
      </c>
      <c r="E273">
        <v>9.25</v>
      </c>
      <c r="F273">
        <v>7.01</v>
      </c>
      <c r="G273">
        <v>26.29</v>
      </c>
      <c r="H273">
        <v>0.52</v>
      </c>
      <c r="I273">
        <v>16</v>
      </c>
      <c r="J273">
        <v>92.02</v>
      </c>
      <c r="K273">
        <v>37.549999999999997</v>
      </c>
      <c r="L273">
        <v>2.75</v>
      </c>
      <c r="M273">
        <v>14</v>
      </c>
      <c r="N273">
        <v>11.71</v>
      </c>
      <c r="O273">
        <v>11582.46</v>
      </c>
      <c r="P273">
        <v>55.28</v>
      </c>
      <c r="Q273">
        <v>204.14</v>
      </c>
      <c r="R273">
        <v>31.82</v>
      </c>
      <c r="S273">
        <v>17.37</v>
      </c>
      <c r="T273">
        <v>5070.12</v>
      </c>
      <c r="U273">
        <v>0.55000000000000004</v>
      </c>
      <c r="V273">
        <v>0.73</v>
      </c>
      <c r="W273">
        <v>1.17</v>
      </c>
      <c r="X273">
        <v>0.32</v>
      </c>
      <c r="Y273">
        <v>1</v>
      </c>
      <c r="Z273">
        <v>10</v>
      </c>
    </row>
    <row r="274" spans="1:26" x14ac:dyDescent="0.3">
      <c r="A274">
        <v>8</v>
      </c>
      <c r="B274">
        <v>40</v>
      </c>
      <c r="C274" t="s">
        <v>26</v>
      </c>
      <c r="D274">
        <v>10.9223</v>
      </c>
      <c r="E274">
        <v>9.16</v>
      </c>
      <c r="F274">
        <v>6.95</v>
      </c>
      <c r="G274">
        <v>29.79</v>
      </c>
      <c r="H274">
        <v>0.56999999999999995</v>
      </c>
      <c r="I274">
        <v>14</v>
      </c>
      <c r="J274">
        <v>92.32</v>
      </c>
      <c r="K274">
        <v>37.549999999999997</v>
      </c>
      <c r="L274">
        <v>3</v>
      </c>
      <c r="M274">
        <v>12</v>
      </c>
      <c r="N274">
        <v>11.77</v>
      </c>
      <c r="O274">
        <v>11620.34</v>
      </c>
      <c r="P274">
        <v>54.24</v>
      </c>
      <c r="Q274">
        <v>204.16</v>
      </c>
      <c r="R274">
        <v>30.13</v>
      </c>
      <c r="S274">
        <v>17.37</v>
      </c>
      <c r="T274">
        <v>4237.3</v>
      </c>
      <c r="U274">
        <v>0.57999999999999996</v>
      </c>
      <c r="V274">
        <v>0.73</v>
      </c>
      <c r="W274">
        <v>1.1499999999999999</v>
      </c>
      <c r="X274">
        <v>0.26</v>
      </c>
      <c r="Y274">
        <v>1</v>
      </c>
      <c r="Z274">
        <v>10</v>
      </c>
    </row>
    <row r="275" spans="1:26" x14ac:dyDescent="0.3">
      <c r="A275">
        <v>9</v>
      </c>
      <c r="B275">
        <v>40</v>
      </c>
      <c r="C275" t="s">
        <v>26</v>
      </c>
      <c r="D275">
        <v>10.9703</v>
      </c>
      <c r="E275">
        <v>9.1199999999999992</v>
      </c>
      <c r="F275">
        <v>6.93</v>
      </c>
      <c r="G275">
        <v>31.98</v>
      </c>
      <c r="H275">
        <v>0.62</v>
      </c>
      <c r="I275">
        <v>13</v>
      </c>
      <c r="J275">
        <v>92.63</v>
      </c>
      <c r="K275">
        <v>37.549999999999997</v>
      </c>
      <c r="L275">
        <v>3.25</v>
      </c>
      <c r="M275">
        <v>11</v>
      </c>
      <c r="N275">
        <v>11.83</v>
      </c>
      <c r="O275">
        <v>11658.24</v>
      </c>
      <c r="P275">
        <v>53.73</v>
      </c>
      <c r="Q275">
        <v>204.15</v>
      </c>
      <c r="R275">
        <v>29.28</v>
      </c>
      <c r="S275">
        <v>17.37</v>
      </c>
      <c r="T275">
        <v>3819.24</v>
      </c>
      <c r="U275">
        <v>0.59</v>
      </c>
      <c r="V275">
        <v>0.74</v>
      </c>
      <c r="W275">
        <v>1.1599999999999999</v>
      </c>
      <c r="X275">
        <v>0.24</v>
      </c>
      <c r="Y275">
        <v>1</v>
      </c>
      <c r="Z275">
        <v>10</v>
      </c>
    </row>
    <row r="276" spans="1:26" x14ac:dyDescent="0.3">
      <c r="A276">
        <v>10</v>
      </c>
      <c r="B276">
        <v>40</v>
      </c>
      <c r="C276" t="s">
        <v>26</v>
      </c>
      <c r="D276">
        <v>11.0136</v>
      </c>
      <c r="E276">
        <v>9.08</v>
      </c>
      <c r="F276">
        <v>6.91</v>
      </c>
      <c r="G276">
        <v>34.57</v>
      </c>
      <c r="H276">
        <v>0.66</v>
      </c>
      <c r="I276">
        <v>12</v>
      </c>
      <c r="J276">
        <v>92.94</v>
      </c>
      <c r="K276">
        <v>37.549999999999997</v>
      </c>
      <c r="L276">
        <v>3.5</v>
      </c>
      <c r="M276">
        <v>10</v>
      </c>
      <c r="N276">
        <v>11.88</v>
      </c>
      <c r="O276">
        <v>11696.16</v>
      </c>
      <c r="P276">
        <v>53.17</v>
      </c>
      <c r="Q276">
        <v>204.15</v>
      </c>
      <c r="R276">
        <v>28.86</v>
      </c>
      <c r="S276">
        <v>17.37</v>
      </c>
      <c r="T276">
        <v>3610.93</v>
      </c>
      <c r="U276">
        <v>0.6</v>
      </c>
      <c r="V276">
        <v>0.74</v>
      </c>
      <c r="W276">
        <v>1.1499999999999999</v>
      </c>
      <c r="X276">
        <v>0.22</v>
      </c>
      <c r="Y276">
        <v>1</v>
      </c>
      <c r="Z276">
        <v>10</v>
      </c>
    </row>
    <row r="277" spans="1:26" x14ac:dyDescent="0.3">
      <c r="A277">
        <v>11</v>
      </c>
      <c r="B277">
        <v>40</v>
      </c>
      <c r="C277" t="s">
        <v>26</v>
      </c>
      <c r="D277">
        <v>11.0807</v>
      </c>
      <c r="E277">
        <v>9.02</v>
      </c>
      <c r="F277">
        <v>6.88</v>
      </c>
      <c r="G277">
        <v>37.51</v>
      </c>
      <c r="H277">
        <v>0.71</v>
      </c>
      <c r="I277">
        <v>11</v>
      </c>
      <c r="J277">
        <v>93.24</v>
      </c>
      <c r="K277">
        <v>37.549999999999997</v>
      </c>
      <c r="L277">
        <v>3.75</v>
      </c>
      <c r="M277">
        <v>9</v>
      </c>
      <c r="N277">
        <v>11.94</v>
      </c>
      <c r="O277">
        <v>11734.1</v>
      </c>
      <c r="P277">
        <v>52.11</v>
      </c>
      <c r="Q277">
        <v>204.17</v>
      </c>
      <c r="R277">
        <v>27.66</v>
      </c>
      <c r="S277">
        <v>17.37</v>
      </c>
      <c r="T277">
        <v>3017.84</v>
      </c>
      <c r="U277">
        <v>0.63</v>
      </c>
      <c r="V277">
        <v>0.74</v>
      </c>
      <c r="W277">
        <v>1.1499999999999999</v>
      </c>
      <c r="X277">
        <v>0.19</v>
      </c>
      <c r="Y277">
        <v>1</v>
      </c>
      <c r="Z277">
        <v>10</v>
      </c>
    </row>
    <row r="278" spans="1:26" x14ac:dyDescent="0.3">
      <c r="A278">
        <v>12</v>
      </c>
      <c r="B278">
        <v>40</v>
      </c>
      <c r="C278" t="s">
        <v>26</v>
      </c>
      <c r="D278">
        <v>11.0626</v>
      </c>
      <c r="E278">
        <v>9.0399999999999991</v>
      </c>
      <c r="F278">
        <v>6.89</v>
      </c>
      <c r="G278">
        <v>37.590000000000003</v>
      </c>
      <c r="H278">
        <v>0.75</v>
      </c>
      <c r="I278">
        <v>11</v>
      </c>
      <c r="J278">
        <v>93.55</v>
      </c>
      <c r="K278">
        <v>37.549999999999997</v>
      </c>
      <c r="L278">
        <v>4</v>
      </c>
      <c r="M278">
        <v>9</v>
      </c>
      <c r="N278">
        <v>12</v>
      </c>
      <c r="O278">
        <v>11772.07</v>
      </c>
      <c r="P278">
        <v>51.96</v>
      </c>
      <c r="Q278">
        <v>204.15</v>
      </c>
      <c r="R278">
        <v>28.14</v>
      </c>
      <c r="S278">
        <v>17.37</v>
      </c>
      <c r="T278">
        <v>3258.82</v>
      </c>
      <c r="U278">
        <v>0.62</v>
      </c>
      <c r="V278">
        <v>0.74</v>
      </c>
      <c r="W278">
        <v>1.1499999999999999</v>
      </c>
      <c r="X278">
        <v>0.2</v>
      </c>
      <c r="Y278">
        <v>1</v>
      </c>
      <c r="Z278">
        <v>10</v>
      </c>
    </row>
    <row r="279" spans="1:26" x14ac:dyDescent="0.3">
      <c r="A279">
        <v>13</v>
      </c>
      <c r="B279">
        <v>40</v>
      </c>
      <c r="C279" t="s">
        <v>26</v>
      </c>
      <c r="D279">
        <v>11.110799999999999</v>
      </c>
      <c r="E279">
        <v>9</v>
      </c>
      <c r="F279">
        <v>6.87</v>
      </c>
      <c r="G279">
        <v>41.23</v>
      </c>
      <c r="H279">
        <v>0.8</v>
      </c>
      <c r="I279">
        <v>10</v>
      </c>
      <c r="J279">
        <v>93.86</v>
      </c>
      <c r="K279">
        <v>37.549999999999997</v>
      </c>
      <c r="L279">
        <v>4.25</v>
      </c>
      <c r="M279">
        <v>8</v>
      </c>
      <c r="N279">
        <v>12.06</v>
      </c>
      <c r="O279">
        <v>11810.06</v>
      </c>
      <c r="P279">
        <v>51.18</v>
      </c>
      <c r="Q279">
        <v>204.14</v>
      </c>
      <c r="R279">
        <v>27.35</v>
      </c>
      <c r="S279">
        <v>17.37</v>
      </c>
      <c r="T279">
        <v>2868.84</v>
      </c>
      <c r="U279">
        <v>0.64</v>
      </c>
      <c r="V279">
        <v>0.74</v>
      </c>
      <c r="W279">
        <v>1.1599999999999999</v>
      </c>
      <c r="X279">
        <v>0.18</v>
      </c>
      <c r="Y279">
        <v>1</v>
      </c>
      <c r="Z279">
        <v>10</v>
      </c>
    </row>
    <row r="280" spans="1:26" x14ac:dyDescent="0.3">
      <c r="A280">
        <v>14</v>
      </c>
      <c r="B280">
        <v>40</v>
      </c>
      <c r="C280" t="s">
        <v>26</v>
      </c>
      <c r="D280">
        <v>11.1676</v>
      </c>
      <c r="E280">
        <v>8.9499999999999993</v>
      </c>
      <c r="F280">
        <v>6.84</v>
      </c>
      <c r="G280">
        <v>45.63</v>
      </c>
      <c r="H280">
        <v>0.84</v>
      </c>
      <c r="I280">
        <v>9</v>
      </c>
      <c r="J280">
        <v>94.17</v>
      </c>
      <c r="K280">
        <v>37.549999999999997</v>
      </c>
      <c r="L280">
        <v>4.5</v>
      </c>
      <c r="M280">
        <v>7</v>
      </c>
      <c r="N280">
        <v>12.12</v>
      </c>
      <c r="O280">
        <v>11848.08</v>
      </c>
      <c r="P280">
        <v>50.3</v>
      </c>
      <c r="Q280">
        <v>204.14</v>
      </c>
      <c r="R280">
        <v>26.61</v>
      </c>
      <c r="S280">
        <v>17.37</v>
      </c>
      <c r="T280">
        <v>2501.66</v>
      </c>
      <c r="U280">
        <v>0.65</v>
      </c>
      <c r="V280">
        <v>0.75</v>
      </c>
      <c r="W280">
        <v>1.1499999999999999</v>
      </c>
      <c r="X280">
        <v>0.15</v>
      </c>
      <c r="Y280">
        <v>1</v>
      </c>
      <c r="Z280">
        <v>10</v>
      </c>
    </row>
    <row r="281" spans="1:26" x14ac:dyDescent="0.3">
      <c r="A281">
        <v>15</v>
      </c>
      <c r="B281">
        <v>40</v>
      </c>
      <c r="C281" t="s">
        <v>26</v>
      </c>
      <c r="D281">
        <v>11.1503</v>
      </c>
      <c r="E281">
        <v>8.9700000000000006</v>
      </c>
      <c r="F281">
        <v>6.86</v>
      </c>
      <c r="G281">
        <v>45.72</v>
      </c>
      <c r="H281">
        <v>0.88</v>
      </c>
      <c r="I281">
        <v>9</v>
      </c>
      <c r="J281">
        <v>94.48</v>
      </c>
      <c r="K281">
        <v>37.549999999999997</v>
      </c>
      <c r="L281">
        <v>4.75</v>
      </c>
      <c r="M281">
        <v>7</v>
      </c>
      <c r="N281">
        <v>12.17</v>
      </c>
      <c r="O281">
        <v>11886.12</v>
      </c>
      <c r="P281">
        <v>50.73</v>
      </c>
      <c r="Q281">
        <v>204.14</v>
      </c>
      <c r="R281">
        <v>27.09</v>
      </c>
      <c r="S281">
        <v>17.37</v>
      </c>
      <c r="T281">
        <v>2740.19</v>
      </c>
      <c r="U281">
        <v>0.64</v>
      </c>
      <c r="V281">
        <v>0.74</v>
      </c>
      <c r="W281">
        <v>1.1499999999999999</v>
      </c>
      <c r="X281">
        <v>0.17</v>
      </c>
      <c r="Y281">
        <v>1</v>
      </c>
      <c r="Z281">
        <v>10</v>
      </c>
    </row>
    <row r="282" spans="1:26" x14ac:dyDescent="0.3">
      <c r="A282">
        <v>16</v>
      </c>
      <c r="B282">
        <v>40</v>
      </c>
      <c r="C282" t="s">
        <v>26</v>
      </c>
      <c r="D282">
        <v>11.1569</v>
      </c>
      <c r="E282">
        <v>8.9600000000000009</v>
      </c>
      <c r="F282">
        <v>6.85</v>
      </c>
      <c r="G282">
        <v>45.69</v>
      </c>
      <c r="H282">
        <v>0.93</v>
      </c>
      <c r="I282">
        <v>9</v>
      </c>
      <c r="J282">
        <v>94.79</v>
      </c>
      <c r="K282">
        <v>37.549999999999997</v>
      </c>
      <c r="L282">
        <v>5</v>
      </c>
      <c r="M282">
        <v>7</v>
      </c>
      <c r="N282">
        <v>12.23</v>
      </c>
      <c r="O282">
        <v>11924.18</v>
      </c>
      <c r="P282">
        <v>49.72</v>
      </c>
      <c r="Q282">
        <v>204.16</v>
      </c>
      <c r="R282">
        <v>26.87</v>
      </c>
      <c r="S282">
        <v>17.37</v>
      </c>
      <c r="T282">
        <v>2631.91</v>
      </c>
      <c r="U282">
        <v>0.65</v>
      </c>
      <c r="V282">
        <v>0.75</v>
      </c>
      <c r="W282">
        <v>1.1499999999999999</v>
      </c>
      <c r="X282">
        <v>0.16</v>
      </c>
      <c r="Y282">
        <v>1</v>
      </c>
      <c r="Z282">
        <v>10</v>
      </c>
    </row>
    <row r="283" spans="1:26" x14ac:dyDescent="0.3">
      <c r="A283">
        <v>17</v>
      </c>
      <c r="B283">
        <v>40</v>
      </c>
      <c r="C283" t="s">
        <v>26</v>
      </c>
      <c r="D283">
        <v>11.2157</v>
      </c>
      <c r="E283">
        <v>8.92</v>
      </c>
      <c r="F283">
        <v>6.83</v>
      </c>
      <c r="G283">
        <v>51.19</v>
      </c>
      <c r="H283">
        <v>0.97</v>
      </c>
      <c r="I283">
        <v>8</v>
      </c>
      <c r="J283">
        <v>95.09</v>
      </c>
      <c r="K283">
        <v>37.549999999999997</v>
      </c>
      <c r="L283">
        <v>5.25</v>
      </c>
      <c r="M283">
        <v>6</v>
      </c>
      <c r="N283">
        <v>12.29</v>
      </c>
      <c r="O283">
        <v>11962.27</v>
      </c>
      <c r="P283">
        <v>48.85</v>
      </c>
      <c r="Q283">
        <v>204.15</v>
      </c>
      <c r="R283">
        <v>25.94</v>
      </c>
      <c r="S283">
        <v>17.37</v>
      </c>
      <c r="T283">
        <v>2173.36</v>
      </c>
      <c r="U283">
        <v>0.67</v>
      </c>
      <c r="V283">
        <v>0.75</v>
      </c>
      <c r="W283">
        <v>1.1499999999999999</v>
      </c>
      <c r="X283">
        <v>0.13</v>
      </c>
      <c r="Y283">
        <v>1</v>
      </c>
      <c r="Z283">
        <v>10</v>
      </c>
    </row>
    <row r="284" spans="1:26" x14ac:dyDescent="0.3">
      <c r="A284">
        <v>18</v>
      </c>
      <c r="B284">
        <v>40</v>
      </c>
      <c r="C284" t="s">
        <v>26</v>
      </c>
      <c r="D284">
        <v>11.212199999999999</v>
      </c>
      <c r="E284">
        <v>8.92</v>
      </c>
      <c r="F284">
        <v>6.83</v>
      </c>
      <c r="G284">
        <v>51.21</v>
      </c>
      <c r="H284">
        <v>1.01</v>
      </c>
      <c r="I284">
        <v>8</v>
      </c>
      <c r="J284">
        <v>95.4</v>
      </c>
      <c r="K284">
        <v>37.549999999999997</v>
      </c>
      <c r="L284">
        <v>5.5</v>
      </c>
      <c r="M284">
        <v>6</v>
      </c>
      <c r="N284">
        <v>12.35</v>
      </c>
      <c r="O284">
        <v>12000.38</v>
      </c>
      <c r="P284">
        <v>48.44</v>
      </c>
      <c r="Q284">
        <v>204.15</v>
      </c>
      <c r="R284">
        <v>26.05</v>
      </c>
      <c r="S284">
        <v>17.37</v>
      </c>
      <c r="T284">
        <v>2227.0100000000002</v>
      </c>
      <c r="U284">
        <v>0.67</v>
      </c>
      <c r="V284">
        <v>0.75</v>
      </c>
      <c r="W284">
        <v>1.1499999999999999</v>
      </c>
      <c r="X284">
        <v>0.14000000000000001</v>
      </c>
      <c r="Y284">
        <v>1</v>
      </c>
      <c r="Z284">
        <v>10</v>
      </c>
    </row>
    <row r="285" spans="1:26" x14ac:dyDescent="0.3">
      <c r="A285">
        <v>19</v>
      </c>
      <c r="B285">
        <v>40</v>
      </c>
      <c r="C285" t="s">
        <v>26</v>
      </c>
      <c r="D285">
        <v>11.271100000000001</v>
      </c>
      <c r="E285">
        <v>8.8699999999999992</v>
      </c>
      <c r="F285">
        <v>6.8</v>
      </c>
      <c r="G285">
        <v>58.29</v>
      </c>
      <c r="H285">
        <v>1.06</v>
      </c>
      <c r="I285">
        <v>7</v>
      </c>
      <c r="J285">
        <v>95.71</v>
      </c>
      <c r="K285">
        <v>37.549999999999997</v>
      </c>
      <c r="L285">
        <v>5.75</v>
      </c>
      <c r="M285">
        <v>5</v>
      </c>
      <c r="N285">
        <v>12.41</v>
      </c>
      <c r="O285">
        <v>12038.51</v>
      </c>
      <c r="P285">
        <v>47.69</v>
      </c>
      <c r="Q285">
        <v>204.14</v>
      </c>
      <c r="R285">
        <v>25.24</v>
      </c>
      <c r="S285">
        <v>17.37</v>
      </c>
      <c r="T285">
        <v>1827.33</v>
      </c>
      <c r="U285">
        <v>0.69</v>
      </c>
      <c r="V285">
        <v>0.75</v>
      </c>
      <c r="W285">
        <v>1.1499999999999999</v>
      </c>
      <c r="X285">
        <v>0.11</v>
      </c>
      <c r="Y285">
        <v>1</v>
      </c>
      <c r="Z285">
        <v>10</v>
      </c>
    </row>
    <row r="286" spans="1:26" x14ac:dyDescent="0.3">
      <c r="A286">
        <v>20</v>
      </c>
      <c r="B286">
        <v>40</v>
      </c>
      <c r="C286" t="s">
        <v>26</v>
      </c>
      <c r="D286">
        <v>11.2577</v>
      </c>
      <c r="E286">
        <v>8.8800000000000008</v>
      </c>
      <c r="F286">
        <v>6.81</v>
      </c>
      <c r="G286">
        <v>58.38</v>
      </c>
      <c r="H286">
        <v>1.1000000000000001</v>
      </c>
      <c r="I286">
        <v>7</v>
      </c>
      <c r="J286">
        <v>96.02</v>
      </c>
      <c r="K286">
        <v>37.549999999999997</v>
      </c>
      <c r="L286">
        <v>6</v>
      </c>
      <c r="M286">
        <v>4</v>
      </c>
      <c r="N286">
        <v>12.47</v>
      </c>
      <c r="O286">
        <v>12076.67</v>
      </c>
      <c r="P286">
        <v>47.69</v>
      </c>
      <c r="Q286">
        <v>204.14</v>
      </c>
      <c r="R286">
        <v>25.49</v>
      </c>
      <c r="S286">
        <v>17.37</v>
      </c>
      <c r="T286">
        <v>1952.38</v>
      </c>
      <c r="U286">
        <v>0.68</v>
      </c>
      <c r="V286">
        <v>0.75</v>
      </c>
      <c r="W286">
        <v>1.1499999999999999</v>
      </c>
      <c r="X286">
        <v>0.12</v>
      </c>
      <c r="Y286">
        <v>1</v>
      </c>
      <c r="Z286">
        <v>10</v>
      </c>
    </row>
    <row r="287" spans="1:26" x14ac:dyDescent="0.3">
      <c r="A287">
        <v>21</v>
      </c>
      <c r="B287">
        <v>40</v>
      </c>
      <c r="C287" t="s">
        <v>26</v>
      </c>
      <c r="D287">
        <v>11.255599999999999</v>
      </c>
      <c r="E287">
        <v>8.8800000000000008</v>
      </c>
      <c r="F287">
        <v>6.81</v>
      </c>
      <c r="G287">
        <v>58.39</v>
      </c>
      <c r="H287">
        <v>1.1399999999999999</v>
      </c>
      <c r="I287">
        <v>7</v>
      </c>
      <c r="J287">
        <v>96.33</v>
      </c>
      <c r="K287">
        <v>37.549999999999997</v>
      </c>
      <c r="L287">
        <v>6.25</v>
      </c>
      <c r="M287">
        <v>4</v>
      </c>
      <c r="N287">
        <v>12.53</v>
      </c>
      <c r="O287">
        <v>12114.85</v>
      </c>
      <c r="P287">
        <v>47.43</v>
      </c>
      <c r="Q287">
        <v>204.14</v>
      </c>
      <c r="R287">
        <v>25.58</v>
      </c>
      <c r="S287">
        <v>17.37</v>
      </c>
      <c r="T287">
        <v>1998.32</v>
      </c>
      <c r="U287">
        <v>0.68</v>
      </c>
      <c r="V287">
        <v>0.75</v>
      </c>
      <c r="W287">
        <v>1.1499999999999999</v>
      </c>
      <c r="X287">
        <v>0.12</v>
      </c>
      <c r="Y287">
        <v>1</v>
      </c>
      <c r="Z287">
        <v>10</v>
      </c>
    </row>
    <row r="288" spans="1:26" x14ac:dyDescent="0.3">
      <c r="A288">
        <v>22</v>
      </c>
      <c r="B288">
        <v>40</v>
      </c>
      <c r="C288" t="s">
        <v>26</v>
      </c>
      <c r="D288">
        <v>11.2475</v>
      </c>
      <c r="E288">
        <v>8.89</v>
      </c>
      <c r="F288">
        <v>6.82</v>
      </c>
      <c r="G288">
        <v>58.45</v>
      </c>
      <c r="H288">
        <v>1.18</v>
      </c>
      <c r="I288">
        <v>7</v>
      </c>
      <c r="J288">
        <v>96.64</v>
      </c>
      <c r="K288">
        <v>37.549999999999997</v>
      </c>
      <c r="L288">
        <v>6.5</v>
      </c>
      <c r="M288">
        <v>1</v>
      </c>
      <c r="N288">
        <v>12.59</v>
      </c>
      <c r="O288">
        <v>12153.06</v>
      </c>
      <c r="P288">
        <v>46.92</v>
      </c>
      <c r="Q288">
        <v>204.18</v>
      </c>
      <c r="R288">
        <v>25.65</v>
      </c>
      <c r="S288">
        <v>17.37</v>
      </c>
      <c r="T288">
        <v>2032.96</v>
      </c>
      <c r="U288">
        <v>0.68</v>
      </c>
      <c r="V288">
        <v>0.75</v>
      </c>
      <c r="W288">
        <v>1.1499999999999999</v>
      </c>
      <c r="X288">
        <v>0.13</v>
      </c>
      <c r="Y288">
        <v>1</v>
      </c>
      <c r="Z288">
        <v>10</v>
      </c>
    </row>
    <row r="289" spans="1:26" x14ac:dyDescent="0.3">
      <c r="A289">
        <v>23</v>
      </c>
      <c r="B289">
        <v>40</v>
      </c>
      <c r="C289" t="s">
        <v>26</v>
      </c>
      <c r="D289">
        <v>11.247199999999999</v>
      </c>
      <c r="E289">
        <v>8.89</v>
      </c>
      <c r="F289">
        <v>6.82</v>
      </c>
      <c r="G289">
        <v>58.45</v>
      </c>
      <c r="H289">
        <v>1.22</v>
      </c>
      <c r="I289">
        <v>7</v>
      </c>
      <c r="J289">
        <v>96.95</v>
      </c>
      <c r="K289">
        <v>37.549999999999997</v>
      </c>
      <c r="L289">
        <v>6.75</v>
      </c>
      <c r="M289">
        <v>1</v>
      </c>
      <c r="N289">
        <v>12.65</v>
      </c>
      <c r="O289">
        <v>12191.28</v>
      </c>
      <c r="P289">
        <v>46.86</v>
      </c>
      <c r="Q289">
        <v>204.18</v>
      </c>
      <c r="R289">
        <v>25.63</v>
      </c>
      <c r="S289">
        <v>17.37</v>
      </c>
      <c r="T289">
        <v>2020.01</v>
      </c>
      <c r="U289">
        <v>0.68</v>
      </c>
      <c r="V289">
        <v>0.75</v>
      </c>
      <c r="W289">
        <v>1.1499999999999999</v>
      </c>
      <c r="X289">
        <v>0.13</v>
      </c>
      <c r="Y289">
        <v>1</v>
      </c>
      <c r="Z289">
        <v>10</v>
      </c>
    </row>
    <row r="290" spans="1:26" x14ac:dyDescent="0.3">
      <c r="A290">
        <v>24</v>
      </c>
      <c r="B290">
        <v>40</v>
      </c>
      <c r="C290" t="s">
        <v>26</v>
      </c>
      <c r="D290">
        <v>11.2479</v>
      </c>
      <c r="E290">
        <v>8.89</v>
      </c>
      <c r="F290">
        <v>6.82</v>
      </c>
      <c r="G290">
        <v>58.44</v>
      </c>
      <c r="H290">
        <v>1.27</v>
      </c>
      <c r="I290">
        <v>7</v>
      </c>
      <c r="J290">
        <v>97.26</v>
      </c>
      <c r="K290">
        <v>37.549999999999997</v>
      </c>
      <c r="L290">
        <v>7</v>
      </c>
      <c r="M290">
        <v>1</v>
      </c>
      <c r="N290">
        <v>12.71</v>
      </c>
      <c r="O290">
        <v>12229.54</v>
      </c>
      <c r="P290">
        <v>46.75</v>
      </c>
      <c r="Q290">
        <v>204.18</v>
      </c>
      <c r="R290">
        <v>25.57</v>
      </c>
      <c r="S290">
        <v>17.37</v>
      </c>
      <c r="T290">
        <v>1992.86</v>
      </c>
      <c r="U290">
        <v>0.68</v>
      </c>
      <c r="V290">
        <v>0.75</v>
      </c>
      <c r="W290">
        <v>1.1499999999999999</v>
      </c>
      <c r="X290">
        <v>0.13</v>
      </c>
      <c r="Y290">
        <v>1</v>
      </c>
      <c r="Z290">
        <v>10</v>
      </c>
    </row>
    <row r="291" spans="1:26" x14ac:dyDescent="0.3">
      <c r="A291">
        <v>25</v>
      </c>
      <c r="B291">
        <v>40</v>
      </c>
      <c r="C291" t="s">
        <v>26</v>
      </c>
      <c r="D291">
        <v>11.248900000000001</v>
      </c>
      <c r="E291">
        <v>8.89</v>
      </c>
      <c r="F291">
        <v>6.82</v>
      </c>
      <c r="G291">
        <v>58.44</v>
      </c>
      <c r="H291">
        <v>1.31</v>
      </c>
      <c r="I291">
        <v>7</v>
      </c>
      <c r="J291">
        <v>97.57</v>
      </c>
      <c r="K291">
        <v>37.549999999999997</v>
      </c>
      <c r="L291">
        <v>7.25</v>
      </c>
      <c r="M291">
        <v>0</v>
      </c>
      <c r="N291">
        <v>12.77</v>
      </c>
      <c r="O291">
        <v>12267.81</v>
      </c>
      <c r="P291">
        <v>46.79</v>
      </c>
      <c r="Q291">
        <v>204.18</v>
      </c>
      <c r="R291">
        <v>25.58</v>
      </c>
      <c r="S291">
        <v>17.37</v>
      </c>
      <c r="T291">
        <v>1994.86</v>
      </c>
      <c r="U291">
        <v>0.68</v>
      </c>
      <c r="V291">
        <v>0.75</v>
      </c>
      <c r="W291">
        <v>1.1499999999999999</v>
      </c>
      <c r="X291">
        <v>0.13</v>
      </c>
      <c r="Y291">
        <v>1</v>
      </c>
      <c r="Z291">
        <v>10</v>
      </c>
    </row>
    <row r="292" spans="1:26" x14ac:dyDescent="0.3">
      <c r="A292">
        <v>0</v>
      </c>
      <c r="B292">
        <v>125</v>
      </c>
      <c r="C292" t="s">
        <v>26</v>
      </c>
      <c r="D292">
        <v>6.0918000000000001</v>
      </c>
      <c r="E292">
        <v>16.420000000000002</v>
      </c>
      <c r="F292">
        <v>8.7899999999999991</v>
      </c>
      <c r="G292">
        <v>5.12</v>
      </c>
      <c r="H292">
        <v>7.0000000000000007E-2</v>
      </c>
      <c r="I292">
        <v>103</v>
      </c>
      <c r="J292">
        <v>242.64</v>
      </c>
      <c r="K292">
        <v>58.47</v>
      </c>
      <c r="L292">
        <v>1</v>
      </c>
      <c r="M292">
        <v>101</v>
      </c>
      <c r="N292">
        <v>58.17</v>
      </c>
      <c r="O292">
        <v>30160.1</v>
      </c>
      <c r="P292">
        <v>141.38999999999999</v>
      </c>
      <c r="Q292">
        <v>204.31</v>
      </c>
      <c r="R292">
        <v>87.48</v>
      </c>
      <c r="S292">
        <v>17.37</v>
      </c>
      <c r="T292">
        <v>32466.23</v>
      </c>
      <c r="U292">
        <v>0.2</v>
      </c>
      <c r="V292">
        <v>0.57999999999999996</v>
      </c>
      <c r="W292">
        <v>1.3</v>
      </c>
      <c r="X292">
        <v>2.1</v>
      </c>
      <c r="Y292">
        <v>1</v>
      </c>
      <c r="Z292">
        <v>10</v>
      </c>
    </row>
    <row r="293" spans="1:26" x14ac:dyDescent="0.3">
      <c r="A293">
        <v>1</v>
      </c>
      <c r="B293">
        <v>125</v>
      </c>
      <c r="C293" t="s">
        <v>26</v>
      </c>
      <c r="D293">
        <v>6.8253000000000004</v>
      </c>
      <c r="E293">
        <v>14.65</v>
      </c>
      <c r="F293">
        <v>8.26</v>
      </c>
      <c r="G293">
        <v>6.44</v>
      </c>
      <c r="H293">
        <v>0.09</v>
      </c>
      <c r="I293">
        <v>77</v>
      </c>
      <c r="J293">
        <v>243.08</v>
      </c>
      <c r="K293">
        <v>58.47</v>
      </c>
      <c r="L293">
        <v>1.25</v>
      </c>
      <c r="M293">
        <v>75</v>
      </c>
      <c r="N293">
        <v>58.36</v>
      </c>
      <c r="O293">
        <v>30214.33</v>
      </c>
      <c r="P293">
        <v>132.63999999999999</v>
      </c>
      <c r="Q293">
        <v>204.23</v>
      </c>
      <c r="R293">
        <v>70.569999999999993</v>
      </c>
      <c r="S293">
        <v>17.37</v>
      </c>
      <c r="T293">
        <v>24140.52</v>
      </c>
      <c r="U293">
        <v>0.25</v>
      </c>
      <c r="V293">
        <v>0.62</v>
      </c>
      <c r="W293">
        <v>1.27</v>
      </c>
      <c r="X293">
        <v>1.56</v>
      </c>
      <c r="Y293">
        <v>1</v>
      </c>
      <c r="Z293">
        <v>10</v>
      </c>
    </row>
    <row r="294" spans="1:26" x14ac:dyDescent="0.3">
      <c r="A294">
        <v>2</v>
      </c>
      <c r="B294">
        <v>125</v>
      </c>
      <c r="C294" t="s">
        <v>26</v>
      </c>
      <c r="D294">
        <v>7.3505000000000003</v>
      </c>
      <c r="E294">
        <v>13.6</v>
      </c>
      <c r="F294">
        <v>7.92</v>
      </c>
      <c r="G294">
        <v>7.66</v>
      </c>
      <c r="H294">
        <v>0.11</v>
      </c>
      <c r="I294">
        <v>62</v>
      </c>
      <c r="J294">
        <v>243.52</v>
      </c>
      <c r="K294">
        <v>58.47</v>
      </c>
      <c r="L294">
        <v>1.5</v>
      </c>
      <c r="M294">
        <v>60</v>
      </c>
      <c r="N294">
        <v>58.55</v>
      </c>
      <c r="O294">
        <v>30268.639999999999</v>
      </c>
      <c r="P294">
        <v>127.09</v>
      </c>
      <c r="Q294">
        <v>204.24</v>
      </c>
      <c r="R294">
        <v>60.1</v>
      </c>
      <c r="S294">
        <v>17.37</v>
      </c>
      <c r="T294">
        <v>18980.88</v>
      </c>
      <c r="U294">
        <v>0.28999999999999998</v>
      </c>
      <c r="V294">
        <v>0.65</v>
      </c>
      <c r="W294">
        <v>1.23</v>
      </c>
      <c r="X294">
        <v>1.23</v>
      </c>
      <c r="Y294">
        <v>1</v>
      </c>
      <c r="Z294">
        <v>10</v>
      </c>
    </row>
    <row r="295" spans="1:26" x14ac:dyDescent="0.3">
      <c r="A295">
        <v>3</v>
      </c>
      <c r="B295">
        <v>125</v>
      </c>
      <c r="C295" t="s">
        <v>26</v>
      </c>
      <c r="D295">
        <v>7.7375999999999996</v>
      </c>
      <c r="E295">
        <v>12.92</v>
      </c>
      <c r="F295">
        <v>7.71</v>
      </c>
      <c r="G295">
        <v>8.9</v>
      </c>
      <c r="H295">
        <v>0.13</v>
      </c>
      <c r="I295">
        <v>52</v>
      </c>
      <c r="J295">
        <v>243.96</v>
      </c>
      <c r="K295">
        <v>58.47</v>
      </c>
      <c r="L295">
        <v>1.75</v>
      </c>
      <c r="M295">
        <v>50</v>
      </c>
      <c r="N295">
        <v>58.74</v>
      </c>
      <c r="O295">
        <v>30323.01</v>
      </c>
      <c r="P295">
        <v>123.63</v>
      </c>
      <c r="Q295">
        <v>204.19</v>
      </c>
      <c r="R295">
        <v>53.78</v>
      </c>
      <c r="S295">
        <v>17.37</v>
      </c>
      <c r="T295">
        <v>15871.45</v>
      </c>
      <c r="U295">
        <v>0.32</v>
      </c>
      <c r="V295">
        <v>0.66</v>
      </c>
      <c r="W295">
        <v>1.21</v>
      </c>
      <c r="X295">
        <v>1.02</v>
      </c>
      <c r="Y295">
        <v>1</v>
      </c>
      <c r="Z295">
        <v>10</v>
      </c>
    </row>
    <row r="296" spans="1:26" x14ac:dyDescent="0.3">
      <c r="A296">
        <v>4</v>
      </c>
      <c r="B296">
        <v>125</v>
      </c>
      <c r="C296" t="s">
        <v>26</v>
      </c>
      <c r="D296">
        <v>8.0221</v>
      </c>
      <c r="E296">
        <v>12.47</v>
      </c>
      <c r="F296">
        <v>7.58</v>
      </c>
      <c r="G296">
        <v>10.11</v>
      </c>
      <c r="H296">
        <v>0.15</v>
      </c>
      <c r="I296">
        <v>45</v>
      </c>
      <c r="J296">
        <v>244.41</v>
      </c>
      <c r="K296">
        <v>58.47</v>
      </c>
      <c r="L296">
        <v>2</v>
      </c>
      <c r="M296">
        <v>43</v>
      </c>
      <c r="N296">
        <v>58.93</v>
      </c>
      <c r="O296">
        <v>30377.45</v>
      </c>
      <c r="P296">
        <v>121.46</v>
      </c>
      <c r="Q296">
        <v>204.2</v>
      </c>
      <c r="R296">
        <v>49.46</v>
      </c>
      <c r="S296">
        <v>17.37</v>
      </c>
      <c r="T296">
        <v>13748.5</v>
      </c>
      <c r="U296">
        <v>0.35</v>
      </c>
      <c r="V296">
        <v>0.67</v>
      </c>
      <c r="W296">
        <v>1.21</v>
      </c>
      <c r="X296">
        <v>0.89</v>
      </c>
      <c r="Y296">
        <v>1</v>
      </c>
      <c r="Z296">
        <v>10</v>
      </c>
    </row>
    <row r="297" spans="1:26" x14ac:dyDescent="0.3">
      <c r="A297">
        <v>5</v>
      </c>
      <c r="B297">
        <v>125</v>
      </c>
      <c r="C297" t="s">
        <v>26</v>
      </c>
      <c r="D297">
        <v>8.2932000000000006</v>
      </c>
      <c r="E297">
        <v>12.06</v>
      </c>
      <c r="F297">
        <v>7.46</v>
      </c>
      <c r="G297">
        <v>11.48</v>
      </c>
      <c r="H297">
        <v>0.16</v>
      </c>
      <c r="I297">
        <v>39</v>
      </c>
      <c r="J297">
        <v>244.85</v>
      </c>
      <c r="K297">
        <v>58.47</v>
      </c>
      <c r="L297">
        <v>2.25</v>
      </c>
      <c r="M297">
        <v>37</v>
      </c>
      <c r="N297">
        <v>59.12</v>
      </c>
      <c r="O297">
        <v>30431.96</v>
      </c>
      <c r="P297">
        <v>119.4</v>
      </c>
      <c r="Q297">
        <v>204.17</v>
      </c>
      <c r="R297">
        <v>45.62</v>
      </c>
      <c r="S297">
        <v>17.37</v>
      </c>
      <c r="T297">
        <v>11856.96</v>
      </c>
      <c r="U297">
        <v>0.38</v>
      </c>
      <c r="V297">
        <v>0.68</v>
      </c>
      <c r="W297">
        <v>1.2</v>
      </c>
      <c r="X297">
        <v>0.77</v>
      </c>
      <c r="Y297">
        <v>1</v>
      </c>
      <c r="Z297">
        <v>10</v>
      </c>
    </row>
    <row r="298" spans="1:26" x14ac:dyDescent="0.3">
      <c r="A298">
        <v>6</v>
      </c>
      <c r="B298">
        <v>125</v>
      </c>
      <c r="C298" t="s">
        <v>26</v>
      </c>
      <c r="D298">
        <v>8.4776000000000007</v>
      </c>
      <c r="E298">
        <v>11.8</v>
      </c>
      <c r="F298">
        <v>7.39</v>
      </c>
      <c r="G298">
        <v>12.66</v>
      </c>
      <c r="H298">
        <v>0.18</v>
      </c>
      <c r="I298">
        <v>35</v>
      </c>
      <c r="J298">
        <v>245.29</v>
      </c>
      <c r="K298">
        <v>58.47</v>
      </c>
      <c r="L298">
        <v>2.5</v>
      </c>
      <c r="M298">
        <v>33</v>
      </c>
      <c r="N298">
        <v>59.32</v>
      </c>
      <c r="O298">
        <v>30486.54</v>
      </c>
      <c r="P298">
        <v>118.08</v>
      </c>
      <c r="Q298">
        <v>204.16</v>
      </c>
      <c r="R298">
        <v>43.42</v>
      </c>
      <c r="S298">
        <v>17.37</v>
      </c>
      <c r="T298">
        <v>10776.21</v>
      </c>
      <c r="U298">
        <v>0.4</v>
      </c>
      <c r="V298">
        <v>0.69</v>
      </c>
      <c r="W298">
        <v>1.2</v>
      </c>
      <c r="X298">
        <v>0.69</v>
      </c>
      <c r="Y298">
        <v>1</v>
      </c>
      <c r="Z298">
        <v>10</v>
      </c>
    </row>
    <row r="299" spans="1:26" x14ac:dyDescent="0.3">
      <c r="A299">
        <v>7</v>
      </c>
      <c r="B299">
        <v>125</v>
      </c>
      <c r="C299" t="s">
        <v>26</v>
      </c>
      <c r="D299">
        <v>8.6256000000000004</v>
      </c>
      <c r="E299">
        <v>11.59</v>
      </c>
      <c r="F299">
        <v>7.33</v>
      </c>
      <c r="G299">
        <v>13.73</v>
      </c>
      <c r="H299">
        <v>0.2</v>
      </c>
      <c r="I299">
        <v>32</v>
      </c>
      <c r="J299">
        <v>245.73</v>
      </c>
      <c r="K299">
        <v>58.47</v>
      </c>
      <c r="L299">
        <v>2.75</v>
      </c>
      <c r="M299">
        <v>30</v>
      </c>
      <c r="N299">
        <v>59.51</v>
      </c>
      <c r="O299">
        <v>30541.19</v>
      </c>
      <c r="P299">
        <v>117.04</v>
      </c>
      <c r="Q299">
        <v>204.16</v>
      </c>
      <c r="R299">
        <v>41.45</v>
      </c>
      <c r="S299">
        <v>17.37</v>
      </c>
      <c r="T299">
        <v>9806.6299999999992</v>
      </c>
      <c r="U299">
        <v>0.42</v>
      </c>
      <c r="V299">
        <v>0.7</v>
      </c>
      <c r="W299">
        <v>1.19</v>
      </c>
      <c r="X299">
        <v>0.63</v>
      </c>
      <c r="Y299">
        <v>1</v>
      </c>
      <c r="Z299">
        <v>10</v>
      </c>
    </row>
    <row r="300" spans="1:26" x14ac:dyDescent="0.3">
      <c r="A300">
        <v>8</v>
      </c>
      <c r="B300">
        <v>125</v>
      </c>
      <c r="C300" t="s">
        <v>26</v>
      </c>
      <c r="D300">
        <v>8.7824000000000009</v>
      </c>
      <c r="E300">
        <v>11.39</v>
      </c>
      <c r="F300">
        <v>7.26</v>
      </c>
      <c r="G300">
        <v>15.02</v>
      </c>
      <c r="H300">
        <v>0.22</v>
      </c>
      <c r="I300">
        <v>29</v>
      </c>
      <c r="J300">
        <v>246.18</v>
      </c>
      <c r="K300">
        <v>58.47</v>
      </c>
      <c r="L300">
        <v>3</v>
      </c>
      <c r="M300">
        <v>27</v>
      </c>
      <c r="N300">
        <v>59.7</v>
      </c>
      <c r="O300">
        <v>30595.91</v>
      </c>
      <c r="P300">
        <v>115.9</v>
      </c>
      <c r="Q300">
        <v>204.17</v>
      </c>
      <c r="R300">
        <v>39.58</v>
      </c>
      <c r="S300">
        <v>17.37</v>
      </c>
      <c r="T300">
        <v>8887.73</v>
      </c>
      <c r="U300">
        <v>0.44</v>
      </c>
      <c r="V300">
        <v>0.7</v>
      </c>
      <c r="W300">
        <v>1.18</v>
      </c>
      <c r="X300">
        <v>0.56999999999999995</v>
      </c>
      <c r="Y300">
        <v>1</v>
      </c>
      <c r="Z300">
        <v>10</v>
      </c>
    </row>
    <row r="301" spans="1:26" x14ac:dyDescent="0.3">
      <c r="A301">
        <v>9</v>
      </c>
      <c r="B301">
        <v>125</v>
      </c>
      <c r="C301" t="s">
        <v>26</v>
      </c>
      <c r="D301">
        <v>8.8919999999999995</v>
      </c>
      <c r="E301">
        <v>11.25</v>
      </c>
      <c r="F301">
        <v>7.21</v>
      </c>
      <c r="G301">
        <v>16.03</v>
      </c>
      <c r="H301">
        <v>0.23</v>
      </c>
      <c r="I301">
        <v>27</v>
      </c>
      <c r="J301">
        <v>246.62</v>
      </c>
      <c r="K301">
        <v>58.47</v>
      </c>
      <c r="L301">
        <v>3.25</v>
      </c>
      <c r="M301">
        <v>25</v>
      </c>
      <c r="N301">
        <v>59.9</v>
      </c>
      <c r="O301">
        <v>30650.7</v>
      </c>
      <c r="P301">
        <v>115.05</v>
      </c>
      <c r="Q301">
        <v>204.21</v>
      </c>
      <c r="R301">
        <v>38.020000000000003</v>
      </c>
      <c r="S301">
        <v>17.37</v>
      </c>
      <c r="T301">
        <v>8119.28</v>
      </c>
      <c r="U301">
        <v>0.46</v>
      </c>
      <c r="V301">
        <v>0.71</v>
      </c>
      <c r="W301">
        <v>1.18</v>
      </c>
      <c r="X301">
        <v>0.52</v>
      </c>
      <c r="Y301">
        <v>1</v>
      </c>
      <c r="Z301">
        <v>10</v>
      </c>
    </row>
    <row r="302" spans="1:26" x14ac:dyDescent="0.3">
      <c r="A302">
        <v>10</v>
      </c>
      <c r="B302">
        <v>125</v>
      </c>
      <c r="C302" t="s">
        <v>26</v>
      </c>
      <c r="D302">
        <v>8.9995999999999992</v>
      </c>
      <c r="E302">
        <v>11.11</v>
      </c>
      <c r="F302">
        <v>7.17</v>
      </c>
      <c r="G302">
        <v>17.22</v>
      </c>
      <c r="H302">
        <v>0.25</v>
      </c>
      <c r="I302">
        <v>25</v>
      </c>
      <c r="J302">
        <v>247.07</v>
      </c>
      <c r="K302">
        <v>58.47</v>
      </c>
      <c r="L302">
        <v>3.5</v>
      </c>
      <c r="M302">
        <v>23</v>
      </c>
      <c r="N302">
        <v>60.09</v>
      </c>
      <c r="O302">
        <v>30705.56</v>
      </c>
      <c r="P302">
        <v>114.31</v>
      </c>
      <c r="Q302">
        <v>204.15</v>
      </c>
      <c r="R302">
        <v>36.76</v>
      </c>
      <c r="S302">
        <v>17.37</v>
      </c>
      <c r="T302">
        <v>7495.37</v>
      </c>
      <c r="U302">
        <v>0.47</v>
      </c>
      <c r="V302">
        <v>0.71</v>
      </c>
      <c r="W302">
        <v>1.18</v>
      </c>
      <c r="X302">
        <v>0.48</v>
      </c>
      <c r="Y302">
        <v>1</v>
      </c>
      <c r="Z302">
        <v>10</v>
      </c>
    </row>
    <row r="303" spans="1:26" x14ac:dyDescent="0.3">
      <c r="A303">
        <v>11</v>
      </c>
      <c r="B303">
        <v>125</v>
      </c>
      <c r="C303" t="s">
        <v>26</v>
      </c>
      <c r="D303">
        <v>9.1060999999999996</v>
      </c>
      <c r="E303">
        <v>10.98</v>
      </c>
      <c r="F303">
        <v>7.14</v>
      </c>
      <c r="G303">
        <v>18.62</v>
      </c>
      <c r="H303">
        <v>0.27</v>
      </c>
      <c r="I303">
        <v>23</v>
      </c>
      <c r="J303">
        <v>247.51</v>
      </c>
      <c r="K303">
        <v>58.47</v>
      </c>
      <c r="L303">
        <v>3.75</v>
      </c>
      <c r="M303">
        <v>21</v>
      </c>
      <c r="N303">
        <v>60.29</v>
      </c>
      <c r="O303">
        <v>30760.49</v>
      </c>
      <c r="P303">
        <v>113.69</v>
      </c>
      <c r="Q303">
        <v>204.19</v>
      </c>
      <c r="R303">
        <v>35.92</v>
      </c>
      <c r="S303">
        <v>17.37</v>
      </c>
      <c r="T303">
        <v>7088.71</v>
      </c>
      <c r="U303">
        <v>0.48</v>
      </c>
      <c r="V303">
        <v>0.72</v>
      </c>
      <c r="W303">
        <v>1.17</v>
      </c>
      <c r="X303">
        <v>0.45</v>
      </c>
      <c r="Y303">
        <v>1</v>
      </c>
      <c r="Z303">
        <v>10</v>
      </c>
    </row>
    <row r="304" spans="1:26" x14ac:dyDescent="0.3">
      <c r="A304">
        <v>12</v>
      </c>
      <c r="B304">
        <v>125</v>
      </c>
      <c r="C304" t="s">
        <v>26</v>
      </c>
      <c r="D304">
        <v>9.1692</v>
      </c>
      <c r="E304">
        <v>10.91</v>
      </c>
      <c r="F304">
        <v>7.11</v>
      </c>
      <c r="G304">
        <v>19.39</v>
      </c>
      <c r="H304">
        <v>0.28999999999999998</v>
      </c>
      <c r="I304">
        <v>22</v>
      </c>
      <c r="J304">
        <v>247.96</v>
      </c>
      <c r="K304">
        <v>58.47</v>
      </c>
      <c r="L304">
        <v>4</v>
      </c>
      <c r="M304">
        <v>20</v>
      </c>
      <c r="N304">
        <v>60.48</v>
      </c>
      <c r="O304">
        <v>30815.5</v>
      </c>
      <c r="P304">
        <v>113.09</v>
      </c>
      <c r="Q304">
        <v>204.15</v>
      </c>
      <c r="R304">
        <v>34.78</v>
      </c>
      <c r="S304">
        <v>17.37</v>
      </c>
      <c r="T304">
        <v>6519.97</v>
      </c>
      <c r="U304">
        <v>0.5</v>
      </c>
      <c r="V304">
        <v>0.72</v>
      </c>
      <c r="W304">
        <v>1.17</v>
      </c>
      <c r="X304">
        <v>0.42</v>
      </c>
      <c r="Y304">
        <v>1</v>
      </c>
      <c r="Z304">
        <v>10</v>
      </c>
    </row>
    <row r="305" spans="1:26" x14ac:dyDescent="0.3">
      <c r="A305">
        <v>13</v>
      </c>
      <c r="B305">
        <v>125</v>
      </c>
      <c r="C305" t="s">
        <v>26</v>
      </c>
      <c r="D305">
        <v>9.2848000000000006</v>
      </c>
      <c r="E305">
        <v>10.77</v>
      </c>
      <c r="F305">
        <v>7.07</v>
      </c>
      <c r="G305">
        <v>21.21</v>
      </c>
      <c r="H305">
        <v>0.3</v>
      </c>
      <c r="I305">
        <v>20</v>
      </c>
      <c r="J305">
        <v>248.4</v>
      </c>
      <c r="K305">
        <v>58.47</v>
      </c>
      <c r="L305">
        <v>4.25</v>
      </c>
      <c r="M305">
        <v>18</v>
      </c>
      <c r="N305">
        <v>60.68</v>
      </c>
      <c r="O305">
        <v>30870.57</v>
      </c>
      <c r="P305">
        <v>112.37</v>
      </c>
      <c r="Q305">
        <v>204.14</v>
      </c>
      <c r="R305">
        <v>33.590000000000003</v>
      </c>
      <c r="S305">
        <v>17.37</v>
      </c>
      <c r="T305">
        <v>5936.02</v>
      </c>
      <c r="U305">
        <v>0.52</v>
      </c>
      <c r="V305">
        <v>0.72</v>
      </c>
      <c r="W305">
        <v>1.17</v>
      </c>
      <c r="X305">
        <v>0.38</v>
      </c>
      <c r="Y305">
        <v>1</v>
      </c>
      <c r="Z305">
        <v>10</v>
      </c>
    </row>
    <row r="306" spans="1:26" x14ac:dyDescent="0.3">
      <c r="A306">
        <v>14</v>
      </c>
      <c r="B306">
        <v>125</v>
      </c>
      <c r="C306" t="s">
        <v>26</v>
      </c>
      <c r="D306">
        <v>9.3445999999999998</v>
      </c>
      <c r="E306">
        <v>10.7</v>
      </c>
      <c r="F306">
        <v>7.05</v>
      </c>
      <c r="G306">
        <v>22.25</v>
      </c>
      <c r="H306">
        <v>0.32</v>
      </c>
      <c r="I306">
        <v>19</v>
      </c>
      <c r="J306">
        <v>248.85</v>
      </c>
      <c r="K306">
        <v>58.47</v>
      </c>
      <c r="L306">
        <v>4.5</v>
      </c>
      <c r="M306">
        <v>17</v>
      </c>
      <c r="N306">
        <v>60.88</v>
      </c>
      <c r="O306">
        <v>30925.72</v>
      </c>
      <c r="P306">
        <v>111.86</v>
      </c>
      <c r="Q306">
        <v>204.16</v>
      </c>
      <c r="R306">
        <v>32.89</v>
      </c>
      <c r="S306">
        <v>17.37</v>
      </c>
      <c r="T306">
        <v>5591.8</v>
      </c>
      <c r="U306">
        <v>0.53</v>
      </c>
      <c r="V306">
        <v>0.72</v>
      </c>
      <c r="W306">
        <v>1.17</v>
      </c>
      <c r="X306">
        <v>0.36</v>
      </c>
      <c r="Y306">
        <v>1</v>
      </c>
      <c r="Z306">
        <v>10</v>
      </c>
    </row>
    <row r="307" spans="1:26" x14ac:dyDescent="0.3">
      <c r="A307">
        <v>15</v>
      </c>
      <c r="B307">
        <v>125</v>
      </c>
      <c r="C307" t="s">
        <v>26</v>
      </c>
      <c r="D307">
        <v>9.3994999999999997</v>
      </c>
      <c r="E307">
        <v>10.64</v>
      </c>
      <c r="F307">
        <v>7.03</v>
      </c>
      <c r="G307">
        <v>23.44</v>
      </c>
      <c r="H307">
        <v>0.34</v>
      </c>
      <c r="I307">
        <v>18</v>
      </c>
      <c r="J307">
        <v>249.3</v>
      </c>
      <c r="K307">
        <v>58.47</v>
      </c>
      <c r="L307">
        <v>4.75</v>
      </c>
      <c r="M307">
        <v>16</v>
      </c>
      <c r="N307">
        <v>61.07</v>
      </c>
      <c r="O307">
        <v>30980.93</v>
      </c>
      <c r="P307">
        <v>111.56</v>
      </c>
      <c r="Q307">
        <v>204.18</v>
      </c>
      <c r="R307">
        <v>32.479999999999997</v>
      </c>
      <c r="S307">
        <v>17.37</v>
      </c>
      <c r="T307">
        <v>5394.41</v>
      </c>
      <c r="U307">
        <v>0.53</v>
      </c>
      <c r="V307">
        <v>0.73</v>
      </c>
      <c r="W307">
        <v>1.1599999999999999</v>
      </c>
      <c r="X307">
        <v>0.34</v>
      </c>
      <c r="Y307">
        <v>1</v>
      </c>
      <c r="Z307">
        <v>10</v>
      </c>
    </row>
    <row r="308" spans="1:26" x14ac:dyDescent="0.3">
      <c r="A308">
        <v>16</v>
      </c>
      <c r="B308">
        <v>125</v>
      </c>
      <c r="C308" t="s">
        <v>26</v>
      </c>
      <c r="D308">
        <v>9.4619999999999997</v>
      </c>
      <c r="E308">
        <v>10.57</v>
      </c>
      <c r="F308">
        <v>7.01</v>
      </c>
      <c r="G308">
        <v>24.74</v>
      </c>
      <c r="H308">
        <v>0.36</v>
      </c>
      <c r="I308">
        <v>17</v>
      </c>
      <c r="J308">
        <v>249.75</v>
      </c>
      <c r="K308">
        <v>58.47</v>
      </c>
      <c r="L308">
        <v>5</v>
      </c>
      <c r="M308">
        <v>15</v>
      </c>
      <c r="N308">
        <v>61.27</v>
      </c>
      <c r="O308">
        <v>31036.22</v>
      </c>
      <c r="P308">
        <v>110.99</v>
      </c>
      <c r="Q308">
        <v>204.14</v>
      </c>
      <c r="R308">
        <v>31.56</v>
      </c>
      <c r="S308">
        <v>17.37</v>
      </c>
      <c r="T308">
        <v>4939.7299999999996</v>
      </c>
      <c r="U308">
        <v>0.55000000000000004</v>
      </c>
      <c r="V308">
        <v>0.73</v>
      </c>
      <c r="W308">
        <v>1.17</v>
      </c>
      <c r="X308">
        <v>0.32</v>
      </c>
      <c r="Y308">
        <v>1</v>
      </c>
      <c r="Z308">
        <v>10</v>
      </c>
    </row>
    <row r="309" spans="1:26" x14ac:dyDescent="0.3">
      <c r="A309">
        <v>17</v>
      </c>
      <c r="B309">
        <v>125</v>
      </c>
      <c r="C309" t="s">
        <v>26</v>
      </c>
      <c r="D309">
        <v>9.4589999999999996</v>
      </c>
      <c r="E309">
        <v>10.57</v>
      </c>
      <c r="F309">
        <v>7.01</v>
      </c>
      <c r="G309">
        <v>24.75</v>
      </c>
      <c r="H309">
        <v>0.37</v>
      </c>
      <c r="I309">
        <v>17</v>
      </c>
      <c r="J309">
        <v>250.2</v>
      </c>
      <c r="K309">
        <v>58.47</v>
      </c>
      <c r="L309">
        <v>5.25</v>
      </c>
      <c r="M309">
        <v>15</v>
      </c>
      <c r="N309">
        <v>61.47</v>
      </c>
      <c r="O309">
        <v>31091.59</v>
      </c>
      <c r="P309">
        <v>111.1</v>
      </c>
      <c r="Q309">
        <v>204.15</v>
      </c>
      <c r="R309">
        <v>31.9</v>
      </c>
      <c r="S309">
        <v>17.37</v>
      </c>
      <c r="T309">
        <v>5106.8999999999996</v>
      </c>
      <c r="U309">
        <v>0.54</v>
      </c>
      <c r="V309">
        <v>0.73</v>
      </c>
      <c r="W309">
        <v>1.1599999999999999</v>
      </c>
      <c r="X309">
        <v>0.32</v>
      </c>
      <c r="Y309">
        <v>1</v>
      </c>
      <c r="Z309">
        <v>10</v>
      </c>
    </row>
    <row r="310" spans="1:26" x14ac:dyDescent="0.3">
      <c r="A310">
        <v>18</v>
      </c>
      <c r="B310">
        <v>125</v>
      </c>
      <c r="C310" t="s">
        <v>26</v>
      </c>
      <c r="D310">
        <v>9.5129999999999999</v>
      </c>
      <c r="E310">
        <v>10.51</v>
      </c>
      <c r="F310">
        <v>7</v>
      </c>
      <c r="G310">
        <v>26.25</v>
      </c>
      <c r="H310">
        <v>0.39</v>
      </c>
      <c r="I310">
        <v>16</v>
      </c>
      <c r="J310">
        <v>250.64</v>
      </c>
      <c r="K310">
        <v>58.47</v>
      </c>
      <c r="L310">
        <v>5.5</v>
      </c>
      <c r="M310">
        <v>14</v>
      </c>
      <c r="N310">
        <v>61.67</v>
      </c>
      <c r="O310">
        <v>31147.02</v>
      </c>
      <c r="P310">
        <v>110.75</v>
      </c>
      <c r="Q310">
        <v>204.19</v>
      </c>
      <c r="R310">
        <v>31.58</v>
      </c>
      <c r="S310">
        <v>17.37</v>
      </c>
      <c r="T310">
        <v>4953.92</v>
      </c>
      <c r="U310">
        <v>0.55000000000000004</v>
      </c>
      <c r="V310">
        <v>0.73</v>
      </c>
      <c r="W310">
        <v>1.1599999999999999</v>
      </c>
      <c r="X310">
        <v>0.31</v>
      </c>
      <c r="Y310">
        <v>1</v>
      </c>
      <c r="Z310">
        <v>10</v>
      </c>
    </row>
    <row r="311" spans="1:26" x14ac:dyDescent="0.3">
      <c r="A311">
        <v>19</v>
      </c>
      <c r="B311">
        <v>125</v>
      </c>
      <c r="C311" t="s">
        <v>26</v>
      </c>
      <c r="D311">
        <v>9.5882000000000005</v>
      </c>
      <c r="E311">
        <v>10.43</v>
      </c>
      <c r="F311">
        <v>6.96</v>
      </c>
      <c r="G311">
        <v>27.86</v>
      </c>
      <c r="H311">
        <v>0.41</v>
      </c>
      <c r="I311">
        <v>15</v>
      </c>
      <c r="J311">
        <v>251.09</v>
      </c>
      <c r="K311">
        <v>58.47</v>
      </c>
      <c r="L311">
        <v>5.75</v>
      </c>
      <c r="M311">
        <v>13</v>
      </c>
      <c r="N311">
        <v>61.87</v>
      </c>
      <c r="O311">
        <v>31202.53</v>
      </c>
      <c r="P311">
        <v>110.19</v>
      </c>
      <c r="Q311">
        <v>204.18</v>
      </c>
      <c r="R311">
        <v>30.51</v>
      </c>
      <c r="S311">
        <v>17.37</v>
      </c>
      <c r="T311">
        <v>4422.68</v>
      </c>
      <c r="U311">
        <v>0.56999999999999995</v>
      </c>
      <c r="V311">
        <v>0.73</v>
      </c>
      <c r="W311">
        <v>1.1499999999999999</v>
      </c>
      <c r="X311">
        <v>0.27</v>
      </c>
      <c r="Y311">
        <v>1</v>
      </c>
      <c r="Z311">
        <v>10</v>
      </c>
    </row>
    <row r="312" spans="1:26" x14ac:dyDescent="0.3">
      <c r="A312">
        <v>20</v>
      </c>
      <c r="B312">
        <v>125</v>
      </c>
      <c r="C312" t="s">
        <v>26</v>
      </c>
      <c r="D312">
        <v>9.5795999999999992</v>
      </c>
      <c r="E312">
        <v>10.44</v>
      </c>
      <c r="F312">
        <v>6.97</v>
      </c>
      <c r="G312">
        <v>27.89</v>
      </c>
      <c r="H312">
        <v>0.42</v>
      </c>
      <c r="I312">
        <v>15</v>
      </c>
      <c r="J312">
        <v>251.55</v>
      </c>
      <c r="K312">
        <v>58.47</v>
      </c>
      <c r="L312">
        <v>6</v>
      </c>
      <c r="M312">
        <v>13</v>
      </c>
      <c r="N312">
        <v>62.07</v>
      </c>
      <c r="O312">
        <v>31258.11</v>
      </c>
      <c r="P312">
        <v>110.15</v>
      </c>
      <c r="Q312">
        <v>204.15</v>
      </c>
      <c r="R312">
        <v>30.64</v>
      </c>
      <c r="S312">
        <v>17.37</v>
      </c>
      <c r="T312">
        <v>4485.88</v>
      </c>
      <c r="U312">
        <v>0.56999999999999995</v>
      </c>
      <c r="V312">
        <v>0.73</v>
      </c>
      <c r="W312">
        <v>1.1599999999999999</v>
      </c>
      <c r="X312">
        <v>0.28000000000000003</v>
      </c>
      <c r="Y312">
        <v>1</v>
      </c>
      <c r="Z312">
        <v>10</v>
      </c>
    </row>
    <row r="313" spans="1:26" x14ac:dyDescent="0.3">
      <c r="A313">
        <v>21</v>
      </c>
      <c r="B313">
        <v>125</v>
      </c>
      <c r="C313" t="s">
        <v>26</v>
      </c>
      <c r="D313">
        <v>9.6460000000000008</v>
      </c>
      <c r="E313">
        <v>10.37</v>
      </c>
      <c r="F313">
        <v>6.95</v>
      </c>
      <c r="G313">
        <v>29.78</v>
      </c>
      <c r="H313">
        <v>0.44</v>
      </c>
      <c r="I313">
        <v>14</v>
      </c>
      <c r="J313">
        <v>252</v>
      </c>
      <c r="K313">
        <v>58.47</v>
      </c>
      <c r="L313">
        <v>6.25</v>
      </c>
      <c r="M313">
        <v>12</v>
      </c>
      <c r="N313">
        <v>62.27</v>
      </c>
      <c r="O313">
        <v>31313.77</v>
      </c>
      <c r="P313">
        <v>109.75</v>
      </c>
      <c r="Q313">
        <v>204.17</v>
      </c>
      <c r="R313">
        <v>29.75</v>
      </c>
      <c r="S313">
        <v>17.37</v>
      </c>
      <c r="T313">
        <v>4048.08</v>
      </c>
      <c r="U313">
        <v>0.57999999999999996</v>
      </c>
      <c r="V313">
        <v>0.73</v>
      </c>
      <c r="W313">
        <v>1.1599999999999999</v>
      </c>
      <c r="X313">
        <v>0.26</v>
      </c>
      <c r="Y313">
        <v>1</v>
      </c>
      <c r="Z313">
        <v>10</v>
      </c>
    </row>
    <row r="314" spans="1:26" x14ac:dyDescent="0.3">
      <c r="A314">
        <v>22</v>
      </c>
      <c r="B314">
        <v>125</v>
      </c>
      <c r="C314" t="s">
        <v>26</v>
      </c>
      <c r="D314">
        <v>9.6465999999999994</v>
      </c>
      <c r="E314">
        <v>10.37</v>
      </c>
      <c r="F314">
        <v>6.95</v>
      </c>
      <c r="G314">
        <v>29.78</v>
      </c>
      <c r="H314">
        <v>0.46</v>
      </c>
      <c r="I314">
        <v>14</v>
      </c>
      <c r="J314">
        <v>252.45</v>
      </c>
      <c r="K314">
        <v>58.47</v>
      </c>
      <c r="L314">
        <v>6.5</v>
      </c>
      <c r="M314">
        <v>12</v>
      </c>
      <c r="N314">
        <v>62.47</v>
      </c>
      <c r="O314">
        <v>31369.49</v>
      </c>
      <c r="P314">
        <v>109.47</v>
      </c>
      <c r="Q314">
        <v>204.16</v>
      </c>
      <c r="R314">
        <v>29.85</v>
      </c>
      <c r="S314">
        <v>17.37</v>
      </c>
      <c r="T314">
        <v>4096.9399999999996</v>
      </c>
      <c r="U314">
        <v>0.57999999999999996</v>
      </c>
      <c r="V314">
        <v>0.74</v>
      </c>
      <c r="W314">
        <v>1.1599999999999999</v>
      </c>
      <c r="X314">
        <v>0.26</v>
      </c>
      <c r="Y314">
        <v>1</v>
      </c>
      <c r="Z314">
        <v>10</v>
      </c>
    </row>
    <row r="315" spans="1:26" x14ac:dyDescent="0.3">
      <c r="A315">
        <v>23</v>
      </c>
      <c r="B315">
        <v>125</v>
      </c>
      <c r="C315" t="s">
        <v>26</v>
      </c>
      <c r="D315">
        <v>9.7056000000000004</v>
      </c>
      <c r="E315">
        <v>10.3</v>
      </c>
      <c r="F315">
        <v>6.93</v>
      </c>
      <c r="G315">
        <v>32</v>
      </c>
      <c r="H315">
        <v>0.47</v>
      </c>
      <c r="I315">
        <v>13</v>
      </c>
      <c r="J315">
        <v>252.9</v>
      </c>
      <c r="K315">
        <v>58.47</v>
      </c>
      <c r="L315">
        <v>6.75</v>
      </c>
      <c r="M315">
        <v>11</v>
      </c>
      <c r="N315">
        <v>62.68</v>
      </c>
      <c r="O315">
        <v>31425.3</v>
      </c>
      <c r="P315">
        <v>109.31</v>
      </c>
      <c r="Q315">
        <v>204.14</v>
      </c>
      <c r="R315">
        <v>29.37</v>
      </c>
      <c r="S315">
        <v>17.37</v>
      </c>
      <c r="T315">
        <v>3859.9</v>
      </c>
      <c r="U315">
        <v>0.59</v>
      </c>
      <c r="V315">
        <v>0.74</v>
      </c>
      <c r="W315">
        <v>1.1599999999999999</v>
      </c>
      <c r="X315">
        <v>0.24</v>
      </c>
      <c r="Y315">
        <v>1</v>
      </c>
      <c r="Z315">
        <v>10</v>
      </c>
    </row>
    <row r="316" spans="1:26" x14ac:dyDescent="0.3">
      <c r="A316">
        <v>24</v>
      </c>
      <c r="B316">
        <v>125</v>
      </c>
      <c r="C316" t="s">
        <v>26</v>
      </c>
      <c r="D316">
        <v>9.7027000000000001</v>
      </c>
      <c r="E316">
        <v>10.31</v>
      </c>
      <c r="F316">
        <v>6.94</v>
      </c>
      <c r="G316">
        <v>32.01</v>
      </c>
      <c r="H316">
        <v>0.49</v>
      </c>
      <c r="I316">
        <v>13</v>
      </c>
      <c r="J316">
        <v>253.35</v>
      </c>
      <c r="K316">
        <v>58.47</v>
      </c>
      <c r="L316">
        <v>7</v>
      </c>
      <c r="M316">
        <v>11</v>
      </c>
      <c r="N316">
        <v>62.88</v>
      </c>
      <c r="O316">
        <v>31481.17</v>
      </c>
      <c r="P316">
        <v>109.13</v>
      </c>
      <c r="Q316">
        <v>204.16</v>
      </c>
      <c r="R316">
        <v>29.41</v>
      </c>
      <c r="S316">
        <v>17.37</v>
      </c>
      <c r="T316">
        <v>3882.87</v>
      </c>
      <c r="U316">
        <v>0.59</v>
      </c>
      <c r="V316">
        <v>0.74</v>
      </c>
      <c r="W316">
        <v>1.1599999999999999</v>
      </c>
      <c r="X316">
        <v>0.24</v>
      </c>
      <c r="Y316">
        <v>1</v>
      </c>
      <c r="Z316">
        <v>10</v>
      </c>
    </row>
    <row r="317" spans="1:26" x14ac:dyDescent="0.3">
      <c r="A317">
        <v>25</v>
      </c>
      <c r="B317">
        <v>125</v>
      </c>
      <c r="C317" t="s">
        <v>26</v>
      </c>
      <c r="D317">
        <v>9.7611000000000008</v>
      </c>
      <c r="E317">
        <v>10.24</v>
      </c>
      <c r="F317">
        <v>6.92</v>
      </c>
      <c r="G317">
        <v>34.61</v>
      </c>
      <c r="H317">
        <v>0.51</v>
      </c>
      <c r="I317">
        <v>12</v>
      </c>
      <c r="J317">
        <v>253.81</v>
      </c>
      <c r="K317">
        <v>58.47</v>
      </c>
      <c r="L317">
        <v>7.25</v>
      </c>
      <c r="M317">
        <v>10</v>
      </c>
      <c r="N317">
        <v>63.08</v>
      </c>
      <c r="O317">
        <v>31537.13</v>
      </c>
      <c r="P317">
        <v>108.98</v>
      </c>
      <c r="Q317">
        <v>204.14</v>
      </c>
      <c r="R317">
        <v>28.86</v>
      </c>
      <c r="S317">
        <v>17.37</v>
      </c>
      <c r="T317">
        <v>3613.82</v>
      </c>
      <c r="U317">
        <v>0.6</v>
      </c>
      <c r="V317">
        <v>0.74</v>
      </c>
      <c r="W317">
        <v>1.1599999999999999</v>
      </c>
      <c r="X317">
        <v>0.23</v>
      </c>
      <c r="Y317">
        <v>1</v>
      </c>
      <c r="Z317">
        <v>10</v>
      </c>
    </row>
    <row r="318" spans="1:26" x14ac:dyDescent="0.3">
      <c r="A318">
        <v>26</v>
      </c>
      <c r="B318">
        <v>125</v>
      </c>
      <c r="C318" t="s">
        <v>26</v>
      </c>
      <c r="D318">
        <v>9.7659000000000002</v>
      </c>
      <c r="E318">
        <v>10.24</v>
      </c>
      <c r="F318">
        <v>6.92</v>
      </c>
      <c r="G318">
        <v>34.58</v>
      </c>
      <c r="H318">
        <v>0.52</v>
      </c>
      <c r="I318">
        <v>12</v>
      </c>
      <c r="J318">
        <v>254.26</v>
      </c>
      <c r="K318">
        <v>58.47</v>
      </c>
      <c r="L318">
        <v>7.5</v>
      </c>
      <c r="M318">
        <v>10</v>
      </c>
      <c r="N318">
        <v>63.29</v>
      </c>
      <c r="O318">
        <v>31593.16</v>
      </c>
      <c r="P318">
        <v>108.81</v>
      </c>
      <c r="Q318">
        <v>204.14</v>
      </c>
      <c r="R318">
        <v>28.86</v>
      </c>
      <c r="S318">
        <v>17.37</v>
      </c>
      <c r="T318">
        <v>3612.21</v>
      </c>
      <c r="U318">
        <v>0.6</v>
      </c>
      <c r="V318">
        <v>0.74</v>
      </c>
      <c r="W318">
        <v>1.1599999999999999</v>
      </c>
      <c r="X318">
        <v>0.23</v>
      </c>
      <c r="Y318">
        <v>1</v>
      </c>
      <c r="Z318">
        <v>10</v>
      </c>
    </row>
    <row r="319" spans="1:26" x14ac:dyDescent="0.3">
      <c r="A319">
        <v>27</v>
      </c>
      <c r="B319">
        <v>125</v>
      </c>
      <c r="C319" t="s">
        <v>26</v>
      </c>
      <c r="D319">
        <v>9.8436000000000003</v>
      </c>
      <c r="E319">
        <v>10.16</v>
      </c>
      <c r="F319">
        <v>6.88</v>
      </c>
      <c r="G319">
        <v>37.54</v>
      </c>
      <c r="H319">
        <v>0.54</v>
      </c>
      <c r="I319">
        <v>11</v>
      </c>
      <c r="J319">
        <v>254.72</v>
      </c>
      <c r="K319">
        <v>58.47</v>
      </c>
      <c r="L319">
        <v>7.75</v>
      </c>
      <c r="M319">
        <v>9</v>
      </c>
      <c r="N319">
        <v>63.49</v>
      </c>
      <c r="O319">
        <v>31649.26</v>
      </c>
      <c r="P319">
        <v>107.91</v>
      </c>
      <c r="Q319">
        <v>204.16</v>
      </c>
      <c r="R319">
        <v>27.72</v>
      </c>
      <c r="S319">
        <v>17.37</v>
      </c>
      <c r="T319">
        <v>3049.3</v>
      </c>
      <c r="U319">
        <v>0.63</v>
      </c>
      <c r="V319">
        <v>0.74</v>
      </c>
      <c r="W319">
        <v>1.1499999999999999</v>
      </c>
      <c r="X319">
        <v>0.19</v>
      </c>
      <c r="Y319">
        <v>1</v>
      </c>
      <c r="Z319">
        <v>10</v>
      </c>
    </row>
    <row r="320" spans="1:26" x14ac:dyDescent="0.3">
      <c r="A320">
        <v>28</v>
      </c>
      <c r="B320">
        <v>125</v>
      </c>
      <c r="C320" t="s">
        <v>26</v>
      </c>
      <c r="D320">
        <v>9.8424999999999994</v>
      </c>
      <c r="E320">
        <v>10.16</v>
      </c>
      <c r="F320">
        <v>6.88</v>
      </c>
      <c r="G320">
        <v>37.549999999999997</v>
      </c>
      <c r="H320">
        <v>0.56000000000000005</v>
      </c>
      <c r="I320">
        <v>11</v>
      </c>
      <c r="J320">
        <v>255.17</v>
      </c>
      <c r="K320">
        <v>58.47</v>
      </c>
      <c r="L320">
        <v>8</v>
      </c>
      <c r="M320">
        <v>9</v>
      </c>
      <c r="N320">
        <v>63.7</v>
      </c>
      <c r="O320">
        <v>31705.439999999999</v>
      </c>
      <c r="P320">
        <v>107.93</v>
      </c>
      <c r="Q320">
        <v>204.14</v>
      </c>
      <c r="R320">
        <v>27.86</v>
      </c>
      <c r="S320">
        <v>17.37</v>
      </c>
      <c r="T320">
        <v>3118.4</v>
      </c>
      <c r="U320">
        <v>0.62</v>
      </c>
      <c r="V320">
        <v>0.74</v>
      </c>
      <c r="W320">
        <v>1.1499999999999999</v>
      </c>
      <c r="X320">
        <v>0.19</v>
      </c>
      <c r="Y320">
        <v>1</v>
      </c>
      <c r="Z320">
        <v>10</v>
      </c>
    </row>
    <row r="321" spans="1:26" x14ac:dyDescent="0.3">
      <c r="A321">
        <v>29</v>
      </c>
      <c r="B321">
        <v>125</v>
      </c>
      <c r="C321" t="s">
        <v>26</v>
      </c>
      <c r="D321">
        <v>9.8384999999999998</v>
      </c>
      <c r="E321">
        <v>10.16</v>
      </c>
      <c r="F321">
        <v>6.89</v>
      </c>
      <c r="G321">
        <v>37.57</v>
      </c>
      <c r="H321">
        <v>0.56999999999999995</v>
      </c>
      <c r="I321">
        <v>11</v>
      </c>
      <c r="J321">
        <v>255.63</v>
      </c>
      <c r="K321">
        <v>58.47</v>
      </c>
      <c r="L321">
        <v>8.25</v>
      </c>
      <c r="M321">
        <v>9</v>
      </c>
      <c r="N321">
        <v>63.91</v>
      </c>
      <c r="O321">
        <v>31761.69</v>
      </c>
      <c r="P321">
        <v>107.98</v>
      </c>
      <c r="Q321">
        <v>204.15</v>
      </c>
      <c r="R321">
        <v>28.08</v>
      </c>
      <c r="S321">
        <v>17.37</v>
      </c>
      <c r="T321">
        <v>3225.54</v>
      </c>
      <c r="U321">
        <v>0.62</v>
      </c>
      <c r="V321">
        <v>0.74</v>
      </c>
      <c r="W321">
        <v>1.1499999999999999</v>
      </c>
      <c r="X321">
        <v>0.2</v>
      </c>
      <c r="Y321">
        <v>1</v>
      </c>
      <c r="Z321">
        <v>10</v>
      </c>
    </row>
    <row r="322" spans="1:26" x14ac:dyDescent="0.3">
      <c r="A322">
        <v>30</v>
      </c>
      <c r="B322">
        <v>125</v>
      </c>
      <c r="C322" t="s">
        <v>26</v>
      </c>
      <c r="D322">
        <v>9.8369</v>
      </c>
      <c r="E322">
        <v>10.17</v>
      </c>
      <c r="F322">
        <v>6.89</v>
      </c>
      <c r="G322">
        <v>37.58</v>
      </c>
      <c r="H322">
        <v>0.59</v>
      </c>
      <c r="I322">
        <v>11</v>
      </c>
      <c r="J322">
        <v>256.08999999999997</v>
      </c>
      <c r="K322">
        <v>58.47</v>
      </c>
      <c r="L322">
        <v>8.5</v>
      </c>
      <c r="M322">
        <v>9</v>
      </c>
      <c r="N322">
        <v>64.11</v>
      </c>
      <c r="O322">
        <v>31818.02</v>
      </c>
      <c r="P322">
        <v>107.75</v>
      </c>
      <c r="Q322">
        <v>204.14</v>
      </c>
      <c r="R322">
        <v>27.87</v>
      </c>
      <c r="S322">
        <v>17.37</v>
      </c>
      <c r="T322">
        <v>3122.55</v>
      </c>
      <c r="U322">
        <v>0.62</v>
      </c>
      <c r="V322">
        <v>0.74</v>
      </c>
      <c r="W322">
        <v>1.1599999999999999</v>
      </c>
      <c r="X322">
        <v>0.2</v>
      </c>
      <c r="Y322">
        <v>1</v>
      </c>
      <c r="Z322">
        <v>10</v>
      </c>
    </row>
    <row r="323" spans="1:26" x14ac:dyDescent="0.3">
      <c r="A323">
        <v>31</v>
      </c>
      <c r="B323">
        <v>125</v>
      </c>
      <c r="C323" t="s">
        <v>26</v>
      </c>
      <c r="D323">
        <v>9.9077999999999999</v>
      </c>
      <c r="E323">
        <v>10.09</v>
      </c>
      <c r="F323">
        <v>6.86</v>
      </c>
      <c r="G323">
        <v>41.18</v>
      </c>
      <c r="H323">
        <v>0.61</v>
      </c>
      <c r="I323">
        <v>10</v>
      </c>
      <c r="J323">
        <v>256.54000000000002</v>
      </c>
      <c r="K323">
        <v>58.47</v>
      </c>
      <c r="L323">
        <v>8.75</v>
      </c>
      <c r="M323">
        <v>8</v>
      </c>
      <c r="N323">
        <v>64.319999999999993</v>
      </c>
      <c r="O323">
        <v>31874.43</v>
      </c>
      <c r="P323">
        <v>107.24</v>
      </c>
      <c r="Q323">
        <v>204.16</v>
      </c>
      <c r="R323">
        <v>27.27</v>
      </c>
      <c r="S323">
        <v>17.37</v>
      </c>
      <c r="T323">
        <v>2826.18</v>
      </c>
      <c r="U323">
        <v>0.64</v>
      </c>
      <c r="V323">
        <v>0.74</v>
      </c>
      <c r="W323">
        <v>1.1499999999999999</v>
      </c>
      <c r="X323">
        <v>0.17</v>
      </c>
      <c r="Y323">
        <v>1</v>
      </c>
      <c r="Z323">
        <v>10</v>
      </c>
    </row>
    <row r="324" spans="1:26" x14ac:dyDescent="0.3">
      <c r="A324">
        <v>32</v>
      </c>
      <c r="B324">
        <v>125</v>
      </c>
      <c r="C324" t="s">
        <v>26</v>
      </c>
      <c r="D324">
        <v>9.9047999999999998</v>
      </c>
      <c r="E324">
        <v>10.1</v>
      </c>
      <c r="F324">
        <v>6.87</v>
      </c>
      <c r="G324">
        <v>41.2</v>
      </c>
      <c r="H324">
        <v>0.62</v>
      </c>
      <c r="I324">
        <v>10</v>
      </c>
      <c r="J324">
        <v>257</v>
      </c>
      <c r="K324">
        <v>58.47</v>
      </c>
      <c r="L324">
        <v>9</v>
      </c>
      <c r="M324">
        <v>8</v>
      </c>
      <c r="N324">
        <v>64.53</v>
      </c>
      <c r="O324">
        <v>31931.040000000001</v>
      </c>
      <c r="P324">
        <v>107.3</v>
      </c>
      <c r="Q324">
        <v>204.2</v>
      </c>
      <c r="R324">
        <v>27.23</v>
      </c>
      <c r="S324">
        <v>17.37</v>
      </c>
      <c r="T324">
        <v>2805.52</v>
      </c>
      <c r="U324">
        <v>0.64</v>
      </c>
      <c r="V324">
        <v>0.74</v>
      </c>
      <c r="W324">
        <v>1.1499999999999999</v>
      </c>
      <c r="X324">
        <v>0.18</v>
      </c>
      <c r="Y324">
        <v>1</v>
      </c>
      <c r="Z324">
        <v>10</v>
      </c>
    </row>
    <row r="325" spans="1:26" x14ac:dyDescent="0.3">
      <c r="A325">
        <v>33</v>
      </c>
      <c r="B325">
        <v>125</v>
      </c>
      <c r="C325" t="s">
        <v>26</v>
      </c>
      <c r="D325">
        <v>9.9077999999999999</v>
      </c>
      <c r="E325">
        <v>10.09</v>
      </c>
      <c r="F325">
        <v>6.86</v>
      </c>
      <c r="G325">
        <v>41.18</v>
      </c>
      <c r="H325">
        <v>0.64</v>
      </c>
      <c r="I325">
        <v>10</v>
      </c>
      <c r="J325">
        <v>257.45999999999998</v>
      </c>
      <c r="K325">
        <v>58.47</v>
      </c>
      <c r="L325">
        <v>9.25</v>
      </c>
      <c r="M325">
        <v>8</v>
      </c>
      <c r="N325">
        <v>64.739999999999995</v>
      </c>
      <c r="O325">
        <v>31987.61</v>
      </c>
      <c r="P325">
        <v>107.37</v>
      </c>
      <c r="Q325">
        <v>204.17</v>
      </c>
      <c r="R325">
        <v>27.15</v>
      </c>
      <c r="S325">
        <v>17.37</v>
      </c>
      <c r="T325">
        <v>2765.29</v>
      </c>
      <c r="U325">
        <v>0.64</v>
      </c>
      <c r="V325">
        <v>0.74</v>
      </c>
      <c r="W325">
        <v>1.1499999999999999</v>
      </c>
      <c r="X325">
        <v>0.17</v>
      </c>
      <c r="Y325">
        <v>1</v>
      </c>
      <c r="Z325">
        <v>10</v>
      </c>
    </row>
    <row r="326" spans="1:26" x14ac:dyDescent="0.3">
      <c r="A326">
        <v>34</v>
      </c>
      <c r="B326">
        <v>125</v>
      </c>
      <c r="C326" t="s">
        <v>26</v>
      </c>
      <c r="D326">
        <v>9.9037000000000006</v>
      </c>
      <c r="E326">
        <v>10.1</v>
      </c>
      <c r="F326">
        <v>6.87</v>
      </c>
      <c r="G326">
        <v>41.21</v>
      </c>
      <c r="H326">
        <v>0.66</v>
      </c>
      <c r="I326">
        <v>10</v>
      </c>
      <c r="J326">
        <v>257.92</v>
      </c>
      <c r="K326">
        <v>58.47</v>
      </c>
      <c r="L326">
        <v>9.5</v>
      </c>
      <c r="M326">
        <v>8</v>
      </c>
      <c r="N326">
        <v>64.95</v>
      </c>
      <c r="O326">
        <v>32044.25</v>
      </c>
      <c r="P326">
        <v>107.02</v>
      </c>
      <c r="Q326">
        <v>204.14</v>
      </c>
      <c r="R326">
        <v>27.24</v>
      </c>
      <c r="S326">
        <v>17.37</v>
      </c>
      <c r="T326">
        <v>2813.88</v>
      </c>
      <c r="U326">
        <v>0.64</v>
      </c>
      <c r="V326">
        <v>0.74</v>
      </c>
      <c r="W326">
        <v>1.1499999999999999</v>
      </c>
      <c r="X326">
        <v>0.18</v>
      </c>
      <c r="Y326">
        <v>1</v>
      </c>
      <c r="Z326">
        <v>10</v>
      </c>
    </row>
    <row r="327" spans="1:26" x14ac:dyDescent="0.3">
      <c r="A327">
        <v>35</v>
      </c>
      <c r="B327">
        <v>125</v>
      </c>
      <c r="C327" t="s">
        <v>26</v>
      </c>
      <c r="D327">
        <v>9.9620999999999995</v>
      </c>
      <c r="E327">
        <v>10.039999999999999</v>
      </c>
      <c r="F327">
        <v>6.86</v>
      </c>
      <c r="G327">
        <v>45.71</v>
      </c>
      <c r="H327">
        <v>0.67</v>
      </c>
      <c r="I327">
        <v>9</v>
      </c>
      <c r="J327">
        <v>258.38</v>
      </c>
      <c r="K327">
        <v>58.47</v>
      </c>
      <c r="L327">
        <v>9.75</v>
      </c>
      <c r="M327">
        <v>7</v>
      </c>
      <c r="N327">
        <v>65.16</v>
      </c>
      <c r="O327">
        <v>32100.97</v>
      </c>
      <c r="P327">
        <v>106.95</v>
      </c>
      <c r="Q327">
        <v>204.14</v>
      </c>
      <c r="R327">
        <v>26.9</v>
      </c>
      <c r="S327">
        <v>17.37</v>
      </c>
      <c r="T327">
        <v>2649.75</v>
      </c>
      <c r="U327">
        <v>0.65</v>
      </c>
      <c r="V327">
        <v>0.74</v>
      </c>
      <c r="W327">
        <v>1.1499999999999999</v>
      </c>
      <c r="X327">
        <v>0.17</v>
      </c>
      <c r="Y327">
        <v>1</v>
      </c>
      <c r="Z327">
        <v>10</v>
      </c>
    </row>
    <row r="328" spans="1:26" x14ac:dyDescent="0.3">
      <c r="A328">
        <v>36</v>
      </c>
      <c r="B328">
        <v>125</v>
      </c>
      <c r="C328" t="s">
        <v>26</v>
      </c>
      <c r="D328">
        <v>9.9610000000000003</v>
      </c>
      <c r="E328">
        <v>10.039999999999999</v>
      </c>
      <c r="F328">
        <v>6.86</v>
      </c>
      <c r="G328">
        <v>45.71</v>
      </c>
      <c r="H328">
        <v>0.69</v>
      </c>
      <c r="I328">
        <v>9</v>
      </c>
      <c r="J328">
        <v>258.83999999999997</v>
      </c>
      <c r="K328">
        <v>58.47</v>
      </c>
      <c r="L328">
        <v>10</v>
      </c>
      <c r="M328">
        <v>7</v>
      </c>
      <c r="N328">
        <v>65.37</v>
      </c>
      <c r="O328">
        <v>32157.77</v>
      </c>
      <c r="P328">
        <v>107.08</v>
      </c>
      <c r="Q328">
        <v>204.15</v>
      </c>
      <c r="R328">
        <v>26.95</v>
      </c>
      <c r="S328">
        <v>17.37</v>
      </c>
      <c r="T328">
        <v>2671.87</v>
      </c>
      <c r="U328">
        <v>0.64</v>
      </c>
      <c r="V328">
        <v>0.74</v>
      </c>
      <c r="W328">
        <v>1.1499999999999999</v>
      </c>
      <c r="X328">
        <v>0.17</v>
      </c>
      <c r="Y328">
        <v>1</v>
      </c>
      <c r="Z328">
        <v>10</v>
      </c>
    </row>
    <row r="329" spans="1:26" x14ac:dyDescent="0.3">
      <c r="A329">
        <v>37</v>
      </c>
      <c r="B329">
        <v>125</v>
      </c>
      <c r="C329" t="s">
        <v>26</v>
      </c>
      <c r="D329">
        <v>9.9657</v>
      </c>
      <c r="E329">
        <v>10.029999999999999</v>
      </c>
      <c r="F329">
        <v>6.85</v>
      </c>
      <c r="G329">
        <v>45.68</v>
      </c>
      <c r="H329">
        <v>0.7</v>
      </c>
      <c r="I329">
        <v>9</v>
      </c>
      <c r="J329">
        <v>259.3</v>
      </c>
      <c r="K329">
        <v>58.47</v>
      </c>
      <c r="L329">
        <v>10.25</v>
      </c>
      <c r="M329">
        <v>7</v>
      </c>
      <c r="N329">
        <v>65.58</v>
      </c>
      <c r="O329">
        <v>32214.639999999999</v>
      </c>
      <c r="P329">
        <v>106.9</v>
      </c>
      <c r="Q329">
        <v>204.14</v>
      </c>
      <c r="R329">
        <v>26.89</v>
      </c>
      <c r="S329">
        <v>17.37</v>
      </c>
      <c r="T329">
        <v>2641.82</v>
      </c>
      <c r="U329">
        <v>0.65</v>
      </c>
      <c r="V329">
        <v>0.75</v>
      </c>
      <c r="W329">
        <v>1.1499999999999999</v>
      </c>
      <c r="X329">
        <v>0.16</v>
      </c>
      <c r="Y329">
        <v>1</v>
      </c>
      <c r="Z329">
        <v>10</v>
      </c>
    </row>
    <row r="330" spans="1:26" x14ac:dyDescent="0.3">
      <c r="A330">
        <v>38</v>
      </c>
      <c r="B330">
        <v>125</v>
      </c>
      <c r="C330" t="s">
        <v>26</v>
      </c>
      <c r="D330">
        <v>9.9588000000000001</v>
      </c>
      <c r="E330">
        <v>10.039999999999999</v>
      </c>
      <c r="F330">
        <v>6.86</v>
      </c>
      <c r="G330">
        <v>45.73</v>
      </c>
      <c r="H330">
        <v>0.72</v>
      </c>
      <c r="I330">
        <v>9</v>
      </c>
      <c r="J330">
        <v>259.76</v>
      </c>
      <c r="K330">
        <v>58.47</v>
      </c>
      <c r="L330">
        <v>10.5</v>
      </c>
      <c r="M330">
        <v>7</v>
      </c>
      <c r="N330">
        <v>65.790000000000006</v>
      </c>
      <c r="O330">
        <v>32271.599999999999</v>
      </c>
      <c r="P330">
        <v>106.81</v>
      </c>
      <c r="Q330">
        <v>204.14</v>
      </c>
      <c r="R330">
        <v>27.22</v>
      </c>
      <c r="S330">
        <v>17.37</v>
      </c>
      <c r="T330">
        <v>2807.1</v>
      </c>
      <c r="U330">
        <v>0.64</v>
      </c>
      <c r="V330">
        <v>0.74</v>
      </c>
      <c r="W330">
        <v>1.1499999999999999</v>
      </c>
      <c r="X330">
        <v>0.17</v>
      </c>
      <c r="Y330">
        <v>1</v>
      </c>
      <c r="Z330">
        <v>10</v>
      </c>
    </row>
    <row r="331" spans="1:26" x14ac:dyDescent="0.3">
      <c r="A331">
        <v>39</v>
      </c>
      <c r="B331">
        <v>125</v>
      </c>
      <c r="C331" t="s">
        <v>26</v>
      </c>
      <c r="D331">
        <v>9.9650999999999996</v>
      </c>
      <c r="E331">
        <v>10.039999999999999</v>
      </c>
      <c r="F331">
        <v>6.85</v>
      </c>
      <c r="G331">
        <v>45.69</v>
      </c>
      <c r="H331">
        <v>0.74</v>
      </c>
      <c r="I331">
        <v>9</v>
      </c>
      <c r="J331">
        <v>260.23</v>
      </c>
      <c r="K331">
        <v>58.47</v>
      </c>
      <c r="L331">
        <v>10.75</v>
      </c>
      <c r="M331">
        <v>7</v>
      </c>
      <c r="N331">
        <v>66</v>
      </c>
      <c r="O331">
        <v>32328.639999999999</v>
      </c>
      <c r="P331">
        <v>106.54</v>
      </c>
      <c r="Q331">
        <v>204.14</v>
      </c>
      <c r="R331">
        <v>26.84</v>
      </c>
      <c r="S331">
        <v>17.37</v>
      </c>
      <c r="T331">
        <v>2617.61</v>
      </c>
      <c r="U331">
        <v>0.65</v>
      </c>
      <c r="V331">
        <v>0.75</v>
      </c>
      <c r="W331">
        <v>1.1499999999999999</v>
      </c>
      <c r="X331">
        <v>0.16</v>
      </c>
      <c r="Y331">
        <v>1</v>
      </c>
      <c r="Z331">
        <v>10</v>
      </c>
    </row>
    <row r="332" spans="1:26" x14ac:dyDescent="0.3">
      <c r="A332">
        <v>40</v>
      </c>
      <c r="B332">
        <v>125</v>
      </c>
      <c r="C332" t="s">
        <v>26</v>
      </c>
      <c r="D332">
        <v>10.034000000000001</v>
      </c>
      <c r="E332">
        <v>9.9700000000000006</v>
      </c>
      <c r="F332">
        <v>6.83</v>
      </c>
      <c r="G332">
        <v>51.24</v>
      </c>
      <c r="H332">
        <v>0.75</v>
      </c>
      <c r="I332">
        <v>8</v>
      </c>
      <c r="J332">
        <v>260.69</v>
      </c>
      <c r="K332">
        <v>58.47</v>
      </c>
      <c r="L332">
        <v>11</v>
      </c>
      <c r="M332">
        <v>6</v>
      </c>
      <c r="N332">
        <v>66.209999999999994</v>
      </c>
      <c r="O332">
        <v>32385.75</v>
      </c>
      <c r="P332">
        <v>106.14</v>
      </c>
      <c r="Q332">
        <v>204.14</v>
      </c>
      <c r="R332">
        <v>26.17</v>
      </c>
      <c r="S332">
        <v>17.37</v>
      </c>
      <c r="T332">
        <v>2285.0300000000002</v>
      </c>
      <c r="U332">
        <v>0.66</v>
      </c>
      <c r="V332">
        <v>0.75</v>
      </c>
      <c r="W332">
        <v>1.1499999999999999</v>
      </c>
      <c r="X332">
        <v>0.14000000000000001</v>
      </c>
      <c r="Y332">
        <v>1</v>
      </c>
      <c r="Z332">
        <v>10</v>
      </c>
    </row>
    <row r="333" spans="1:26" x14ac:dyDescent="0.3">
      <c r="A333">
        <v>41</v>
      </c>
      <c r="B333">
        <v>125</v>
      </c>
      <c r="C333" t="s">
        <v>26</v>
      </c>
      <c r="D333">
        <v>10.048299999999999</v>
      </c>
      <c r="E333">
        <v>9.9499999999999993</v>
      </c>
      <c r="F333">
        <v>6.82</v>
      </c>
      <c r="G333">
        <v>51.13</v>
      </c>
      <c r="H333">
        <v>0.77</v>
      </c>
      <c r="I333">
        <v>8</v>
      </c>
      <c r="J333">
        <v>261.14999999999998</v>
      </c>
      <c r="K333">
        <v>58.47</v>
      </c>
      <c r="L333">
        <v>11.25</v>
      </c>
      <c r="M333">
        <v>6</v>
      </c>
      <c r="N333">
        <v>66.430000000000007</v>
      </c>
      <c r="O333">
        <v>32442.95</v>
      </c>
      <c r="P333">
        <v>105.72</v>
      </c>
      <c r="Q333">
        <v>204.14</v>
      </c>
      <c r="R333">
        <v>25.81</v>
      </c>
      <c r="S333">
        <v>17.37</v>
      </c>
      <c r="T333">
        <v>2106.08</v>
      </c>
      <c r="U333">
        <v>0.67</v>
      </c>
      <c r="V333">
        <v>0.75</v>
      </c>
      <c r="W333">
        <v>1.1499999999999999</v>
      </c>
      <c r="X333">
        <v>0.13</v>
      </c>
      <c r="Y333">
        <v>1</v>
      </c>
      <c r="Z333">
        <v>10</v>
      </c>
    </row>
    <row r="334" spans="1:26" x14ac:dyDescent="0.3">
      <c r="A334">
        <v>42</v>
      </c>
      <c r="B334">
        <v>125</v>
      </c>
      <c r="C334" t="s">
        <v>26</v>
      </c>
      <c r="D334">
        <v>10.0413</v>
      </c>
      <c r="E334">
        <v>9.9600000000000009</v>
      </c>
      <c r="F334">
        <v>6.82</v>
      </c>
      <c r="G334">
        <v>51.18</v>
      </c>
      <c r="H334">
        <v>0.78</v>
      </c>
      <c r="I334">
        <v>8</v>
      </c>
      <c r="J334">
        <v>261.62</v>
      </c>
      <c r="K334">
        <v>58.47</v>
      </c>
      <c r="L334">
        <v>11.5</v>
      </c>
      <c r="M334">
        <v>6</v>
      </c>
      <c r="N334">
        <v>66.64</v>
      </c>
      <c r="O334">
        <v>32500.22</v>
      </c>
      <c r="P334">
        <v>105.73</v>
      </c>
      <c r="Q334">
        <v>204.15</v>
      </c>
      <c r="R334">
        <v>25.95</v>
      </c>
      <c r="S334">
        <v>17.37</v>
      </c>
      <c r="T334">
        <v>2175.89</v>
      </c>
      <c r="U334">
        <v>0.67</v>
      </c>
      <c r="V334">
        <v>0.75</v>
      </c>
      <c r="W334">
        <v>1.1499999999999999</v>
      </c>
      <c r="X334">
        <v>0.13</v>
      </c>
      <c r="Y334">
        <v>1</v>
      </c>
      <c r="Z334">
        <v>10</v>
      </c>
    </row>
    <row r="335" spans="1:26" x14ac:dyDescent="0.3">
      <c r="A335">
        <v>43</v>
      </c>
      <c r="B335">
        <v>125</v>
      </c>
      <c r="C335" t="s">
        <v>26</v>
      </c>
      <c r="D335">
        <v>10.0337</v>
      </c>
      <c r="E335">
        <v>9.9700000000000006</v>
      </c>
      <c r="F335">
        <v>6.83</v>
      </c>
      <c r="G335">
        <v>51.24</v>
      </c>
      <c r="H335">
        <v>0.8</v>
      </c>
      <c r="I335">
        <v>8</v>
      </c>
      <c r="J335">
        <v>262.08</v>
      </c>
      <c r="K335">
        <v>58.47</v>
      </c>
      <c r="L335">
        <v>11.75</v>
      </c>
      <c r="M335">
        <v>6</v>
      </c>
      <c r="N335">
        <v>66.86</v>
      </c>
      <c r="O335">
        <v>32557.58</v>
      </c>
      <c r="P335">
        <v>105.67</v>
      </c>
      <c r="Q335">
        <v>204.15</v>
      </c>
      <c r="R335">
        <v>26.26</v>
      </c>
      <c r="S335">
        <v>17.37</v>
      </c>
      <c r="T335">
        <v>2330</v>
      </c>
      <c r="U335">
        <v>0.66</v>
      </c>
      <c r="V335">
        <v>0.75</v>
      </c>
      <c r="W335">
        <v>1.1499999999999999</v>
      </c>
      <c r="X335">
        <v>0.14000000000000001</v>
      </c>
      <c r="Y335">
        <v>1</v>
      </c>
      <c r="Z335">
        <v>10</v>
      </c>
    </row>
    <row r="336" spans="1:26" x14ac:dyDescent="0.3">
      <c r="A336">
        <v>44</v>
      </c>
      <c r="B336">
        <v>125</v>
      </c>
      <c r="C336" t="s">
        <v>26</v>
      </c>
      <c r="D336">
        <v>10.039300000000001</v>
      </c>
      <c r="E336">
        <v>9.9600000000000009</v>
      </c>
      <c r="F336">
        <v>6.83</v>
      </c>
      <c r="G336">
        <v>51.2</v>
      </c>
      <c r="H336">
        <v>0.81</v>
      </c>
      <c r="I336">
        <v>8</v>
      </c>
      <c r="J336">
        <v>262.55</v>
      </c>
      <c r="K336">
        <v>58.47</v>
      </c>
      <c r="L336">
        <v>12</v>
      </c>
      <c r="M336">
        <v>6</v>
      </c>
      <c r="N336">
        <v>67.069999999999993</v>
      </c>
      <c r="O336">
        <v>32615.02</v>
      </c>
      <c r="P336">
        <v>105.66</v>
      </c>
      <c r="Q336">
        <v>204.16</v>
      </c>
      <c r="R336">
        <v>26.06</v>
      </c>
      <c r="S336">
        <v>17.37</v>
      </c>
      <c r="T336">
        <v>2232.35</v>
      </c>
      <c r="U336">
        <v>0.67</v>
      </c>
      <c r="V336">
        <v>0.75</v>
      </c>
      <c r="W336">
        <v>1.1499999999999999</v>
      </c>
      <c r="X336">
        <v>0.13</v>
      </c>
      <c r="Y336">
        <v>1</v>
      </c>
      <c r="Z336">
        <v>10</v>
      </c>
    </row>
    <row r="337" spans="1:26" x14ac:dyDescent="0.3">
      <c r="A337">
        <v>45</v>
      </c>
      <c r="B337">
        <v>125</v>
      </c>
      <c r="C337" t="s">
        <v>26</v>
      </c>
      <c r="D337">
        <v>10.035399999999999</v>
      </c>
      <c r="E337">
        <v>9.9600000000000009</v>
      </c>
      <c r="F337">
        <v>6.83</v>
      </c>
      <c r="G337">
        <v>51.23</v>
      </c>
      <c r="H337">
        <v>0.83</v>
      </c>
      <c r="I337">
        <v>8</v>
      </c>
      <c r="J337">
        <v>263.01</v>
      </c>
      <c r="K337">
        <v>58.47</v>
      </c>
      <c r="L337">
        <v>12.25</v>
      </c>
      <c r="M337">
        <v>6</v>
      </c>
      <c r="N337">
        <v>67.290000000000006</v>
      </c>
      <c r="O337">
        <v>32672.53</v>
      </c>
      <c r="P337">
        <v>105.47</v>
      </c>
      <c r="Q337">
        <v>204.16</v>
      </c>
      <c r="R337">
        <v>26.18</v>
      </c>
      <c r="S337">
        <v>17.37</v>
      </c>
      <c r="T337">
        <v>2291.14</v>
      </c>
      <c r="U337">
        <v>0.66</v>
      </c>
      <c r="V337">
        <v>0.75</v>
      </c>
      <c r="W337">
        <v>1.1499999999999999</v>
      </c>
      <c r="X337">
        <v>0.14000000000000001</v>
      </c>
      <c r="Y337">
        <v>1</v>
      </c>
      <c r="Z337">
        <v>10</v>
      </c>
    </row>
    <row r="338" spans="1:26" x14ac:dyDescent="0.3">
      <c r="A338">
        <v>46</v>
      </c>
      <c r="B338">
        <v>125</v>
      </c>
      <c r="C338" t="s">
        <v>26</v>
      </c>
      <c r="D338">
        <v>10.1126</v>
      </c>
      <c r="E338">
        <v>9.89</v>
      </c>
      <c r="F338">
        <v>6.8</v>
      </c>
      <c r="G338">
        <v>58.3</v>
      </c>
      <c r="H338">
        <v>0.84</v>
      </c>
      <c r="I338">
        <v>7</v>
      </c>
      <c r="J338">
        <v>263.48</v>
      </c>
      <c r="K338">
        <v>58.47</v>
      </c>
      <c r="L338">
        <v>12.5</v>
      </c>
      <c r="M338">
        <v>5</v>
      </c>
      <c r="N338">
        <v>67.510000000000005</v>
      </c>
      <c r="O338">
        <v>32730.13</v>
      </c>
      <c r="P338">
        <v>104.7</v>
      </c>
      <c r="Q338">
        <v>204.14</v>
      </c>
      <c r="R338">
        <v>25.24</v>
      </c>
      <c r="S338">
        <v>17.37</v>
      </c>
      <c r="T338">
        <v>1827.36</v>
      </c>
      <c r="U338">
        <v>0.69</v>
      </c>
      <c r="V338">
        <v>0.75</v>
      </c>
      <c r="W338">
        <v>1.1499999999999999</v>
      </c>
      <c r="X338">
        <v>0.11</v>
      </c>
      <c r="Y338">
        <v>1</v>
      </c>
      <c r="Z338">
        <v>10</v>
      </c>
    </row>
    <row r="339" spans="1:26" x14ac:dyDescent="0.3">
      <c r="A339">
        <v>47</v>
      </c>
      <c r="B339">
        <v>125</v>
      </c>
      <c r="C339" t="s">
        <v>26</v>
      </c>
      <c r="D339">
        <v>10.113799999999999</v>
      </c>
      <c r="E339">
        <v>9.89</v>
      </c>
      <c r="F339">
        <v>6.8</v>
      </c>
      <c r="G339">
        <v>58.29</v>
      </c>
      <c r="H339">
        <v>0.86</v>
      </c>
      <c r="I339">
        <v>7</v>
      </c>
      <c r="J339">
        <v>263.95</v>
      </c>
      <c r="K339">
        <v>58.47</v>
      </c>
      <c r="L339">
        <v>12.75</v>
      </c>
      <c r="M339">
        <v>5</v>
      </c>
      <c r="N339">
        <v>67.72</v>
      </c>
      <c r="O339">
        <v>32787.82</v>
      </c>
      <c r="P339">
        <v>104.9</v>
      </c>
      <c r="Q339">
        <v>204.14</v>
      </c>
      <c r="R339">
        <v>25.32</v>
      </c>
      <c r="S339">
        <v>17.37</v>
      </c>
      <c r="T339">
        <v>1867.88</v>
      </c>
      <c r="U339">
        <v>0.69</v>
      </c>
      <c r="V339">
        <v>0.75</v>
      </c>
      <c r="W339">
        <v>1.1399999999999999</v>
      </c>
      <c r="X339">
        <v>0.11</v>
      </c>
      <c r="Y339">
        <v>1</v>
      </c>
      <c r="Z339">
        <v>10</v>
      </c>
    </row>
    <row r="340" spans="1:26" x14ac:dyDescent="0.3">
      <c r="A340">
        <v>48</v>
      </c>
      <c r="B340">
        <v>125</v>
      </c>
      <c r="C340" t="s">
        <v>26</v>
      </c>
      <c r="D340">
        <v>10.1061</v>
      </c>
      <c r="E340">
        <v>9.9</v>
      </c>
      <c r="F340">
        <v>6.81</v>
      </c>
      <c r="G340">
        <v>58.35</v>
      </c>
      <c r="H340">
        <v>0.87</v>
      </c>
      <c r="I340">
        <v>7</v>
      </c>
      <c r="J340">
        <v>264.42</v>
      </c>
      <c r="K340">
        <v>58.47</v>
      </c>
      <c r="L340">
        <v>13</v>
      </c>
      <c r="M340">
        <v>5</v>
      </c>
      <c r="N340">
        <v>67.94</v>
      </c>
      <c r="O340">
        <v>32845.58</v>
      </c>
      <c r="P340">
        <v>105.11</v>
      </c>
      <c r="Q340">
        <v>204.14</v>
      </c>
      <c r="R340">
        <v>25.47</v>
      </c>
      <c r="S340">
        <v>17.37</v>
      </c>
      <c r="T340">
        <v>1944.41</v>
      </c>
      <c r="U340">
        <v>0.68</v>
      </c>
      <c r="V340">
        <v>0.75</v>
      </c>
      <c r="W340">
        <v>1.1499999999999999</v>
      </c>
      <c r="X340">
        <v>0.12</v>
      </c>
      <c r="Y340">
        <v>1</v>
      </c>
      <c r="Z340">
        <v>10</v>
      </c>
    </row>
    <row r="341" spans="1:26" x14ac:dyDescent="0.3">
      <c r="A341">
        <v>49</v>
      </c>
      <c r="B341">
        <v>125</v>
      </c>
      <c r="C341" t="s">
        <v>26</v>
      </c>
      <c r="D341">
        <v>10.1107</v>
      </c>
      <c r="E341">
        <v>9.89</v>
      </c>
      <c r="F341">
        <v>6.8</v>
      </c>
      <c r="G341">
        <v>58.31</v>
      </c>
      <c r="H341">
        <v>0.89</v>
      </c>
      <c r="I341">
        <v>7</v>
      </c>
      <c r="J341">
        <v>264.89</v>
      </c>
      <c r="K341">
        <v>58.47</v>
      </c>
      <c r="L341">
        <v>13.25</v>
      </c>
      <c r="M341">
        <v>5</v>
      </c>
      <c r="N341">
        <v>68.16</v>
      </c>
      <c r="O341">
        <v>32903.43</v>
      </c>
      <c r="P341">
        <v>105.22</v>
      </c>
      <c r="Q341">
        <v>204.14</v>
      </c>
      <c r="R341">
        <v>25.22</v>
      </c>
      <c r="S341">
        <v>17.37</v>
      </c>
      <c r="T341">
        <v>1818.98</v>
      </c>
      <c r="U341">
        <v>0.69</v>
      </c>
      <c r="V341">
        <v>0.75</v>
      </c>
      <c r="W341">
        <v>1.1499999999999999</v>
      </c>
      <c r="X341">
        <v>0.11</v>
      </c>
      <c r="Y341">
        <v>1</v>
      </c>
      <c r="Z341">
        <v>10</v>
      </c>
    </row>
    <row r="342" spans="1:26" x14ac:dyDescent="0.3">
      <c r="A342">
        <v>50</v>
      </c>
      <c r="B342">
        <v>125</v>
      </c>
      <c r="C342" t="s">
        <v>26</v>
      </c>
      <c r="D342">
        <v>10.1007</v>
      </c>
      <c r="E342">
        <v>9.9</v>
      </c>
      <c r="F342">
        <v>6.81</v>
      </c>
      <c r="G342">
        <v>58.4</v>
      </c>
      <c r="H342">
        <v>0.91</v>
      </c>
      <c r="I342">
        <v>7</v>
      </c>
      <c r="J342">
        <v>265.36</v>
      </c>
      <c r="K342">
        <v>58.47</v>
      </c>
      <c r="L342">
        <v>13.5</v>
      </c>
      <c r="M342">
        <v>5</v>
      </c>
      <c r="N342">
        <v>68.38</v>
      </c>
      <c r="O342">
        <v>32961.360000000001</v>
      </c>
      <c r="P342">
        <v>105.27</v>
      </c>
      <c r="Q342">
        <v>204.14</v>
      </c>
      <c r="R342">
        <v>25.62</v>
      </c>
      <c r="S342">
        <v>17.37</v>
      </c>
      <c r="T342">
        <v>2016.61</v>
      </c>
      <c r="U342">
        <v>0.68</v>
      </c>
      <c r="V342">
        <v>0.75</v>
      </c>
      <c r="W342">
        <v>1.1499999999999999</v>
      </c>
      <c r="X342">
        <v>0.12</v>
      </c>
      <c r="Y342">
        <v>1</v>
      </c>
      <c r="Z342">
        <v>10</v>
      </c>
    </row>
    <row r="343" spans="1:26" x14ac:dyDescent="0.3">
      <c r="A343">
        <v>51</v>
      </c>
      <c r="B343">
        <v>125</v>
      </c>
      <c r="C343" t="s">
        <v>26</v>
      </c>
      <c r="D343">
        <v>10.1067</v>
      </c>
      <c r="E343">
        <v>9.89</v>
      </c>
      <c r="F343">
        <v>6.81</v>
      </c>
      <c r="G343">
        <v>58.35</v>
      </c>
      <c r="H343">
        <v>0.92</v>
      </c>
      <c r="I343">
        <v>7</v>
      </c>
      <c r="J343">
        <v>265.83</v>
      </c>
      <c r="K343">
        <v>58.47</v>
      </c>
      <c r="L343">
        <v>13.75</v>
      </c>
      <c r="M343">
        <v>5</v>
      </c>
      <c r="N343">
        <v>68.599999999999994</v>
      </c>
      <c r="O343">
        <v>33019.370000000003</v>
      </c>
      <c r="P343">
        <v>105.08</v>
      </c>
      <c r="Q343">
        <v>204.16</v>
      </c>
      <c r="R343">
        <v>25.57</v>
      </c>
      <c r="S343">
        <v>17.37</v>
      </c>
      <c r="T343">
        <v>1989.92</v>
      </c>
      <c r="U343">
        <v>0.68</v>
      </c>
      <c r="V343">
        <v>0.75</v>
      </c>
      <c r="W343">
        <v>1.1399999999999999</v>
      </c>
      <c r="X343">
        <v>0.12</v>
      </c>
      <c r="Y343">
        <v>1</v>
      </c>
      <c r="Z343">
        <v>10</v>
      </c>
    </row>
    <row r="344" spans="1:26" x14ac:dyDescent="0.3">
      <c r="A344">
        <v>52</v>
      </c>
      <c r="B344">
        <v>125</v>
      </c>
      <c r="C344" t="s">
        <v>26</v>
      </c>
      <c r="D344">
        <v>10.1036</v>
      </c>
      <c r="E344">
        <v>9.9</v>
      </c>
      <c r="F344">
        <v>6.81</v>
      </c>
      <c r="G344">
        <v>58.37</v>
      </c>
      <c r="H344">
        <v>0.94</v>
      </c>
      <c r="I344">
        <v>7</v>
      </c>
      <c r="J344">
        <v>266.3</v>
      </c>
      <c r="K344">
        <v>58.47</v>
      </c>
      <c r="L344">
        <v>14</v>
      </c>
      <c r="M344">
        <v>5</v>
      </c>
      <c r="N344">
        <v>68.819999999999993</v>
      </c>
      <c r="O344">
        <v>33077.47</v>
      </c>
      <c r="P344">
        <v>104.92</v>
      </c>
      <c r="Q344">
        <v>204.17</v>
      </c>
      <c r="R344">
        <v>25.61</v>
      </c>
      <c r="S344">
        <v>17.37</v>
      </c>
      <c r="T344">
        <v>2013.83</v>
      </c>
      <c r="U344">
        <v>0.68</v>
      </c>
      <c r="V344">
        <v>0.75</v>
      </c>
      <c r="W344">
        <v>1.1499999999999999</v>
      </c>
      <c r="X344">
        <v>0.12</v>
      </c>
      <c r="Y344">
        <v>1</v>
      </c>
      <c r="Z344">
        <v>10</v>
      </c>
    </row>
    <row r="345" spans="1:26" x14ac:dyDescent="0.3">
      <c r="A345">
        <v>53</v>
      </c>
      <c r="B345">
        <v>125</v>
      </c>
      <c r="C345" t="s">
        <v>26</v>
      </c>
      <c r="D345">
        <v>10.0962</v>
      </c>
      <c r="E345">
        <v>9.9</v>
      </c>
      <c r="F345">
        <v>6.82</v>
      </c>
      <c r="G345">
        <v>58.43</v>
      </c>
      <c r="H345">
        <v>0.95</v>
      </c>
      <c r="I345">
        <v>7</v>
      </c>
      <c r="J345">
        <v>266.77</v>
      </c>
      <c r="K345">
        <v>58.47</v>
      </c>
      <c r="L345">
        <v>14.25</v>
      </c>
      <c r="M345">
        <v>5</v>
      </c>
      <c r="N345">
        <v>69.040000000000006</v>
      </c>
      <c r="O345">
        <v>33135.65</v>
      </c>
      <c r="P345">
        <v>104.82</v>
      </c>
      <c r="Q345">
        <v>204.14</v>
      </c>
      <c r="R345">
        <v>25.79</v>
      </c>
      <c r="S345">
        <v>17.37</v>
      </c>
      <c r="T345">
        <v>2104.3200000000002</v>
      </c>
      <c r="U345">
        <v>0.67</v>
      </c>
      <c r="V345">
        <v>0.75</v>
      </c>
      <c r="W345">
        <v>1.1499999999999999</v>
      </c>
      <c r="X345">
        <v>0.13</v>
      </c>
      <c r="Y345">
        <v>1</v>
      </c>
      <c r="Z345">
        <v>10</v>
      </c>
    </row>
    <row r="346" spans="1:26" x14ac:dyDescent="0.3">
      <c r="A346">
        <v>54</v>
      </c>
      <c r="B346">
        <v>125</v>
      </c>
      <c r="C346" t="s">
        <v>26</v>
      </c>
      <c r="D346">
        <v>10.094200000000001</v>
      </c>
      <c r="E346">
        <v>9.91</v>
      </c>
      <c r="F346">
        <v>6.82</v>
      </c>
      <c r="G346">
        <v>58.45</v>
      </c>
      <c r="H346">
        <v>0.97</v>
      </c>
      <c r="I346">
        <v>7</v>
      </c>
      <c r="J346">
        <v>267.24</v>
      </c>
      <c r="K346">
        <v>58.47</v>
      </c>
      <c r="L346">
        <v>14.5</v>
      </c>
      <c r="M346">
        <v>5</v>
      </c>
      <c r="N346">
        <v>69.27</v>
      </c>
      <c r="O346">
        <v>33193.919999999998</v>
      </c>
      <c r="P346">
        <v>104.72</v>
      </c>
      <c r="Q346">
        <v>204.14</v>
      </c>
      <c r="R346">
        <v>25.74</v>
      </c>
      <c r="S346">
        <v>17.37</v>
      </c>
      <c r="T346">
        <v>2078.14</v>
      </c>
      <c r="U346">
        <v>0.67</v>
      </c>
      <c r="V346">
        <v>0.75</v>
      </c>
      <c r="W346">
        <v>1.1499999999999999</v>
      </c>
      <c r="X346">
        <v>0.13</v>
      </c>
      <c r="Y346">
        <v>1</v>
      </c>
      <c r="Z346">
        <v>10</v>
      </c>
    </row>
    <row r="347" spans="1:26" x14ac:dyDescent="0.3">
      <c r="A347">
        <v>55</v>
      </c>
      <c r="B347">
        <v>125</v>
      </c>
      <c r="C347" t="s">
        <v>26</v>
      </c>
      <c r="D347">
        <v>10.1067</v>
      </c>
      <c r="E347">
        <v>9.89</v>
      </c>
      <c r="F347">
        <v>6.81</v>
      </c>
      <c r="G347">
        <v>58.35</v>
      </c>
      <c r="H347">
        <v>0.98</v>
      </c>
      <c r="I347">
        <v>7</v>
      </c>
      <c r="J347">
        <v>267.70999999999998</v>
      </c>
      <c r="K347">
        <v>58.47</v>
      </c>
      <c r="L347">
        <v>14.75</v>
      </c>
      <c r="M347">
        <v>5</v>
      </c>
      <c r="N347">
        <v>69.489999999999995</v>
      </c>
      <c r="O347">
        <v>33252.269999999997</v>
      </c>
      <c r="P347">
        <v>104.27</v>
      </c>
      <c r="Q347">
        <v>204.14</v>
      </c>
      <c r="R347">
        <v>25.47</v>
      </c>
      <c r="S347">
        <v>17.37</v>
      </c>
      <c r="T347">
        <v>1942.93</v>
      </c>
      <c r="U347">
        <v>0.68</v>
      </c>
      <c r="V347">
        <v>0.75</v>
      </c>
      <c r="W347">
        <v>1.1499999999999999</v>
      </c>
      <c r="X347">
        <v>0.12</v>
      </c>
      <c r="Y347">
        <v>1</v>
      </c>
      <c r="Z347">
        <v>10</v>
      </c>
    </row>
    <row r="348" spans="1:26" x14ac:dyDescent="0.3">
      <c r="A348">
        <v>56</v>
      </c>
      <c r="B348">
        <v>125</v>
      </c>
      <c r="C348" t="s">
        <v>26</v>
      </c>
      <c r="D348">
        <v>10.177300000000001</v>
      </c>
      <c r="E348">
        <v>9.83</v>
      </c>
      <c r="F348">
        <v>6.79</v>
      </c>
      <c r="G348">
        <v>67.86</v>
      </c>
      <c r="H348">
        <v>1</v>
      </c>
      <c r="I348">
        <v>6</v>
      </c>
      <c r="J348">
        <v>268.19</v>
      </c>
      <c r="K348">
        <v>58.47</v>
      </c>
      <c r="L348">
        <v>15</v>
      </c>
      <c r="M348">
        <v>4</v>
      </c>
      <c r="N348">
        <v>69.709999999999994</v>
      </c>
      <c r="O348">
        <v>33310.699999999997</v>
      </c>
      <c r="P348">
        <v>103.79</v>
      </c>
      <c r="Q348">
        <v>204.14</v>
      </c>
      <c r="R348">
        <v>24.72</v>
      </c>
      <c r="S348">
        <v>17.37</v>
      </c>
      <c r="T348">
        <v>1571.18</v>
      </c>
      <c r="U348">
        <v>0.7</v>
      </c>
      <c r="V348">
        <v>0.75</v>
      </c>
      <c r="W348">
        <v>1.1499999999999999</v>
      </c>
      <c r="X348">
        <v>0.09</v>
      </c>
      <c r="Y348">
        <v>1</v>
      </c>
      <c r="Z348">
        <v>10</v>
      </c>
    </row>
    <row r="349" spans="1:26" x14ac:dyDescent="0.3">
      <c r="A349">
        <v>57</v>
      </c>
      <c r="B349">
        <v>125</v>
      </c>
      <c r="C349" t="s">
        <v>26</v>
      </c>
      <c r="D349">
        <v>10.176399999999999</v>
      </c>
      <c r="E349">
        <v>9.83</v>
      </c>
      <c r="F349">
        <v>6.79</v>
      </c>
      <c r="G349">
        <v>67.86</v>
      </c>
      <c r="H349">
        <v>1.01</v>
      </c>
      <c r="I349">
        <v>6</v>
      </c>
      <c r="J349">
        <v>268.66000000000003</v>
      </c>
      <c r="K349">
        <v>58.47</v>
      </c>
      <c r="L349">
        <v>15.25</v>
      </c>
      <c r="M349">
        <v>4</v>
      </c>
      <c r="N349">
        <v>69.94</v>
      </c>
      <c r="O349">
        <v>33369.22</v>
      </c>
      <c r="P349">
        <v>103.87</v>
      </c>
      <c r="Q349">
        <v>204.14</v>
      </c>
      <c r="R349">
        <v>24.76</v>
      </c>
      <c r="S349">
        <v>17.37</v>
      </c>
      <c r="T349">
        <v>1593.4</v>
      </c>
      <c r="U349">
        <v>0.7</v>
      </c>
      <c r="V349">
        <v>0.75</v>
      </c>
      <c r="W349">
        <v>1.1499999999999999</v>
      </c>
      <c r="X349">
        <v>0.1</v>
      </c>
      <c r="Y349">
        <v>1</v>
      </c>
      <c r="Z349">
        <v>10</v>
      </c>
    </row>
    <row r="350" spans="1:26" x14ac:dyDescent="0.3">
      <c r="A350">
        <v>58</v>
      </c>
      <c r="B350">
        <v>125</v>
      </c>
      <c r="C350" t="s">
        <v>26</v>
      </c>
      <c r="D350">
        <v>10.173500000000001</v>
      </c>
      <c r="E350">
        <v>9.83</v>
      </c>
      <c r="F350">
        <v>6.79</v>
      </c>
      <c r="G350">
        <v>67.89</v>
      </c>
      <c r="H350">
        <v>1.03</v>
      </c>
      <c r="I350">
        <v>6</v>
      </c>
      <c r="J350">
        <v>269.14</v>
      </c>
      <c r="K350">
        <v>58.47</v>
      </c>
      <c r="L350">
        <v>15.5</v>
      </c>
      <c r="M350">
        <v>4</v>
      </c>
      <c r="N350">
        <v>70.16</v>
      </c>
      <c r="O350">
        <v>33427.83</v>
      </c>
      <c r="P350">
        <v>103.92</v>
      </c>
      <c r="Q350">
        <v>204.14</v>
      </c>
      <c r="R350">
        <v>24.83</v>
      </c>
      <c r="S350">
        <v>17.37</v>
      </c>
      <c r="T350">
        <v>1628.36</v>
      </c>
      <c r="U350">
        <v>0.7</v>
      </c>
      <c r="V350">
        <v>0.75</v>
      </c>
      <c r="W350">
        <v>1.1499999999999999</v>
      </c>
      <c r="X350">
        <v>0.1</v>
      </c>
      <c r="Y350">
        <v>1</v>
      </c>
      <c r="Z350">
        <v>10</v>
      </c>
    </row>
    <row r="351" spans="1:26" x14ac:dyDescent="0.3">
      <c r="A351">
        <v>59</v>
      </c>
      <c r="B351">
        <v>125</v>
      </c>
      <c r="C351" t="s">
        <v>26</v>
      </c>
      <c r="D351">
        <v>10.1761</v>
      </c>
      <c r="E351">
        <v>9.83</v>
      </c>
      <c r="F351">
        <v>6.79</v>
      </c>
      <c r="G351">
        <v>67.87</v>
      </c>
      <c r="H351">
        <v>1.04</v>
      </c>
      <c r="I351">
        <v>6</v>
      </c>
      <c r="J351">
        <v>269.61</v>
      </c>
      <c r="K351">
        <v>58.47</v>
      </c>
      <c r="L351">
        <v>15.75</v>
      </c>
      <c r="M351">
        <v>4</v>
      </c>
      <c r="N351">
        <v>70.39</v>
      </c>
      <c r="O351">
        <v>33486.53</v>
      </c>
      <c r="P351">
        <v>103.99</v>
      </c>
      <c r="Q351">
        <v>204.14</v>
      </c>
      <c r="R351">
        <v>24.88</v>
      </c>
      <c r="S351">
        <v>17.37</v>
      </c>
      <c r="T351">
        <v>1653.97</v>
      </c>
      <c r="U351">
        <v>0.7</v>
      </c>
      <c r="V351">
        <v>0.75</v>
      </c>
      <c r="W351">
        <v>1.1399999999999999</v>
      </c>
      <c r="X351">
        <v>0.1</v>
      </c>
      <c r="Y351">
        <v>1</v>
      </c>
      <c r="Z351">
        <v>10</v>
      </c>
    </row>
    <row r="352" spans="1:26" x14ac:dyDescent="0.3">
      <c r="A352">
        <v>60</v>
      </c>
      <c r="B352">
        <v>125</v>
      </c>
      <c r="C352" t="s">
        <v>26</v>
      </c>
      <c r="D352">
        <v>10.171799999999999</v>
      </c>
      <c r="E352">
        <v>9.83</v>
      </c>
      <c r="F352">
        <v>6.79</v>
      </c>
      <c r="G352">
        <v>67.91</v>
      </c>
      <c r="H352">
        <v>1.05</v>
      </c>
      <c r="I352">
        <v>6</v>
      </c>
      <c r="J352">
        <v>270.08999999999997</v>
      </c>
      <c r="K352">
        <v>58.47</v>
      </c>
      <c r="L352">
        <v>16</v>
      </c>
      <c r="M352">
        <v>4</v>
      </c>
      <c r="N352">
        <v>70.62</v>
      </c>
      <c r="O352">
        <v>33545.31</v>
      </c>
      <c r="P352">
        <v>104.1</v>
      </c>
      <c r="Q352">
        <v>204.14</v>
      </c>
      <c r="R352">
        <v>25.01</v>
      </c>
      <c r="S352">
        <v>17.37</v>
      </c>
      <c r="T352">
        <v>1717.63</v>
      </c>
      <c r="U352">
        <v>0.69</v>
      </c>
      <c r="V352">
        <v>0.75</v>
      </c>
      <c r="W352">
        <v>1.1399999999999999</v>
      </c>
      <c r="X352">
        <v>0.1</v>
      </c>
      <c r="Y352">
        <v>1</v>
      </c>
      <c r="Z352">
        <v>10</v>
      </c>
    </row>
    <row r="353" spans="1:26" x14ac:dyDescent="0.3">
      <c r="A353">
        <v>61</v>
      </c>
      <c r="B353">
        <v>125</v>
      </c>
      <c r="C353" t="s">
        <v>26</v>
      </c>
      <c r="D353">
        <v>10.178100000000001</v>
      </c>
      <c r="E353">
        <v>9.82</v>
      </c>
      <c r="F353">
        <v>6.78</v>
      </c>
      <c r="G353">
        <v>67.849999999999994</v>
      </c>
      <c r="H353">
        <v>1.07</v>
      </c>
      <c r="I353">
        <v>6</v>
      </c>
      <c r="J353">
        <v>270.57</v>
      </c>
      <c r="K353">
        <v>58.47</v>
      </c>
      <c r="L353">
        <v>16.25</v>
      </c>
      <c r="M353">
        <v>4</v>
      </c>
      <c r="N353">
        <v>70.84</v>
      </c>
      <c r="O353">
        <v>33604.17</v>
      </c>
      <c r="P353">
        <v>103.98</v>
      </c>
      <c r="Q353">
        <v>204.14</v>
      </c>
      <c r="R353">
        <v>24.66</v>
      </c>
      <c r="S353">
        <v>17.37</v>
      </c>
      <c r="T353">
        <v>1543.39</v>
      </c>
      <c r="U353">
        <v>0.7</v>
      </c>
      <c r="V353">
        <v>0.75</v>
      </c>
      <c r="W353">
        <v>1.1499999999999999</v>
      </c>
      <c r="X353">
        <v>0.09</v>
      </c>
      <c r="Y353">
        <v>1</v>
      </c>
      <c r="Z353">
        <v>10</v>
      </c>
    </row>
    <row r="354" spans="1:26" x14ac:dyDescent="0.3">
      <c r="A354">
        <v>62</v>
      </c>
      <c r="B354">
        <v>125</v>
      </c>
      <c r="C354" t="s">
        <v>26</v>
      </c>
      <c r="D354">
        <v>10.179600000000001</v>
      </c>
      <c r="E354">
        <v>9.82</v>
      </c>
      <c r="F354">
        <v>6.78</v>
      </c>
      <c r="G354">
        <v>67.83</v>
      </c>
      <c r="H354">
        <v>1.08</v>
      </c>
      <c r="I354">
        <v>6</v>
      </c>
      <c r="J354">
        <v>271.05</v>
      </c>
      <c r="K354">
        <v>58.47</v>
      </c>
      <c r="L354">
        <v>16.5</v>
      </c>
      <c r="M354">
        <v>4</v>
      </c>
      <c r="N354">
        <v>71.069999999999993</v>
      </c>
      <c r="O354">
        <v>33663.129999999997</v>
      </c>
      <c r="P354">
        <v>103.69</v>
      </c>
      <c r="Q354">
        <v>204.14</v>
      </c>
      <c r="R354">
        <v>24.63</v>
      </c>
      <c r="S354">
        <v>17.37</v>
      </c>
      <c r="T354">
        <v>1526.23</v>
      </c>
      <c r="U354">
        <v>0.71</v>
      </c>
      <c r="V354">
        <v>0.75</v>
      </c>
      <c r="W354">
        <v>1.1499999999999999</v>
      </c>
      <c r="X354">
        <v>0.09</v>
      </c>
      <c r="Y354">
        <v>1</v>
      </c>
      <c r="Z354">
        <v>10</v>
      </c>
    </row>
    <row r="355" spans="1:26" x14ac:dyDescent="0.3">
      <c r="A355">
        <v>63</v>
      </c>
      <c r="B355">
        <v>125</v>
      </c>
      <c r="C355" t="s">
        <v>26</v>
      </c>
      <c r="D355">
        <v>10.1778</v>
      </c>
      <c r="E355">
        <v>9.83</v>
      </c>
      <c r="F355">
        <v>6.79</v>
      </c>
      <c r="G355">
        <v>67.849999999999994</v>
      </c>
      <c r="H355">
        <v>1.1000000000000001</v>
      </c>
      <c r="I355">
        <v>6</v>
      </c>
      <c r="J355">
        <v>271.52</v>
      </c>
      <c r="K355">
        <v>58.47</v>
      </c>
      <c r="L355">
        <v>16.75</v>
      </c>
      <c r="M355">
        <v>4</v>
      </c>
      <c r="N355">
        <v>71.3</v>
      </c>
      <c r="O355">
        <v>33722.17</v>
      </c>
      <c r="P355">
        <v>103.64</v>
      </c>
      <c r="Q355">
        <v>204.14</v>
      </c>
      <c r="R355">
        <v>24.78</v>
      </c>
      <c r="S355">
        <v>17.37</v>
      </c>
      <c r="T355">
        <v>1604</v>
      </c>
      <c r="U355">
        <v>0.7</v>
      </c>
      <c r="V355">
        <v>0.75</v>
      </c>
      <c r="W355">
        <v>1.1399999999999999</v>
      </c>
      <c r="X355">
        <v>0.09</v>
      </c>
      <c r="Y355">
        <v>1</v>
      </c>
      <c r="Z355">
        <v>10</v>
      </c>
    </row>
    <row r="356" spans="1:26" x14ac:dyDescent="0.3">
      <c r="A356">
        <v>64</v>
      </c>
      <c r="B356">
        <v>125</v>
      </c>
      <c r="C356" t="s">
        <v>26</v>
      </c>
      <c r="D356">
        <v>10.1675</v>
      </c>
      <c r="E356">
        <v>9.84</v>
      </c>
      <c r="F356">
        <v>6.79</v>
      </c>
      <c r="G356">
        <v>67.95</v>
      </c>
      <c r="H356">
        <v>1.1100000000000001</v>
      </c>
      <c r="I356">
        <v>6</v>
      </c>
      <c r="J356">
        <v>272</v>
      </c>
      <c r="K356">
        <v>58.47</v>
      </c>
      <c r="L356">
        <v>17</v>
      </c>
      <c r="M356">
        <v>4</v>
      </c>
      <c r="N356">
        <v>71.53</v>
      </c>
      <c r="O356">
        <v>33781.300000000003</v>
      </c>
      <c r="P356">
        <v>103.72</v>
      </c>
      <c r="Q356">
        <v>204.14</v>
      </c>
      <c r="R356">
        <v>25.09</v>
      </c>
      <c r="S356">
        <v>17.37</v>
      </c>
      <c r="T356">
        <v>1757.58</v>
      </c>
      <c r="U356">
        <v>0.69</v>
      </c>
      <c r="V356">
        <v>0.75</v>
      </c>
      <c r="W356">
        <v>1.1499999999999999</v>
      </c>
      <c r="X356">
        <v>0.1</v>
      </c>
      <c r="Y356">
        <v>1</v>
      </c>
      <c r="Z356">
        <v>10</v>
      </c>
    </row>
    <row r="357" spans="1:26" x14ac:dyDescent="0.3">
      <c r="A357">
        <v>65</v>
      </c>
      <c r="B357">
        <v>125</v>
      </c>
      <c r="C357" t="s">
        <v>26</v>
      </c>
      <c r="D357">
        <v>10.177300000000001</v>
      </c>
      <c r="E357">
        <v>9.83</v>
      </c>
      <c r="F357">
        <v>6.79</v>
      </c>
      <c r="G357">
        <v>67.86</v>
      </c>
      <c r="H357">
        <v>1.1299999999999999</v>
      </c>
      <c r="I357">
        <v>6</v>
      </c>
      <c r="J357">
        <v>272.48</v>
      </c>
      <c r="K357">
        <v>58.47</v>
      </c>
      <c r="L357">
        <v>17.25</v>
      </c>
      <c r="M357">
        <v>4</v>
      </c>
      <c r="N357">
        <v>71.760000000000005</v>
      </c>
      <c r="O357">
        <v>33840.65</v>
      </c>
      <c r="P357">
        <v>103.33</v>
      </c>
      <c r="Q357">
        <v>204.14</v>
      </c>
      <c r="R357">
        <v>24.81</v>
      </c>
      <c r="S357">
        <v>17.37</v>
      </c>
      <c r="T357">
        <v>1615.65</v>
      </c>
      <c r="U357">
        <v>0.7</v>
      </c>
      <c r="V357">
        <v>0.75</v>
      </c>
      <c r="W357">
        <v>1.1399999999999999</v>
      </c>
      <c r="X357">
        <v>0.09</v>
      </c>
      <c r="Y357">
        <v>1</v>
      </c>
      <c r="Z357">
        <v>10</v>
      </c>
    </row>
    <row r="358" spans="1:26" x14ac:dyDescent="0.3">
      <c r="A358">
        <v>66</v>
      </c>
      <c r="B358">
        <v>125</v>
      </c>
      <c r="C358" t="s">
        <v>26</v>
      </c>
      <c r="D358">
        <v>10.1738</v>
      </c>
      <c r="E358">
        <v>9.83</v>
      </c>
      <c r="F358">
        <v>6.79</v>
      </c>
      <c r="G358">
        <v>67.89</v>
      </c>
      <c r="H358">
        <v>1.1399999999999999</v>
      </c>
      <c r="I358">
        <v>6</v>
      </c>
      <c r="J358">
        <v>272.97000000000003</v>
      </c>
      <c r="K358">
        <v>58.47</v>
      </c>
      <c r="L358">
        <v>17.5</v>
      </c>
      <c r="M358">
        <v>4</v>
      </c>
      <c r="N358">
        <v>71.989999999999995</v>
      </c>
      <c r="O358">
        <v>33899.96</v>
      </c>
      <c r="P358">
        <v>103.24</v>
      </c>
      <c r="Q358">
        <v>204.19</v>
      </c>
      <c r="R358">
        <v>24.9</v>
      </c>
      <c r="S358">
        <v>17.37</v>
      </c>
      <c r="T358">
        <v>1662.99</v>
      </c>
      <c r="U358">
        <v>0.7</v>
      </c>
      <c r="V358">
        <v>0.75</v>
      </c>
      <c r="W358">
        <v>1.1399999999999999</v>
      </c>
      <c r="X358">
        <v>0.1</v>
      </c>
      <c r="Y358">
        <v>1</v>
      </c>
      <c r="Z358">
        <v>10</v>
      </c>
    </row>
    <row r="359" spans="1:26" x14ac:dyDescent="0.3">
      <c r="A359">
        <v>67</v>
      </c>
      <c r="B359">
        <v>125</v>
      </c>
      <c r="C359" t="s">
        <v>26</v>
      </c>
      <c r="D359">
        <v>10.1761</v>
      </c>
      <c r="E359">
        <v>9.83</v>
      </c>
      <c r="F359">
        <v>6.79</v>
      </c>
      <c r="G359">
        <v>67.87</v>
      </c>
      <c r="H359">
        <v>1.1599999999999999</v>
      </c>
      <c r="I359">
        <v>6</v>
      </c>
      <c r="J359">
        <v>273.45</v>
      </c>
      <c r="K359">
        <v>58.47</v>
      </c>
      <c r="L359">
        <v>17.75</v>
      </c>
      <c r="M359">
        <v>4</v>
      </c>
      <c r="N359">
        <v>72.22</v>
      </c>
      <c r="O359">
        <v>33959.360000000001</v>
      </c>
      <c r="P359">
        <v>103.27</v>
      </c>
      <c r="Q359">
        <v>204.16</v>
      </c>
      <c r="R359">
        <v>24.83</v>
      </c>
      <c r="S359">
        <v>17.37</v>
      </c>
      <c r="T359">
        <v>1624.84</v>
      </c>
      <c r="U359">
        <v>0.7</v>
      </c>
      <c r="V359">
        <v>0.75</v>
      </c>
      <c r="W359">
        <v>1.1499999999999999</v>
      </c>
      <c r="X359">
        <v>0.1</v>
      </c>
      <c r="Y359">
        <v>1</v>
      </c>
      <c r="Z359">
        <v>10</v>
      </c>
    </row>
    <row r="360" spans="1:26" x14ac:dyDescent="0.3">
      <c r="A360">
        <v>68</v>
      </c>
      <c r="B360">
        <v>125</v>
      </c>
      <c r="C360" t="s">
        <v>26</v>
      </c>
      <c r="D360">
        <v>10.171200000000001</v>
      </c>
      <c r="E360">
        <v>9.83</v>
      </c>
      <c r="F360">
        <v>6.79</v>
      </c>
      <c r="G360">
        <v>67.91</v>
      </c>
      <c r="H360">
        <v>1.17</v>
      </c>
      <c r="I360">
        <v>6</v>
      </c>
      <c r="J360">
        <v>273.93</v>
      </c>
      <c r="K360">
        <v>58.47</v>
      </c>
      <c r="L360">
        <v>18</v>
      </c>
      <c r="M360">
        <v>4</v>
      </c>
      <c r="N360">
        <v>72.459999999999994</v>
      </c>
      <c r="O360">
        <v>34018.85</v>
      </c>
      <c r="P360">
        <v>103.06</v>
      </c>
      <c r="Q360">
        <v>204.16</v>
      </c>
      <c r="R360">
        <v>24.99</v>
      </c>
      <c r="S360">
        <v>17.37</v>
      </c>
      <c r="T360">
        <v>1705.27</v>
      </c>
      <c r="U360">
        <v>0.7</v>
      </c>
      <c r="V360">
        <v>0.75</v>
      </c>
      <c r="W360">
        <v>1.1499999999999999</v>
      </c>
      <c r="X360">
        <v>0.1</v>
      </c>
      <c r="Y360">
        <v>1</v>
      </c>
      <c r="Z360">
        <v>10</v>
      </c>
    </row>
    <row r="361" spans="1:26" x14ac:dyDescent="0.3">
      <c r="A361">
        <v>69</v>
      </c>
      <c r="B361">
        <v>125</v>
      </c>
      <c r="C361" t="s">
        <v>26</v>
      </c>
      <c r="D361">
        <v>10.174099999999999</v>
      </c>
      <c r="E361">
        <v>9.83</v>
      </c>
      <c r="F361">
        <v>6.79</v>
      </c>
      <c r="G361">
        <v>67.89</v>
      </c>
      <c r="H361">
        <v>1.18</v>
      </c>
      <c r="I361">
        <v>6</v>
      </c>
      <c r="J361">
        <v>274.41000000000003</v>
      </c>
      <c r="K361">
        <v>58.47</v>
      </c>
      <c r="L361">
        <v>18.25</v>
      </c>
      <c r="M361">
        <v>4</v>
      </c>
      <c r="N361">
        <v>72.69</v>
      </c>
      <c r="O361">
        <v>34078.44</v>
      </c>
      <c r="P361">
        <v>102.56</v>
      </c>
      <c r="Q361">
        <v>204.14</v>
      </c>
      <c r="R361">
        <v>24.96</v>
      </c>
      <c r="S361">
        <v>17.37</v>
      </c>
      <c r="T361">
        <v>1693.38</v>
      </c>
      <c r="U361">
        <v>0.7</v>
      </c>
      <c r="V361">
        <v>0.75</v>
      </c>
      <c r="W361">
        <v>1.1399999999999999</v>
      </c>
      <c r="X361">
        <v>0.1</v>
      </c>
      <c r="Y361">
        <v>1</v>
      </c>
      <c r="Z361">
        <v>10</v>
      </c>
    </row>
    <row r="362" spans="1:26" x14ac:dyDescent="0.3">
      <c r="A362">
        <v>70</v>
      </c>
      <c r="B362">
        <v>125</v>
      </c>
      <c r="C362" t="s">
        <v>26</v>
      </c>
      <c r="D362">
        <v>10.2392</v>
      </c>
      <c r="E362">
        <v>9.77</v>
      </c>
      <c r="F362">
        <v>6.77</v>
      </c>
      <c r="G362">
        <v>81.28</v>
      </c>
      <c r="H362">
        <v>1.2</v>
      </c>
      <c r="I362">
        <v>5</v>
      </c>
      <c r="J362">
        <v>274.89999999999998</v>
      </c>
      <c r="K362">
        <v>58.47</v>
      </c>
      <c r="L362">
        <v>18.5</v>
      </c>
      <c r="M362">
        <v>3</v>
      </c>
      <c r="N362">
        <v>72.92</v>
      </c>
      <c r="O362">
        <v>34138.11</v>
      </c>
      <c r="P362">
        <v>102.33</v>
      </c>
      <c r="Q362">
        <v>204.22</v>
      </c>
      <c r="R362">
        <v>24.36</v>
      </c>
      <c r="S362">
        <v>17.37</v>
      </c>
      <c r="T362">
        <v>1397.83</v>
      </c>
      <c r="U362">
        <v>0.71</v>
      </c>
      <c r="V362">
        <v>0.75</v>
      </c>
      <c r="W362">
        <v>1.1499999999999999</v>
      </c>
      <c r="X362">
        <v>0.08</v>
      </c>
      <c r="Y362">
        <v>1</v>
      </c>
      <c r="Z362">
        <v>10</v>
      </c>
    </row>
    <row r="363" spans="1:26" x14ac:dyDescent="0.3">
      <c r="A363">
        <v>71</v>
      </c>
      <c r="B363">
        <v>125</v>
      </c>
      <c r="C363" t="s">
        <v>26</v>
      </c>
      <c r="D363">
        <v>10.238300000000001</v>
      </c>
      <c r="E363">
        <v>9.77</v>
      </c>
      <c r="F363">
        <v>6.77</v>
      </c>
      <c r="G363">
        <v>81.290000000000006</v>
      </c>
      <c r="H363">
        <v>1.21</v>
      </c>
      <c r="I363">
        <v>5</v>
      </c>
      <c r="J363">
        <v>275.38</v>
      </c>
      <c r="K363">
        <v>58.47</v>
      </c>
      <c r="L363">
        <v>18.75</v>
      </c>
      <c r="M363">
        <v>3</v>
      </c>
      <c r="N363">
        <v>73.16</v>
      </c>
      <c r="O363">
        <v>34197.870000000003</v>
      </c>
      <c r="P363">
        <v>102.56</v>
      </c>
      <c r="Q363">
        <v>204.14</v>
      </c>
      <c r="R363">
        <v>24.51</v>
      </c>
      <c r="S363">
        <v>17.37</v>
      </c>
      <c r="T363">
        <v>1470.49</v>
      </c>
      <c r="U363">
        <v>0.71</v>
      </c>
      <c r="V363">
        <v>0.75</v>
      </c>
      <c r="W363">
        <v>1.1399999999999999</v>
      </c>
      <c r="X363">
        <v>0.08</v>
      </c>
      <c r="Y363">
        <v>1</v>
      </c>
      <c r="Z363">
        <v>10</v>
      </c>
    </row>
    <row r="364" spans="1:26" x14ac:dyDescent="0.3">
      <c r="A364">
        <v>72</v>
      </c>
      <c r="B364">
        <v>125</v>
      </c>
      <c r="C364" t="s">
        <v>26</v>
      </c>
      <c r="D364">
        <v>10.237500000000001</v>
      </c>
      <c r="E364">
        <v>9.77</v>
      </c>
      <c r="F364">
        <v>6.78</v>
      </c>
      <c r="G364">
        <v>81.3</v>
      </c>
      <c r="H364">
        <v>1.23</v>
      </c>
      <c r="I364">
        <v>5</v>
      </c>
      <c r="J364">
        <v>275.87</v>
      </c>
      <c r="K364">
        <v>58.47</v>
      </c>
      <c r="L364">
        <v>19</v>
      </c>
      <c r="M364">
        <v>3</v>
      </c>
      <c r="N364">
        <v>73.39</v>
      </c>
      <c r="O364">
        <v>34257.730000000003</v>
      </c>
      <c r="P364">
        <v>102.75</v>
      </c>
      <c r="Q364">
        <v>204.15</v>
      </c>
      <c r="R364">
        <v>24.49</v>
      </c>
      <c r="S364">
        <v>17.37</v>
      </c>
      <c r="T364">
        <v>1461.46</v>
      </c>
      <c r="U364">
        <v>0.71</v>
      </c>
      <c r="V364">
        <v>0.75</v>
      </c>
      <c r="W364">
        <v>1.1399999999999999</v>
      </c>
      <c r="X364">
        <v>0.08</v>
      </c>
      <c r="Y364">
        <v>1</v>
      </c>
      <c r="Z364">
        <v>10</v>
      </c>
    </row>
    <row r="365" spans="1:26" x14ac:dyDescent="0.3">
      <c r="A365">
        <v>73</v>
      </c>
      <c r="B365">
        <v>125</v>
      </c>
      <c r="C365" t="s">
        <v>26</v>
      </c>
      <c r="D365">
        <v>10.2415</v>
      </c>
      <c r="E365">
        <v>9.76</v>
      </c>
      <c r="F365">
        <v>6.77</v>
      </c>
      <c r="G365">
        <v>81.25</v>
      </c>
      <c r="H365">
        <v>1.24</v>
      </c>
      <c r="I365">
        <v>5</v>
      </c>
      <c r="J365">
        <v>276.35000000000002</v>
      </c>
      <c r="K365">
        <v>58.47</v>
      </c>
      <c r="L365">
        <v>19.25</v>
      </c>
      <c r="M365">
        <v>3</v>
      </c>
      <c r="N365">
        <v>73.63</v>
      </c>
      <c r="O365">
        <v>34317.68</v>
      </c>
      <c r="P365">
        <v>102.83</v>
      </c>
      <c r="Q365">
        <v>204.14</v>
      </c>
      <c r="R365">
        <v>24.32</v>
      </c>
      <c r="S365">
        <v>17.37</v>
      </c>
      <c r="T365">
        <v>1375.2</v>
      </c>
      <c r="U365">
        <v>0.71</v>
      </c>
      <c r="V365">
        <v>0.75</v>
      </c>
      <c r="W365">
        <v>1.1499999999999999</v>
      </c>
      <c r="X365">
        <v>0.08</v>
      </c>
      <c r="Y365">
        <v>1</v>
      </c>
      <c r="Z365">
        <v>10</v>
      </c>
    </row>
    <row r="366" spans="1:26" x14ac:dyDescent="0.3">
      <c r="A366">
        <v>74</v>
      </c>
      <c r="B366">
        <v>125</v>
      </c>
      <c r="C366" t="s">
        <v>26</v>
      </c>
      <c r="D366">
        <v>10.2372</v>
      </c>
      <c r="E366">
        <v>9.77</v>
      </c>
      <c r="F366">
        <v>6.78</v>
      </c>
      <c r="G366">
        <v>81.3</v>
      </c>
      <c r="H366">
        <v>1.25</v>
      </c>
      <c r="I366">
        <v>5</v>
      </c>
      <c r="J366">
        <v>276.83999999999997</v>
      </c>
      <c r="K366">
        <v>58.47</v>
      </c>
      <c r="L366">
        <v>19.5</v>
      </c>
      <c r="M366">
        <v>3</v>
      </c>
      <c r="N366">
        <v>73.87</v>
      </c>
      <c r="O366">
        <v>34377.72</v>
      </c>
      <c r="P366">
        <v>102.98</v>
      </c>
      <c r="Q366">
        <v>204.14</v>
      </c>
      <c r="R366">
        <v>24.52</v>
      </c>
      <c r="S366">
        <v>17.37</v>
      </c>
      <c r="T366">
        <v>1478.69</v>
      </c>
      <c r="U366">
        <v>0.71</v>
      </c>
      <c r="V366">
        <v>0.75</v>
      </c>
      <c r="W366">
        <v>1.1399999999999999</v>
      </c>
      <c r="X366">
        <v>0.08</v>
      </c>
      <c r="Y366">
        <v>1</v>
      </c>
      <c r="Z366">
        <v>10</v>
      </c>
    </row>
    <row r="367" spans="1:26" x14ac:dyDescent="0.3">
      <c r="A367">
        <v>75</v>
      </c>
      <c r="B367">
        <v>125</v>
      </c>
      <c r="C367" t="s">
        <v>26</v>
      </c>
      <c r="D367">
        <v>10.242699999999999</v>
      </c>
      <c r="E367">
        <v>9.76</v>
      </c>
      <c r="F367">
        <v>6.77</v>
      </c>
      <c r="G367">
        <v>81.239999999999995</v>
      </c>
      <c r="H367">
        <v>1.27</v>
      </c>
      <c r="I367">
        <v>5</v>
      </c>
      <c r="J367">
        <v>277.33</v>
      </c>
      <c r="K367">
        <v>58.47</v>
      </c>
      <c r="L367">
        <v>19.75</v>
      </c>
      <c r="M367">
        <v>3</v>
      </c>
      <c r="N367">
        <v>74.099999999999994</v>
      </c>
      <c r="O367">
        <v>34437.85</v>
      </c>
      <c r="P367">
        <v>102.74</v>
      </c>
      <c r="Q367">
        <v>204.14</v>
      </c>
      <c r="R367">
        <v>24.37</v>
      </c>
      <c r="S367">
        <v>17.37</v>
      </c>
      <c r="T367">
        <v>1403.48</v>
      </c>
      <c r="U367">
        <v>0.71</v>
      </c>
      <c r="V367">
        <v>0.75</v>
      </c>
      <c r="W367">
        <v>1.1399999999999999</v>
      </c>
      <c r="X367">
        <v>0.08</v>
      </c>
      <c r="Y367">
        <v>1</v>
      </c>
      <c r="Z367">
        <v>10</v>
      </c>
    </row>
    <row r="368" spans="1:26" x14ac:dyDescent="0.3">
      <c r="A368">
        <v>76</v>
      </c>
      <c r="B368">
        <v>125</v>
      </c>
      <c r="C368" t="s">
        <v>26</v>
      </c>
      <c r="D368">
        <v>10.240399999999999</v>
      </c>
      <c r="E368">
        <v>9.77</v>
      </c>
      <c r="F368">
        <v>6.77</v>
      </c>
      <c r="G368">
        <v>81.27</v>
      </c>
      <c r="H368">
        <v>1.28</v>
      </c>
      <c r="I368">
        <v>5</v>
      </c>
      <c r="J368">
        <v>277.82</v>
      </c>
      <c r="K368">
        <v>58.47</v>
      </c>
      <c r="L368">
        <v>20</v>
      </c>
      <c r="M368">
        <v>3</v>
      </c>
      <c r="N368">
        <v>74.34</v>
      </c>
      <c r="O368">
        <v>34498.07</v>
      </c>
      <c r="P368">
        <v>102.74</v>
      </c>
      <c r="Q368">
        <v>204.14</v>
      </c>
      <c r="R368">
        <v>24.47</v>
      </c>
      <c r="S368">
        <v>17.37</v>
      </c>
      <c r="T368">
        <v>1452.43</v>
      </c>
      <c r="U368">
        <v>0.71</v>
      </c>
      <c r="V368">
        <v>0.75</v>
      </c>
      <c r="W368">
        <v>1.1399999999999999</v>
      </c>
      <c r="X368">
        <v>0.08</v>
      </c>
      <c r="Y368">
        <v>1</v>
      </c>
      <c r="Z368">
        <v>10</v>
      </c>
    </row>
    <row r="369" spans="1:26" x14ac:dyDescent="0.3">
      <c r="A369">
        <v>77</v>
      </c>
      <c r="B369">
        <v>125</v>
      </c>
      <c r="C369" t="s">
        <v>26</v>
      </c>
      <c r="D369">
        <v>10.236000000000001</v>
      </c>
      <c r="E369">
        <v>9.77</v>
      </c>
      <c r="F369">
        <v>6.78</v>
      </c>
      <c r="G369">
        <v>81.319999999999993</v>
      </c>
      <c r="H369">
        <v>1.3</v>
      </c>
      <c r="I369">
        <v>5</v>
      </c>
      <c r="J369">
        <v>278.3</v>
      </c>
      <c r="K369">
        <v>58.47</v>
      </c>
      <c r="L369">
        <v>20.25</v>
      </c>
      <c r="M369">
        <v>3</v>
      </c>
      <c r="N369">
        <v>74.58</v>
      </c>
      <c r="O369">
        <v>34558.39</v>
      </c>
      <c r="P369">
        <v>102.75</v>
      </c>
      <c r="Q369">
        <v>204.14</v>
      </c>
      <c r="R369">
        <v>24.46</v>
      </c>
      <c r="S369">
        <v>17.37</v>
      </c>
      <c r="T369">
        <v>1448.96</v>
      </c>
      <c r="U369">
        <v>0.71</v>
      </c>
      <c r="V369">
        <v>0.75</v>
      </c>
      <c r="W369">
        <v>1.1499999999999999</v>
      </c>
      <c r="X369">
        <v>0.09</v>
      </c>
      <c r="Y369">
        <v>1</v>
      </c>
      <c r="Z369">
        <v>10</v>
      </c>
    </row>
    <row r="370" spans="1:26" x14ac:dyDescent="0.3">
      <c r="A370">
        <v>78</v>
      </c>
      <c r="B370">
        <v>125</v>
      </c>
      <c r="C370" t="s">
        <v>26</v>
      </c>
      <c r="D370">
        <v>10.235099999999999</v>
      </c>
      <c r="E370">
        <v>9.77</v>
      </c>
      <c r="F370">
        <v>6.78</v>
      </c>
      <c r="G370">
        <v>81.33</v>
      </c>
      <c r="H370">
        <v>1.31</v>
      </c>
      <c r="I370">
        <v>5</v>
      </c>
      <c r="J370">
        <v>278.79000000000002</v>
      </c>
      <c r="K370">
        <v>58.47</v>
      </c>
      <c r="L370">
        <v>20.5</v>
      </c>
      <c r="M370">
        <v>3</v>
      </c>
      <c r="N370">
        <v>74.819999999999993</v>
      </c>
      <c r="O370">
        <v>34618.81</v>
      </c>
      <c r="P370">
        <v>102.77</v>
      </c>
      <c r="Q370">
        <v>204.14</v>
      </c>
      <c r="R370">
        <v>24.54</v>
      </c>
      <c r="S370">
        <v>17.37</v>
      </c>
      <c r="T370">
        <v>1485.79</v>
      </c>
      <c r="U370">
        <v>0.71</v>
      </c>
      <c r="V370">
        <v>0.75</v>
      </c>
      <c r="W370">
        <v>1.1399999999999999</v>
      </c>
      <c r="X370">
        <v>0.09</v>
      </c>
      <c r="Y370">
        <v>1</v>
      </c>
      <c r="Z370">
        <v>10</v>
      </c>
    </row>
    <row r="371" spans="1:26" x14ac:dyDescent="0.3">
      <c r="A371">
        <v>79</v>
      </c>
      <c r="B371">
        <v>125</v>
      </c>
      <c r="C371" t="s">
        <v>26</v>
      </c>
      <c r="D371">
        <v>10.2395</v>
      </c>
      <c r="E371">
        <v>9.77</v>
      </c>
      <c r="F371">
        <v>6.77</v>
      </c>
      <c r="G371">
        <v>81.28</v>
      </c>
      <c r="H371">
        <v>1.32</v>
      </c>
      <c r="I371">
        <v>5</v>
      </c>
      <c r="J371">
        <v>279.27999999999997</v>
      </c>
      <c r="K371">
        <v>58.47</v>
      </c>
      <c r="L371">
        <v>20.75</v>
      </c>
      <c r="M371">
        <v>3</v>
      </c>
      <c r="N371">
        <v>75.06</v>
      </c>
      <c r="O371">
        <v>34679.32</v>
      </c>
      <c r="P371">
        <v>102.52</v>
      </c>
      <c r="Q371">
        <v>204.14</v>
      </c>
      <c r="R371">
        <v>24.45</v>
      </c>
      <c r="S371">
        <v>17.37</v>
      </c>
      <c r="T371">
        <v>1440.76</v>
      </c>
      <c r="U371">
        <v>0.71</v>
      </c>
      <c r="V371">
        <v>0.75</v>
      </c>
      <c r="W371">
        <v>1.1399999999999999</v>
      </c>
      <c r="X371">
        <v>0.08</v>
      </c>
      <c r="Y371">
        <v>1</v>
      </c>
      <c r="Z371">
        <v>10</v>
      </c>
    </row>
    <row r="372" spans="1:26" x14ac:dyDescent="0.3">
      <c r="A372">
        <v>80</v>
      </c>
      <c r="B372">
        <v>125</v>
      </c>
      <c r="C372" t="s">
        <v>26</v>
      </c>
      <c r="D372">
        <v>10.2407</v>
      </c>
      <c r="E372">
        <v>9.76</v>
      </c>
      <c r="F372">
        <v>6.77</v>
      </c>
      <c r="G372">
        <v>81.260000000000005</v>
      </c>
      <c r="H372">
        <v>1.34</v>
      </c>
      <c r="I372">
        <v>5</v>
      </c>
      <c r="J372">
        <v>279.77999999999997</v>
      </c>
      <c r="K372">
        <v>58.47</v>
      </c>
      <c r="L372">
        <v>21</v>
      </c>
      <c r="M372">
        <v>3</v>
      </c>
      <c r="N372">
        <v>75.3</v>
      </c>
      <c r="O372">
        <v>34739.919999999998</v>
      </c>
      <c r="P372">
        <v>102.42</v>
      </c>
      <c r="Q372">
        <v>204.14</v>
      </c>
      <c r="R372">
        <v>24.36</v>
      </c>
      <c r="S372">
        <v>17.37</v>
      </c>
      <c r="T372">
        <v>1395.28</v>
      </c>
      <c r="U372">
        <v>0.71</v>
      </c>
      <c r="V372">
        <v>0.75</v>
      </c>
      <c r="W372">
        <v>1.1399999999999999</v>
      </c>
      <c r="X372">
        <v>0.08</v>
      </c>
      <c r="Y372">
        <v>1</v>
      </c>
      <c r="Z372">
        <v>10</v>
      </c>
    </row>
    <row r="373" spans="1:26" x14ac:dyDescent="0.3">
      <c r="A373">
        <v>81</v>
      </c>
      <c r="B373">
        <v>125</v>
      </c>
      <c r="C373" t="s">
        <v>26</v>
      </c>
      <c r="D373">
        <v>10.245900000000001</v>
      </c>
      <c r="E373">
        <v>9.76</v>
      </c>
      <c r="F373">
        <v>6.77</v>
      </c>
      <c r="G373">
        <v>81.2</v>
      </c>
      <c r="H373">
        <v>1.35</v>
      </c>
      <c r="I373">
        <v>5</v>
      </c>
      <c r="J373">
        <v>280.27</v>
      </c>
      <c r="K373">
        <v>58.47</v>
      </c>
      <c r="L373">
        <v>21.25</v>
      </c>
      <c r="M373">
        <v>3</v>
      </c>
      <c r="N373">
        <v>75.540000000000006</v>
      </c>
      <c r="O373">
        <v>34800.620000000003</v>
      </c>
      <c r="P373">
        <v>102.17</v>
      </c>
      <c r="Q373">
        <v>204.14</v>
      </c>
      <c r="R373">
        <v>24.16</v>
      </c>
      <c r="S373">
        <v>17.37</v>
      </c>
      <c r="T373">
        <v>1296.92</v>
      </c>
      <c r="U373">
        <v>0.72</v>
      </c>
      <c r="V373">
        <v>0.75</v>
      </c>
      <c r="W373">
        <v>1.1399999999999999</v>
      </c>
      <c r="X373">
        <v>0.08</v>
      </c>
      <c r="Y373">
        <v>1</v>
      </c>
      <c r="Z373">
        <v>10</v>
      </c>
    </row>
    <row r="374" spans="1:26" x14ac:dyDescent="0.3">
      <c r="A374">
        <v>82</v>
      </c>
      <c r="B374">
        <v>125</v>
      </c>
      <c r="C374" t="s">
        <v>26</v>
      </c>
      <c r="D374">
        <v>10.25</v>
      </c>
      <c r="E374">
        <v>9.76</v>
      </c>
      <c r="F374">
        <v>6.76</v>
      </c>
      <c r="G374">
        <v>81.16</v>
      </c>
      <c r="H374">
        <v>1.36</v>
      </c>
      <c r="I374">
        <v>5</v>
      </c>
      <c r="J374">
        <v>280.76</v>
      </c>
      <c r="K374">
        <v>58.47</v>
      </c>
      <c r="L374">
        <v>21.5</v>
      </c>
      <c r="M374">
        <v>3</v>
      </c>
      <c r="N374">
        <v>75.790000000000006</v>
      </c>
      <c r="O374">
        <v>34861.410000000003</v>
      </c>
      <c r="P374">
        <v>101.82</v>
      </c>
      <c r="Q374">
        <v>204.15</v>
      </c>
      <c r="R374">
        <v>24.09</v>
      </c>
      <c r="S374">
        <v>17.37</v>
      </c>
      <c r="T374">
        <v>1261.99</v>
      </c>
      <c r="U374">
        <v>0.72</v>
      </c>
      <c r="V374">
        <v>0.76</v>
      </c>
      <c r="W374">
        <v>1.1399999999999999</v>
      </c>
      <c r="X374">
        <v>7.0000000000000007E-2</v>
      </c>
      <c r="Y374">
        <v>1</v>
      </c>
      <c r="Z374">
        <v>10</v>
      </c>
    </row>
    <row r="375" spans="1:26" x14ac:dyDescent="0.3">
      <c r="A375">
        <v>83</v>
      </c>
      <c r="B375">
        <v>125</v>
      </c>
      <c r="C375" t="s">
        <v>26</v>
      </c>
      <c r="D375">
        <v>10.2514</v>
      </c>
      <c r="E375">
        <v>9.75</v>
      </c>
      <c r="F375">
        <v>6.76</v>
      </c>
      <c r="G375">
        <v>81.14</v>
      </c>
      <c r="H375">
        <v>1.38</v>
      </c>
      <c r="I375">
        <v>5</v>
      </c>
      <c r="J375">
        <v>281.25</v>
      </c>
      <c r="K375">
        <v>58.47</v>
      </c>
      <c r="L375">
        <v>21.75</v>
      </c>
      <c r="M375">
        <v>3</v>
      </c>
      <c r="N375">
        <v>76.03</v>
      </c>
      <c r="O375">
        <v>34922.31</v>
      </c>
      <c r="P375">
        <v>101.55</v>
      </c>
      <c r="Q375">
        <v>204.15</v>
      </c>
      <c r="R375">
        <v>24.05</v>
      </c>
      <c r="S375">
        <v>17.37</v>
      </c>
      <c r="T375">
        <v>1242.6199999999999</v>
      </c>
      <c r="U375">
        <v>0.72</v>
      </c>
      <c r="V375">
        <v>0.76</v>
      </c>
      <c r="W375">
        <v>1.1399999999999999</v>
      </c>
      <c r="X375">
        <v>7.0000000000000007E-2</v>
      </c>
      <c r="Y375">
        <v>1</v>
      </c>
      <c r="Z375">
        <v>10</v>
      </c>
    </row>
    <row r="376" spans="1:26" x14ac:dyDescent="0.3">
      <c r="A376">
        <v>84</v>
      </c>
      <c r="B376">
        <v>125</v>
      </c>
      <c r="C376" t="s">
        <v>26</v>
      </c>
      <c r="D376">
        <v>10.2468</v>
      </c>
      <c r="E376">
        <v>9.76</v>
      </c>
      <c r="F376">
        <v>6.77</v>
      </c>
      <c r="G376">
        <v>81.19</v>
      </c>
      <c r="H376">
        <v>1.39</v>
      </c>
      <c r="I376">
        <v>5</v>
      </c>
      <c r="J376">
        <v>281.75</v>
      </c>
      <c r="K376">
        <v>58.47</v>
      </c>
      <c r="L376">
        <v>22</v>
      </c>
      <c r="M376">
        <v>3</v>
      </c>
      <c r="N376">
        <v>76.28</v>
      </c>
      <c r="O376">
        <v>34983.29</v>
      </c>
      <c r="P376">
        <v>101.34</v>
      </c>
      <c r="Q376">
        <v>204.14</v>
      </c>
      <c r="R376">
        <v>24.14</v>
      </c>
      <c r="S376">
        <v>17.37</v>
      </c>
      <c r="T376">
        <v>1286.83</v>
      </c>
      <c r="U376">
        <v>0.72</v>
      </c>
      <c r="V376">
        <v>0.75</v>
      </c>
      <c r="W376">
        <v>1.1399999999999999</v>
      </c>
      <c r="X376">
        <v>7.0000000000000007E-2</v>
      </c>
      <c r="Y376">
        <v>1</v>
      </c>
      <c r="Z376">
        <v>10</v>
      </c>
    </row>
    <row r="377" spans="1:26" x14ac:dyDescent="0.3">
      <c r="A377">
        <v>85</v>
      </c>
      <c r="B377">
        <v>125</v>
      </c>
      <c r="C377" t="s">
        <v>26</v>
      </c>
      <c r="D377">
        <v>10.2468</v>
      </c>
      <c r="E377">
        <v>9.76</v>
      </c>
      <c r="F377">
        <v>6.77</v>
      </c>
      <c r="G377">
        <v>81.19</v>
      </c>
      <c r="H377">
        <v>1.4</v>
      </c>
      <c r="I377">
        <v>5</v>
      </c>
      <c r="J377">
        <v>282.24</v>
      </c>
      <c r="K377">
        <v>58.47</v>
      </c>
      <c r="L377">
        <v>22.25</v>
      </c>
      <c r="M377">
        <v>3</v>
      </c>
      <c r="N377">
        <v>76.52</v>
      </c>
      <c r="O377">
        <v>35044.379999999997</v>
      </c>
      <c r="P377">
        <v>100.98</v>
      </c>
      <c r="Q377">
        <v>204.14</v>
      </c>
      <c r="R377">
        <v>24.2</v>
      </c>
      <c r="S377">
        <v>17.37</v>
      </c>
      <c r="T377">
        <v>1317.22</v>
      </c>
      <c r="U377">
        <v>0.72</v>
      </c>
      <c r="V377">
        <v>0.75</v>
      </c>
      <c r="W377">
        <v>1.1399999999999999</v>
      </c>
      <c r="X377">
        <v>7.0000000000000007E-2</v>
      </c>
      <c r="Y377">
        <v>1</v>
      </c>
      <c r="Z377">
        <v>10</v>
      </c>
    </row>
    <row r="378" spans="1:26" x14ac:dyDescent="0.3">
      <c r="A378">
        <v>86</v>
      </c>
      <c r="B378">
        <v>125</v>
      </c>
      <c r="C378" t="s">
        <v>26</v>
      </c>
      <c r="D378">
        <v>10.2433</v>
      </c>
      <c r="E378">
        <v>9.76</v>
      </c>
      <c r="F378">
        <v>6.77</v>
      </c>
      <c r="G378">
        <v>81.23</v>
      </c>
      <c r="H378">
        <v>1.42</v>
      </c>
      <c r="I378">
        <v>5</v>
      </c>
      <c r="J378">
        <v>282.74</v>
      </c>
      <c r="K378">
        <v>58.47</v>
      </c>
      <c r="L378">
        <v>22.5</v>
      </c>
      <c r="M378">
        <v>3</v>
      </c>
      <c r="N378">
        <v>76.77</v>
      </c>
      <c r="O378">
        <v>35105.56</v>
      </c>
      <c r="P378">
        <v>100.93</v>
      </c>
      <c r="Q378">
        <v>204.15</v>
      </c>
      <c r="R378">
        <v>24.23</v>
      </c>
      <c r="S378">
        <v>17.37</v>
      </c>
      <c r="T378">
        <v>1332.15</v>
      </c>
      <c r="U378">
        <v>0.72</v>
      </c>
      <c r="V378">
        <v>0.75</v>
      </c>
      <c r="W378">
        <v>1.1499999999999999</v>
      </c>
      <c r="X378">
        <v>0.08</v>
      </c>
      <c r="Y378">
        <v>1</v>
      </c>
      <c r="Z378">
        <v>10</v>
      </c>
    </row>
    <row r="379" spans="1:26" x14ac:dyDescent="0.3">
      <c r="A379">
        <v>87</v>
      </c>
      <c r="B379">
        <v>125</v>
      </c>
      <c r="C379" t="s">
        <v>26</v>
      </c>
      <c r="D379">
        <v>10.2453</v>
      </c>
      <c r="E379">
        <v>9.76</v>
      </c>
      <c r="F379">
        <v>6.77</v>
      </c>
      <c r="G379">
        <v>81.209999999999994</v>
      </c>
      <c r="H379">
        <v>1.43</v>
      </c>
      <c r="I379">
        <v>5</v>
      </c>
      <c r="J379">
        <v>283.24</v>
      </c>
      <c r="K379">
        <v>58.47</v>
      </c>
      <c r="L379">
        <v>22.75</v>
      </c>
      <c r="M379">
        <v>3</v>
      </c>
      <c r="N379">
        <v>77.010000000000005</v>
      </c>
      <c r="O379">
        <v>35166.85</v>
      </c>
      <c r="P379">
        <v>100.89</v>
      </c>
      <c r="Q379">
        <v>204.14</v>
      </c>
      <c r="R379">
        <v>24.22</v>
      </c>
      <c r="S379">
        <v>17.37</v>
      </c>
      <c r="T379">
        <v>1329.1</v>
      </c>
      <c r="U379">
        <v>0.72</v>
      </c>
      <c r="V379">
        <v>0.75</v>
      </c>
      <c r="W379">
        <v>1.1399999999999999</v>
      </c>
      <c r="X379">
        <v>0.08</v>
      </c>
      <c r="Y379">
        <v>1</v>
      </c>
      <c r="Z379">
        <v>10</v>
      </c>
    </row>
    <row r="380" spans="1:26" x14ac:dyDescent="0.3">
      <c r="A380">
        <v>88</v>
      </c>
      <c r="B380">
        <v>125</v>
      </c>
      <c r="C380" t="s">
        <v>26</v>
      </c>
      <c r="D380">
        <v>10.2409</v>
      </c>
      <c r="E380">
        <v>9.76</v>
      </c>
      <c r="F380">
        <v>6.77</v>
      </c>
      <c r="G380">
        <v>81.260000000000005</v>
      </c>
      <c r="H380">
        <v>1.44</v>
      </c>
      <c r="I380">
        <v>5</v>
      </c>
      <c r="J380">
        <v>283.74</v>
      </c>
      <c r="K380">
        <v>58.47</v>
      </c>
      <c r="L380">
        <v>23</v>
      </c>
      <c r="M380">
        <v>3</v>
      </c>
      <c r="N380">
        <v>77.260000000000005</v>
      </c>
      <c r="O380">
        <v>35228.230000000003</v>
      </c>
      <c r="P380">
        <v>100.73</v>
      </c>
      <c r="Q380">
        <v>204.14</v>
      </c>
      <c r="R380">
        <v>24.39</v>
      </c>
      <c r="S380">
        <v>17.37</v>
      </c>
      <c r="T380">
        <v>1412.15</v>
      </c>
      <c r="U380">
        <v>0.71</v>
      </c>
      <c r="V380">
        <v>0.75</v>
      </c>
      <c r="W380">
        <v>1.1399999999999999</v>
      </c>
      <c r="X380">
        <v>0.08</v>
      </c>
      <c r="Y380">
        <v>1</v>
      </c>
      <c r="Z380">
        <v>10</v>
      </c>
    </row>
    <row r="381" spans="1:26" x14ac:dyDescent="0.3">
      <c r="A381">
        <v>89</v>
      </c>
      <c r="B381">
        <v>125</v>
      </c>
      <c r="C381" t="s">
        <v>26</v>
      </c>
      <c r="D381">
        <v>10.2407</v>
      </c>
      <c r="E381">
        <v>9.76</v>
      </c>
      <c r="F381">
        <v>6.77</v>
      </c>
      <c r="G381">
        <v>81.260000000000005</v>
      </c>
      <c r="H381">
        <v>1.46</v>
      </c>
      <c r="I381">
        <v>5</v>
      </c>
      <c r="J381">
        <v>284.23</v>
      </c>
      <c r="K381">
        <v>58.47</v>
      </c>
      <c r="L381">
        <v>23.25</v>
      </c>
      <c r="M381">
        <v>3</v>
      </c>
      <c r="N381">
        <v>77.510000000000005</v>
      </c>
      <c r="O381">
        <v>35289.71</v>
      </c>
      <c r="P381">
        <v>100.6</v>
      </c>
      <c r="Q381">
        <v>204.15</v>
      </c>
      <c r="R381">
        <v>24.37</v>
      </c>
      <c r="S381">
        <v>17.37</v>
      </c>
      <c r="T381">
        <v>1400.83</v>
      </c>
      <c r="U381">
        <v>0.71</v>
      </c>
      <c r="V381">
        <v>0.75</v>
      </c>
      <c r="W381">
        <v>1.1399999999999999</v>
      </c>
      <c r="X381">
        <v>0.08</v>
      </c>
      <c r="Y381">
        <v>1</v>
      </c>
      <c r="Z381">
        <v>10</v>
      </c>
    </row>
    <row r="382" spans="1:26" x14ac:dyDescent="0.3">
      <c r="A382">
        <v>90</v>
      </c>
      <c r="B382">
        <v>125</v>
      </c>
      <c r="C382" t="s">
        <v>26</v>
      </c>
      <c r="D382">
        <v>10.246499999999999</v>
      </c>
      <c r="E382">
        <v>9.76</v>
      </c>
      <c r="F382">
        <v>6.77</v>
      </c>
      <c r="G382">
        <v>81.2</v>
      </c>
      <c r="H382">
        <v>1.47</v>
      </c>
      <c r="I382">
        <v>5</v>
      </c>
      <c r="J382">
        <v>284.73</v>
      </c>
      <c r="K382">
        <v>58.47</v>
      </c>
      <c r="L382">
        <v>23.5</v>
      </c>
      <c r="M382">
        <v>3</v>
      </c>
      <c r="N382">
        <v>77.760000000000005</v>
      </c>
      <c r="O382">
        <v>35351.29</v>
      </c>
      <c r="P382">
        <v>100.17</v>
      </c>
      <c r="Q382">
        <v>204.18</v>
      </c>
      <c r="R382">
        <v>24.17</v>
      </c>
      <c r="S382">
        <v>17.37</v>
      </c>
      <c r="T382">
        <v>1303.55</v>
      </c>
      <c r="U382">
        <v>0.72</v>
      </c>
      <c r="V382">
        <v>0.75</v>
      </c>
      <c r="W382">
        <v>1.1399999999999999</v>
      </c>
      <c r="X382">
        <v>7.0000000000000007E-2</v>
      </c>
      <c r="Y382">
        <v>1</v>
      </c>
      <c r="Z382">
        <v>10</v>
      </c>
    </row>
    <row r="383" spans="1:26" x14ac:dyDescent="0.3">
      <c r="A383">
        <v>91</v>
      </c>
      <c r="B383">
        <v>125</v>
      </c>
      <c r="C383" t="s">
        <v>26</v>
      </c>
      <c r="D383">
        <v>10.3217</v>
      </c>
      <c r="E383">
        <v>9.69</v>
      </c>
      <c r="F383">
        <v>6.74</v>
      </c>
      <c r="G383">
        <v>101.14</v>
      </c>
      <c r="H383">
        <v>1.48</v>
      </c>
      <c r="I383">
        <v>4</v>
      </c>
      <c r="J383">
        <v>285.23</v>
      </c>
      <c r="K383">
        <v>58.47</v>
      </c>
      <c r="L383">
        <v>23.75</v>
      </c>
      <c r="M383">
        <v>2</v>
      </c>
      <c r="N383">
        <v>78.010000000000005</v>
      </c>
      <c r="O383">
        <v>35412.959999999999</v>
      </c>
      <c r="P383">
        <v>99.48</v>
      </c>
      <c r="Q383">
        <v>204.15</v>
      </c>
      <c r="R383">
        <v>23.44</v>
      </c>
      <c r="S383">
        <v>17.37</v>
      </c>
      <c r="T383">
        <v>941.84</v>
      </c>
      <c r="U383">
        <v>0.74</v>
      </c>
      <c r="V383">
        <v>0.76</v>
      </c>
      <c r="W383">
        <v>1.1399999999999999</v>
      </c>
      <c r="X383">
        <v>0.05</v>
      </c>
      <c r="Y383">
        <v>1</v>
      </c>
      <c r="Z383">
        <v>10</v>
      </c>
    </row>
    <row r="384" spans="1:26" x14ac:dyDescent="0.3">
      <c r="A384">
        <v>92</v>
      </c>
      <c r="B384">
        <v>125</v>
      </c>
      <c r="C384" t="s">
        <v>26</v>
      </c>
      <c r="D384">
        <v>10.321400000000001</v>
      </c>
      <c r="E384">
        <v>9.69</v>
      </c>
      <c r="F384">
        <v>6.74</v>
      </c>
      <c r="G384">
        <v>101.14</v>
      </c>
      <c r="H384">
        <v>1.5</v>
      </c>
      <c r="I384">
        <v>4</v>
      </c>
      <c r="J384">
        <v>285.73</v>
      </c>
      <c r="K384">
        <v>58.47</v>
      </c>
      <c r="L384">
        <v>24</v>
      </c>
      <c r="M384">
        <v>2</v>
      </c>
      <c r="N384">
        <v>78.260000000000005</v>
      </c>
      <c r="O384">
        <v>35474.75</v>
      </c>
      <c r="P384">
        <v>99.46</v>
      </c>
      <c r="Q384">
        <v>204.16</v>
      </c>
      <c r="R384">
        <v>23.46</v>
      </c>
      <c r="S384">
        <v>17.37</v>
      </c>
      <c r="T384">
        <v>952.02</v>
      </c>
      <c r="U384">
        <v>0.74</v>
      </c>
      <c r="V384">
        <v>0.76</v>
      </c>
      <c r="W384">
        <v>1.1399999999999999</v>
      </c>
      <c r="X384">
        <v>0.05</v>
      </c>
      <c r="Y384">
        <v>1</v>
      </c>
      <c r="Z384">
        <v>10</v>
      </c>
    </row>
    <row r="385" spans="1:26" x14ac:dyDescent="0.3">
      <c r="A385">
        <v>93</v>
      </c>
      <c r="B385">
        <v>125</v>
      </c>
      <c r="C385" t="s">
        <v>26</v>
      </c>
      <c r="D385">
        <v>10.3217</v>
      </c>
      <c r="E385">
        <v>9.69</v>
      </c>
      <c r="F385">
        <v>6.74</v>
      </c>
      <c r="G385">
        <v>101.14</v>
      </c>
      <c r="H385">
        <v>1.51</v>
      </c>
      <c r="I385">
        <v>4</v>
      </c>
      <c r="J385">
        <v>286.24</v>
      </c>
      <c r="K385">
        <v>58.47</v>
      </c>
      <c r="L385">
        <v>24.25</v>
      </c>
      <c r="M385">
        <v>2</v>
      </c>
      <c r="N385">
        <v>78.510000000000005</v>
      </c>
      <c r="O385">
        <v>35536.629999999997</v>
      </c>
      <c r="P385">
        <v>99.59</v>
      </c>
      <c r="Q385">
        <v>204.14</v>
      </c>
      <c r="R385">
        <v>23.46</v>
      </c>
      <c r="S385">
        <v>17.37</v>
      </c>
      <c r="T385">
        <v>954.55</v>
      </c>
      <c r="U385">
        <v>0.74</v>
      </c>
      <c r="V385">
        <v>0.76</v>
      </c>
      <c r="W385">
        <v>1.1399999999999999</v>
      </c>
      <c r="X385">
        <v>0.05</v>
      </c>
      <c r="Y385">
        <v>1</v>
      </c>
      <c r="Z385">
        <v>10</v>
      </c>
    </row>
    <row r="386" spans="1:26" x14ac:dyDescent="0.3">
      <c r="A386">
        <v>94</v>
      </c>
      <c r="B386">
        <v>125</v>
      </c>
      <c r="C386" t="s">
        <v>26</v>
      </c>
      <c r="D386">
        <v>10.3161</v>
      </c>
      <c r="E386">
        <v>9.69</v>
      </c>
      <c r="F386">
        <v>6.75</v>
      </c>
      <c r="G386">
        <v>101.22</v>
      </c>
      <c r="H386">
        <v>1.52</v>
      </c>
      <c r="I386">
        <v>4</v>
      </c>
      <c r="J386">
        <v>286.74</v>
      </c>
      <c r="K386">
        <v>58.47</v>
      </c>
      <c r="L386">
        <v>24.5</v>
      </c>
      <c r="M386">
        <v>2</v>
      </c>
      <c r="N386">
        <v>78.77</v>
      </c>
      <c r="O386">
        <v>35598.74</v>
      </c>
      <c r="P386">
        <v>99.81</v>
      </c>
      <c r="Q386">
        <v>204.14</v>
      </c>
      <c r="R386">
        <v>23.64</v>
      </c>
      <c r="S386">
        <v>17.37</v>
      </c>
      <c r="T386">
        <v>1041.21</v>
      </c>
      <c r="U386">
        <v>0.73</v>
      </c>
      <c r="V386">
        <v>0.76</v>
      </c>
      <c r="W386">
        <v>1.1399999999999999</v>
      </c>
      <c r="X386">
        <v>0.06</v>
      </c>
      <c r="Y386">
        <v>1</v>
      </c>
      <c r="Z386">
        <v>10</v>
      </c>
    </row>
    <row r="387" spans="1:26" x14ac:dyDescent="0.3">
      <c r="A387">
        <v>95</v>
      </c>
      <c r="B387">
        <v>125</v>
      </c>
      <c r="C387" t="s">
        <v>26</v>
      </c>
      <c r="D387">
        <v>10.317600000000001</v>
      </c>
      <c r="E387">
        <v>9.69</v>
      </c>
      <c r="F387">
        <v>6.75</v>
      </c>
      <c r="G387">
        <v>101.2</v>
      </c>
      <c r="H387">
        <v>1.53</v>
      </c>
      <c r="I387">
        <v>4</v>
      </c>
      <c r="J387">
        <v>287.24</v>
      </c>
      <c r="K387">
        <v>58.47</v>
      </c>
      <c r="L387">
        <v>24.75</v>
      </c>
      <c r="M387">
        <v>2</v>
      </c>
      <c r="N387">
        <v>79.02</v>
      </c>
      <c r="O387">
        <v>35660.82</v>
      </c>
      <c r="P387">
        <v>99.98</v>
      </c>
      <c r="Q387">
        <v>204.14</v>
      </c>
      <c r="R387">
        <v>23.61</v>
      </c>
      <c r="S387">
        <v>17.37</v>
      </c>
      <c r="T387">
        <v>1025.3800000000001</v>
      </c>
      <c r="U387">
        <v>0.74</v>
      </c>
      <c r="V387">
        <v>0.76</v>
      </c>
      <c r="W387">
        <v>1.1399999999999999</v>
      </c>
      <c r="X387">
        <v>0.06</v>
      </c>
      <c r="Y387">
        <v>1</v>
      </c>
      <c r="Z387">
        <v>10</v>
      </c>
    </row>
    <row r="388" spans="1:26" x14ac:dyDescent="0.3">
      <c r="A388">
        <v>96</v>
      </c>
      <c r="B388">
        <v>125</v>
      </c>
      <c r="C388" t="s">
        <v>26</v>
      </c>
      <c r="D388">
        <v>10.315200000000001</v>
      </c>
      <c r="E388">
        <v>9.69</v>
      </c>
      <c r="F388">
        <v>6.75</v>
      </c>
      <c r="G388">
        <v>101.23</v>
      </c>
      <c r="H388">
        <v>1.55</v>
      </c>
      <c r="I388">
        <v>4</v>
      </c>
      <c r="J388">
        <v>287.75</v>
      </c>
      <c r="K388">
        <v>58.47</v>
      </c>
      <c r="L388">
        <v>25</v>
      </c>
      <c r="M388">
        <v>2</v>
      </c>
      <c r="N388">
        <v>79.27</v>
      </c>
      <c r="O388">
        <v>35723.019999999997</v>
      </c>
      <c r="P388">
        <v>100.13</v>
      </c>
      <c r="Q388">
        <v>204.15</v>
      </c>
      <c r="R388">
        <v>23.61</v>
      </c>
      <c r="S388">
        <v>17.37</v>
      </c>
      <c r="T388">
        <v>1024.94</v>
      </c>
      <c r="U388">
        <v>0.74</v>
      </c>
      <c r="V388">
        <v>0.76</v>
      </c>
      <c r="W388">
        <v>1.1399999999999999</v>
      </c>
      <c r="X388">
        <v>0.06</v>
      </c>
      <c r="Y388">
        <v>1</v>
      </c>
      <c r="Z388">
        <v>10</v>
      </c>
    </row>
    <row r="389" spans="1:26" x14ac:dyDescent="0.3">
      <c r="A389">
        <v>97</v>
      </c>
      <c r="B389">
        <v>125</v>
      </c>
      <c r="C389" t="s">
        <v>26</v>
      </c>
      <c r="D389">
        <v>10.3116</v>
      </c>
      <c r="E389">
        <v>9.6999999999999993</v>
      </c>
      <c r="F389">
        <v>6.75</v>
      </c>
      <c r="G389">
        <v>101.28</v>
      </c>
      <c r="H389">
        <v>1.56</v>
      </c>
      <c r="I389">
        <v>4</v>
      </c>
      <c r="J389">
        <v>288.25</v>
      </c>
      <c r="K389">
        <v>58.47</v>
      </c>
      <c r="L389">
        <v>25.25</v>
      </c>
      <c r="M389">
        <v>2</v>
      </c>
      <c r="N389">
        <v>79.53</v>
      </c>
      <c r="O389">
        <v>35785.31</v>
      </c>
      <c r="P389">
        <v>100.18</v>
      </c>
      <c r="Q389">
        <v>204.14</v>
      </c>
      <c r="R389">
        <v>23.74</v>
      </c>
      <c r="S389">
        <v>17.37</v>
      </c>
      <c r="T389">
        <v>1092.54</v>
      </c>
      <c r="U389">
        <v>0.73</v>
      </c>
      <c r="V389">
        <v>0.76</v>
      </c>
      <c r="W389">
        <v>1.1399999999999999</v>
      </c>
      <c r="X389">
        <v>0.06</v>
      </c>
      <c r="Y389">
        <v>1</v>
      </c>
      <c r="Z389">
        <v>10</v>
      </c>
    </row>
    <row r="390" spans="1:26" x14ac:dyDescent="0.3">
      <c r="A390">
        <v>98</v>
      </c>
      <c r="B390">
        <v>125</v>
      </c>
      <c r="C390" t="s">
        <v>26</v>
      </c>
      <c r="D390">
        <v>10.315799999999999</v>
      </c>
      <c r="E390">
        <v>9.69</v>
      </c>
      <c r="F390">
        <v>6.75</v>
      </c>
      <c r="G390">
        <v>101.22</v>
      </c>
      <c r="H390">
        <v>1.57</v>
      </c>
      <c r="I390">
        <v>4</v>
      </c>
      <c r="J390">
        <v>288.76</v>
      </c>
      <c r="K390">
        <v>58.47</v>
      </c>
      <c r="L390">
        <v>25.5</v>
      </c>
      <c r="M390">
        <v>2</v>
      </c>
      <c r="N390">
        <v>79.78</v>
      </c>
      <c r="O390">
        <v>35847.71</v>
      </c>
      <c r="P390">
        <v>100.35</v>
      </c>
      <c r="Q390">
        <v>204.14</v>
      </c>
      <c r="R390">
        <v>23.62</v>
      </c>
      <c r="S390">
        <v>17.37</v>
      </c>
      <c r="T390">
        <v>1031.44</v>
      </c>
      <c r="U390">
        <v>0.74</v>
      </c>
      <c r="V390">
        <v>0.76</v>
      </c>
      <c r="W390">
        <v>1.1399999999999999</v>
      </c>
      <c r="X390">
        <v>0.06</v>
      </c>
      <c r="Y390">
        <v>1</v>
      </c>
      <c r="Z390">
        <v>10</v>
      </c>
    </row>
    <row r="391" spans="1:26" x14ac:dyDescent="0.3">
      <c r="A391">
        <v>99</v>
      </c>
      <c r="B391">
        <v>125</v>
      </c>
      <c r="C391" t="s">
        <v>26</v>
      </c>
      <c r="D391">
        <v>10.3184</v>
      </c>
      <c r="E391">
        <v>9.69</v>
      </c>
      <c r="F391">
        <v>6.75</v>
      </c>
      <c r="G391">
        <v>101.18</v>
      </c>
      <c r="H391">
        <v>1.59</v>
      </c>
      <c r="I391">
        <v>4</v>
      </c>
      <c r="J391">
        <v>289.26</v>
      </c>
      <c r="K391">
        <v>58.47</v>
      </c>
      <c r="L391">
        <v>25.75</v>
      </c>
      <c r="M391">
        <v>2</v>
      </c>
      <c r="N391">
        <v>80.040000000000006</v>
      </c>
      <c r="O391">
        <v>35910.21</v>
      </c>
      <c r="P391">
        <v>100.31</v>
      </c>
      <c r="Q391">
        <v>204.14</v>
      </c>
      <c r="R391">
        <v>23.51</v>
      </c>
      <c r="S391">
        <v>17.37</v>
      </c>
      <c r="T391">
        <v>979.18</v>
      </c>
      <c r="U391">
        <v>0.74</v>
      </c>
      <c r="V391">
        <v>0.76</v>
      </c>
      <c r="W391">
        <v>1.1399999999999999</v>
      </c>
      <c r="X391">
        <v>0.05</v>
      </c>
      <c r="Y391">
        <v>1</v>
      </c>
      <c r="Z391">
        <v>10</v>
      </c>
    </row>
    <row r="392" spans="1:26" x14ac:dyDescent="0.3">
      <c r="A392">
        <v>100</v>
      </c>
      <c r="B392">
        <v>125</v>
      </c>
      <c r="C392" t="s">
        <v>26</v>
      </c>
      <c r="D392">
        <v>10.3232</v>
      </c>
      <c r="E392">
        <v>9.69</v>
      </c>
      <c r="F392">
        <v>6.74</v>
      </c>
      <c r="G392">
        <v>101.12</v>
      </c>
      <c r="H392">
        <v>1.6</v>
      </c>
      <c r="I392">
        <v>4</v>
      </c>
      <c r="J392">
        <v>289.77</v>
      </c>
      <c r="K392">
        <v>58.47</v>
      </c>
      <c r="L392">
        <v>26</v>
      </c>
      <c r="M392">
        <v>2</v>
      </c>
      <c r="N392">
        <v>80.3</v>
      </c>
      <c r="O392">
        <v>35972.82</v>
      </c>
      <c r="P392">
        <v>100.35</v>
      </c>
      <c r="Q392">
        <v>204.14</v>
      </c>
      <c r="R392">
        <v>23.43</v>
      </c>
      <c r="S392">
        <v>17.37</v>
      </c>
      <c r="T392">
        <v>939.36</v>
      </c>
      <c r="U392">
        <v>0.74</v>
      </c>
      <c r="V392">
        <v>0.76</v>
      </c>
      <c r="W392">
        <v>1.1399999999999999</v>
      </c>
      <c r="X392">
        <v>0.05</v>
      </c>
      <c r="Y392">
        <v>1</v>
      </c>
      <c r="Z392">
        <v>10</v>
      </c>
    </row>
    <row r="393" spans="1:26" x14ac:dyDescent="0.3">
      <c r="A393">
        <v>101</v>
      </c>
      <c r="B393">
        <v>125</v>
      </c>
      <c r="C393" t="s">
        <v>26</v>
      </c>
      <c r="D393">
        <v>10.316700000000001</v>
      </c>
      <c r="E393">
        <v>9.69</v>
      </c>
      <c r="F393">
        <v>6.75</v>
      </c>
      <c r="G393">
        <v>101.21</v>
      </c>
      <c r="H393">
        <v>1.61</v>
      </c>
      <c r="I393">
        <v>4</v>
      </c>
      <c r="J393">
        <v>290.27999999999997</v>
      </c>
      <c r="K393">
        <v>58.47</v>
      </c>
      <c r="L393">
        <v>26.25</v>
      </c>
      <c r="M393">
        <v>2</v>
      </c>
      <c r="N393">
        <v>80.56</v>
      </c>
      <c r="O393">
        <v>36035.53</v>
      </c>
      <c r="P393">
        <v>100.47</v>
      </c>
      <c r="Q393">
        <v>204.14</v>
      </c>
      <c r="R393">
        <v>23.52</v>
      </c>
      <c r="S393">
        <v>17.37</v>
      </c>
      <c r="T393">
        <v>979.93</v>
      </c>
      <c r="U393">
        <v>0.74</v>
      </c>
      <c r="V393">
        <v>0.76</v>
      </c>
      <c r="W393">
        <v>1.1399999999999999</v>
      </c>
      <c r="X393">
        <v>0.06</v>
      </c>
      <c r="Y393">
        <v>1</v>
      </c>
      <c r="Z393">
        <v>10</v>
      </c>
    </row>
    <row r="394" spans="1:26" x14ac:dyDescent="0.3">
      <c r="A394">
        <v>102</v>
      </c>
      <c r="B394">
        <v>125</v>
      </c>
      <c r="C394" t="s">
        <v>26</v>
      </c>
      <c r="D394">
        <v>10.3178</v>
      </c>
      <c r="E394">
        <v>9.69</v>
      </c>
      <c r="F394">
        <v>6.75</v>
      </c>
      <c r="G394">
        <v>101.19</v>
      </c>
      <c r="H394">
        <v>1.62</v>
      </c>
      <c r="I394">
        <v>4</v>
      </c>
      <c r="J394">
        <v>290.79000000000002</v>
      </c>
      <c r="K394">
        <v>58.47</v>
      </c>
      <c r="L394">
        <v>26.5</v>
      </c>
      <c r="M394">
        <v>2</v>
      </c>
      <c r="N394">
        <v>80.819999999999993</v>
      </c>
      <c r="O394">
        <v>36098.35</v>
      </c>
      <c r="P394">
        <v>100.42</v>
      </c>
      <c r="Q394">
        <v>204.15</v>
      </c>
      <c r="R394">
        <v>23.56</v>
      </c>
      <c r="S394">
        <v>17.37</v>
      </c>
      <c r="T394">
        <v>1004.71</v>
      </c>
      <c r="U394">
        <v>0.74</v>
      </c>
      <c r="V394">
        <v>0.76</v>
      </c>
      <c r="W394">
        <v>1.1399999999999999</v>
      </c>
      <c r="X394">
        <v>0.05</v>
      </c>
      <c r="Y394">
        <v>1</v>
      </c>
      <c r="Z394">
        <v>10</v>
      </c>
    </row>
    <row r="395" spans="1:26" x14ac:dyDescent="0.3">
      <c r="A395">
        <v>103</v>
      </c>
      <c r="B395">
        <v>125</v>
      </c>
      <c r="C395" t="s">
        <v>26</v>
      </c>
      <c r="D395">
        <v>10.309900000000001</v>
      </c>
      <c r="E395">
        <v>9.6999999999999993</v>
      </c>
      <c r="F395">
        <v>6.75</v>
      </c>
      <c r="G395">
        <v>101.3</v>
      </c>
      <c r="H395">
        <v>1.64</v>
      </c>
      <c r="I395">
        <v>4</v>
      </c>
      <c r="J395">
        <v>291.3</v>
      </c>
      <c r="K395">
        <v>58.47</v>
      </c>
      <c r="L395">
        <v>26.75</v>
      </c>
      <c r="M395">
        <v>2</v>
      </c>
      <c r="N395">
        <v>81.08</v>
      </c>
      <c r="O395">
        <v>36161.269999999997</v>
      </c>
      <c r="P395">
        <v>100.54</v>
      </c>
      <c r="Q395">
        <v>204.14</v>
      </c>
      <c r="R395">
        <v>23.75</v>
      </c>
      <c r="S395">
        <v>17.37</v>
      </c>
      <c r="T395">
        <v>1098.58</v>
      </c>
      <c r="U395">
        <v>0.73</v>
      </c>
      <c r="V395">
        <v>0.76</v>
      </c>
      <c r="W395">
        <v>1.1399999999999999</v>
      </c>
      <c r="X395">
        <v>0.06</v>
      </c>
      <c r="Y395">
        <v>1</v>
      </c>
      <c r="Z395">
        <v>10</v>
      </c>
    </row>
    <row r="396" spans="1:26" x14ac:dyDescent="0.3">
      <c r="A396">
        <v>104</v>
      </c>
      <c r="B396">
        <v>125</v>
      </c>
      <c r="C396" t="s">
        <v>26</v>
      </c>
      <c r="D396">
        <v>10.3155</v>
      </c>
      <c r="E396">
        <v>9.69</v>
      </c>
      <c r="F396">
        <v>6.75</v>
      </c>
      <c r="G396">
        <v>101.22</v>
      </c>
      <c r="H396">
        <v>1.65</v>
      </c>
      <c r="I396">
        <v>4</v>
      </c>
      <c r="J396">
        <v>291.81</v>
      </c>
      <c r="K396">
        <v>58.47</v>
      </c>
      <c r="L396">
        <v>27</v>
      </c>
      <c r="M396">
        <v>2</v>
      </c>
      <c r="N396">
        <v>81.34</v>
      </c>
      <c r="O396">
        <v>36224.300000000003</v>
      </c>
      <c r="P396">
        <v>100.44</v>
      </c>
      <c r="Q396">
        <v>204.14</v>
      </c>
      <c r="R396">
        <v>23.66</v>
      </c>
      <c r="S396">
        <v>17.37</v>
      </c>
      <c r="T396">
        <v>1053.8499999999999</v>
      </c>
      <c r="U396">
        <v>0.73</v>
      </c>
      <c r="V396">
        <v>0.76</v>
      </c>
      <c r="W396">
        <v>1.1399999999999999</v>
      </c>
      <c r="X396">
        <v>0.06</v>
      </c>
      <c r="Y396">
        <v>1</v>
      </c>
      <c r="Z396">
        <v>10</v>
      </c>
    </row>
    <row r="397" spans="1:26" x14ac:dyDescent="0.3">
      <c r="A397">
        <v>105</v>
      </c>
      <c r="B397">
        <v>125</v>
      </c>
      <c r="C397" t="s">
        <v>26</v>
      </c>
      <c r="D397">
        <v>10.3116</v>
      </c>
      <c r="E397">
        <v>9.6999999999999993</v>
      </c>
      <c r="F397">
        <v>6.75</v>
      </c>
      <c r="G397">
        <v>101.28</v>
      </c>
      <c r="H397">
        <v>1.66</v>
      </c>
      <c r="I397">
        <v>4</v>
      </c>
      <c r="J397">
        <v>292.32</v>
      </c>
      <c r="K397">
        <v>58.47</v>
      </c>
      <c r="L397">
        <v>27.25</v>
      </c>
      <c r="M397">
        <v>2</v>
      </c>
      <c r="N397">
        <v>81.599999999999994</v>
      </c>
      <c r="O397">
        <v>36287.440000000002</v>
      </c>
      <c r="P397">
        <v>100.47</v>
      </c>
      <c r="Q397">
        <v>204.14</v>
      </c>
      <c r="R397">
        <v>23.75</v>
      </c>
      <c r="S397">
        <v>17.37</v>
      </c>
      <c r="T397">
        <v>1095.92</v>
      </c>
      <c r="U397">
        <v>0.73</v>
      </c>
      <c r="V397">
        <v>0.76</v>
      </c>
      <c r="W397">
        <v>1.1399999999999999</v>
      </c>
      <c r="X397">
        <v>0.06</v>
      </c>
      <c r="Y397">
        <v>1</v>
      </c>
      <c r="Z397">
        <v>10</v>
      </c>
    </row>
    <row r="398" spans="1:26" x14ac:dyDescent="0.3">
      <c r="A398">
        <v>106</v>
      </c>
      <c r="B398">
        <v>125</v>
      </c>
      <c r="C398" t="s">
        <v>26</v>
      </c>
      <c r="D398">
        <v>10.317</v>
      </c>
      <c r="E398">
        <v>9.69</v>
      </c>
      <c r="F398">
        <v>6.75</v>
      </c>
      <c r="G398">
        <v>101.2</v>
      </c>
      <c r="H398">
        <v>1.67</v>
      </c>
      <c r="I398">
        <v>4</v>
      </c>
      <c r="J398">
        <v>292.83999999999997</v>
      </c>
      <c r="K398">
        <v>58.47</v>
      </c>
      <c r="L398">
        <v>27.5</v>
      </c>
      <c r="M398">
        <v>2</v>
      </c>
      <c r="N398">
        <v>81.86</v>
      </c>
      <c r="O398">
        <v>36350.69</v>
      </c>
      <c r="P398">
        <v>100.28</v>
      </c>
      <c r="Q398">
        <v>204.14</v>
      </c>
      <c r="R398">
        <v>23.59</v>
      </c>
      <c r="S398">
        <v>17.37</v>
      </c>
      <c r="T398">
        <v>1016.05</v>
      </c>
      <c r="U398">
        <v>0.74</v>
      </c>
      <c r="V398">
        <v>0.76</v>
      </c>
      <c r="W398">
        <v>1.1399999999999999</v>
      </c>
      <c r="X398">
        <v>0.06</v>
      </c>
      <c r="Y398">
        <v>1</v>
      </c>
      <c r="Z398">
        <v>10</v>
      </c>
    </row>
    <row r="399" spans="1:26" x14ac:dyDescent="0.3">
      <c r="A399">
        <v>107</v>
      </c>
      <c r="B399">
        <v>125</v>
      </c>
      <c r="C399" t="s">
        <v>26</v>
      </c>
      <c r="D399">
        <v>10.3164</v>
      </c>
      <c r="E399">
        <v>9.69</v>
      </c>
      <c r="F399">
        <v>6.75</v>
      </c>
      <c r="G399">
        <v>101.21</v>
      </c>
      <c r="H399">
        <v>1.68</v>
      </c>
      <c r="I399">
        <v>4</v>
      </c>
      <c r="J399">
        <v>293.35000000000002</v>
      </c>
      <c r="K399">
        <v>58.47</v>
      </c>
      <c r="L399">
        <v>27.75</v>
      </c>
      <c r="M399">
        <v>2</v>
      </c>
      <c r="N399">
        <v>82.13</v>
      </c>
      <c r="O399">
        <v>36414.050000000003</v>
      </c>
      <c r="P399">
        <v>100.28</v>
      </c>
      <c r="Q399">
        <v>204.14</v>
      </c>
      <c r="R399">
        <v>23.59</v>
      </c>
      <c r="S399">
        <v>17.37</v>
      </c>
      <c r="T399">
        <v>1018.7</v>
      </c>
      <c r="U399">
        <v>0.74</v>
      </c>
      <c r="V399">
        <v>0.76</v>
      </c>
      <c r="W399">
        <v>1.1399999999999999</v>
      </c>
      <c r="X399">
        <v>0.06</v>
      </c>
      <c r="Y399">
        <v>1</v>
      </c>
      <c r="Z399">
        <v>10</v>
      </c>
    </row>
    <row r="400" spans="1:26" x14ac:dyDescent="0.3">
      <c r="A400">
        <v>108</v>
      </c>
      <c r="B400">
        <v>125</v>
      </c>
      <c r="C400" t="s">
        <v>26</v>
      </c>
      <c r="D400">
        <v>10.316700000000001</v>
      </c>
      <c r="E400">
        <v>9.69</v>
      </c>
      <c r="F400">
        <v>6.75</v>
      </c>
      <c r="G400">
        <v>101.21</v>
      </c>
      <c r="H400">
        <v>1.7</v>
      </c>
      <c r="I400">
        <v>4</v>
      </c>
      <c r="J400">
        <v>293.86</v>
      </c>
      <c r="K400">
        <v>58.47</v>
      </c>
      <c r="L400">
        <v>28</v>
      </c>
      <c r="M400">
        <v>2</v>
      </c>
      <c r="N400">
        <v>82.39</v>
      </c>
      <c r="O400">
        <v>36477.51</v>
      </c>
      <c r="P400">
        <v>100.22</v>
      </c>
      <c r="Q400">
        <v>204.14</v>
      </c>
      <c r="R400">
        <v>23.58</v>
      </c>
      <c r="S400">
        <v>17.37</v>
      </c>
      <c r="T400">
        <v>1011.26</v>
      </c>
      <c r="U400">
        <v>0.74</v>
      </c>
      <c r="V400">
        <v>0.76</v>
      </c>
      <c r="W400">
        <v>1.1399999999999999</v>
      </c>
      <c r="X400">
        <v>0.06</v>
      </c>
      <c r="Y400">
        <v>1</v>
      </c>
      <c r="Z400">
        <v>10</v>
      </c>
    </row>
    <row r="401" spans="1:26" x14ac:dyDescent="0.3">
      <c r="A401">
        <v>109</v>
      </c>
      <c r="B401">
        <v>125</v>
      </c>
      <c r="C401" t="s">
        <v>26</v>
      </c>
      <c r="D401">
        <v>10.319900000000001</v>
      </c>
      <c r="E401">
        <v>9.69</v>
      </c>
      <c r="F401">
        <v>6.74</v>
      </c>
      <c r="G401">
        <v>101.16</v>
      </c>
      <c r="H401">
        <v>1.71</v>
      </c>
      <c r="I401">
        <v>4</v>
      </c>
      <c r="J401">
        <v>294.38</v>
      </c>
      <c r="K401">
        <v>58.47</v>
      </c>
      <c r="L401">
        <v>28.25</v>
      </c>
      <c r="M401">
        <v>2</v>
      </c>
      <c r="N401">
        <v>82.66</v>
      </c>
      <c r="O401">
        <v>36541.089999999997</v>
      </c>
      <c r="P401">
        <v>100.09</v>
      </c>
      <c r="Q401">
        <v>204.14</v>
      </c>
      <c r="R401">
        <v>23.45</v>
      </c>
      <c r="S401">
        <v>17.37</v>
      </c>
      <c r="T401">
        <v>948.4</v>
      </c>
      <c r="U401">
        <v>0.74</v>
      </c>
      <c r="V401">
        <v>0.76</v>
      </c>
      <c r="W401">
        <v>1.1399999999999999</v>
      </c>
      <c r="X401">
        <v>0.05</v>
      </c>
      <c r="Y401">
        <v>1</v>
      </c>
      <c r="Z401">
        <v>10</v>
      </c>
    </row>
    <row r="402" spans="1:26" x14ac:dyDescent="0.3">
      <c r="A402">
        <v>110</v>
      </c>
      <c r="B402">
        <v>125</v>
      </c>
      <c r="C402" t="s">
        <v>26</v>
      </c>
      <c r="D402">
        <v>10.319900000000001</v>
      </c>
      <c r="E402">
        <v>9.69</v>
      </c>
      <c r="F402">
        <v>6.74</v>
      </c>
      <c r="G402">
        <v>101.16</v>
      </c>
      <c r="H402">
        <v>1.72</v>
      </c>
      <c r="I402">
        <v>4</v>
      </c>
      <c r="J402">
        <v>294.89999999999998</v>
      </c>
      <c r="K402">
        <v>58.47</v>
      </c>
      <c r="L402">
        <v>28.5</v>
      </c>
      <c r="M402">
        <v>2</v>
      </c>
      <c r="N402">
        <v>82.92</v>
      </c>
      <c r="O402">
        <v>36604.769999999997</v>
      </c>
      <c r="P402">
        <v>99.93</v>
      </c>
      <c r="Q402">
        <v>204.14</v>
      </c>
      <c r="R402">
        <v>23.42</v>
      </c>
      <c r="S402">
        <v>17.37</v>
      </c>
      <c r="T402">
        <v>931.25</v>
      </c>
      <c r="U402">
        <v>0.74</v>
      </c>
      <c r="V402">
        <v>0.76</v>
      </c>
      <c r="W402">
        <v>1.1399999999999999</v>
      </c>
      <c r="X402">
        <v>0.05</v>
      </c>
      <c r="Y402">
        <v>1</v>
      </c>
      <c r="Z402">
        <v>10</v>
      </c>
    </row>
    <row r="403" spans="1:26" x14ac:dyDescent="0.3">
      <c r="A403">
        <v>111</v>
      </c>
      <c r="B403">
        <v>125</v>
      </c>
      <c r="C403" t="s">
        <v>26</v>
      </c>
      <c r="D403">
        <v>10.3161</v>
      </c>
      <c r="E403">
        <v>9.69</v>
      </c>
      <c r="F403">
        <v>6.75</v>
      </c>
      <c r="G403">
        <v>101.22</v>
      </c>
      <c r="H403">
        <v>1.73</v>
      </c>
      <c r="I403">
        <v>4</v>
      </c>
      <c r="J403">
        <v>295.41000000000003</v>
      </c>
      <c r="K403">
        <v>58.47</v>
      </c>
      <c r="L403">
        <v>28.75</v>
      </c>
      <c r="M403">
        <v>2</v>
      </c>
      <c r="N403">
        <v>83.19</v>
      </c>
      <c r="O403">
        <v>36668.57</v>
      </c>
      <c r="P403">
        <v>99.88</v>
      </c>
      <c r="Q403">
        <v>204.14</v>
      </c>
      <c r="R403">
        <v>23.47</v>
      </c>
      <c r="S403">
        <v>17.37</v>
      </c>
      <c r="T403">
        <v>956.86</v>
      </c>
      <c r="U403">
        <v>0.74</v>
      </c>
      <c r="V403">
        <v>0.76</v>
      </c>
      <c r="W403">
        <v>1.1499999999999999</v>
      </c>
      <c r="X403">
        <v>0.06</v>
      </c>
      <c r="Y403">
        <v>1</v>
      </c>
      <c r="Z403">
        <v>10</v>
      </c>
    </row>
    <row r="404" spans="1:26" x14ac:dyDescent="0.3">
      <c r="A404">
        <v>112</v>
      </c>
      <c r="B404">
        <v>125</v>
      </c>
      <c r="C404" t="s">
        <v>26</v>
      </c>
      <c r="D404">
        <v>10.3226</v>
      </c>
      <c r="E404">
        <v>9.69</v>
      </c>
      <c r="F404">
        <v>6.74</v>
      </c>
      <c r="G404">
        <v>101.12</v>
      </c>
      <c r="H404">
        <v>1.75</v>
      </c>
      <c r="I404">
        <v>4</v>
      </c>
      <c r="J404">
        <v>295.93</v>
      </c>
      <c r="K404">
        <v>58.47</v>
      </c>
      <c r="L404">
        <v>29</v>
      </c>
      <c r="M404">
        <v>2</v>
      </c>
      <c r="N404">
        <v>83.46</v>
      </c>
      <c r="O404">
        <v>36732.47</v>
      </c>
      <c r="P404">
        <v>99.61</v>
      </c>
      <c r="Q404">
        <v>204.14</v>
      </c>
      <c r="R404">
        <v>23.41</v>
      </c>
      <c r="S404">
        <v>17.37</v>
      </c>
      <c r="T404">
        <v>925.69</v>
      </c>
      <c r="U404">
        <v>0.74</v>
      </c>
      <c r="V404">
        <v>0.76</v>
      </c>
      <c r="W404">
        <v>1.1399999999999999</v>
      </c>
      <c r="X404">
        <v>0.05</v>
      </c>
      <c r="Y404">
        <v>1</v>
      </c>
      <c r="Z404">
        <v>10</v>
      </c>
    </row>
    <row r="405" spans="1:26" x14ac:dyDescent="0.3">
      <c r="A405">
        <v>113</v>
      </c>
      <c r="B405">
        <v>125</v>
      </c>
      <c r="C405" t="s">
        <v>26</v>
      </c>
      <c r="D405">
        <v>10.322900000000001</v>
      </c>
      <c r="E405">
        <v>9.69</v>
      </c>
      <c r="F405">
        <v>6.74</v>
      </c>
      <c r="G405">
        <v>101.12</v>
      </c>
      <c r="H405">
        <v>1.76</v>
      </c>
      <c r="I405">
        <v>4</v>
      </c>
      <c r="J405">
        <v>296.45</v>
      </c>
      <c r="K405">
        <v>58.47</v>
      </c>
      <c r="L405">
        <v>29.25</v>
      </c>
      <c r="M405">
        <v>2</v>
      </c>
      <c r="N405">
        <v>83.73</v>
      </c>
      <c r="O405">
        <v>36796.49</v>
      </c>
      <c r="P405">
        <v>99.5</v>
      </c>
      <c r="Q405">
        <v>204.14</v>
      </c>
      <c r="R405">
        <v>23.39</v>
      </c>
      <c r="S405">
        <v>17.37</v>
      </c>
      <c r="T405">
        <v>916.03</v>
      </c>
      <c r="U405">
        <v>0.74</v>
      </c>
      <c r="V405">
        <v>0.76</v>
      </c>
      <c r="W405">
        <v>1.1399999999999999</v>
      </c>
      <c r="X405">
        <v>0.05</v>
      </c>
      <c r="Y405">
        <v>1</v>
      </c>
      <c r="Z405">
        <v>10</v>
      </c>
    </row>
    <row r="406" spans="1:26" x14ac:dyDescent="0.3">
      <c r="A406">
        <v>114</v>
      </c>
      <c r="B406">
        <v>125</v>
      </c>
      <c r="C406" t="s">
        <v>26</v>
      </c>
      <c r="D406">
        <v>10.323499999999999</v>
      </c>
      <c r="E406">
        <v>9.69</v>
      </c>
      <c r="F406">
        <v>6.74</v>
      </c>
      <c r="G406">
        <v>101.11</v>
      </c>
      <c r="H406">
        <v>1.77</v>
      </c>
      <c r="I406">
        <v>4</v>
      </c>
      <c r="J406">
        <v>296.97000000000003</v>
      </c>
      <c r="K406">
        <v>58.47</v>
      </c>
      <c r="L406">
        <v>29.5</v>
      </c>
      <c r="M406">
        <v>2</v>
      </c>
      <c r="N406">
        <v>84</v>
      </c>
      <c r="O406">
        <v>36860.620000000003</v>
      </c>
      <c r="P406">
        <v>99.23</v>
      </c>
      <c r="Q406">
        <v>204.17</v>
      </c>
      <c r="R406">
        <v>23.36</v>
      </c>
      <c r="S406">
        <v>17.37</v>
      </c>
      <c r="T406">
        <v>902.99</v>
      </c>
      <c r="U406">
        <v>0.74</v>
      </c>
      <c r="V406">
        <v>0.76</v>
      </c>
      <c r="W406">
        <v>1.1399999999999999</v>
      </c>
      <c r="X406">
        <v>0.05</v>
      </c>
      <c r="Y406">
        <v>1</v>
      </c>
      <c r="Z406">
        <v>10</v>
      </c>
    </row>
    <row r="407" spans="1:26" x14ac:dyDescent="0.3">
      <c r="A407">
        <v>115</v>
      </c>
      <c r="B407">
        <v>125</v>
      </c>
      <c r="C407" t="s">
        <v>26</v>
      </c>
      <c r="D407">
        <v>10.322900000000001</v>
      </c>
      <c r="E407">
        <v>9.69</v>
      </c>
      <c r="F407">
        <v>6.74</v>
      </c>
      <c r="G407">
        <v>101.12</v>
      </c>
      <c r="H407">
        <v>1.78</v>
      </c>
      <c r="I407">
        <v>4</v>
      </c>
      <c r="J407">
        <v>297.49</v>
      </c>
      <c r="K407">
        <v>58.47</v>
      </c>
      <c r="L407">
        <v>29.75</v>
      </c>
      <c r="M407">
        <v>2</v>
      </c>
      <c r="N407">
        <v>84.27</v>
      </c>
      <c r="O407">
        <v>36924.870000000003</v>
      </c>
      <c r="P407">
        <v>99.05</v>
      </c>
      <c r="Q407">
        <v>204.14</v>
      </c>
      <c r="R407">
        <v>23.42</v>
      </c>
      <c r="S407">
        <v>17.37</v>
      </c>
      <c r="T407">
        <v>929.92</v>
      </c>
      <c r="U407">
        <v>0.74</v>
      </c>
      <c r="V407">
        <v>0.76</v>
      </c>
      <c r="W407">
        <v>1.1399999999999999</v>
      </c>
      <c r="X407">
        <v>0.05</v>
      </c>
      <c r="Y407">
        <v>1</v>
      </c>
      <c r="Z407">
        <v>10</v>
      </c>
    </row>
    <row r="408" spans="1:26" x14ac:dyDescent="0.3">
      <c r="A408">
        <v>116</v>
      </c>
      <c r="B408">
        <v>125</v>
      </c>
      <c r="C408" t="s">
        <v>26</v>
      </c>
      <c r="D408">
        <v>10.328200000000001</v>
      </c>
      <c r="E408">
        <v>9.68</v>
      </c>
      <c r="F408">
        <v>6.74</v>
      </c>
      <c r="G408">
        <v>101.05</v>
      </c>
      <c r="H408">
        <v>1.79</v>
      </c>
      <c r="I408">
        <v>4</v>
      </c>
      <c r="J408">
        <v>298.01</v>
      </c>
      <c r="K408">
        <v>58.47</v>
      </c>
      <c r="L408">
        <v>30</v>
      </c>
      <c r="M408">
        <v>2</v>
      </c>
      <c r="N408">
        <v>84.54</v>
      </c>
      <c r="O408">
        <v>36989.230000000003</v>
      </c>
      <c r="P408">
        <v>98.82</v>
      </c>
      <c r="Q408">
        <v>204.14</v>
      </c>
      <c r="R408">
        <v>23.16</v>
      </c>
      <c r="S408">
        <v>17.37</v>
      </c>
      <c r="T408">
        <v>803.03</v>
      </c>
      <c r="U408">
        <v>0.75</v>
      </c>
      <c r="V408">
        <v>0.76</v>
      </c>
      <c r="W408">
        <v>1.1399999999999999</v>
      </c>
      <c r="X408">
        <v>0.05</v>
      </c>
      <c r="Y408">
        <v>1</v>
      </c>
      <c r="Z408">
        <v>10</v>
      </c>
    </row>
    <row r="409" spans="1:26" x14ac:dyDescent="0.3">
      <c r="A409">
        <v>117</v>
      </c>
      <c r="B409">
        <v>125</v>
      </c>
      <c r="C409" t="s">
        <v>26</v>
      </c>
      <c r="D409">
        <v>10.33</v>
      </c>
      <c r="E409">
        <v>9.68</v>
      </c>
      <c r="F409">
        <v>6.73</v>
      </c>
      <c r="G409">
        <v>101.02</v>
      </c>
      <c r="H409">
        <v>1.8</v>
      </c>
      <c r="I409">
        <v>4</v>
      </c>
      <c r="J409">
        <v>298.54000000000002</v>
      </c>
      <c r="K409">
        <v>58.47</v>
      </c>
      <c r="L409">
        <v>30.25</v>
      </c>
      <c r="M409">
        <v>2</v>
      </c>
      <c r="N409">
        <v>84.81</v>
      </c>
      <c r="O409">
        <v>37053.699999999997</v>
      </c>
      <c r="P409">
        <v>98.65</v>
      </c>
      <c r="Q409">
        <v>204.14</v>
      </c>
      <c r="R409">
        <v>23.14</v>
      </c>
      <c r="S409">
        <v>17.37</v>
      </c>
      <c r="T409">
        <v>790.09</v>
      </c>
      <c r="U409">
        <v>0.75</v>
      </c>
      <c r="V409">
        <v>0.76</v>
      </c>
      <c r="W409">
        <v>1.1399999999999999</v>
      </c>
      <c r="X409">
        <v>0.04</v>
      </c>
      <c r="Y409">
        <v>1</v>
      </c>
      <c r="Z409">
        <v>10</v>
      </c>
    </row>
    <row r="410" spans="1:26" x14ac:dyDescent="0.3">
      <c r="A410">
        <v>118</v>
      </c>
      <c r="B410">
        <v>125</v>
      </c>
      <c r="C410" t="s">
        <v>26</v>
      </c>
      <c r="D410">
        <v>10.330299999999999</v>
      </c>
      <c r="E410">
        <v>9.68</v>
      </c>
      <c r="F410">
        <v>6.73</v>
      </c>
      <c r="G410">
        <v>101.02</v>
      </c>
      <c r="H410">
        <v>1.82</v>
      </c>
      <c r="I410">
        <v>4</v>
      </c>
      <c r="J410">
        <v>299.06</v>
      </c>
      <c r="K410">
        <v>58.47</v>
      </c>
      <c r="L410">
        <v>30.5</v>
      </c>
      <c r="M410">
        <v>2</v>
      </c>
      <c r="N410">
        <v>85.09</v>
      </c>
      <c r="O410">
        <v>37118.29</v>
      </c>
      <c r="P410">
        <v>98.44</v>
      </c>
      <c r="Q410">
        <v>204.14</v>
      </c>
      <c r="R410">
        <v>23.13</v>
      </c>
      <c r="S410">
        <v>17.37</v>
      </c>
      <c r="T410">
        <v>787.49</v>
      </c>
      <c r="U410">
        <v>0.75</v>
      </c>
      <c r="V410">
        <v>0.76</v>
      </c>
      <c r="W410">
        <v>1.1399999999999999</v>
      </c>
      <c r="X410">
        <v>0.04</v>
      </c>
      <c r="Y410">
        <v>1</v>
      </c>
      <c r="Z410">
        <v>10</v>
      </c>
    </row>
    <row r="411" spans="1:26" x14ac:dyDescent="0.3">
      <c r="A411">
        <v>119</v>
      </c>
      <c r="B411">
        <v>125</v>
      </c>
      <c r="C411" t="s">
        <v>26</v>
      </c>
      <c r="D411">
        <v>10.3261</v>
      </c>
      <c r="E411">
        <v>9.68</v>
      </c>
      <c r="F411">
        <v>6.74</v>
      </c>
      <c r="G411">
        <v>101.08</v>
      </c>
      <c r="H411">
        <v>1.83</v>
      </c>
      <c r="I411">
        <v>4</v>
      </c>
      <c r="J411">
        <v>299.58999999999997</v>
      </c>
      <c r="K411">
        <v>58.47</v>
      </c>
      <c r="L411">
        <v>30.75</v>
      </c>
      <c r="M411">
        <v>2</v>
      </c>
      <c r="N411">
        <v>85.36</v>
      </c>
      <c r="O411">
        <v>37183.120000000003</v>
      </c>
      <c r="P411">
        <v>98.29</v>
      </c>
      <c r="Q411">
        <v>204.14</v>
      </c>
      <c r="R411">
        <v>23.19</v>
      </c>
      <c r="S411">
        <v>17.37</v>
      </c>
      <c r="T411">
        <v>817.91</v>
      </c>
      <c r="U411">
        <v>0.75</v>
      </c>
      <c r="V411">
        <v>0.76</v>
      </c>
      <c r="W411">
        <v>1.1399999999999999</v>
      </c>
      <c r="X411">
        <v>0.05</v>
      </c>
      <c r="Y411">
        <v>1</v>
      </c>
      <c r="Z411">
        <v>10</v>
      </c>
    </row>
    <row r="412" spans="1:26" x14ac:dyDescent="0.3">
      <c r="A412">
        <v>120</v>
      </c>
      <c r="B412">
        <v>125</v>
      </c>
      <c r="C412" t="s">
        <v>26</v>
      </c>
      <c r="D412">
        <v>10.3279</v>
      </c>
      <c r="E412">
        <v>9.68</v>
      </c>
      <c r="F412">
        <v>6.74</v>
      </c>
      <c r="G412">
        <v>101.05</v>
      </c>
      <c r="H412">
        <v>1.84</v>
      </c>
      <c r="I412">
        <v>4</v>
      </c>
      <c r="J412">
        <v>300.11</v>
      </c>
      <c r="K412">
        <v>58.47</v>
      </c>
      <c r="L412">
        <v>31</v>
      </c>
      <c r="M412">
        <v>2</v>
      </c>
      <c r="N412">
        <v>85.64</v>
      </c>
      <c r="O412">
        <v>37247.94</v>
      </c>
      <c r="P412">
        <v>98.16</v>
      </c>
      <c r="Q412">
        <v>204.14</v>
      </c>
      <c r="R412">
        <v>23.24</v>
      </c>
      <c r="S412">
        <v>17.37</v>
      </c>
      <c r="T412">
        <v>843.54</v>
      </c>
      <c r="U412">
        <v>0.75</v>
      </c>
      <c r="V412">
        <v>0.76</v>
      </c>
      <c r="W412">
        <v>1.1399999999999999</v>
      </c>
      <c r="X412">
        <v>0.05</v>
      </c>
      <c r="Y412">
        <v>1</v>
      </c>
      <c r="Z412">
        <v>10</v>
      </c>
    </row>
    <row r="413" spans="1:26" x14ac:dyDescent="0.3">
      <c r="A413">
        <v>121</v>
      </c>
      <c r="B413">
        <v>125</v>
      </c>
      <c r="C413" t="s">
        <v>26</v>
      </c>
      <c r="D413">
        <v>10.327</v>
      </c>
      <c r="E413">
        <v>9.68</v>
      </c>
      <c r="F413">
        <v>6.74</v>
      </c>
      <c r="G413">
        <v>101.06</v>
      </c>
      <c r="H413">
        <v>1.85</v>
      </c>
      <c r="I413">
        <v>4</v>
      </c>
      <c r="J413">
        <v>300.64</v>
      </c>
      <c r="K413">
        <v>58.47</v>
      </c>
      <c r="L413">
        <v>31.25</v>
      </c>
      <c r="M413">
        <v>2</v>
      </c>
      <c r="N413">
        <v>85.91</v>
      </c>
      <c r="O413">
        <v>37312.879999999997</v>
      </c>
      <c r="P413">
        <v>97.98</v>
      </c>
      <c r="Q413">
        <v>204.14</v>
      </c>
      <c r="R413">
        <v>23.25</v>
      </c>
      <c r="S413">
        <v>17.37</v>
      </c>
      <c r="T413">
        <v>846.02</v>
      </c>
      <c r="U413">
        <v>0.75</v>
      </c>
      <c r="V413">
        <v>0.76</v>
      </c>
      <c r="W413">
        <v>1.1399999999999999</v>
      </c>
      <c r="X413">
        <v>0.05</v>
      </c>
      <c r="Y413">
        <v>1</v>
      </c>
      <c r="Z413">
        <v>10</v>
      </c>
    </row>
    <row r="414" spans="1:26" x14ac:dyDescent="0.3">
      <c r="A414">
        <v>122</v>
      </c>
      <c r="B414">
        <v>125</v>
      </c>
      <c r="C414" t="s">
        <v>26</v>
      </c>
      <c r="D414">
        <v>10.3226</v>
      </c>
      <c r="E414">
        <v>9.69</v>
      </c>
      <c r="F414">
        <v>6.74</v>
      </c>
      <c r="G414">
        <v>101.12</v>
      </c>
      <c r="H414">
        <v>1.86</v>
      </c>
      <c r="I414">
        <v>4</v>
      </c>
      <c r="J414">
        <v>301.17</v>
      </c>
      <c r="K414">
        <v>58.47</v>
      </c>
      <c r="L414">
        <v>31.5</v>
      </c>
      <c r="M414">
        <v>2</v>
      </c>
      <c r="N414">
        <v>86.19</v>
      </c>
      <c r="O414">
        <v>37377.94</v>
      </c>
      <c r="P414">
        <v>97.87</v>
      </c>
      <c r="Q414">
        <v>204.14</v>
      </c>
      <c r="R414">
        <v>23.35</v>
      </c>
      <c r="S414">
        <v>17.37</v>
      </c>
      <c r="T414">
        <v>897.9</v>
      </c>
      <c r="U414">
        <v>0.74</v>
      </c>
      <c r="V414">
        <v>0.76</v>
      </c>
      <c r="W414">
        <v>1.1399999999999999</v>
      </c>
      <c r="X414">
        <v>0.05</v>
      </c>
      <c r="Y414">
        <v>1</v>
      </c>
      <c r="Z414">
        <v>10</v>
      </c>
    </row>
    <row r="415" spans="1:26" x14ac:dyDescent="0.3">
      <c r="A415">
        <v>123</v>
      </c>
      <c r="B415">
        <v>125</v>
      </c>
      <c r="C415" t="s">
        <v>26</v>
      </c>
      <c r="D415">
        <v>10.324400000000001</v>
      </c>
      <c r="E415">
        <v>9.69</v>
      </c>
      <c r="F415">
        <v>6.74</v>
      </c>
      <c r="G415">
        <v>101.1</v>
      </c>
      <c r="H415">
        <v>1.87</v>
      </c>
      <c r="I415">
        <v>4</v>
      </c>
      <c r="J415">
        <v>301.69</v>
      </c>
      <c r="K415">
        <v>58.47</v>
      </c>
      <c r="L415">
        <v>31.75</v>
      </c>
      <c r="M415">
        <v>2</v>
      </c>
      <c r="N415">
        <v>86.47</v>
      </c>
      <c r="O415">
        <v>37443.11</v>
      </c>
      <c r="P415">
        <v>97.44</v>
      </c>
      <c r="Q415">
        <v>204.15</v>
      </c>
      <c r="R415">
        <v>23.39</v>
      </c>
      <c r="S415">
        <v>17.37</v>
      </c>
      <c r="T415">
        <v>919.7</v>
      </c>
      <c r="U415">
        <v>0.74</v>
      </c>
      <c r="V415">
        <v>0.76</v>
      </c>
      <c r="W415">
        <v>1.1399999999999999</v>
      </c>
      <c r="X415">
        <v>0.05</v>
      </c>
      <c r="Y415">
        <v>1</v>
      </c>
      <c r="Z415">
        <v>10</v>
      </c>
    </row>
    <row r="416" spans="1:26" x14ac:dyDescent="0.3">
      <c r="A416">
        <v>124</v>
      </c>
      <c r="B416">
        <v>125</v>
      </c>
      <c r="C416" t="s">
        <v>26</v>
      </c>
      <c r="D416">
        <v>10.3232</v>
      </c>
      <c r="E416">
        <v>9.69</v>
      </c>
      <c r="F416">
        <v>6.74</v>
      </c>
      <c r="G416">
        <v>101.12</v>
      </c>
      <c r="H416">
        <v>1.89</v>
      </c>
      <c r="I416">
        <v>4</v>
      </c>
      <c r="J416">
        <v>302.22000000000003</v>
      </c>
      <c r="K416">
        <v>58.47</v>
      </c>
      <c r="L416">
        <v>32</v>
      </c>
      <c r="M416">
        <v>2</v>
      </c>
      <c r="N416">
        <v>86.75</v>
      </c>
      <c r="O416">
        <v>37508.410000000003</v>
      </c>
      <c r="P416">
        <v>97.35</v>
      </c>
      <c r="Q416">
        <v>204.14</v>
      </c>
      <c r="R416">
        <v>23.39</v>
      </c>
      <c r="S416">
        <v>17.37</v>
      </c>
      <c r="T416">
        <v>917.88</v>
      </c>
      <c r="U416">
        <v>0.74</v>
      </c>
      <c r="V416">
        <v>0.76</v>
      </c>
      <c r="W416">
        <v>1.1399999999999999</v>
      </c>
      <c r="X416">
        <v>0.05</v>
      </c>
      <c r="Y416">
        <v>1</v>
      </c>
      <c r="Z416">
        <v>10</v>
      </c>
    </row>
    <row r="417" spans="1:26" x14ac:dyDescent="0.3">
      <c r="A417">
        <v>125</v>
      </c>
      <c r="B417">
        <v>125</v>
      </c>
      <c r="C417" t="s">
        <v>26</v>
      </c>
      <c r="D417">
        <v>10.324400000000001</v>
      </c>
      <c r="E417">
        <v>9.69</v>
      </c>
      <c r="F417">
        <v>6.74</v>
      </c>
      <c r="G417">
        <v>101.1</v>
      </c>
      <c r="H417">
        <v>1.9</v>
      </c>
      <c r="I417">
        <v>4</v>
      </c>
      <c r="J417">
        <v>302.75</v>
      </c>
      <c r="K417">
        <v>58.47</v>
      </c>
      <c r="L417">
        <v>32.25</v>
      </c>
      <c r="M417">
        <v>2</v>
      </c>
      <c r="N417">
        <v>87.03</v>
      </c>
      <c r="O417">
        <v>37573.82</v>
      </c>
      <c r="P417">
        <v>97.09</v>
      </c>
      <c r="Q417">
        <v>204.14</v>
      </c>
      <c r="R417">
        <v>23.25</v>
      </c>
      <c r="S417">
        <v>17.37</v>
      </c>
      <c r="T417">
        <v>845.95</v>
      </c>
      <c r="U417">
        <v>0.75</v>
      </c>
      <c r="V417">
        <v>0.76</v>
      </c>
      <c r="W417">
        <v>1.1399999999999999</v>
      </c>
      <c r="X417">
        <v>0.05</v>
      </c>
      <c r="Y417">
        <v>1</v>
      </c>
      <c r="Z417">
        <v>10</v>
      </c>
    </row>
    <row r="418" spans="1:26" x14ac:dyDescent="0.3">
      <c r="A418">
        <v>126</v>
      </c>
      <c r="B418">
        <v>125</v>
      </c>
      <c r="C418" t="s">
        <v>26</v>
      </c>
      <c r="D418">
        <v>10.3261</v>
      </c>
      <c r="E418">
        <v>9.68</v>
      </c>
      <c r="F418">
        <v>6.74</v>
      </c>
      <c r="G418">
        <v>101.08</v>
      </c>
      <c r="H418">
        <v>1.91</v>
      </c>
      <c r="I418">
        <v>4</v>
      </c>
      <c r="J418">
        <v>303.27999999999997</v>
      </c>
      <c r="K418">
        <v>58.47</v>
      </c>
      <c r="L418">
        <v>32.5</v>
      </c>
      <c r="M418">
        <v>2</v>
      </c>
      <c r="N418">
        <v>87.31</v>
      </c>
      <c r="O418">
        <v>37639.360000000001</v>
      </c>
      <c r="P418">
        <v>96.95</v>
      </c>
      <c r="Q418">
        <v>204.14</v>
      </c>
      <c r="R418">
        <v>23.29</v>
      </c>
      <c r="S418">
        <v>17.37</v>
      </c>
      <c r="T418">
        <v>868.17</v>
      </c>
      <c r="U418">
        <v>0.75</v>
      </c>
      <c r="V418">
        <v>0.76</v>
      </c>
      <c r="W418">
        <v>1.1399999999999999</v>
      </c>
      <c r="X418">
        <v>0.05</v>
      </c>
      <c r="Y418">
        <v>1</v>
      </c>
      <c r="Z418">
        <v>10</v>
      </c>
    </row>
    <row r="419" spans="1:26" x14ac:dyDescent="0.3">
      <c r="A419">
        <v>127</v>
      </c>
      <c r="B419">
        <v>125</v>
      </c>
      <c r="C419" t="s">
        <v>26</v>
      </c>
      <c r="D419">
        <v>10.3241</v>
      </c>
      <c r="E419">
        <v>9.69</v>
      </c>
      <c r="F419">
        <v>6.74</v>
      </c>
      <c r="G419">
        <v>101.1</v>
      </c>
      <c r="H419">
        <v>1.92</v>
      </c>
      <c r="I419">
        <v>4</v>
      </c>
      <c r="J419">
        <v>303.82</v>
      </c>
      <c r="K419">
        <v>58.47</v>
      </c>
      <c r="L419">
        <v>32.75</v>
      </c>
      <c r="M419">
        <v>2</v>
      </c>
      <c r="N419">
        <v>87.59</v>
      </c>
      <c r="O419">
        <v>37705.01</v>
      </c>
      <c r="P419">
        <v>96.83</v>
      </c>
      <c r="Q419">
        <v>204.14</v>
      </c>
      <c r="R419">
        <v>23.29</v>
      </c>
      <c r="S419">
        <v>17.37</v>
      </c>
      <c r="T419">
        <v>868.62</v>
      </c>
      <c r="U419">
        <v>0.75</v>
      </c>
      <c r="V419">
        <v>0.76</v>
      </c>
      <c r="W419">
        <v>1.1399999999999999</v>
      </c>
      <c r="X419">
        <v>0.05</v>
      </c>
      <c r="Y419">
        <v>1</v>
      </c>
      <c r="Z419">
        <v>10</v>
      </c>
    </row>
    <row r="420" spans="1:26" x14ac:dyDescent="0.3">
      <c r="A420">
        <v>128</v>
      </c>
      <c r="B420">
        <v>125</v>
      </c>
      <c r="C420" t="s">
        <v>26</v>
      </c>
      <c r="D420">
        <v>10.3261</v>
      </c>
      <c r="E420">
        <v>9.68</v>
      </c>
      <c r="F420">
        <v>6.74</v>
      </c>
      <c r="G420">
        <v>101.08</v>
      </c>
      <c r="H420">
        <v>1.93</v>
      </c>
      <c r="I420">
        <v>4</v>
      </c>
      <c r="J420">
        <v>304.35000000000002</v>
      </c>
      <c r="K420">
        <v>58.47</v>
      </c>
      <c r="L420">
        <v>33</v>
      </c>
      <c r="M420">
        <v>2</v>
      </c>
      <c r="N420">
        <v>87.88</v>
      </c>
      <c r="O420">
        <v>37770.79</v>
      </c>
      <c r="P420">
        <v>96.55</v>
      </c>
      <c r="Q420">
        <v>204.14</v>
      </c>
      <c r="R420">
        <v>23.3</v>
      </c>
      <c r="S420">
        <v>17.37</v>
      </c>
      <c r="T420">
        <v>873.61</v>
      </c>
      <c r="U420">
        <v>0.75</v>
      </c>
      <c r="V420">
        <v>0.76</v>
      </c>
      <c r="W420">
        <v>1.1399999999999999</v>
      </c>
      <c r="X420">
        <v>0.05</v>
      </c>
      <c r="Y420">
        <v>1</v>
      </c>
      <c r="Z420">
        <v>10</v>
      </c>
    </row>
    <row r="421" spans="1:26" x14ac:dyDescent="0.3">
      <c r="A421">
        <v>129</v>
      </c>
      <c r="B421">
        <v>125</v>
      </c>
      <c r="C421" t="s">
        <v>26</v>
      </c>
      <c r="D421">
        <v>10.3232</v>
      </c>
      <c r="E421">
        <v>9.69</v>
      </c>
      <c r="F421">
        <v>6.74</v>
      </c>
      <c r="G421">
        <v>101.12</v>
      </c>
      <c r="H421">
        <v>1.94</v>
      </c>
      <c r="I421">
        <v>4</v>
      </c>
      <c r="J421">
        <v>304.88</v>
      </c>
      <c r="K421">
        <v>58.47</v>
      </c>
      <c r="L421">
        <v>33.25</v>
      </c>
      <c r="M421">
        <v>2</v>
      </c>
      <c r="N421">
        <v>88.16</v>
      </c>
      <c r="O421">
        <v>37836.69</v>
      </c>
      <c r="P421">
        <v>96.28</v>
      </c>
      <c r="Q421">
        <v>204.14</v>
      </c>
      <c r="R421">
        <v>23.37</v>
      </c>
      <c r="S421">
        <v>17.37</v>
      </c>
      <c r="T421">
        <v>905.45</v>
      </c>
      <c r="U421">
        <v>0.74</v>
      </c>
      <c r="V421">
        <v>0.76</v>
      </c>
      <c r="W421">
        <v>1.1399999999999999</v>
      </c>
      <c r="X421">
        <v>0.05</v>
      </c>
      <c r="Y421">
        <v>1</v>
      </c>
      <c r="Z421">
        <v>10</v>
      </c>
    </row>
    <row r="422" spans="1:26" x14ac:dyDescent="0.3">
      <c r="A422">
        <v>130</v>
      </c>
      <c r="B422">
        <v>125</v>
      </c>
      <c r="C422" t="s">
        <v>26</v>
      </c>
      <c r="D422">
        <v>10.322900000000001</v>
      </c>
      <c r="E422">
        <v>9.69</v>
      </c>
      <c r="F422">
        <v>6.74</v>
      </c>
      <c r="G422">
        <v>101.12</v>
      </c>
      <c r="H422">
        <v>1.95</v>
      </c>
      <c r="I422">
        <v>4</v>
      </c>
      <c r="J422">
        <v>305.42</v>
      </c>
      <c r="K422">
        <v>58.47</v>
      </c>
      <c r="L422">
        <v>33.5</v>
      </c>
      <c r="M422">
        <v>2</v>
      </c>
      <c r="N422">
        <v>88.45</v>
      </c>
      <c r="O422">
        <v>37902.71</v>
      </c>
      <c r="P422">
        <v>95.88</v>
      </c>
      <c r="Q422">
        <v>204.14</v>
      </c>
      <c r="R422">
        <v>23.43</v>
      </c>
      <c r="S422">
        <v>17.37</v>
      </c>
      <c r="T422">
        <v>935.83</v>
      </c>
      <c r="U422">
        <v>0.74</v>
      </c>
      <c r="V422">
        <v>0.76</v>
      </c>
      <c r="W422">
        <v>1.1399999999999999</v>
      </c>
      <c r="X422">
        <v>0.05</v>
      </c>
      <c r="Y422">
        <v>1</v>
      </c>
      <c r="Z422">
        <v>10</v>
      </c>
    </row>
    <row r="423" spans="1:26" x14ac:dyDescent="0.3">
      <c r="A423">
        <v>131</v>
      </c>
      <c r="B423">
        <v>125</v>
      </c>
      <c r="C423" t="s">
        <v>26</v>
      </c>
      <c r="D423">
        <v>10.3249</v>
      </c>
      <c r="E423">
        <v>9.69</v>
      </c>
      <c r="F423">
        <v>6.74</v>
      </c>
      <c r="G423">
        <v>101.09</v>
      </c>
      <c r="H423">
        <v>1.97</v>
      </c>
      <c r="I423">
        <v>4</v>
      </c>
      <c r="J423">
        <v>305.95999999999998</v>
      </c>
      <c r="K423">
        <v>58.47</v>
      </c>
      <c r="L423">
        <v>33.75</v>
      </c>
      <c r="M423">
        <v>2</v>
      </c>
      <c r="N423">
        <v>88.73</v>
      </c>
      <c r="O423">
        <v>37968.85</v>
      </c>
      <c r="P423">
        <v>95.6</v>
      </c>
      <c r="Q423">
        <v>204.14</v>
      </c>
      <c r="R423">
        <v>23.33</v>
      </c>
      <c r="S423">
        <v>17.37</v>
      </c>
      <c r="T423">
        <v>885.98</v>
      </c>
      <c r="U423">
        <v>0.74</v>
      </c>
      <c r="V423">
        <v>0.76</v>
      </c>
      <c r="W423">
        <v>1.1399999999999999</v>
      </c>
      <c r="X423">
        <v>0.05</v>
      </c>
      <c r="Y423">
        <v>1</v>
      </c>
      <c r="Z423">
        <v>10</v>
      </c>
    </row>
    <row r="424" spans="1:26" x14ac:dyDescent="0.3">
      <c r="A424">
        <v>132</v>
      </c>
      <c r="B424">
        <v>125</v>
      </c>
      <c r="C424" t="s">
        <v>26</v>
      </c>
      <c r="D424">
        <v>10.401300000000001</v>
      </c>
      <c r="E424">
        <v>9.61</v>
      </c>
      <c r="F424">
        <v>6.72</v>
      </c>
      <c r="G424">
        <v>134.31</v>
      </c>
      <c r="H424">
        <v>1.98</v>
      </c>
      <c r="I424">
        <v>3</v>
      </c>
      <c r="J424">
        <v>306.49</v>
      </c>
      <c r="K424">
        <v>58.47</v>
      </c>
      <c r="L424">
        <v>34</v>
      </c>
      <c r="M424">
        <v>1</v>
      </c>
      <c r="N424">
        <v>89.02</v>
      </c>
      <c r="O424">
        <v>38035.120000000003</v>
      </c>
      <c r="P424">
        <v>94.81</v>
      </c>
      <c r="Q424">
        <v>204.14</v>
      </c>
      <c r="R424">
        <v>22.58</v>
      </c>
      <c r="S424">
        <v>17.37</v>
      </c>
      <c r="T424">
        <v>518.59</v>
      </c>
      <c r="U424">
        <v>0.77</v>
      </c>
      <c r="V424">
        <v>0.76</v>
      </c>
      <c r="W424">
        <v>1.1399999999999999</v>
      </c>
      <c r="X424">
        <v>0.02</v>
      </c>
      <c r="Y424">
        <v>1</v>
      </c>
      <c r="Z424">
        <v>10</v>
      </c>
    </row>
    <row r="425" spans="1:26" x14ac:dyDescent="0.3">
      <c r="A425">
        <v>133</v>
      </c>
      <c r="B425">
        <v>125</v>
      </c>
      <c r="C425" t="s">
        <v>26</v>
      </c>
      <c r="D425">
        <v>10.398</v>
      </c>
      <c r="E425">
        <v>9.6199999999999992</v>
      </c>
      <c r="F425">
        <v>6.72</v>
      </c>
      <c r="G425">
        <v>134.37</v>
      </c>
      <c r="H425">
        <v>1.99</v>
      </c>
      <c r="I425">
        <v>3</v>
      </c>
      <c r="J425">
        <v>307.02999999999997</v>
      </c>
      <c r="K425">
        <v>58.47</v>
      </c>
      <c r="L425">
        <v>34.25</v>
      </c>
      <c r="M425">
        <v>1</v>
      </c>
      <c r="N425">
        <v>89.31</v>
      </c>
      <c r="O425">
        <v>38101.519999999997</v>
      </c>
      <c r="P425">
        <v>95.21</v>
      </c>
      <c r="Q425">
        <v>204.14</v>
      </c>
      <c r="R425">
        <v>22.62</v>
      </c>
      <c r="S425">
        <v>17.37</v>
      </c>
      <c r="T425">
        <v>539.65</v>
      </c>
      <c r="U425">
        <v>0.77</v>
      </c>
      <c r="V425">
        <v>0.76</v>
      </c>
      <c r="W425">
        <v>1.1399999999999999</v>
      </c>
      <c r="X425">
        <v>0.03</v>
      </c>
      <c r="Y425">
        <v>1</v>
      </c>
      <c r="Z425">
        <v>10</v>
      </c>
    </row>
    <row r="426" spans="1:26" x14ac:dyDescent="0.3">
      <c r="A426">
        <v>134</v>
      </c>
      <c r="B426">
        <v>125</v>
      </c>
      <c r="C426" t="s">
        <v>26</v>
      </c>
      <c r="D426">
        <v>10.398</v>
      </c>
      <c r="E426">
        <v>9.6199999999999992</v>
      </c>
      <c r="F426">
        <v>6.72</v>
      </c>
      <c r="G426">
        <v>134.37</v>
      </c>
      <c r="H426">
        <v>2</v>
      </c>
      <c r="I426">
        <v>3</v>
      </c>
      <c r="J426">
        <v>307.57</v>
      </c>
      <c r="K426">
        <v>58.47</v>
      </c>
      <c r="L426">
        <v>34.5</v>
      </c>
      <c r="M426">
        <v>1</v>
      </c>
      <c r="N426">
        <v>89.6</v>
      </c>
      <c r="O426">
        <v>38168.04</v>
      </c>
      <c r="P426">
        <v>95.33</v>
      </c>
      <c r="Q426">
        <v>204.14</v>
      </c>
      <c r="R426">
        <v>22.66</v>
      </c>
      <c r="S426">
        <v>17.37</v>
      </c>
      <c r="T426">
        <v>557.16999999999996</v>
      </c>
      <c r="U426">
        <v>0.77</v>
      </c>
      <c r="V426">
        <v>0.76</v>
      </c>
      <c r="W426">
        <v>1.1399999999999999</v>
      </c>
      <c r="X426">
        <v>0.03</v>
      </c>
      <c r="Y426">
        <v>1</v>
      </c>
      <c r="Z426">
        <v>10</v>
      </c>
    </row>
    <row r="427" spans="1:26" x14ac:dyDescent="0.3">
      <c r="A427">
        <v>135</v>
      </c>
      <c r="B427">
        <v>125</v>
      </c>
      <c r="C427" t="s">
        <v>26</v>
      </c>
      <c r="D427">
        <v>10.397399999999999</v>
      </c>
      <c r="E427">
        <v>9.6199999999999992</v>
      </c>
      <c r="F427">
        <v>6.72</v>
      </c>
      <c r="G427">
        <v>134.38</v>
      </c>
      <c r="H427">
        <v>2.0099999999999998</v>
      </c>
      <c r="I427">
        <v>3</v>
      </c>
      <c r="J427">
        <v>308.11</v>
      </c>
      <c r="K427">
        <v>58.47</v>
      </c>
      <c r="L427">
        <v>34.75</v>
      </c>
      <c r="M427">
        <v>1</v>
      </c>
      <c r="N427">
        <v>89.89</v>
      </c>
      <c r="O427">
        <v>38234.68</v>
      </c>
      <c r="P427">
        <v>95.65</v>
      </c>
      <c r="Q427">
        <v>204.14</v>
      </c>
      <c r="R427">
        <v>22.68</v>
      </c>
      <c r="S427">
        <v>17.37</v>
      </c>
      <c r="T427">
        <v>566.37</v>
      </c>
      <c r="U427">
        <v>0.77</v>
      </c>
      <c r="V427">
        <v>0.76</v>
      </c>
      <c r="W427">
        <v>1.1399999999999999</v>
      </c>
      <c r="X427">
        <v>0.03</v>
      </c>
      <c r="Y427">
        <v>1</v>
      </c>
      <c r="Z427">
        <v>10</v>
      </c>
    </row>
    <row r="428" spans="1:26" x14ac:dyDescent="0.3">
      <c r="A428">
        <v>136</v>
      </c>
      <c r="B428">
        <v>125</v>
      </c>
      <c r="C428" t="s">
        <v>26</v>
      </c>
      <c r="D428">
        <v>10.398</v>
      </c>
      <c r="E428">
        <v>9.6199999999999992</v>
      </c>
      <c r="F428">
        <v>6.72</v>
      </c>
      <c r="G428">
        <v>134.37</v>
      </c>
      <c r="H428">
        <v>2.02</v>
      </c>
      <c r="I428">
        <v>3</v>
      </c>
      <c r="J428">
        <v>308.64999999999998</v>
      </c>
      <c r="K428">
        <v>58.47</v>
      </c>
      <c r="L428">
        <v>35</v>
      </c>
      <c r="M428">
        <v>1</v>
      </c>
      <c r="N428">
        <v>90.18</v>
      </c>
      <c r="O428">
        <v>38301.46</v>
      </c>
      <c r="P428">
        <v>95.72</v>
      </c>
      <c r="Q428">
        <v>204.14</v>
      </c>
      <c r="R428">
        <v>22.68</v>
      </c>
      <c r="S428">
        <v>17.37</v>
      </c>
      <c r="T428">
        <v>565.99</v>
      </c>
      <c r="U428">
        <v>0.77</v>
      </c>
      <c r="V428">
        <v>0.76</v>
      </c>
      <c r="W428">
        <v>1.1399999999999999</v>
      </c>
      <c r="X428">
        <v>0.03</v>
      </c>
      <c r="Y428">
        <v>1</v>
      </c>
      <c r="Z428">
        <v>10</v>
      </c>
    </row>
    <row r="429" spans="1:26" x14ac:dyDescent="0.3">
      <c r="A429">
        <v>137</v>
      </c>
      <c r="B429">
        <v>125</v>
      </c>
      <c r="C429" t="s">
        <v>26</v>
      </c>
      <c r="D429">
        <v>10.3992</v>
      </c>
      <c r="E429">
        <v>9.6199999999999992</v>
      </c>
      <c r="F429">
        <v>6.72</v>
      </c>
      <c r="G429">
        <v>134.35</v>
      </c>
      <c r="H429">
        <v>2.0299999999999998</v>
      </c>
      <c r="I429">
        <v>3</v>
      </c>
      <c r="J429">
        <v>309.2</v>
      </c>
      <c r="K429">
        <v>58.47</v>
      </c>
      <c r="L429">
        <v>35.25</v>
      </c>
      <c r="M429">
        <v>1</v>
      </c>
      <c r="N429">
        <v>90.47</v>
      </c>
      <c r="O429">
        <v>38368.36</v>
      </c>
      <c r="P429">
        <v>95.75</v>
      </c>
      <c r="Q429">
        <v>204.14</v>
      </c>
      <c r="R429">
        <v>22.65</v>
      </c>
      <c r="S429">
        <v>17.37</v>
      </c>
      <c r="T429">
        <v>551.76</v>
      </c>
      <c r="U429">
        <v>0.77</v>
      </c>
      <c r="V429">
        <v>0.76</v>
      </c>
      <c r="W429">
        <v>1.1399999999999999</v>
      </c>
      <c r="X429">
        <v>0.03</v>
      </c>
      <c r="Y429">
        <v>1</v>
      </c>
      <c r="Z429">
        <v>10</v>
      </c>
    </row>
    <row r="430" spans="1:26" x14ac:dyDescent="0.3">
      <c r="A430">
        <v>138</v>
      </c>
      <c r="B430">
        <v>125</v>
      </c>
      <c r="C430" t="s">
        <v>26</v>
      </c>
      <c r="D430">
        <v>10.3995</v>
      </c>
      <c r="E430">
        <v>9.6199999999999992</v>
      </c>
      <c r="F430">
        <v>6.72</v>
      </c>
      <c r="G430">
        <v>134.34</v>
      </c>
      <c r="H430">
        <v>2.04</v>
      </c>
      <c r="I430">
        <v>3</v>
      </c>
      <c r="J430">
        <v>309.74</v>
      </c>
      <c r="K430">
        <v>58.47</v>
      </c>
      <c r="L430">
        <v>35.5</v>
      </c>
      <c r="M430">
        <v>1</v>
      </c>
      <c r="N430">
        <v>90.77</v>
      </c>
      <c r="O430">
        <v>38435.39</v>
      </c>
      <c r="P430">
        <v>96.06</v>
      </c>
      <c r="Q430">
        <v>204.14</v>
      </c>
      <c r="R430">
        <v>22.59</v>
      </c>
      <c r="S430">
        <v>17.37</v>
      </c>
      <c r="T430">
        <v>523.17999999999995</v>
      </c>
      <c r="U430">
        <v>0.77</v>
      </c>
      <c r="V430">
        <v>0.76</v>
      </c>
      <c r="W430">
        <v>1.1399999999999999</v>
      </c>
      <c r="X430">
        <v>0.03</v>
      </c>
      <c r="Y430">
        <v>1</v>
      </c>
      <c r="Z430">
        <v>10</v>
      </c>
    </row>
    <row r="431" spans="1:26" x14ac:dyDescent="0.3">
      <c r="A431">
        <v>139</v>
      </c>
      <c r="B431">
        <v>125</v>
      </c>
      <c r="C431" t="s">
        <v>26</v>
      </c>
      <c r="D431">
        <v>10.3995</v>
      </c>
      <c r="E431">
        <v>9.6199999999999992</v>
      </c>
      <c r="F431">
        <v>6.72</v>
      </c>
      <c r="G431">
        <v>134.34</v>
      </c>
      <c r="H431">
        <v>2.0499999999999998</v>
      </c>
      <c r="I431">
        <v>3</v>
      </c>
      <c r="J431">
        <v>310.27999999999997</v>
      </c>
      <c r="K431">
        <v>58.47</v>
      </c>
      <c r="L431">
        <v>35.75</v>
      </c>
      <c r="M431">
        <v>1</v>
      </c>
      <c r="N431">
        <v>91.06</v>
      </c>
      <c r="O431">
        <v>38502.550000000003</v>
      </c>
      <c r="P431">
        <v>96.16</v>
      </c>
      <c r="Q431">
        <v>204.14</v>
      </c>
      <c r="R431">
        <v>22.63</v>
      </c>
      <c r="S431">
        <v>17.37</v>
      </c>
      <c r="T431">
        <v>540.92999999999995</v>
      </c>
      <c r="U431">
        <v>0.77</v>
      </c>
      <c r="V431">
        <v>0.76</v>
      </c>
      <c r="W431">
        <v>1.1399999999999999</v>
      </c>
      <c r="X431">
        <v>0.03</v>
      </c>
      <c r="Y431">
        <v>1</v>
      </c>
      <c r="Z431">
        <v>10</v>
      </c>
    </row>
    <row r="432" spans="1:26" x14ac:dyDescent="0.3">
      <c r="A432">
        <v>140</v>
      </c>
      <c r="B432">
        <v>125</v>
      </c>
      <c r="C432" t="s">
        <v>26</v>
      </c>
      <c r="D432">
        <v>10.396800000000001</v>
      </c>
      <c r="E432">
        <v>9.6199999999999992</v>
      </c>
      <c r="F432">
        <v>6.72</v>
      </c>
      <c r="G432">
        <v>134.38999999999999</v>
      </c>
      <c r="H432">
        <v>2.06</v>
      </c>
      <c r="I432">
        <v>3</v>
      </c>
      <c r="J432">
        <v>310.83</v>
      </c>
      <c r="K432">
        <v>58.47</v>
      </c>
      <c r="L432">
        <v>36</v>
      </c>
      <c r="M432">
        <v>1</v>
      </c>
      <c r="N432">
        <v>91.36</v>
      </c>
      <c r="O432">
        <v>38569.839999999997</v>
      </c>
      <c r="P432">
        <v>96.26</v>
      </c>
      <c r="Q432">
        <v>204.14</v>
      </c>
      <c r="R432">
        <v>22.73</v>
      </c>
      <c r="S432">
        <v>17.37</v>
      </c>
      <c r="T432">
        <v>590.89</v>
      </c>
      <c r="U432">
        <v>0.76</v>
      </c>
      <c r="V432">
        <v>0.76</v>
      </c>
      <c r="W432">
        <v>1.1399999999999999</v>
      </c>
      <c r="X432">
        <v>0.03</v>
      </c>
      <c r="Y432">
        <v>1</v>
      </c>
      <c r="Z432">
        <v>10</v>
      </c>
    </row>
    <row r="433" spans="1:26" x14ac:dyDescent="0.3">
      <c r="A433">
        <v>141</v>
      </c>
      <c r="B433">
        <v>125</v>
      </c>
      <c r="C433" t="s">
        <v>26</v>
      </c>
      <c r="D433">
        <v>10.3956</v>
      </c>
      <c r="E433">
        <v>9.6199999999999992</v>
      </c>
      <c r="F433">
        <v>6.72</v>
      </c>
      <c r="G433">
        <v>134.41999999999999</v>
      </c>
      <c r="H433">
        <v>2.0699999999999998</v>
      </c>
      <c r="I433">
        <v>3</v>
      </c>
      <c r="J433">
        <v>311.38</v>
      </c>
      <c r="K433">
        <v>58.47</v>
      </c>
      <c r="L433">
        <v>36.25</v>
      </c>
      <c r="M433">
        <v>1</v>
      </c>
      <c r="N433">
        <v>91.65</v>
      </c>
      <c r="O433">
        <v>38637.26</v>
      </c>
      <c r="P433">
        <v>96.31</v>
      </c>
      <c r="Q433">
        <v>204.14</v>
      </c>
      <c r="R433">
        <v>22.76</v>
      </c>
      <c r="S433">
        <v>17.37</v>
      </c>
      <c r="T433">
        <v>609.59</v>
      </c>
      <c r="U433">
        <v>0.76</v>
      </c>
      <c r="V433">
        <v>0.76</v>
      </c>
      <c r="W433">
        <v>1.1399999999999999</v>
      </c>
      <c r="X433">
        <v>0.03</v>
      </c>
      <c r="Y433">
        <v>1</v>
      </c>
      <c r="Z433">
        <v>10</v>
      </c>
    </row>
    <row r="434" spans="1:26" x14ac:dyDescent="0.3">
      <c r="A434">
        <v>142</v>
      </c>
      <c r="B434">
        <v>125</v>
      </c>
      <c r="C434" t="s">
        <v>26</v>
      </c>
      <c r="D434">
        <v>10.397399999999999</v>
      </c>
      <c r="E434">
        <v>9.6199999999999992</v>
      </c>
      <c r="F434">
        <v>6.72</v>
      </c>
      <c r="G434">
        <v>134.38</v>
      </c>
      <c r="H434">
        <v>2.08</v>
      </c>
      <c r="I434">
        <v>3</v>
      </c>
      <c r="J434">
        <v>311.92</v>
      </c>
      <c r="K434">
        <v>58.47</v>
      </c>
      <c r="L434">
        <v>36.5</v>
      </c>
      <c r="M434">
        <v>1</v>
      </c>
      <c r="N434">
        <v>91.95</v>
      </c>
      <c r="O434">
        <v>38704.93</v>
      </c>
      <c r="P434">
        <v>96.34</v>
      </c>
      <c r="Q434">
        <v>204.14</v>
      </c>
      <c r="R434">
        <v>22.69</v>
      </c>
      <c r="S434">
        <v>17.37</v>
      </c>
      <c r="T434">
        <v>572.73</v>
      </c>
      <c r="U434">
        <v>0.77</v>
      </c>
      <c r="V434">
        <v>0.76</v>
      </c>
      <c r="W434">
        <v>1.1399999999999999</v>
      </c>
      <c r="X434">
        <v>0.03</v>
      </c>
      <c r="Y434">
        <v>1</v>
      </c>
      <c r="Z434">
        <v>10</v>
      </c>
    </row>
    <row r="435" spans="1:26" x14ac:dyDescent="0.3">
      <c r="A435">
        <v>143</v>
      </c>
      <c r="B435">
        <v>125</v>
      </c>
      <c r="C435" t="s">
        <v>26</v>
      </c>
      <c r="D435">
        <v>10.3956</v>
      </c>
      <c r="E435">
        <v>9.6199999999999992</v>
      </c>
      <c r="F435">
        <v>6.72</v>
      </c>
      <c r="G435">
        <v>134.41999999999999</v>
      </c>
      <c r="H435">
        <v>2.1</v>
      </c>
      <c r="I435">
        <v>3</v>
      </c>
      <c r="J435">
        <v>312.47000000000003</v>
      </c>
      <c r="K435">
        <v>58.47</v>
      </c>
      <c r="L435">
        <v>36.75</v>
      </c>
      <c r="M435">
        <v>1</v>
      </c>
      <c r="N435">
        <v>92.25</v>
      </c>
      <c r="O435">
        <v>38772.620000000003</v>
      </c>
      <c r="P435">
        <v>96.43</v>
      </c>
      <c r="Q435">
        <v>204.14</v>
      </c>
      <c r="R435">
        <v>22.74</v>
      </c>
      <c r="S435">
        <v>17.37</v>
      </c>
      <c r="T435">
        <v>596.44000000000005</v>
      </c>
      <c r="U435">
        <v>0.76</v>
      </c>
      <c r="V435">
        <v>0.76</v>
      </c>
      <c r="W435">
        <v>1.1399999999999999</v>
      </c>
      <c r="X435">
        <v>0.03</v>
      </c>
      <c r="Y435">
        <v>1</v>
      </c>
      <c r="Z435">
        <v>10</v>
      </c>
    </row>
    <row r="436" spans="1:26" x14ac:dyDescent="0.3">
      <c r="A436">
        <v>144</v>
      </c>
      <c r="B436">
        <v>125</v>
      </c>
      <c r="C436" t="s">
        <v>26</v>
      </c>
      <c r="D436">
        <v>10.395300000000001</v>
      </c>
      <c r="E436">
        <v>9.6199999999999992</v>
      </c>
      <c r="F436">
        <v>6.72</v>
      </c>
      <c r="G436">
        <v>134.41999999999999</v>
      </c>
      <c r="H436">
        <v>2.11</v>
      </c>
      <c r="I436">
        <v>3</v>
      </c>
      <c r="J436">
        <v>313.02</v>
      </c>
      <c r="K436">
        <v>58.47</v>
      </c>
      <c r="L436">
        <v>37</v>
      </c>
      <c r="M436">
        <v>1</v>
      </c>
      <c r="N436">
        <v>92.55</v>
      </c>
      <c r="O436">
        <v>38840.44</v>
      </c>
      <c r="P436">
        <v>96.57</v>
      </c>
      <c r="Q436">
        <v>204.14</v>
      </c>
      <c r="R436">
        <v>22.75</v>
      </c>
      <c r="S436">
        <v>17.37</v>
      </c>
      <c r="T436">
        <v>603.21</v>
      </c>
      <c r="U436">
        <v>0.76</v>
      </c>
      <c r="V436">
        <v>0.76</v>
      </c>
      <c r="W436">
        <v>1.1399999999999999</v>
      </c>
      <c r="X436">
        <v>0.03</v>
      </c>
      <c r="Y436">
        <v>1</v>
      </c>
      <c r="Z436">
        <v>10</v>
      </c>
    </row>
    <row r="437" spans="1:26" x14ac:dyDescent="0.3">
      <c r="A437">
        <v>145</v>
      </c>
      <c r="B437">
        <v>125</v>
      </c>
      <c r="C437" t="s">
        <v>26</v>
      </c>
      <c r="D437">
        <v>10.395300000000001</v>
      </c>
      <c r="E437">
        <v>9.6199999999999992</v>
      </c>
      <c r="F437">
        <v>6.72</v>
      </c>
      <c r="G437">
        <v>134.41999999999999</v>
      </c>
      <c r="H437">
        <v>2.12</v>
      </c>
      <c r="I437">
        <v>3</v>
      </c>
      <c r="J437">
        <v>313.57</v>
      </c>
      <c r="K437">
        <v>58.47</v>
      </c>
      <c r="L437">
        <v>37.25</v>
      </c>
      <c r="M437">
        <v>1</v>
      </c>
      <c r="N437">
        <v>92.85</v>
      </c>
      <c r="O437">
        <v>38908.39</v>
      </c>
      <c r="P437">
        <v>96.55</v>
      </c>
      <c r="Q437">
        <v>204.14</v>
      </c>
      <c r="R437">
        <v>22.75</v>
      </c>
      <c r="S437">
        <v>17.37</v>
      </c>
      <c r="T437">
        <v>600.80999999999995</v>
      </c>
      <c r="U437">
        <v>0.76</v>
      </c>
      <c r="V437">
        <v>0.76</v>
      </c>
      <c r="W437">
        <v>1.1399999999999999</v>
      </c>
      <c r="X437">
        <v>0.03</v>
      </c>
      <c r="Y437">
        <v>1</v>
      </c>
      <c r="Z437">
        <v>10</v>
      </c>
    </row>
    <row r="438" spans="1:26" x14ac:dyDescent="0.3">
      <c r="A438">
        <v>146</v>
      </c>
      <c r="B438">
        <v>125</v>
      </c>
      <c r="C438" t="s">
        <v>26</v>
      </c>
      <c r="D438">
        <v>10.3935</v>
      </c>
      <c r="E438">
        <v>9.6199999999999992</v>
      </c>
      <c r="F438">
        <v>6.72</v>
      </c>
      <c r="G438">
        <v>134.46</v>
      </c>
      <c r="H438">
        <v>2.13</v>
      </c>
      <c r="I438">
        <v>3</v>
      </c>
      <c r="J438">
        <v>314.13</v>
      </c>
      <c r="K438">
        <v>58.47</v>
      </c>
      <c r="L438">
        <v>37.5</v>
      </c>
      <c r="M438">
        <v>1</v>
      </c>
      <c r="N438">
        <v>93.15</v>
      </c>
      <c r="O438">
        <v>38976.480000000003</v>
      </c>
      <c r="P438">
        <v>96.67</v>
      </c>
      <c r="Q438">
        <v>204.14</v>
      </c>
      <c r="R438">
        <v>22.82</v>
      </c>
      <c r="S438">
        <v>17.37</v>
      </c>
      <c r="T438">
        <v>637.86</v>
      </c>
      <c r="U438">
        <v>0.76</v>
      </c>
      <c r="V438">
        <v>0.76</v>
      </c>
      <c r="W438">
        <v>1.1399999999999999</v>
      </c>
      <c r="X438">
        <v>0.03</v>
      </c>
      <c r="Y438">
        <v>1</v>
      </c>
      <c r="Z438">
        <v>10</v>
      </c>
    </row>
    <row r="439" spans="1:26" x14ac:dyDescent="0.3">
      <c r="A439">
        <v>147</v>
      </c>
      <c r="B439">
        <v>125</v>
      </c>
      <c r="C439" t="s">
        <v>26</v>
      </c>
      <c r="D439">
        <v>10.3947</v>
      </c>
      <c r="E439">
        <v>9.6199999999999992</v>
      </c>
      <c r="F439">
        <v>6.72</v>
      </c>
      <c r="G439">
        <v>134.43</v>
      </c>
      <c r="H439">
        <v>2.14</v>
      </c>
      <c r="I439">
        <v>3</v>
      </c>
      <c r="J439">
        <v>314.68</v>
      </c>
      <c r="K439">
        <v>58.47</v>
      </c>
      <c r="L439">
        <v>37.75</v>
      </c>
      <c r="M439">
        <v>1</v>
      </c>
      <c r="N439">
        <v>93.46</v>
      </c>
      <c r="O439">
        <v>39044.699999999997</v>
      </c>
      <c r="P439">
        <v>96.71</v>
      </c>
      <c r="Q439">
        <v>204.14</v>
      </c>
      <c r="R439">
        <v>22.8</v>
      </c>
      <c r="S439">
        <v>17.37</v>
      </c>
      <c r="T439">
        <v>624.88</v>
      </c>
      <c r="U439">
        <v>0.76</v>
      </c>
      <c r="V439">
        <v>0.76</v>
      </c>
      <c r="W439">
        <v>1.1399999999999999</v>
      </c>
      <c r="X439">
        <v>0.03</v>
      </c>
      <c r="Y439">
        <v>1</v>
      </c>
      <c r="Z439">
        <v>10</v>
      </c>
    </row>
    <row r="440" spans="1:26" x14ac:dyDescent="0.3">
      <c r="A440">
        <v>148</v>
      </c>
      <c r="B440">
        <v>125</v>
      </c>
      <c r="C440" t="s">
        <v>26</v>
      </c>
      <c r="D440">
        <v>10.395899999999999</v>
      </c>
      <c r="E440">
        <v>9.6199999999999992</v>
      </c>
      <c r="F440">
        <v>6.72</v>
      </c>
      <c r="G440">
        <v>134.41</v>
      </c>
      <c r="H440">
        <v>2.15</v>
      </c>
      <c r="I440">
        <v>3</v>
      </c>
      <c r="J440">
        <v>315.23</v>
      </c>
      <c r="K440">
        <v>58.47</v>
      </c>
      <c r="L440">
        <v>38</v>
      </c>
      <c r="M440">
        <v>1</v>
      </c>
      <c r="N440">
        <v>93.76</v>
      </c>
      <c r="O440">
        <v>39113.07</v>
      </c>
      <c r="P440">
        <v>96.67</v>
      </c>
      <c r="Q440">
        <v>204.14</v>
      </c>
      <c r="R440">
        <v>22.72</v>
      </c>
      <c r="S440">
        <v>17.37</v>
      </c>
      <c r="T440">
        <v>586.4</v>
      </c>
      <c r="U440">
        <v>0.76</v>
      </c>
      <c r="V440">
        <v>0.76</v>
      </c>
      <c r="W440">
        <v>1.1399999999999999</v>
      </c>
      <c r="X440">
        <v>0.03</v>
      </c>
      <c r="Y440">
        <v>1</v>
      </c>
      <c r="Z440">
        <v>10</v>
      </c>
    </row>
    <row r="441" spans="1:26" x14ac:dyDescent="0.3">
      <c r="A441">
        <v>149</v>
      </c>
      <c r="B441">
        <v>125</v>
      </c>
      <c r="C441" t="s">
        <v>26</v>
      </c>
      <c r="D441">
        <v>10.3932</v>
      </c>
      <c r="E441">
        <v>9.6199999999999992</v>
      </c>
      <c r="F441">
        <v>6.72</v>
      </c>
      <c r="G441">
        <v>134.46</v>
      </c>
      <c r="H441">
        <v>2.16</v>
      </c>
      <c r="I441">
        <v>3</v>
      </c>
      <c r="J441">
        <v>315.79000000000002</v>
      </c>
      <c r="K441">
        <v>58.47</v>
      </c>
      <c r="L441">
        <v>38.25</v>
      </c>
      <c r="M441">
        <v>1</v>
      </c>
      <c r="N441">
        <v>94.07</v>
      </c>
      <c r="O441">
        <v>39181.56</v>
      </c>
      <c r="P441">
        <v>96.83</v>
      </c>
      <c r="Q441">
        <v>204.16</v>
      </c>
      <c r="R441">
        <v>22.78</v>
      </c>
      <c r="S441">
        <v>17.37</v>
      </c>
      <c r="T441">
        <v>617.54999999999995</v>
      </c>
      <c r="U441">
        <v>0.76</v>
      </c>
      <c r="V441">
        <v>0.76</v>
      </c>
      <c r="W441">
        <v>1.1399999999999999</v>
      </c>
      <c r="X441">
        <v>0.03</v>
      </c>
      <c r="Y441">
        <v>1</v>
      </c>
      <c r="Z441">
        <v>10</v>
      </c>
    </row>
    <row r="442" spans="1:26" x14ac:dyDescent="0.3">
      <c r="A442">
        <v>150</v>
      </c>
      <c r="B442">
        <v>125</v>
      </c>
      <c r="C442" t="s">
        <v>26</v>
      </c>
      <c r="D442">
        <v>10.3932</v>
      </c>
      <c r="E442">
        <v>9.6199999999999992</v>
      </c>
      <c r="F442">
        <v>6.72</v>
      </c>
      <c r="G442">
        <v>134.46</v>
      </c>
      <c r="H442">
        <v>2.17</v>
      </c>
      <c r="I442">
        <v>3</v>
      </c>
      <c r="J442">
        <v>316.35000000000002</v>
      </c>
      <c r="K442">
        <v>58.47</v>
      </c>
      <c r="L442">
        <v>38.5</v>
      </c>
      <c r="M442">
        <v>1</v>
      </c>
      <c r="N442">
        <v>94.37</v>
      </c>
      <c r="O442">
        <v>39250.199999999997</v>
      </c>
      <c r="P442">
        <v>96.94</v>
      </c>
      <c r="Q442">
        <v>204.14</v>
      </c>
      <c r="R442">
        <v>22.82</v>
      </c>
      <c r="S442">
        <v>17.37</v>
      </c>
      <c r="T442">
        <v>637.66</v>
      </c>
      <c r="U442">
        <v>0.76</v>
      </c>
      <c r="V442">
        <v>0.76</v>
      </c>
      <c r="W442">
        <v>1.1399999999999999</v>
      </c>
      <c r="X442">
        <v>0.03</v>
      </c>
      <c r="Y442">
        <v>1</v>
      </c>
      <c r="Z442">
        <v>10</v>
      </c>
    </row>
    <row r="443" spans="1:26" x14ac:dyDescent="0.3">
      <c r="A443">
        <v>151</v>
      </c>
      <c r="B443">
        <v>125</v>
      </c>
      <c r="C443" t="s">
        <v>26</v>
      </c>
      <c r="D443">
        <v>10.392899999999999</v>
      </c>
      <c r="E443">
        <v>9.6199999999999992</v>
      </c>
      <c r="F443">
        <v>6.72</v>
      </c>
      <c r="G443">
        <v>134.47</v>
      </c>
      <c r="H443">
        <v>2.1800000000000002</v>
      </c>
      <c r="I443">
        <v>3</v>
      </c>
      <c r="J443">
        <v>316.89999999999998</v>
      </c>
      <c r="K443">
        <v>58.47</v>
      </c>
      <c r="L443">
        <v>38.75</v>
      </c>
      <c r="M443">
        <v>1</v>
      </c>
      <c r="N443">
        <v>94.68</v>
      </c>
      <c r="O443">
        <v>39318.97</v>
      </c>
      <c r="P443">
        <v>97.04</v>
      </c>
      <c r="Q443">
        <v>204.14</v>
      </c>
      <c r="R443">
        <v>22.79</v>
      </c>
      <c r="S443">
        <v>17.37</v>
      </c>
      <c r="T443">
        <v>622.47</v>
      </c>
      <c r="U443">
        <v>0.76</v>
      </c>
      <c r="V443">
        <v>0.76</v>
      </c>
      <c r="W443">
        <v>1.1399999999999999</v>
      </c>
      <c r="X443">
        <v>0.03</v>
      </c>
      <c r="Y443">
        <v>1</v>
      </c>
      <c r="Z443">
        <v>10</v>
      </c>
    </row>
    <row r="444" spans="1:26" x14ac:dyDescent="0.3">
      <c r="A444">
        <v>152</v>
      </c>
      <c r="B444">
        <v>125</v>
      </c>
      <c r="C444" t="s">
        <v>26</v>
      </c>
      <c r="D444">
        <v>10.3947</v>
      </c>
      <c r="E444">
        <v>9.6199999999999992</v>
      </c>
      <c r="F444">
        <v>6.72</v>
      </c>
      <c r="G444">
        <v>134.43</v>
      </c>
      <c r="H444">
        <v>2.19</v>
      </c>
      <c r="I444">
        <v>3</v>
      </c>
      <c r="J444">
        <v>317.45999999999998</v>
      </c>
      <c r="K444">
        <v>58.47</v>
      </c>
      <c r="L444">
        <v>39</v>
      </c>
      <c r="M444">
        <v>0</v>
      </c>
      <c r="N444">
        <v>94.99</v>
      </c>
      <c r="O444">
        <v>39387.89</v>
      </c>
      <c r="P444">
        <v>97.12</v>
      </c>
      <c r="Q444">
        <v>204.14</v>
      </c>
      <c r="R444">
        <v>22.77</v>
      </c>
      <c r="S444">
        <v>17.37</v>
      </c>
      <c r="T444">
        <v>610.63</v>
      </c>
      <c r="U444">
        <v>0.76</v>
      </c>
      <c r="V444">
        <v>0.76</v>
      </c>
      <c r="W444">
        <v>1.1399999999999999</v>
      </c>
      <c r="X444">
        <v>0.03</v>
      </c>
      <c r="Y444">
        <v>1</v>
      </c>
      <c r="Z444">
        <v>10</v>
      </c>
    </row>
    <row r="445" spans="1:26" x14ac:dyDescent="0.3">
      <c r="A445">
        <v>0</v>
      </c>
      <c r="B445">
        <v>30</v>
      </c>
      <c r="C445" t="s">
        <v>26</v>
      </c>
      <c r="D445">
        <v>10.0939</v>
      </c>
      <c r="E445">
        <v>9.91</v>
      </c>
      <c r="F445">
        <v>7.46</v>
      </c>
      <c r="G445">
        <v>11.47</v>
      </c>
      <c r="H445">
        <v>0.24</v>
      </c>
      <c r="I445">
        <v>39</v>
      </c>
      <c r="J445">
        <v>71.52</v>
      </c>
      <c r="K445">
        <v>32.270000000000003</v>
      </c>
      <c r="L445">
        <v>1</v>
      </c>
      <c r="M445">
        <v>37</v>
      </c>
      <c r="N445">
        <v>8.25</v>
      </c>
      <c r="O445">
        <v>9054.6</v>
      </c>
      <c r="P445">
        <v>52.28</v>
      </c>
      <c r="Q445">
        <v>204.17</v>
      </c>
      <c r="R445">
        <v>45.89</v>
      </c>
      <c r="S445">
        <v>17.37</v>
      </c>
      <c r="T445">
        <v>11990.73</v>
      </c>
      <c r="U445">
        <v>0.38</v>
      </c>
      <c r="V445">
        <v>0.68</v>
      </c>
      <c r="W445">
        <v>1.19</v>
      </c>
      <c r="X445">
        <v>0.76</v>
      </c>
      <c r="Y445">
        <v>1</v>
      </c>
      <c r="Z445">
        <v>10</v>
      </c>
    </row>
    <row r="446" spans="1:26" x14ac:dyDescent="0.3">
      <c r="A446">
        <v>1</v>
      </c>
      <c r="B446">
        <v>30</v>
      </c>
      <c r="C446" t="s">
        <v>26</v>
      </c>
      <c r="D446">
        <v>10.4209</v>
      </c>
      <c r="E446">
        <v>9.6</v>
      </c>
      <c r="F446">
        <v>7.29</v>
      </c>
      <c r="G446">
        <v>14.57</v>
      </c>
      <c r="H446">
        <v>0.3</v>
      </c>
      <c r="I446">
        <v>30</v>
      </c>
      <c r="J446">
        <v>71.81</v>
      </c>
      <c r="K446">
        <v>32.270000000000003</v>
      </c>
      <c r="L446">
        <v>1.25</v>
      </c>
      <c r="M446">
        <v>28</v>
      </c>
      <c r="N446">
        <v>8.2899999999999991</v>
      </c>
      <c r="O446">
        <v>9090.98</v>
      </c>
      <c r="P446">
        <v>50.58</v>
      </c>
      <c r="Q446">
        <v>204.15</v>
      </c>
      <c r="R446">
        <v>40.28</v>
      </c>
      <c r="S446">
        <v>17.37</v>
      </c>
      <c r="T446">
        <v>9233.57</v>
      </c>
      <c r="U446">
        <v>0.43</v>
      </c>
      <c r="V446">
        <v>0.7</v>
      </c>
      <c r="W446">
        <v>1.19</v>
      </c>
      <c r="X446">
        <v>0.59</v>
      </c>
      <c r="Y446">
        <v>1</v>
      </c>
      <c r="Z446">
        <v>10</v>
      </c>
    </row>
    <row r="447" spans="1:26" x14ac:dyDescent="0.3">
      <c r="A447">
        <v>2</v>
      </c>
      <c r="B447">
        <v>30</v>
      </c>
      <c r="C447" t="s">
        <v>26</v>
      </c>
      <c r="D447">
        <v>10.632300000000001</v>
      </c>
      <c r="E447">
        <v>9.41</v>
      </c>
      <c r="F447">
        <v>7.17</v>
      </c>
      <c r="G447">
        <v>17.21</v>
      </c>
      <c r="H447">
        <v>0.36</v>
      </c>
      <c r="I447">
        <v>25</v>
      </c>
      <c r="J447">
        <v>72.11</v>
      </c>
      <c r="K447">
        <v>32.270000000000003</v>
      </c>
      <c r="L447">
        <v>1.5</v>
      </c>
      <c r="M447">
        <v>23</v>
      </c>
      <c r="N447">
        <v>8.34</v>
      </c>
      <c r="O447">
        <v>9127.3799999999992</v>
      </c>
      <c r="P447">
        <v>49.17</v>
      </c>
      <c r="Q447">
        <v>204.17</v>
      </c>
      <c r="R447">
        <v>36.799999999999997</v>
      </c>
      <c r="S447">
        <v>17.37</v>
      </c>
      <c r="T447">
        <v>7519.19</v>
      </c>
      <c r="U447">
        <v>0.47</v>
      </c>
      <c r="V447">
        <v>0.71</v>
      </c>
      <c r="W447">
        <v>1.18</v>
      </c>
      <c r="X447">
        <v>0.48</v>
      </c>
      <c r="Y447">
        <v>1</v>
      </c>
      <c r="Z447">
        <v>10</v>
      </c>
    </row>
    <row r="448" spans="1:26" x14ac:dyDescent="0.3">
      <c r="A448">
        <v>3</v>
      </c>
      <c r="B448">
        <v>30</v>
      </c>
      <c r="C448" t="s">
        <v>26</v>
      </c>
      <c r="D448">
        <v>10.7936</v>
      </c>
      <c r="E448">
        <v>9.26</v>
      </c>
      <c r="F448">
        <v>7.09</v>
      </c>
      <c r="G448">
        <v>20.27</v>
      </c>
      <c r="H448">
        <v>0.42</v>
      </c>
      <c r="I448">
        <v>21</v>
      </c>
      <c r="J448">
        <v>72.400000000000006</v>
      </c>
      <c r="K448">
        <v>32.270000000000003</v>
      </c>
      <c r="L448">
        <v>1.75</v>
      </c>
      <c r="M448">
        <v>19</v>
      </c>
      <c r="N448">
        <v>8.3800000000000008</v>
      </c>
      <c r="O448">
        <v>9163.7999999999993</v>
      </c>
      <c r="P448">
        <v>48.08</v>
      </c>
      <c r="Q448">
        <v>204.18</v>
      </c>
      <c r="R448">
        <v>34.26</v>
      </c>
      <c r="S448">
        <v>17.37</v>
      </c>
      <c r="T448">
        <v>6268.82</v>
      </c>
      <c r="U448">
        <v>0.51</v>
      </c>
      <c r="V448">
        <v>0.72</v>
      </c>
      <c r="W448">
        <v>1.17</v>
      </c>
      <c r="X448">
        <v>0.4</v>
      </c>
      <c r="Y448">
        <v>1</v>
      </c>
      <c r="Z448">
        <v>10</v>
      </c>
    </row>
    <row r="449" spans="1:26" x14ac:dyDescent="0.3">
      <c r="A449">
        <v>4</v>
      </c>
      <c r="B449">
        <v>30</v>
      </c>
      <c r="C449" t="s">
        <v>26</v>
      </c>
      <c r="D449">
        <v>10.930999999999999</v>
      </c>
      <c r="E449">
        <v>9.15</v>
      </c>
      <c r="F449">
        <v>7.02</v>
      </c>
      <c r="G449">
        <v>23.41</v>
      </c>
      <c r="H449">
        <v>0.48</v>
      </c>
      <c r="I449">
        <v>18</v>
      </c>
      <c r="J449">
        <v>72.7</v>
      </c>
      <c r="K449">
        <v>32.270000000000003</v>
      </c>
      <c r="L449">
        <v>2</v>
      </c>
      <c r="M449">
        <v>16</v>
      </c>
      <c r="N449">
        <v>8.43</v>
      </c>
      <c r="O449">
        <v>9200.25</v>
      </c>
      <c r="P449">
        <v>47.05</v>
      </c>
      <c r="Q449">
        <v>204.15</v>
      </c>
      <c r="R449">
        <v>32.19</v>
      </c>
      <c r="S449">
        <v>17.37</v>
      </c>
      <c r="T449">
        <v>5246.14</v>
      </c>
      <c r="U449">
        <v>0.54</v>
      </c>
      <c r="V449">
        <v>0.73</v>
      </c>
      <c r="W449">
        <v>1.1599999999999999</v>
      </c>
      <c r="X449">
        <v>0.33</v>
      </c>
      <c r="Y449">
        <v>1</v>
      </c>
      <c r="Z449">
        <v>10</v>
      </c>
    </row>
    <row r="450" spans="1:26" x14ac:dyDescent="0.3">
      <c r="A450">
        <v>5</v>
      </c>
      <c r="B450">
        <v>30</v>
      </c>
      <c r="C450" t="s">
        <v>26</v>
      </c>
      <c r="D450">
        <v>11.0146</v>
      </c>
      <c r="E450">
        <v>9.08</v>
      </c>
      <c r="F450">
        <v>6.99</v>
      </c>
      <c r="G450">
        <v>26.2</v>
      </c>
      <c r="H450">
        <v>0.54</v>
      </c>
      <c r="I450">
        <v>16</v>
      </c>
      <c r="J450">
        <v>73</v>
      </c>
      <c r="K450">
        <v>32.270000000000003</v>
      </c>
      <c r="L450">
        <v>2.25</v>
      </c>
      <c r="M450">
        <v>14</v>
      </c>
      <c r="N450">
        <v>8.48</v>
      </c>
      <c r="O450">
        <v>9236.7099999999991</v>
      </c>
      <c r="P450">
        <v>46.15</v>
      </c>
      <c r="Q450">
        <v>204.15</v>
      </c>
      <c r="R450">
        <v>31.17</v>
      </c>
      <c r="S450">
        <v>17.37</v>
      </c>
      <c r="T450">
        <v>4746.7</v>
      </c>
      <c r="U450">
        <v>0.56000000000000005</v>
      </c>
      <c r="V450">
        <v>0.73</v>
      </c>
      <c r="W450">
        <v>1.1599999999999999</v>
      </c>
      <c r="X450">
        <v>0.28999999999999998</v>
      </c>
      <c r="Y450">
        <v>1</v>
      </c>
      <c r="Z450">
        <v>10</v>
      </c>
    </row>
    <row r="451" spans="1:26" x14ac:dyDescent="0.3">
      <c r="A451">
        <v>6</v>
      </c>
      <c r="B451">
        <v>30</v>
      </c>
      <c r="C451" t="s">
        <v>26</v>
      </c>
      <c r="D451">
        <v>11.097099999999999</v>
      </c>
      <c r="E451">
        <v>9.01</v>
      </c>
      <c r="F451">
        <v>6.95</v>
      </c>
      <c r="G451">
        <v>29.78</v>
      </c>
      <c r="H451">
        <v>0.6</v>
      </c>
      <c r="I451">
        <v>14</v>
      </c>
      <c r="J451">
        <v>73.290000000000006</v>
      </c>
      <c r="K451">
        <v>32.270000000000003</v>
      </c>
      <c r="L451">
        <v>2.5</v>
      </c>
      <c r="M451">
        <v>12</v>
      </c>
      <c r="N451">
        <v>8.52</v>
      </c>
      <c r="O451">
        <v>9273.2000000000007</v>
      </c>
      <c r="P451">
        <v>45.28</v>
      </c>
      <c r="Q451">
        <v>204.14</v>
      </c>
      <c r="R451">
        <v>30.11</v>
      </c>
      <c r="S451">
        <v>17.37</v>
      </c>
      <c r="T451">
        <v>4229.1099999999997</v>
      </c>
      <c r="U451">
        <v>0.57999999999999996</v>
      </c>
      <c r="V451">
        <v>0.73</v>
      </c>
      <c r="W451">
        <v>1.1499999999999999</v>
      </c>
      <c r="X451">
        <v>0.26</v>
      </c>
      <c r="Y451">
        <v>1</v>
      </c>
      <c r="Z451">
        <v>10</v>
      </c>
    </row>
    <row r="452" spans="1:26" x14ac:dyDescent="0.3">
      <c r="A452">
        <v>7</v>
      </c>
      <c r="B452">
        <v>30</v>
      </c>
      <c r="C452" t="s">
        <v>26</v>
      </c>
      <c r="D452">
        <v>11.1417</v>
      </c>
      <c r="E452">
        <v>8.98</v>
      </c>
      <c r="F452">
        <v>6.93</v>
      </c>
      <c r="G452">
        <v>31.98</v>
      </c>
      <c r="H452">
        <v>0.65</v>
      </c>
      <c r="I452">
        <v>13</v>
      </c>
      <c r="J452">
        <v>73.59</v>
      </c>
      <c r="K452">
        <v>32.270000000000003</v>
      </c>
      <c r="L452">
        <v>2.75</v>
      </c>
      <c r="M452">
        <v>11</v>
      </c>
      <c r="N452">
        <v>8.57</v>
      </c>
      <c r="O452">
        <v>9309.7000000000007</v>
      </c>
      <c r="P452">
        <v>44.73</v>
      </c>
      <c r="Q452">
        <v>204.14</v>
      </c>
      <c r="R452">
        <v>29.23</v>
      </c>
      <c r="S452">
        <v>17.37</v>
      </c>
      <c r="T452">
        <v>3793.8</v>
      </c>
      <c r="U452">
        <v>0.59</v>
      </c>
      <c r="V452">
        <v>0.74</v>
      </c>
      <c r="W452">
        <v>1.1599999999999999</v>
      </c>
      <c r="X452">
        <v>0.24</v>
      </c>
      <c r="Y452">
        <v>1</v>
      </c>
      <c r="Z452">
        <v>10</v>
      </c>
    </row>
    <row r="453" spans="1:26" x14ac:dyDescent="0.3">
      <c r="A453">
        <v>8</v>
      </c>
      <c r="B453">
        <v>30</v>
      </c>
      <c r="C453" t="s">
        <v>26</v>
      </c>
      <c r="D453">
        <v>11.177300000000001</v>
      </c>
      <c r="E453">
        <v>8.9499999999999993</v>
      </c>
      <c r="F453">
        <v>6.92</v>
      </c>
      <c r="G453">
        <v>34.58</v>
      </c>
      <c r="H453">
        <v>0.71</v>
      </c>
      <c r="I453">
        <v>12</v>
      </c>
      <c r="J453">
        <v>73.88</v>
      </c>
      <c r="K453">
        <v>32.270000000000003</v>
      </c>
      <c r="L453">
        <v>3</v>
      </c>
      <c r="M453">
        <v>10</v>
      </c>
      <c r="N453">
        <v>8.61</v>
      </c>
      <c r="O453">
        <v>9346.23</v>
      </c>
      <c r="P453">
        <v>44.03</v>
      </c>
      <c r="Q453">
        <v>204.14</v>
      </c>
      <c r="R453">
        <v>28.89</v>
      </c>
      <c r="S453">
        <v>17.37</v>
      </c>
      <c r="T453">
        <v>3629.2</v>
      </c>
      <c r="U453">
        <v>0.6</v>
      </c>
      <c r="V453">
        <v>0.74</v>
      </c>
      <c r="W453">
        <v>1.1599999999999999</v>
      </c>
      <c r="X453">
        <v>0.22</v>
      </c>
      <c r="Y453">
        <v>1</v>
      </c>
      <c r="Z453">
        <v>10</v>
      </c>
    </row>
    <row r="454" spans="1:26" x14ac:dyDescent="0.3">
      <c r="A454">
        <v>9</v>
      </c>
      <c r="B454">
        <v>30</v>
      </c>
      <c r="C454" t="s">
        <v>26</v>
      </c>
      <c r="D454">
        <v>11.226800000000001</v>
      </c>
      <c r="E454">
        <v>8.91</v>
      </c>
      <c r="F454">
        <v>6.89</v>
      </c>
      <c r="G454">
        <v>37.590000000000003</v>
      </c>
      <c r="H454">
        <v>0.77</v>
      </c>
      <c r="I454">
        <v>11</v>
      </c>
      <c r="J454">
        <v>74.180000000000007</v>
      </c>
      <c r="K454">
        <v>32.270000000000003</v>
      </c>
      <c r="L454">
        <v>3.25</v>
      </c>
      <c r="M454">
        <v>9</v>
      </c>
      <c r="N454">
        <v>8.66</v>
      </c>
      <c r="O454">
        <v>9382.7800000000007</v>
      </c>
      <c r="P454">
        <v>43.02</v>
      </c>
      <c r="Q454">
        <v>204.14</v>
      </c>
      <c r="R454">
        <v>28.15</v>
      </c>
      <c r="S454">
        <v>17.37</v>
      </c>
      <c r="T454">
        <v>3263.97</v>
      </c>
      <c r="U454">
        <v>0.62</v>
      </c>
      <c r="V454">
        <v>0.74</v>
      </c>
      <c r="W454">
        <v>1.1499999999999999</v>
      </c>
      <c r="X454">
        <v>0.2</v>
      </c>
      <c r="Y454">
        <v>1</v>
      </c>
      <c r="Z454">
        <v>10</v>
      </c>
    </row>
    <row r="455" spans="1:26" x14ac:dyDescent="0.3">
      <c r="A455">
        <v>10</v>
      </c>
      <c r="B455">
        <v>30</v>
      </c>
      <c r="C455" t="s">
        <v>26</v>
      </c>
      <c r="D455">
        <v>11.275700000000001</v>
      </c>
      <c r="E455">
        <v>8.8699999999999992</v>
      </c>
      <c r="F455">
        <v>6.87</v>
      </c>
      <c r="G455">
        <v>41.22</v>
      </c>
      <c r="H455">
        <v>0.82</v>
      </c>
      <c r="I455">
        <v>10</v>
      </c>
      <c r="J455">
        <v>74.48</v>
      </c>
      <c r="K455">
        <v>32.270000000000003</v>
      </c>
      <c r="L455">
        <v>3.5</v>
      </c>
      <c r="M455">
        <v>8</v>
      </c>
      <c r="N455">
        <v>8.7100000000000009</v>
      </c>
      <c r="O455">
        <v>9419.35</v>
      </c>
      <c r="P455">
        <v>42.13</v>
      </c>
      <c r="Q455">
        <v>204.15</v>
      </c>
      <c r="R455">
        <v>27.37</v>
      </c>
      <c r="S455">
        <v>17.37</v>
      </c>
      <c r="T455">
        <v>2878.84</v>
      </c>
      <c r="U455">
        <v>0.63</v>
      </c>
      <c r="V455">
        <v>0.74</v>
      </c>
      <c r="W455">
        <v>1.1499999999999999</v>
      </c>
      <c r="X455">
        <v>0.18</v>
      </c>
      <c r="Y455">
        <v>1</v>
      </c>
      <c r="Z455">
        <v>10</v>
      </c>
    </row>
    <row r="456" spans="1:26" x14ac:dyDescent="0.3">
      <c r="A456">
        <v>11</v>
      </c>
      <c r="B456">
        <v>30</v>
      </c>
      <c r="C456" t="s">
        <v>26</v>
      </c>
      <c r="D456">
        <v>11.3218</v>
      </c>
      <c r="E456">
        <v>8.83</v>
      </c>
      <c r="F456">
        <v>6.85</v>
      </c>
      <c r="G456">
        <v>45.66</v>
      </c>
      <c r="H456">
        <v>0.88</v>
      </c>
      <c r="I456">
        <v>9</v>
      </c>
      <c r="J456">
        <v>74.77</v>
      </c>
      <c r="K456">
        <v>32.270000000000003</v>
      </c>
      <c r="L456">
        <v>3.75</v>
      </c>
      <c r="M456">
        <v>6</v>
      </c>
      <c r="N456">
        <v>8.75</v>
      </c>
      <c r="O456">
        <v>9455.94</v>
      </c>
      <c r="P456">
        <v>41.31</v>
      </c>
      <c r="Q456">
        <v>204.14</v>
      </c>
      <c r="R456">
        <v>26.7</v>
      </c>
      <c r="S456">
        <v>17.37</v>
      </c>
      <c r="T456">
        <v>2546.64</v>
      </c>
      <c r="U456">
        <v>0.65</v>
      </c>
      <c r="V456">
        <v>0.75</v>
      </c>
      <c r="W456">
        <v>1.1499999999999999</v>
      </c>
      <c r="X456">
        <v>0.16</v>
      </c>
      <c r="Y456">
        <v>1</v>
      </c>
      <c r="Z456">
        <v>10</v>
      </c>
    </row>
    <row r="457" spans="1:26" x14ac:dyDescent="0.3">
      <c r="A457">
        <v>12</v>
      </c>
      <c r="B457">
        <v>30</v>
      </c>
      <c r="C457" t="s">
        <v>26</v>
      </c>
      <c r="D457">
        <v>11.3222</v>
      </c>
      <c r="E457">
        <v>8.83</v>
      </c>
      <c r="F457">
        <v>6.85</v>
      </c>
      <c r="G457">
        <v>45.66</v>
      </c>
      <c r="H457">
        <v>0.93</v>
      </c>
      <c r="I457">
        <v>9</v>
      </c>
      <c r="J457">
        <v>75.069999999999993</v>
      </c>
      <c r="K457">
        <v>32.270000000000003</v>
      </c>
      <c r="L457">
        <v>4</v>
      </c>
      <c r="M457">
        <v>6</v>
      </c>
      <c r="N457">
        <v>8.8000000000000007</v>
      </c>
      <c r="O457">
        <v>9492.5499999999993</v>
      </c>
      <c r="P457">
        <v>41.24</v>
      </c>
      <c r="Q457">
        <v>204.14</v>
      </c>
      <c r="R457">
        <v>26.72</v>
      </c>
      <c r="S457">
        <v>17.37</v>
      </c>
      <c r="T457">
        <v>2558.5100000000002</v>
      </c>
      <c r="U457">
        <v>0.65</v>
      </c>
      <c r="V457">
        <v>0.75</v>
      </c>
      <c r="W457">
        <v>1.1499999999999999</v>
      </c>
      <c r="X457">
        <v>0.16</v>
      </c>
      <c r="Y457">
        <v>1</v>
      </c>
      <c r="Z457">
        <v>10</v>
      </c>
    </row>
    <row r="458" spans="1:26" x14ac:dyDescent="0.3">
      <c r="A458">
        <v>13</v>
      </c>
      <c r="B458">
        <v>30</v>
      </c>
      <c r="C458" t="s">
        <v>26</v>
      </c>
      <c r="D458">
        <v>11.307600000000001</v>
      </c>
      <c r="E458">
        <v>8.84</v>
      </c>
      <c r="F458">
        <v>6.86</v>
      </c>
      <c r="G458">
        <v>45.73</v>
      </c>
      <c r="H458">
        <v>0.99</v>
      </c>
      <c r="I458">
        <v>9</v>
      </c>
      <c r="J458">
        <v>75.37</v>
      </c>
      <c r="K458">
        <v>32.270000000000003</v>
      </c>
      <c r="L458">
        <v>4.25</v>
      </c>
      <c r="M458">
        <v>3</v>
      </c>
      <c r="N458">
        <v>8.85</v>
      </c>
      <c r="O458">
        <v>9529.18</v>
      </c>
      <c r="P458">
        <v>41.04</v>
      </c>
      <c r="Q458">
        <v>204.18</v>
      </c>
      <c r="R458">
        <v>26.99</v>
      </c>
      <c r="S458">
        <v>17.37</v>
      </c>
      <c r="T458">
        <v>2692.03</v>
      </c>
      <c r="U458">
        <v>0.64</v>
      </c>
      <c r="V458">
        <v>0.74</v>
      </c>
      <c r="W458">
        <v>1.1499999999999999</v>
      </c>
      <c r="X458">
        <v>0.17</v>
      </c>
      <c r="Y458">
        <v>1</v>
      </c>
      <c r="Z458">
        <v>10</v>
      </c>
    </row>
    <row r="459" spans="1:26" x14ac:dyDescent="0.3">
      <c r="A459">
        <v>14</v>
      </c>
      <c r="B459">
        <v>30</v>
      </c>
      <c r="C459" t="s">
        <v>26</v>
      </c>
      <c r="D459">
        <v>11.3583</v>
      </c>
      <c r="E459">
        <v>8.8000000000000007</v>
      </c>
      <c r="F459">
        <v>6.84</v>
      </c>
      <c r="G459">
        <v>51.27</v>
      </c>
      <c r="H459">
        <v>1.04</v>
      </c>
      <c r="I459">
        <v>8</v>
      </c>
      <c r="J459">
        <v>75.66</v>
      </c>
      <c r="K459">
        <v>32.270000000000003</v>
      </c>
      <c r="L459">
        <v>4.5</v>
      </c>
      <c r="M459">
        <v>0</v>
      </c>
      <c r="N459">
        <v>8.89</v>
      </c>
      <c r="O459">
        <v>9565.83</v>
      </c>
      <c r="P459">
        <v>40.61</v>
      </c>
      <c r="Q459">
        <v>204.14</v>
      </c>
      <c r="R459">
        <v>26.15</v>
      </c>
      <c r="S459">
        <v>17.37</v>
      </c>
      <c r="T459">
        <v>2277.83</v>
      </c>
      <c r="U459">
        <v>0.66</v>
      </c>
      <c r="V459">
        <v>0.75</v>
      </c>
      <c r="W459">
        <v>1.1599999999999999</v>
      </c>
      <c r="X459">
        <v>0.14000000000000001</v>
      </c>
      <c r="Y459">
        <v>1</v>
      </c>
      <c r="Z459">
        <v>10</v>
      </c>
    </row>
    <row r="460" spans="1:26" x14ac:dyDescent="0.3">
      <c r="A460">
        <v>0</v>
      </c>
      <c r="B460">
        <v>15</v>
      </c>
      <c r="C460" t="s">
        <v>26</v>
      </c>
      <c r="D460">
        <v>10.993399999999999</v>
      </c>
      <c r="E460">
        <v>9.1</v>
      </c>
      <c r="F460">
        <v>7.14</v>
      </c>
      <c r="G460">
        <v>18.63</v>
      </c>
      <c r="H460">
        <v>0.43</v>
      </c>
      <c r="I460">
        <v>23</v>
      </c>
      <c r="J460">
        <v>39.78</v>
      </c>
      <c r="K460">
        <v>19.54</v>
      </c>
      <c r="L460">
        <v>1</v>
      </c>
      <c r="M460">
        <v>21</v>
      </c>
      <c r="N460">
        <v>4.24</v>
      </c>
      <c r="O460">
        <v>5140</v>
      </c>
      <c r="P460">
        <v>30.42</v>
      </c>
      <c r="Q460">
        <v>204.15</v>
      </c>
      <c r="R460">
        <v>35.950000000000003</v>
      </c>
      <c r="S460">
        <v>17.37</v>
      </c>
      <c r="T460">
        <v>7102.87</v>
      </c>
      <c r="U460">
        <v>0.48</v>
      </c>
      <c r="V460">
        <v>0.72</v>
      </c>
      <c r="W460">
        <v>1.17</v>
      </c>
      <c r="X460">
        <v>0.45</v>
      </c>
      <c r="Y460">
        <v>1</v>
      </c>
      <c r="Z460">
        <v>10</v>
      </c>
    </row>
    <row r="461" spans="1:26" x14ac:dyDescent="0.3">
      <c r="A461">
        <v>1</v>
      </c>
      <c r="B461">
        <v>15</v>
      </c>
      <c r="C461" t="s">
        <v>26</v>
      </c>
      <c r="D461">
        <v>11.2202</v>
      </c>
      <c r="E461">
        <v>8.91</v>
      </c>
      <c r="F461">
        <v>7.01</v>
      </c>
      <c r="G461">
        <v>23.38</v>
      </c>
      <c r="H461">
        <v>0.53</v>
      </c>
      <c r="I461">
        <v>18</v>
      </c>
      <c r="J461">
        <v>40.06</v>
      </c>
      <c r="K461">
        <v>19.54</v>
      </c>
      <c r="L461">
        <v>1.25</v>
      </c>
      <c r="M461">
        <v>15</v>
      </c>
      <c r="N461">
        <v>4.26</v>
      </c>
      <c r="O461">
        <v>5174.29</v>
      </c>
      <c r="P461">
        <v>28.7</v>
      </c>
      <c r="Q461">
        <v>204.16</v>
      </c>
      <c r="R461">
        <v>31.86</v>
      </c>
      <c r="S461">
        <v>17.37</v>
      </c>
      <c r="T461">
        <v>5084.3100000000004</v>
      </c>
      <c r="U461">
        <v>0.55000000000000004</v>
      </c>
      <c r="V461">
        <v>0.73</v>
      </c>
      <c r="W461">
        <v>1.1599999999999999</v>
      </c>
      <c r="X461">
        <v>0.32</v>
      </c>
      <c r="Y461">
        <v>1</v>
      </c>
      <c r="Z461">
        <v>10</v>
      </c>
    </row>
    <row r="462" spans="1:26" x14ac:dyDescent="0.3">
      <c r="A462">
        <v>2</v>
      </c>
      <c r="B462">
        <v>15</v>
      </c>
      <c r="C462" t="s">
        <v>26</v>
      </c>
      <c r="D462">
        <v>11.25</v>
      </c>
      <c r="E462">
        <v>8.89</v>
      </c>
      <c r="F462">
        <v>7.01</v>
      </c>
      <c r="G462">
        <v>26.3</v>
      </c>
      <c r="H462">
        <v>0.64</v>
      </c>
      <c r="I462">
        <v>16</v>
      </c>
      <c r="J462">
        <v>40.340000000000003</v>
      </c>
      <c r="K462">
        <v>19.54</v>
      </c>
      <c r="L462">
        <v>1.5</v>
      </c>
      <c r="M462">
        <v>6</v>
      </c>
      <c r="N462">
        <v>4.29</v>
      </c>
      <c r="O462">
        <v>5208.6000000000004</v>
      </c>
      <c r="P462">
        <v>27.89</v>
      </c>
      <c r="Q462">
        <v>204.22</v>
      </c>
      <c r="R462">
        <v>31.48</v>
      </c>
      <c r="S462">
        <v>17.37</v>
      </c>
      <c r="T462">
        <v>4902.08</v>
      </c>
      <c r="U462">
        <v>0.55000000000000004</v>
      </c>
      <c r="V462">
        <v>0.73</v>
      </c>
      <c r="W462">
        <v>1.17</v>
      </c>
      <c r="X462">
        <v>0.32</v>
      </c>
      <c r="Y462">
        <v>1</v>
      </c>
      <c r="Z462">
        <v>10</v>
      </c>
    </row>
    <row r="463" spans="1:26" x14ac:dyDescent="0.3">
      <c r="A463">
        <v>3</v>
      </c>
      <c r="B463">
        <v>15</v>
      </c>
      <c r="C463" t="s">
        <v>26</v>
      </c>
      <c r="D463">
        <v>11.286</v>
      </c>
      <c r="E463">
        <v>8.86</v>
      </c>
      <c r="F463">
        <v>7</v>
      </c>
      <c r="G463">
        <v>27.98</v>
      </c>
      <c r="H463">
        <v>0.74</v>
      </c>
      <c r="I463">
        <v>15</v>
      </c>
      <c r="J463">
        <v>40.61</v>
      </c>
      <c r="K463">
        <v>19.54</v>
      </c>
      <c r="L463">
        <v>1.75</v>
      </c>
      <c r="M463">
        <v>1</v>
      </c>
      <c r="N463">
        <v>4.32</v>
      </c>
      <c r="O463">
        <v>5242.92</v>
      </c>
      <c r="P463">
        <v>27.78</v>
      </c>
      <c r="Q463">
        <v>204.18</v>
      </c>
      <c r="R463">
        <v>30.8</v>
      </c>
      <c r="S463">
        <v>17.37</v>
      </c>
      <c r="T463">
        <v>4568.1099999999997</v>
      </c>
      <c r="U463">
        <v>0.56000000000000005</v>
      </c>
      <c r="V463">
        <v>0.73</v>
      </c>
      <c r="W463">
        <v>1.18</v>
      </c>
      <c r="X463">
        <v>0.3</v>
      </c>
      <c r="Y463">
        <v>1</v>
      </c>
      <c r="Z463">
        <v>10</v>
      </c>
    </row>
    <row r="464" spans="1:26" x14ac:dyDescent="0.3">
      <c r="A464">
        <v>4</v>
      </c>
      <c r="B464">
        <v>15</v>
      </c>
      <c r="C464" t="s">
        <v>26</v>
      </c>
      <c r="D464">
        <v>11.2835</v>
      </c>
      <c r="E464">
        <v>8.86</v>
      </c>
      <c r="F464">
        <v>7</v>
      </c>
      <c r="G464">
        <v>27.99</v>
      </c>
      <c r="H464">
        <v>0.84</v>
      </c>
      <c r="I464">
        <v>15</v>
      </c>
      <c r="J464">
        <v>40.89</v>
      </c>
      <c r="K464">
        <v>19.54</v>
      </c>
      <c r="L464">
        <v>2</v>
      </c>
      <c r="M464">
        <v>0</v>
      </c>
      <c r="N464">
        <v>4.3499999999999996</v>
      </c>
      <c r="O464">
        <v>5277.26</v>
      </c>
      <c r="P464">
        <v>27.93</v>
      </c>
      <c r="Q464">
        <v>204.18</v>
      </c>
      <c r="R464">
        <v>30.85</v>
      </c>
      <c r="S464">
        <v>17.37</v>
      </c>
      <c r="T464">
        <v>4592.3100000000004</v>
      </c>
      <c r="U464">
        <v>0.56000000000000005</v>
      </c>
      <c r="V464">
        <v>0.73</v>
      </c>
      <c r="W464">
        <v>1.18</v>
      </c>
      <c r="X464">
        <v>0.31</v>
      </c>
      <c r="Y464">
        <v>1</v>
      </c>
      <c r="Z464">
        <v>10</v>
      </c>
    </row>
    <row r="465" spans="1:26" x14ac:dyDescent="0.3">
      <c r="A465">
        <v>0</v>
      </c>
      <c r="B465">
        <v>70</v>
      </c>
      <c r="C465" t="s">
        <v>26</v>
      </c>
      <c r="D465">
        <v>8.1827000000000005</v>
      </c>
      <c r="E465">
        <v>12.22</v>
      </c>
      <c r="F465">
        <v>8.06</v>
      </c>
      <c r="G465">
        <v>7.22</v>
      </c>
      <c r="H465">
        <v>0.12</v>
      </c>
      <c r="I465">
        <v>67</v>
      </c>
      <c r="J465">
        <v>141.81</v>
      </c>
      <c r="K465">
        <v>47.83</v>
      </c>
      <c r="L465">
        <v>1</v>
      </c>
      <c r="M465">
        <v>65</v>
      </c>
      <c r="N465">
        <v>22.98</v>
      </c>
      <c r="O465">
        <v>17723.39</v>
      </c>
      <c r="P465">
        <v>91.54</v>
      </c>
      <c r="Q465">
        <v>204.21</v>
      </c>
      <c r="R465">
        <v>63.88</v>
      </c>
      <c r="S465">
        <v>17.37</v>
      </c>
      <c r="T465">
        <v>20847.419999999998</v>
      </c>
      <c r="U465">
        <v>0.27</v>
      </c>
      <c r="V465">
        <v>0.63</v>
      </c>
      <c r="W465">
        <v>1.26</v>
      </c>
      <c r="X465">
        <v>1.36</v>
      </c>
      <c r="Y465">
        <v>1</v>
      </c>
      <c r="Z465">
        <v>10</v>
      </c>
    </row>
    <row r="466" spans="1:26" x14ac:dyDescent="0.3">
      <c r="A466">
        <v>1</v>
      </c>
      <c r="B466">
        <v>70</v>
      </c>
      <c r="C466" t="s">
        <v>26</v>
      </c>
      <c r="D466">
        <v>8.7674000000000003</v>
      </c>
      <c r="E466">
        <v>11.41</v>
      </c>
      <c r="F466">
        <v>7.7</v>
      </c>
      <c r="G466">
        <v>9.06</v>
      </c>
      <c r="H466">
        <v>0.16</v>
      </c>
      <c r="I466">
        <v>51</v>
      </c>
      <c r="J466">
        <v>142.15</v>
      </c>
      <c r="K466">
        <v>47.83</v>
      </c>
      <c r="L466">
        <v>1.25</v>
      </c>
      <c r="M466">
        <v>49</v>
      </c>
      <c r="N466">
        <v>23.07</v>
      </c>
      <c r="O466">
        <v>17765.46</v>
      </c>
      <c r="P466">
        <v>87.24</v>
      </c>
      <c r="Q466">
        <v>204.21</v>
      </c>
      <c r="R466">
        <v>53.56</v>
      </c>
      <c r="S466">
        <v>17.37</v>
      </c>
      <c r="T466">
        <v>15769.29</v>
      </c>
      <c r="U466">
        <v>0.32</v>
      </c>
      <c r="V466">
        <v>0.66</v>
      </c>
      <c r="W466">
        <v>1.21</v>
      </c>
      <c r="X466">
        <v>1.01</v>
      </c>
      <c r="Y466">
        <v>1</v>
      </c>
      <c r="Z466">
        <v>10</v>
      </c>
    </row>
    <row r="467" spans="1:26" x14ac:dyDescent="0.3">
      <c r="A467">
        <v>2</v>
      </c>
      <c r="B467">
        <v>70</v>
      </c>
      <c r="C467" t="s">
        <v>26</v>
      </c>
      <c r="D467">
        <v>9.1136999999999997</v>
      </c>
      <c r="E467">
        <v>10.97</v>
      </c>
      <c r="F467">
        <v>7.53</v>
      </c>
      <c r="G467">
        <v>10.76</v>
      </c>
      <c r="H467">
        <v>0.19</v>
      </c>
      <c r="I467">
        <v>42</v>
      </c>
      <c r="J467">
        <v>142.49</v>
      </c>
      <c r="K467">
        <v>47.83</v>
      </c>
      <c r="L467">
        <v>1.5</v>
      </c>
      <c r="M467">
        <v>40</v>
      </c>
      <c r="N467">
        <v>23.16</v>
      </c>
      <c r="O467">
        <v>17807.560000000001</v>
      </c>
      <c r="P467">
        <v>85.05</v>
      </c>
      <c r="Q467">
        <v>204.15</v>
      </c>
      <c r="R467">
        <v>47.83</v>
      </c>
      <c r="S467">
        <v>17.37</v>
      </c>
      <c r="T467">
        <v>12948.82</v>
      </c>
      <c r="U467">
        <v>0.36</v>
      </c>
      <c r="V467">
        <v>0.68</v>
      </c>
      <c r="W467">
        <v>1.21</v>
      </c>
      <c r="X467">
        <v>0.84</v>
      </c>
      <c r="Y467">
        <v>1</v>
      </c>
      <c r="Z467">
        <v>10</v>
      </c>
    </row>
    <row r="468" spans="1:26" x14ac:dyDescent="0.3">
      <c r="A468">
        <v>3</v>
      </c>
      <c r="B468">
        <v>70</v>
      </c>
      <c r="C468" t="s">
        <v>26</v>
      </c>
      <c r="D468">
        <v>9.4163999999999994</v>
      </c>
      <c r="E468">
        <v>10.62</v>
      </c>
      <c r="F468">
        <v>7.38</v>
      </c>
      <c r="G468">
        <v>12.65</v>
      </c>
      <c r="H468">
        <v>0.22</v>
      </c>
      <c r="I468">
        <v>35</v>
      </c>
      <c r="J468">
        <v>142.83000000000001</v>
      </c>
      <c r="K468">
        <v>47.83</v>
      </c>
      <c r="L468">
        <v>1.75</v>
      </c>
      <c r="M468">
        <v>33</v>
      </c>
      <c r="N468">
        <v>23.25</v>
      </c>
      <c r="O468">
        <v>17849.7</v>
      </c>
      <c r="P468">
        <v>83.09</v>
      </c>
      <c r="Q468">
        <v>204.14</v>
      </c>
      <c r="R468">
        <v>43.19</v>
      </c>
      <c r="S468">
        <v>17.37</v>
      </c>
      <c r="T468">
        <v>10663.23</v>
      </c>
      <c r="U468">
        <v>0.4</v>
      </c>
      <c r="V468">
        <v>0.69</v>
      </c>
      <c r="W468">
        <v>1.19</v>
      </c>
      <c r="X468">
        <v>0.69</v>
      </c>
      <c r="Y468">
        <v>1</v>
      </c>
      <c r="Z468">
        <v>10</v>
      </c>
    </row>
    <row r="469" spans="1:26" x14ac:dyDescent="0.3">
      <c r="A469">
        <v>4</v>
      </c>
      <c r="B469">
        <v>70</v>
      </c>
      <c r="C469" t="s">
        <v>26</v>
      </c>
      <c r="D469">
        <v>9.6003000000000007</v>
      </c>
      <c r="E469">
        <v>10.42</v>
      </c>
      <c r="F469">
        <v>7.29</v>
      </c>
      <c r="G469">
        <v>14.11</v>
      </c>
      <c r="H469">
        <v>0.25</v>
      </c>
      <c r="I469">
        <v>31</v>
      </c>
      <c r="J469">
        <v>143.16999999999999</v>
      </c>
      <c r="K469">
        <v>47.83</v>
      </c>
      <c r="L469">
        <v>2</v>
      </c>
      <c r="M469">
        <v>29</v>
      </c>
      <c r="N469">
        <v>23.34</v>
      </c>
      <c r="O469">
        <v>17891.86</v>
      </c>
      <c r="P469">
        <v>81.89</v>
      </c>
      <c r="Q469">
        <v>204.15</v>
      </c>
      <c r="R469">
        <v>40.42</v>
      </c>
      <c r="S469">
        <v>17.37</v>
      </c>
      <c r="T469">
        <v>9298.77</v>
      </c>
      <c r="U469">
        <v>0.43</v>
      </c>
      <c r="V469">
        <v>0.7</v>
      </c>
      <c r="W469">
        <v>1.19</v>
      </c>
      <c r="X469">
        <v>0.6</v>
      </c>
      <c r="Y469">
        <v>1</v>
      </c>
      <c r="Z469">
        <v>10</v>
      </c>
    </row>
    <row r="470" spans="1:26" x14ac:dyDescent="0.3">
      <c r="A470">
        <v>5</v>
      </c>
      <c r="B470">
        <v>70</v>
      </c>
      <c r="C470" t="s">
        <v>26</v>
      </c>
      <c r="D470">
        <v>9.7871000000000006</v>
      </c>
      <c r="E470">
        <v>10.220000000000001</v>
      </c>
      <c r="F470">
        <v>7.21</v>
      </c>
      <c r="G470">
        <v>16.02</v>
      </c>
      <c r="H470">
        <v>0.28000000000000003</v>
      </c>
      <c r="I470">
        <v>27</v>
      </c>
      <c r="J470">
        <v>143.51</v>
      </c>
      <c r="K470">
        <v>47.83</v>
      </c>
      <c r="L470">
        <v>2.25</v>
      </c>
      <c r="M470">
        <v>25</v>
      </c>
      <c r="N470">
        <v>23.44</v>
      </c>
      <c r="O470">
        <v>17934.060000000001</v>
      </c>
      <c r="P470">
        <v>80.66</v>
      </c>
      <c r="Q470">
        <v>204.16</v>
      </c>
      <c r="R470">
        <v>37.94</v>
      </c>
      <c r="S470">
        <v>17.37</v>
      </c>
      <c r="T470">
        <v>8078.56</v>
      </c>
      <c r="U470">
        <v>0.46</v>
      </c>
      <c r="V470">
        <v>0.71</v>
      </c>
      <c r="W470">
        <v>1.18</v>
      </c>
      <c r="X470">
        <v>0.52</v>
      </c>
      <c r="Y470">
        <v>1</v>
      </c>
      <c r="Z470">
        <v>10</v>
      </c>
    </row>
    <row r="471" spans="1:26" x14ac:dyDescent="0.3">
      <c r="A471">
        <v>6</v>
      </c>
      <c r="B471">
        <v>70</v>
      </c>
      <c r="C471" t="s">
        <v>26</v>
      </c>
      <c r="D471">
        <v>9.9230999999999998</v>
      </c>
      <c r="E471">
        <v>10.08</v>
      </c>
      <c r="F471">
        <v>7.16</v>
      </c>
      <c r="G471">
        <v>17.89</v>
      </c>
      <c r="H471">
        <v>0.31</v>
      </c>
      <c r="I471">
        <v>24</v>
      </c>
      <c r="J471">
        <v>143.86000000000001</v>
      </c>
      <c r="K471">
        <v>47.83</v>
      </c>
      <c r="L471">
        <v>2.5</v>
      </c>
      <c r="M471">
        <v>22</v>
      </c>
      <c r="N471">
        <v>23.53</v>
      </c>
      <c r="O471">
        <v>17976.29</v>
      </c>
      <c r="P471">
        <v>79.84</v>
      </c>
      <c r="Q471">
        <v>204.16</v>
      </c>
      <c r="R471">
        <v>36.19</v>
      </c>
      <c r="S471">
        <v>17.37</v>
      </c>
      <c r="T471">
        <v>7218.05</v>
      </c>
      <c r="U471">
        <v>0.48</v>
      </c>
      <c r="V471">
        <v>0.71</v>
      </c>
      <c r="W471">
        <v>1.18</v>
      </c>
      <c r="X471">
        <v>0.46</v>
      </c>
      <c r="Y471">
        <v>1</v>
      </c>
      <c r="Z471">
        <v>10</v>
      </c>
    </row>
    <row r="472" spans="1:26" x14ac:dyDescent="0.3">
      <c r="A472">
        <v>7</v>
      </c>
      <c r="B472">
        <v>70</v>
      </c>
      <c r="C472" t="s">
        <v>26</v>
      </c>
      <c r="D472">
        <v>10.019500000000001</v>
      </c>
      <c r="E472">
        <v>9.98</v>
      </c>
      <c r="F472">
        <v>7.12</v>
      </c>
      <c r="G472">
        <v>19.41</v>
      </c>
      <c r="H472">
        <v>0.34</v>
      </c>
      <c r="I472">
        <v>22</v>
      </c>
      <c r="J472">
        <v>144.19999999999999</v>
      </c>
      <c r="K472">
        <v>47.83</v>
      </c>
      <c r="L472">
        <v>2.75</v>
      </c>
      <c r="M472">
        <v>20</v>
      </c>
      <c r="N472">
        <v>23.62</v>
      </c>
      <c r="O472">
        <v>18018.55</v>
      </c>
      <c r="P472">
        <v>79.22</v>
      </c>
      <c r="Q472">
        <v>204.15</v>
      </c>
      <c r="R472">
        <v>35.1</v>
      </c>
      <c r="S472">
        <v>17.37</v>
      </c>
      <c r="T472">
        <v>6682.37</v>
      </c>
      <c r="U472">
        <v>0.49</v>
      </c>
      <c r="V472">
        <v>0.72</v>
      </c>
      <c r="W472">
        <v>1.17</v>
      </c>
      <c r="X472">
        <v>0.42</v>
      </c>
      <c r="Y472">
        <v>1</v>
      </c>
      <c r="Z472">
        <v>10</v>
      </c>
    </row>
    <row r="473" spans="1:26" x14ac:dyDescent="0.3">
      <c r="A473">
        <v>8</v>
      </c>
      <c r="B473">
        <v>70</v>
      </c>
      <c r="C473" t="s">
        <v>26</v>
      </c>
      <c r="D473">
        <v>10.130000000000001</v>
      </c>
      <c r="E473">
        <v>9.8699999999999992</v>
      </c>
      <c r="F473">
        <v>7.07</v>
      </c>
      <c r="G473">
        <v>21.2</v>
      </c>
      <c r="H473">
        <v>0.37</v>
      </c>
      <c r="I473">
        <v>20</v>
      </c>
      <c r="J473">
        <v>144.54</v>
      </c>
      <c r="K473">
        <v>47.83</v>
      </c>
      <c r="L473">
        <v>3</v>
      </c>
      <c r="M473">
        <v>18</v>
      </c>
      <c r="N473">
        <v>23.71</v>
      </c>
      <c r="O473">
        <v>18060.849999999999</v>
      </c>
      <c r="P473">
        <v>78.42</v>
      </c>
      <c r="Q473">
        <v>204.15</v>
      </c>
      <c r="R473">
        <v>33.69</v>
      </c>
      <c r="S473">
        <v>17.37</v>
      </c>
      <c r="T473">
        <v>5985.28</v>
      </c>
      <c r="U473">
        <v>0.52</v>
      </c>
      <c r="V473">
        <v>0.72</v>
      </c>
      <c r="W473">
        <v>1.1599999999999999</v>
      </c>
      <c r="X473">
        <v>0.37</v>
      </c>
      <c r="Y473">
        <v>1</v>
      </c>
      <c r="Z473">
        <v>10</v>
      </c>
    </row>
    <row r="474" spans="1:26" x14ac:dyDescent="0.3">
      <c r="A474">
        <v>9</v>
      </c>
      <c r="B474">
        <v>70</v>
      </c>
      <c r="C474" t="s">
        <v>26</v>
      </c>
      <c r="D474">
        <v>10.1793</v>
      </c>
      <c r="E474">
        <v>9.82</v>
      </c>
      <c r="F474">
        <v>7.05</v>
      </c>
      <c r="G474">
        <v>22.25</v>
      </c>
      <c r="H474">
        <v>0.4</v>
      </c>
      <c r="I474">
        <v>19</v>
      </c>
      <c r="J474">
        <v>144.88999999999999</v>
      </c>
      <c r="K474">
        <v>47.83</v>
      </c>
      <c r="L474">
        <v>3.25</v>
      </c>
      <c r="M474">
        <v>17</v>
      </c>
      <c r="N474">
        <v>23.81</v>
      </c>
      <c r="O474">
        <v>18103.18</v>
      </c>
      <c r="P474">
        <v>77.94</v>
      </c>
      <c r="Q474">
        <v>204.15</v>
      </c>
      <c r="R474">
        <v>32.979999999999997</v>
      </c>
      <c r="S474">
        <v>17.37</v>
      </c>
      <c r="T474">
        <v>5635.04</v>
      </c>
      <c r="U474">
        <v>0.53</v>
      </c>
      <c r="V474">
        <v>0.72</v>
      </c>
      <c r="W474">
        <v>1.1599999999999999</v>
      </c>
      <c r="X474">
        <v>0.35</v>
      </c>
      <c r="Y474">
        <v>1</v>
      </c>
      <c r="Z474">
        <v>10</v>
      </c>
    </row>
    <row r="475" spans="1:26" x14ac:dyDescent="0.3">
      <c r="A475">
        <v>10</v>
      </c>
      <c r="B475">
        <v>70</v>
      </c>
      <c r="C475" t="s">
        <v>26</v>
      </c>
      <c r="D475">
        <v>10.2743</v>
      </c>
      <c r="E475">
        <v>9.73</v>
      </c>
      <c r="F475">
        <v>7.01</v>
      </c>
      <c r="G475">
        <v>24.75</v>
      </c>
      <c r="H475">
        <v>0.43</v>
      </c>
      <c r="I475">
        <v>17</v>
      </c>
      <c r="J475">
        <v>145.22999999999999</v>
      </c>
      <c r="K475">
        <v>47.83</v>
      </c>
      <c r="L475">
        <v>3.5</v>
      </c>
      <c r="M475">
        <v>15</v>
      </c>
      <c r="N475">
        <v>23.9</v>
      </c>
      <c r="O475">
        <v>18145.54</v>
      </c>
      <c r="P475">
        <v>77.22</v>
      </c>
      <c r="Q475">
        <v>204.14</v>
      </c>
      <c r="R475">
        <v>31.9</v>
      </c>
      <c r="S475">
        <v>17.37</v>
      </c>
      <c r="T475">
        <v>5105.07</v>
      </c>
      <c r="U475">
        <v>0.54</v>
      </c>
      <c r="V475">
        <v>0.73</v>
      </c>
      <c r="W475">
        <v>1.1599999999999999</v>
      </c>
      <c r="X475">
        <v>0.32</v>
      </c>
      <c r="Y475">
        <v>1</v>
      </c>
      <c r="Z475">
        <v>10</v>
      </c>
    </row>
    <row r="476" spans="1:26" x14ac:dyDescent="0.3">
      <c r="A476">
        <v>11</v>
      </c>
      <c r="B476">
        <v>70</v>
      </c>
      <c r="C476" t="s">
        <v>26</v>
      </c>
      <c r="D476">
        <v>10.33</v>
      </c>
      <c r="E476">
        <v>9.68</v>
      </c>
      <c r="F476">
        <v>6.99</v>
      </c>
      <c r="G476">
        <v>26.21</v>
      </c>
      <c r="H476">
        <v>0.46</v>
      </c>
      <c r="I476">
        <v>16</v>
      </c>
      <c r="J476">
        <v>145.57</v>
      </c>
      <c r="K476">
        <v>47.83</v>
      </c>
      <c r="L476">
        <v>3.75</v>
      </c>
      <c r="M476">
        <v>14</v>
      </c>
      <c r="N476">
        <v>23.99</v>
      </c>
      <c r="O476">
        <v>18187.93</v>
      </c>
      <c r="P476">
        <v>76.760000000000005</v>
      </c>
      <c r="Q476">
        <v>204.16</v>
      </c>
      <c r="R476">
        <v>31.24</v>
      </c>
      <c r="S476">
        <v>17.37</v>
      </c>
      <c r="T476">
        <v>4782.13</v>
      </c>
      <c r="U476">
        <v>0.56000000000000005</v>
      </c>
      <c r="V476">
        <v>0.73</v>
      </c>
      <c r="W476">
        <v>1.1599999999999999</v>
      </c>
      <c r="X476">
        <v>0.3</v>
      </c>
      <c r="Y476">
        <v>1</v>
      </c>
      <c r="Z476">
        <v>10</v>
      </c>
    </row>
    <row r="477" spans="1:26" x14ac:dyDescent="0.3">
      <c r="A477">
        <v>12</v>
      </c>
      <c r="B477">
        <v>70</v>
      </c>
      <c r="C477" t="s">
        <v>26</v>
      </c>
      <c r="D477">
        <v>10.3932</v>
      </c>
      <c r="E477">
        <v>9.6199999999999992</v>
      </c>
      <c r="F477">
        <v>6.96</v>
      </c>
      <c r="G477">
        <v>27.84</v>
      </c>
      <c r="H477">
        <v>0.49</v>
      </c>
      <c r="I477">
        <v>15</v>
      </c>
      <c r="J477">
        <v>145.91999999999999</v>
      </c>
      <c r="K477">
        <v>47.83</v>
      </c>
      <c r="L477">
        <v>4</v>
      </c>
      <c r="M477">
        <v>13</v>
      </c>
      <c r="N477">
        <v>24.09</v>
      </c>
      <c r="O477">
        <v>18230.349999999999</v>
      </c>
      <c r="P477">
        <v>76.36</v>
      </c>
      <c r="Q477">
        <v>204.19</v>
      </c>
      <c r="R477">
        <v>30.26</v>
      </c>
      <c r="S477">
        <v>17.37</v>
      </c>
      <c r="T477">
        <v>4296.53</v>
      </c>
      <c r="U477">
        <v>0.56999999999999995</v>
      </c>
      <c r="V477">
        <v>0.73</v>
      </c>
      <c r="W477">
        <v>1.1599999999999999</v>
      </c>
      <c r="X477">
        <v>0.27</v>
      </c>
      <c r="Y477">
        <v>1</v>
      </c>
      <c r="Z477">
        <v>10</v>
      </c>
    </row>
    <row r="478" spans="1:26" x14ac:dyDescent="0.3">
      <c r="A478">
        <v>13</v>
      </c>
      <c r="B478">
        <v>70</v>
      </c>
      <c r="C478" t="s">
        <v>26</v>
      </c>
      <c r="D478">
        <v>10.435700000000001</v>
      </c>
      <c r="E478">
        <v>9.58</v>
      </c>
      <c r="F478">
        <v>6.95</v>
      </c>
      <c r="G478">
        <v>29.78</v>
      </c>
      <c r="H478">
        <v>0.51</v>
      </c>
      <c r="I478">
        <v>14</v>
      </c>
      <c r="J478">
        <v>146.26</v>
      </c>
      <c r="K478">
        <v>47.83</v>
      </c>
      <c r="L478">
        <v>4.25</v>
      </c>
      <c r="M478">
        <v>12</v>
      </c>
      <c r="N478">
        <v>24.18</v>
      </c>
      <c r="O478">
        <v>18272.810000000001</v>
      </c>
      <c r="P478">
        <v>75.87</v>
      </c>
      <c r="Q478">
        <v>204.14</v>
      </c>
      <c r="R478">
        <v>29.93</v>
      </c>
      <c r="S478">
        <v>17.37</v>
      </c>
      <c r="T478">
        <v>4135.63</v>
      </c>
      <c r="U478">
        <v>0.57999999999999996</v>
      </c>
      <c r="V478">
        <v>0.73</v>
      </c>
      <c r="W478">
        <v>1.1599999999999999</v>
      </c>
      <c r="X478">
        <v>0.26</v>
      </c>
      <c r="Y478">
        <v>1</v>
      </c>
      <c r="Z478">
        <v>10</v>
      </c>
    </row>
    <row r="479" spans="1:26" x14ac:dyDescent="0.3">
      <c r="A479">
        <v>14</v>
      </c>
      <c r="B479">
        <v>70</v>
      </c>
      <c r="C479" t="s">
        <v>26</v>
      </c>
      <c r="D479">
        <v>10.494999999999999</v>
      </c>
      <c r="E479">
        <v>9.5299999999999994</v>
      </c>
      <c r="F479">
        <v>6.92</v>
      </c>
      <c r="G479">
        <v>31.96</v>
      </c>
      <c r="H479">
        <v>0.54</v>
      </c>
      <c r="I479">
        <v>13</v>
      </c>
      <c r="J479">
        <v>146.61000000000001</v>
      </c>
      <c r="K479">
        <v>47.83</v>
      </c>
      <c r="L479">
        <v>4.5</v>
      </c>
      <c r="M479">
        <v>11</v>
      </c>
      <c r="N479">
        <v>24.28</v>
      </c>
      <c r="O479">
        <v>18315.3</v>
      </c>
      <c r="P479">
        <v>75.239999999999995</v>
      </c>
      <c r="Q479">
        <v>204.17</v>
      </c>
      <c r="R479">
        <v>29.17</v>
      </c>
      <c r="S479">
        <v>17.37</v>
      </c>
      <c r="T479">
        <v>3762.82</v>
      </c>
      <c r="U479">
        <v>0.6</v>
      </c>
      <c r="V479">
        <v>0.74</v>
      </c>
      <c r="W479">
        <v>1.1499999999999999</v>
      </c>
      <c r="X479">
        <v>0.23</v>
      </c>
      <c r="Y479">
        <v>1</v>
      </c>
      <c r="Z479">
        <v>10</v>
      </c>
    </row>
    <row r="480" spans="1:26" x14ac:dyDescent="0.3">
      <c r="A480">
        <v>15</v>
      </c>
      <c r="B480">
        <v>70</v>
      </c>
      <c r="C480" t="s">
        <v>26</v>
      </c>
      <c r="D480">
        <v>10.491</v>
      </c>
      <c r="E480">
        <v>9.5299999999999994</v>
      </c>
      <c r="F480">
        <v>6.93</v>
      </c>
      <c r="G480">
        <v>31.98</v>
      </c>
      <c r="H480">
        <v>0.56999999999999995</v>
      </c>
      <c r="I480">
        <v>13</v>
      </c>
      <c r="J480">
        <v>146.94999999999999</v>
      </c>
      <c r="K480">
        <v>47.83</v>
      </c>
      <c r="L480">
        <v>4.75</v>
      </c>
      <c r="M480">
        <v>11</v>
      </c>
      <c r="N480">
        <v>24.37</v>
      </c>
      <c r="O480">
        <v>18357.82</v>
      </c>
      <c r="P480">
        <v>75.239999999999995</v>
      </c>
      <c r="Q480">
        <v>204.17</v>
      </c>
      <c r="R480">
        <v>29.09</v>
      </c>
      <c r="S480">
        <v>17.37</v>
      </c>
      <c r="T480">
        <v>3723.34</v>
      </c>
      <c r="U480">
        <v>0.6</v>
      </c>
      <c r="V480">
        <v>0.74</v>
      </c>
      <c r="W480">
        <v>1.1599999999999999</v>
      </c>
      <c r="X480">
        <v>0.24</v>
      </c>
      <c r="Y480">
        <v>1</v>
      </c>
      <c r="Z480">
        <v>10</v>
      </c>
    </row>
    <row r="481" spans="1:26" x14ac:dyDescent="0.3">
      <c r="A481">
        <v>16</v>
      </c>
      <c r="B481">
        <v>70</v>
      </c>
      <c r="C481" t="s">
        <v>26</v>
      </c>
      <c r="D481">
        <v>10.537100000000001</v>
      </c>
      <c r="E481">
        <v>9.49</v>
      </c>
      <c r="F481">
        <v>6.92</v>
      </c>
      <c r="G481">
        <v>34.58</v>
      </c>
      <c r="H481">
        <v>0.6</v>
      </c>
      <c r="I481">
        <v>12</v>
      </c>
      <c r="J481">
        <v>147.30000000000001</v>
      </c>
      <c r="K481">
        <v>47.83</v>
      </c>
      <c r="L481">
        <v>5</v>
      </c>
      <c r="M481">
        <v>10</v>
      </c>
      <c r="N481">
        <v>24.47</v>
      </c>
      <c r="O481">
        <v>18400.38</v>
      </c>
      <c r="P481">
        <v>74.91</v>
      </c>
      <c r="Q481">
        <v>204.15</v>
      </c>
      <c r="R481">
        <v>28.91</v>
      </c>
      <c r="S481">
        <v>17.37</v>
      </c>
      <c r="T481">
        <v>3635.82</v>
      </c>
      <c r="U481">
        <v>0.6</v>
      </c>
      <c r="V481">
        <v>0.74</v>
      </c>
      <c r="W481">
        <v>1.1499999999999999</v>
      </c>
      <c r="X481">
        <v>0.22</v>
      </c>
      <c r="Y481">
        <v>1</v>
      </c>
      <c r="Z481">
        <v>10</v>
      </c>
    </row>
    <row r="482" spans="1:26" x14ac:dyDescent="0.3">
      <c r="A482">
        <v>17</v>
      </c>
      <c r="B482">
        <v>70</v>
      </c>
      <c r="C482" t="s">
        <v>26</v>
      </c>
      <c r="D482">
        <v>10.542</v>
      </c>
      <c r="E482">
        <v>9.49</v>
      </c>
      <c r="F482">
        <v>6.91</v>
      </c>
      <c r="G482">
        <v>34.549999999999997</v>
      </c>
      <c r="H482">
        <v>0.63</v>
      </c>
      <c r="I482">
        <v>12</v>
      </c>
      <c r="J482">
        <v>147.63999999999999</v>
      </c>
      <c r="K482">
        <v>47.83</v>
      </c>
      <c r="L482">
        <v>5.25</v>
      </c>
      <c r="M482">
        <v>10</v>
      </c>
      <c r="N482">
        <v>24.56</v>
      </c>
      <c r="O482">
        <v>18442.97</v>
      </c>
      <c r="P482">
        <v>74.42</v>
      </c>
      <c r="Q482">
        <v>204.14</v>
      </c>
      <c r="R482">
        <v>28.67</v>
      </c>
      <c r="S482">
        <v>17.37</v>
      </c>
      <c r="T482">
        <v>3515.14</v>
      </c>
      <c r="U482">
        <v>0.61</v>
      </c>
      <c r="V482">
        <v>0.74</v>
      </c>
      <c r="W482">
        <v>1.1599999999999999</v>
      </c>
      <c r="X482">
        <v>0.22</v>
      </c>
      <c r="Y482">
        <v>1</v>
      </c>
      <c r="Z482">
        <v>10</v>
      </c>
    </row>
    <row r="483" spans="1:26" x14ac:dyDescent="0.3">
      <c r="A483">
        <v>18</v>
      </c>
      <c r="B483">
        <v>70</v>
      </c>
      <c r="C483" t="s">
        <v>26</v>
      </c>
      <c r="D483">
        <v>10.6107</v>
      </c>
      <c r="E483">
        <v>9.42</v>
      </c>
      <c r="F483">
        <v>6.88</v>
      </c>
      <c r="G483">
        <v>37.520000000000003</v>
      </c>
      <c r="H483">
        <v>0.66</v>
      </c>
      <c r="I483">
        <v>11</v>
      </c>
      <c r="J483">
        <v>147.99</v>
      </c>
      <c r="K483">
        <v>47.83</v>
      </c>
      <c r="L483">
        <v>5.5</v>
      </c>
      <c r="M483">
        <v>9</v>
      </c>
      <c r="N483">
        <v>24.66</v>
      </c>
      <c r="O483">
        <v>18485.59</v>
      </c>
      <c r="P483">
        <v>73.89</v>
      </c>
      <c r="Q483">
        <v>204.18</v>
      </c>
      <c r="R483">
        <v>27.65</v>
      </c>
      <c r="S483">
        <v>17.37</v>
      </c>
      <c r="T483">
        <v>3010.86</v>
      </c>
      <c r="U483">
        <v>0.63</v>
      </c>
      <c r="V483">
        <v>0.74</v>
      </c>
      <c r="W483">
        <v>1.1499999999999999</v>
      </c>
      <c r="X483">
        <v>0.19</v>
      </c>
      <c r="Y483">
        <v>1</v>
      </c>
      <c r="Z483">
        <v>10</v>
      </c>
    </row>
    <row r="484" spans="1:26" x14ac:dyDescent="0.3">
      <c r="A484">
        <v>19</v>
      </c>
      <c r="B484">
        <v>70</v>
      </c>
      <c r="C484" t="s">
        <v>26</v>
      </c>
      <c r="D484">
        <v>10.6013</v>
      </c>
      <c r="E484">
        <v>9.43</v>
      </c>
      <c r="F484">
        <v>6.89</v>
      </c>
      <c r="G484">
        <v>37.56</v>
      </c>
      <c r="H484">
        <v>0.69</v>
      </c>
      <c r="I484">
        <v>11</v>
      </c>
      <c r="J484">
        <v>148.33000000000001</v>
      </c>
      <c r="K484">
        <v>47.83</v>
      </c>
      <c r="L484">
        <v>5.75</v>
      </c>
      <c r="M484">
        <v>9</v>
      </c>
      <c r="N484">
        <v>24.75</v>
      </c>
      <c r="O484">
        <v>18528.25</v>
      </c>
      <c r="P484">
        <v>73.58</v>
      </c>
      <c r="Q484">
        <v>204.14</v>
      </c>
      <c r="R484">
        <v>27.93</v>
      </c>
      <c r="S484">
        <v>17.37</v>
      </c>
      <c r="T484">
        <v>3152.35</v>
      </c>
      <c r="U484">
        <v>0.62</v>
      </c>
      <c r="V484">
        <v>0.74</v>
      </c>
      <c r="W484">
        <v>1.1499999999999999</v>
      </c>
      <c r="X484">
        <v>0.2</v>
      </c>
      <c r="Y484">
        <v>1</v>
      </c>
      <c r="Z484">
        <v>10</v>
      </c>
    </row>
    <row r="485" spans="1:26" x14ac:dyDescent="0.3">
      <c r="A485">
        <v>20</v>
      </c>
      <c r="B485">
        <v>70</v>
      </c>
      <c r="C485" t="s">
        <v>26</v>
      </c>
      <c r="D485">
        <v>10.6503</v>
      </c>
      <c r="E485">
        <v>9.39</v>
      </c>
      <c r="F485">
        <v>6.87</v>
      </c>
      <c r="G485">
        <v>41.23</v>
      </c>
      <c r="H485">
        <v>0.71</v>
      </c>
      <c r="I485">
        <v>10</v>
      </c>
      <c r="J485">
        <v>148.68</v>
      </c>
      <c r="K485">
        <v>47.83</v>
      </c>
      <c r="L485">
        <v>6</v>
      </c>
      <c r="M485">
        <v>8</v>
      </c>
      <c r="N485">
        <v>24.85</v>
      </c>
      <c r="O485">
        <v>18570.939999999999</v>
      </c>
      <c r="P485">
        <v>73.06</v>
      </c>
      <c r="Q485">
        <v>204.14</v>
      </c>
      <c r="R485">
        <v>27.51</v>
      </c>
      <c r="S485">
        <v>17.37</v>
      </c>
      <c r="T485">
        <v>2948.55</v>
      </c>
      <c r="U485">
        <v>0.63</v>
      </c>
      <c r="V485">
        <v>0.74</v>
      </c>
      <c r="W485">
        <v>1.1499999999999999</v>
      </c>
      <c r="X485">
        <v>0.18</v>
      </c>
      <c r="Y485">
        <v>1</v>
      </c>
      <c r="Z485">
        <v>10</v>
      </c>
    </row>
    <row r="486" spans="1:26" x14ac:dyDescent="0.3">
      <c r="A486">
        <v>21</v>
      </c>
      <c r="B486">
        <v>70</v>
      </c>
      <c r="C486" t="s">
        <v>26</v>
      </c>
      <c r="D486">
        <v>10.6645</v>
      </c>
      <c r="E486">
        <v>9.3800000000000008</v>
      </c>
      <c r="F486">
        <v>6.86</v>
      </c>
      <c r="G486">
        <v>41.16</v>
      </c>
      <c r="H486">
        <v>0.74</v>
      </c>
      <c r="I486">
        <v>10</v>
      </c>
      <c r="J486">
        <v>149.02000000000001</v>
      </c>
      <c r="K486">
        <v>47.83</v>
      </c>
      <c r="L486">
        <v>6.25</v>
      </c>
      <c r="M486">
        <v>8</v>
      </c>
      <c r="N486">
        <v>24.95</v>
      </c>
      <c r="O486">
        <v>18613.66</v>
      </c>
      <c r="P486">
        <v>73.02</v>
      </c>
      <c r="Q486">
        <v>204.15</v>
      </c>
      <c r="R486">
        <v>27.05</v>
      </c>
      <c r="S486">
        <v>17.37</v>
      </c>
      <c r="T486">
        <v>2715.82</v>
      </c>
      <c r="U486">
        <v>0.64</v>
      </c>
      <c r="V486">
        <v>0.74</v>
      </c>
      <c r="W486">
        <v>1.1499999999999999</v>
      </c>
      <c r="X486">
        <v>0.17</v>
      </c>
      <c r="Y486">
        <v>1</v>
      </c>
      <c r="Z486">
        <v>10</v>
      </c>
    </row>
    <row r="487" spans="1:26" x14ac:dyDescent="0.3">
      <c r="A487">
        <v>22</v>
      </c>
      <c r="B487">
        <v>70</v>
      </c>
      <c r="C487" t="s">
        <v>26</v>
      </c>
      <c r="D487">
        <v>10.7136</v>
      </c>
      <c r="E487">
        <v>9.33</v>
      </c>
      <c r="F487">
        <v>6.85</v>
      </c>
      <c r="G487">
        <v>45.64</v>
      </c>
      <c r="H487">
        <v>0.77</v>
      </c>
      <c r="I487">
        <v>9</v>
      </c>
      <c r="J487">
        <v>149.37</v>
      </c>
      <c r="K487">
        <v>47.83</v>
      </c>
      <c r="L487">
        <v>6.5</v>
      </c>
      <c r="M487">
        <v>7</v>
      </c>
      <c r="N487">
        <v>25.04</v>
      </c>
      <c r="O487">
        <v>18656.419999999998</v>
      </c>
      <c r="P487">
        <v>72.239999999999995</v>
      </c>
      <c r="Q487">
        <v>204.14</v>
      </c>
      <c r="R487">
        <v>26.66</v>
      </c>
      <c r="S487">
        <v>17.37</v>
      </c>
      <c r="T487">
        <v>2527.5300000000002</v>
      </c>
      <c r="U487">
        <v>0.65</v>
      </c>
      <c r="V487">
        <v>0.75</v>
      </c>
      <c r="W487">
        <v>1.1499999999999999</v>
      </c>
      <c r="X487">
        <v>0.15</v>
      </c>
      <c r="Y487">
        <v>1</v>
      </c>
      <c r="Z487">
        <v>10</v>
      </c>
    </row>
    <row r="488" spans="1:26" x14ac:dyDescent="0.3">
      <c r="A488">
        <v>23</v>
      </c>
      <c r="B488">
        <v>70</v>
      </c>
      <c r="C488" t="s">
        <v>26</v>
      </c>
      <c r="D488">
        <v>10.699299999999999</v>
      </c>
      <c r="E488">
        <v>9.35</v>
      </c>
      <c r="F488">
        <v>6.86</v>
      </c>
      <c r="G488">
        <v>45.72</v>
      </c>
      <c r="H488">
        <v>0.8</v>
      </c>
      <c r="I488">
        <v>9</v>
      </c>
      <c r="J488">
        <v>149.72</v>
      </c>
      <c r="K488">
        <v>47.83</v>
      </c>
      <c r="L488">
        <v>6.75</v>
      </c>
      <c r="M488">
        <v>7</v>
      </c>
      <c r="N488">
        <v>25.14</v>
      </c>
      <c r="O488">
        <v>18699.2</v>
      </c>
      <c r="P488">
        <v>72.64</v>
      </c>
      <c r="Q488">
        <v>204.15</v>
      </c>
      <c r="R488">
        <v>27.05</v>
      </c>
      <c r="S488">
        <v>17.37</v>
      </c>
      <c r="T488">
        <v>2721.39</v>
      </c>
      <c r="U488">
        <v>0.64</v>
      </c>
      <c r="V488">
        <v>0.74</v>
      </c>
      <c r="W488">
        <v>1.1499999999999999</v>
      </c>
      <c r="X488">
        <v>0.17</v>
      </c>
      <c r="Y488">
        <v>1</v>
      </c>
      <c r="Z488">
        <v>10</v>
      </c>
    </row>
    <row r="489" spans="1:26" x14ac:dyDescent="0.3">
      <c r="A489">
        <v>24</v>
      </c>
      <c r="B489">
        <v>70</v>
      </c>
      <c r="C489" t="s">
        <v>26</v>
      </c>
      <c r="D489">
        <v>10.697699999999999</v>
      </c>
      <c r="E489">
        <v>9.35</v>
      </c>
      <c r="F489">
        <v>6.86</v>
      </c>
      <c r="G489">
        <v>45.73</v>
      </c>
      <c r="H489">
        <v>0.83</v>
      </c>
      <c r="I489">
        <v>9</v>
      </c>
      <c r="J489">
        <v>150.07</v>
      </c>
      <c r="K489">
        <v>47.83</v>
      </c>
      <c r="L489">
        <v>7</v>
      </c>
      <c r="M489">
        <v>7</v>
      </c>
      <c r="N489">
        <v>25.24</v>
      </c>
      <c r="O489">
        <v>18742.03</v>
      </c>
      <c r="P489">
        <v>72.319999999999993</v>
      </c>
      <c r="Q489">
        <v>204.16</v>
      </c>
      <c r="R489">
        <v>27.04</v>
      </c>
      <c r="S489">
        <v>17.37</v>
      </c>
      <c r="T489">
        <v>2717.91</v>
      </c>
      <c r="U489">
        <v>0.64</v>
      </c>
      <c r="V489">
        <v>0.74</v>
      </c>
      <c r="W489">
        <v>1.1499999999999999</v>
      </c>
      <c r="X489">
        <v>0.17</v>
      </c>
      <c r="Y489">
        <v>1</v>
      </c>
      <c r="Z489">
        <v>10</v>
      </c>
    </row>
    <row r="490" spans="1:26" x14ac:dyDescent="0.3">
      <c r="A490">
        <v>25</v>
      </c>
      <c r="B490">
        <v>70</v>
      </c>
      <c r="C490" t="s">
        <v>26</v>
      </c>
      <c r="D490">
        <v>10.703799999999999</v>
      </c>
      <c r="E490">
        <v>9.34</v>
      </c>
      <c r="F490">
        <v>6.85</v>
      </c>
      <c r="G490">
        <v>45.69</v>
      </c>
      <c r="H490">
        <v>0.85</v>
      </c>
      <c r="I490">
        <v>9</v>
      </c>
      <c r="J490">
        <v>150.41</v>
      </c>
      <c r="K490">
        <v>47.83</v>
      </c>
      <c r="L490">
        <v>7.25</v>
      </c>
      <c r="M490">
        <v>7</v>
      </c>
      <c r="N490">
        <v>25.33</v>
      </c>
      <c r="O490">
        <v>18784.88</v>
      </c>
      <c r="P490">
        <v>71.849999999999994</v>
      </c>
      <c r="Q490">
        <v>204.14</v>
      </c>
      <c r="R490">
        <v>26.88</v>
      </c>
      <c r="S490">
        <v>17.37</v>
      </c>
      <c r="T490">
        <v>2636.91</v>
      </c>
      <c r="U490">
        <v>0.65</v>
      </c>
      <c r="V490">
        <v>0.75</v>
      </c>
      <c r="W490">
        <v>1.1499999999999999</v>
      </c>
      <c r="X490">
        <v>0.16</v>
      </c>
      <c r="Y490">
        <v>1</v>
      </c>
      <c r="Z490">
        <v>10</v>
      </c>
    </row>
    <row r="491" spans="1:26" x14ac:dyDescent="0.3">
      <c r="A491">
        <v>26</v>
      </c>
      <c r="B491">
        <v>70</v>
      </c>
      <c r="C491" t="s">
        <v>26</v>
      </c>
      <c r="D491">
        <v>10.7752</v>
      </c>
      <c r="E491">
        <v>9.2799999999999994</v>
      </c>
      <c r="F491">
        <v>6.82</v>
      </c>
      <c r="G491">
        <v>51.16</v>
      </c>
      <c r="H491">
        <v>0.88</v>
      </c>
      <c r="I491">
        <v>8</v>
      </c>
      <c r="J491">
        <v>150.76</v>
      </c>
      <c r="K491">
        <v>47.83</v>
      </c>
      <c r="L491">
        <v>7.5</v>
      </c>
      <c r="M491">
        <v>6</v>
      </c>
      <c r="N491">
        <v>25.43</v>
      </c>
      <c r="O491">
        <v>18827.77</v>
      </c>
      <c r="P491">
        <v>71.22</v>
      </c>
      <c r="Q491">
        <v>204.14</v>
      </c>
      <c r="R491">
        <v>25.85</v>
      </c>
      <c r="S491">
        <v>17.37</v>
      </c>
      <c r="T491">
        <v>2127.5500000000002</v>
      </c>
      <c r="U491">
        <v>0.67</v>
      </c>
      <c r="V491">
        <v>0.75</v>
      </c>
      <c r="W491">
        <v>1.1499999999999999</v>
      </c>
      <c r="X491">
        <v>0.13</v>
      </c>
      <c r="Y491">
        <v>1</v>
      </c>
      <c r="Z491">
        <v>10</v>
      </c>
    </row>
    <row r="492" spans="1:26" x14ac:dyDescent="0.3">
      <c r="A492">
        <v>27</v>
      </c>
      <c r="B492">
        <v>70</v>
      </c>
      <c r="C492" t="s">
        <v>26</v>
      </c>
      <c r="D492">
        <v>10.7598</v>
      </c>
      <c r="E492">
        <v>9.2899999999999991</v>
      </c>
      <c r="F492">
        <v>6.83</v>
      </c>
      <c r="G492">
        <v>51.26</v>
      </c>
      <c r="H492">
        <v>0.91</v>
      </c>
      <c r="I492">
        <v>8</v>
      </c>
      <c r="J492">
        <v>151.11000000000001</v>
      </c>
      <c r="K492">
        <v>47.83</v>
      </c>
      <c r="L492">
        <v>7.75</v>
      </c>
      <c r="M492">
        <v>6</v>
      </c>
      <c r="N492">
        <v>25.53</v>
      </c>
      <c r="O492">
        <v>18870.7</v>
      </c>
      <c r="P492">
        <v>70.930000000000007</v>
      </c>
      <c r="Q492">
        <v>204.15</v>
      </c>
      <c r="R492">
        <v>26.33</v>
      </c>
      <c r="S492">
        <v>17.37</v>
      </c>
      <c r="T492">
        <v>2366.61</v>
      </c>
      <c r="U492">
        <v>0.66</v>
      </c>
      <c r="V492">
        <v>0.75</v>
      </c>
      <c r="W492">
        <v>1.1499999999999999</v>
      </c>
      <c r="X492">
        <v>0.14000000000000001</v>
      </c>
      <c r="Y492">
        <v>1</v>
      </c>
      <c r="Z492">
        <v>10</v>
      </c>
    </row>
    <row r="493" spans="1:26" x14ac:dyDescent="0.3">
      <c r="A493">
        <v>28</v>
      </c>
      <c r="B493">
        <v>70</v>
      </c>
      <c r="C493" t="s">
        <v>26</v>
      </c>
      <c r="D493">
        <v>10.769399999999999</v>
      </c>
      <c r="E493">
        <v>9.2899999999999991</v>
      </c>
      <c r="F493">
        <v>6.83</v>
      </c>
      <c r="G493">
        <v>51.2</v>
      </c>
      <c r="H493">
        <v>0.94</v>
      </c>
      <c r="I493">
        <v>8</v>
      </c>
      <c r="J493">
        <v>151.46</v>
      </c>
      <c r="K493">
        <v>47.83</v>
      </c>
      <c r="L493">
        <v>8</v>
      </c>
      <c r="M493">
        <v>6</v>
      </c>
      <c r="N493">
        <v>25.63</v>
      </c>
      <c r="O493">
        <v>18913.66</v>
      </c>
      <c r="P493">
        <v>70.760000000000005</v>
      </c>
      <c r="Q493">
        <v>204.17</v>
      </c>
      <c r="R493">
        <v>26.06</v>
      </c>
      <c r="S493">
        <v>17.37</v>
      </c>
      <c r="T493">
        <v>2230.09</v>
      </c>
      <c r="U493">
        <v>0.67</v>
      </c>
      <c r="V493">
        <v>0.75</v>
      </c>
      <c r="W493">
        <v>1.1499999999999999</v>
      </c>
      <c r="X493">
        <v>0.13</v>
      </c>
      <c r="Y493">
        <v>1</v>
      </c>
      <c r="Z493">
        <v>10</v>
      </c>
    </row>
    <row r="494" spans="1:26" x14ac:dyDescent="0.3">
      <c r="A494">
        <v>29</v>
      </c>
      <c r="B494">
        <v>70</v>
      </c>
      <c r="C494" t="s">
        <v>26</v>
      </c>
      <c r="D494">
        <v>10.7643</v>
      </c>
      <c r="E494">
        <v>9.2899999999999991</v>
      </c>
      <c r="F494">
        <v>6.83</v>
      </c>
      <c r="G494">
        <v>51.23</v>
      </c>
      <c r="H494">
        <v>0.96</v>
      </c>
      <c r="I494">
        <v>8</v>
      </c>
      <c r="J494">
        <v>151.81</v>
      </c>
      <c r="K494">
        <v>47.83</v>
      </c>
      <c r="L494">
        <v>8.25</v>
      </c>
      <c r="M494">
        <v>6</v>
      </c>
      <c r="N494">
        <v>25.73</v>
      </c>
      <c r="O494">
        <v>18956.650000000001</v>
      </c>
      <c r="P494">
        <v>70.28</v>
      </c>
      <c r="Q494">
        <v>204.14</v>
      </c>
      <c r="R494">
        <v>26.07</v>
      </c>
      <c r="S494">
        <v>17.37</v>
      </c>
      <c r="T494">
        <v>2235.9699999999998</v>
      </c>
      <c r="U494">
        <v>0.67</v>
      </c>
      <c r="V494">
        <v>0.75</v>
      </c>
      <c r="W494">
        <v>1.1499999999999999</v>
      </c>
      <c r="X494">
        <v>0.14000000000000001</v>
      </c>
      <c r="Y494">
        <v>1</v>
      </c>
      <c r="Z494">
        <v>10</v>
      </c>
    </row>
    <row r="495" spans="1:26" x14ac:dyDescent="0.3">
      <c r="A495">
        <v>30</v>
      </c>
      <c r="B495">
        <v>70</v>
      </c>
      <c r="C495" t="s">
        <v>26</v>
      </c>
      <c r="D495">
        <v>10.833299999999999</v>
      </c>
      <c r="E495">
        <v>9.23</v>
      </c>
      <c r="F495">
        <v>6.8</v>
      </c>
      <c r="G495">
        <v>58.29</v>
      </c>
      <c r="H495">
        <v>0.99</v>
      </c>
      <c r="I495">
        <v>7</v>
      </c>
      <c r="J495">
        <v>152.15</v>
      </c>
      <c r="K495">
        <v>47.83</v>
      </c>
      <c r="L495">
        <v>8.5</v>
      </c>
      <c r="M495">
        <v>5</v>
      </c>
      <c r="N495">
        <v>25.83</v>
      </c>
      <c r="O495">
        <v>18999.669999999998</v>
      </c>
      <c r="P495">
        <v>69.959999999999994</v>
      </c>
      <c r="Q495">
        <v>204.18</v>
      </c>
      <c r="R495">
        <v>25.24</v>
      </c>
      <c r="S495">
        <v>17.37</v>
      </c>
      <c r="T495">
        <v>1828.75</v>
      </c>
      <c r="U495">
        <v>0.69</v>
      </c>
      <c r="V495">
        <v>0.75</v>
      </c>
      <c r="W495">
        <v>1.1499999999999999</v>
      </c>
      <c r="X495">
        <v>0.11</v>
      </c>
      <c r="Y495">
        <v>1</v>
      </c>
      <c r="Z495">
        <v>10</v>
      </c>
    </row>
    <row r="496" spans="1:26" x14ac:dyDescent="0.3">
      <c r="A496">
        <v>31</v>
      </c>
      <c r="B496">
        <v>70</v>
      </c>
      <c r="C496" t="s">
        <v>26</v>
      </c>
      <c r="D496">
        <v>10.8287</v>
      </c>
      <c r="E496">
        <v>9.23</v>
      </c>
      <c r="F496">
        <v>6.8</v>
      </c>
      <c r="G496">
        <v>58.32</v>
      </c>
      <c r="H496">
        <v>1.02</v>
      </c>
      <c r="I496">
        <v>7</v>
      </c>
      <c r="J496">
        <v>152.5</v>
      </c>
      <c r="K496">
        <v>47.83</v>
      </c>
      <c r="L496">
        <v>8.75</v>
      </c>
      <c r="M496">
        <v>5</v>
      </c>
      <c r="N496">
        <v>25.93</v>
      </c>
      <c r="O496">
        <v>19042.73</v>
      </c>
      <c r="P496">
        <v>70.13</v>
      </c>
      <c r="Q496">
        <v>204.17</v>
      </c>
      <c r="R496">
        <v>25.31</v>
      </c>
      <c r="S496">
        <v>17.37</v>
      </c>
      <c r="T496">
        <v>1863.52</v>
      </c>
      <c r="U496">
        <v>0.69</v>
      </c>
      <c r="V496">
        <v>0.75</v>
      </c>
      <c r="W496">
        <v>1.1499999999999999</v>
      </c>
      <c r="X496">
        <v>0.11</v>
      </c>
      <c r="Y496">
        <v>1</v>
      </c>
      <c r="Z496">
        <v>10</v>
      </c>
    </row>
    <row r="497" spans="1:26" x14ac:dyDescent="0.3">
      <c r="A497">
        <v>32</v>
      </c>
      <c r="B497">
        <v>70</v>
      </c>
      <c r="C497" t="s">
        <v>26</v>
      </c>
      <c r="D497">
        <v>10.8225</v>
      </c>
      <c r="E497">
        <v>9.24</v>
      </c>
      <c r="F497">
        <v>6.81</v>
      </c>
      <c r="G497">
        <v>58.37</v>
      </c>
      <c r="H497">
        <v>1.04</v>
      </c>
      <c r="I497">
        <v>7</v>
      </c>
      <c r="J497">
        <v>152.85</v>
      </c>
      <c r="K497">
        <v>47.83</v>
      </c>
      <c r="L497">
        <v>9</v>
      </c>
      <c r="M497">
        <v>5</v>
      </c>
      <c r="N497">
        <v>26.03</v>
      </c>
      <c r="O497">
        <v>19085.830000000002</v>
      </c>
      <c r="P497">
        <v>69.959999999999994</v>
      </c>
      <c r="Q497">
        <v>204.14</v>
      </c>
      <c r="R497">
        <v>25.53</v>
      </c>
      <c r="S497">
        <v>17.37</v>
      </c>
      <c r="T497">
        <v>1973.95</v>
      </c>
      <c r="U497">
        <v>0.68</v>
      </c>
      <c r="V497">
        <v>0.75</v>
      </c>
      <c r="W497">
        <v>1.1499999999999999</v>
      </c>
      <c r="X497">
        <v>0.12</v>
      </c>
      <c r="Y497">
        <v>1</v>
      </c>
      <c r="Z497">
        <v>10</v>
      </c>
    </row>
    <row r="498" spans="1:26" x14ac:dyDescent="0.3">
      <c r="A498">
        <v>33</v>
      </c>
      <c r="B498">
        <v>70</v>
      </c>
      <c r="C498" t="s">
        <v>26</v>
      </c>
      <c r="D498">
        <v>10.8202</v>
      </c>
      <c r="E498">
        <v>9.24</v>
      </c>
      <c r="F498">
        <v>6.81</v>
      </c>
      <c r="G498">
        <v>58.38</v>
      </c>
      <c r="H498">
        <v>1.07</v>
      </c>
      <c r="I498">
        <v>7</v>
      </c>
      <c r="J498">
        <v>153.19999999999999</v>
      </c>
      <c r="K498">
        <v>47.83</v>
      </c>
      <c r="L498">
        <v>9.25</v>
      </c>
      <c r="M498">
        <v>5</v>
      </c>
      <c r="N498">
        <v>26.12</v>
      </c>
      <c r="O498">
        <v>19128.96</v>
      </c>
      <c r="P498">
        <v>69.56</v>
      </c>
      <c r="Q498">
        <v>204.14</v>
      </c>
      <c r="R498">
        <v>25.63</v>
      </c>
      <c r="S498">
        <v>17.37</v>
      </c>
      <c r="T498">
        <v>2022.81</v>
      </c>
      <c r="U498">
        <v>0.68</v>
      </c>
      <c r="V498">
        <v>0.75</v>
      </c>
      <c r="W498">
        <v>1.1499999999999999</v>
      </c>
      <c r="X498">
        <v>0.12</v>
      </c>
      <c r="Y498">
        <v>1</v>
      </c>
      <c r="Z498">
        <v>10</v>
      </c>
    </row>
    <row r="499" spans="1:26" x14ac:dyDescent="0.3">
      <c r="A499">
        <v>34</v>
      </c>
      <c r="B499">
        <v>70</v>
      </c>
      <c r="C499" t="s">
        <v>26</v>
      </c>
      <c r="D499">
        <v>10.8111</v>
      </c>
      <c r="E499">
        <v>9.25</v>
      </c>
      <c r="F499">
        <v>6.82</v>
      </c>
      <c r="G499">
        <v>58.45</v>
      </c>
      <c r="H499">
        <v>1.1000000000000001</v>
      </c>
      <c r="I499">
        <v>7</v>
      </c>
      <c r="J499">
        <v>153.55000000000001</v>
      </c>
      <c r="K499">
        <v>47.83</v>
      </c>
      <c r="L499">
        <v>9.5</v>
      </c>
      <c r="M499">
        <v>5</v>
      </c>
      <c r="N499">
        <v>26.22</v>
      </c>
      <c r="O499">
        <v>19172.12</v>
      </c>
      <c r="P499">
        <v>69.2</v>
      </c>
      <c r="Q499">
        <v>204.14</v>
      </c>
      <c r="R499">
        <v>25.87</v>
      </c>
      <c r="S499">
        <v>17.37</v>
      </c>
      <c r="T499">
        <v>2141.9299999999998</v>
      </c>
      <c r="U499">
        <v>0.67</v>
      </c>
      <c r="V499">
        <v>0.75</v>
      </c>
      <c r="W499">
        <v>1.1499999999999999</v>
      </c>
      <c r="X499">
        <v>0.13</v>
      </c>
      <c r="Y499">
        <v>1</v>
      </c>
      <c r="Z499">
        <v>10</v>
      </c>
    </row>
    <row r="500" spans="1:26" x14ac:dyDescent="0.3">
      <c r="A500">
        <v>35</v>
      </c>
      <c r="B500">
        <v>70</v>
      </c>
      <c r="C500" t="s">
        <v>26</v>
      </c>
      <c r="D500">
        <v>10.829000000000001</v>
      </c>
      <c r="E500">
        <v>9.23</v>
      </c>
      <c r="F500">
        <v>6.8</v>
      </c>
      <c r="G500">
        <v>58.32</v>
      </c>
      <c r="H500">
        <v>1.1200000000000001</v>
      </c>
      <c r="I500">
        <v>7</v>
      </c>
      <c r="J500">
        <v>153.9</v>
      </c>
      <c r="K500">
        <v>47.83</v>
      </c>
      <c r="L500">
        <v>9.75</v>
      </c>
      <c r="M500">
        <v>5</v>
      </c>
      <c r="N500">
        <v>26.32</v>
      </c>
      <c r="O500">
        <v>19215.32</v>
      </c>
      <c r="P500">
        <v>68.48</v>
      </c>
      <c r="Q500">
        <v>204.14</v>
      </c>
      <c r="R500">
        <v>25.4</v>
      </c>
      <c r="S500">
        <v>17.37</v>
      </c>
      <c r="T500">
        <v>1905.21</v>
      </c>
      <c r="U500">
        <v>0.68</v>
      </c>
      <c r="V500">
        <v>0.75</v>
      </c>
      <c r="W500">
        <v>1.1499999999999999</v>
      </c>
      <c r="X500">
        <v>0.11</v>
      </c>
      <c r="Y500">
        <v>1</v>
      </c>
      <c r="Z500">
        <v>10</v>
      </c>
    </row>
    <row r="501" spans="1:26" x14ac:dyDescent="0.3">
      <c r="A501">
        <v>36</v>
      </c>
      <c r="B501">
        <v>70</v>
      </c>
      <c r="C501" t="s">
        <v>26</v>
      </c>
      <c r="D501">
        <v>10.8847</v>
      </c>
      <c r="E501">
        <v>9.19</v>
      </c>
      <c r="F501">
        <v>6.79</v>
      </c>
      <c r="G501">
        <v>67.86</v>
      </c>
      <c r="H501">
        <v>1.1499999999999999</v>
      </c>
      <c r="I501">
        <v>6</v>
      </c>
      <c r="J501">
        <v>154.25</v>
      </c>
      <c r="K501">
        <v>47.83</v>
      </c>
      <c r="L501">
        <v>10</v>
      </c>
      <c r="M501">
        <v>4</v>
      </c>
      <c r="N501">
        <v>26.43</v>
      </c>
      <c r="O501">
        <v>19258.55</v>
      </c>
      <c r="P501">
        <v>68.150000000000006</v>
      </c>
      <c r="Q501">
        <v>204.15</v>
      </c>
      <c r="R501">
        <v>24.84</v>
      </c>
      <c r="S501">
        <v>17.37</v>
      </c>
      <c r="T501">
        <v>1633.22</v>
      </c>
      <c r="U501">
        <v>0.7</v>
      </c>
      <c r="V501">
        <v>0.75</v>
      </c>
      <c r="W501">
        <v>1.1399999999999999</v>
      </c>
      <c r="X501">
        <v>0.09</v>
      </c>
      <c r="Y501">
        <v>1</v>
      </c>
      <c r="Z501">
        <v>10</v>
      </c>
    </row>
    <row r="502" spans="1:26" x14ac:dyDescent="0.3">
      <c r="A502">
        <v>37</v>
      </c>
      <c r="B502">
        <v>70</v>
      </c>
      <c r="C502" t="s">
        <v>26</v>
      </c>
      <c r="D502">
        <v>10.8804</v>
      </c>
      <c r="E502">
        <v>9.19</v>
      </c>
      <c r="F502">
        <v>6.79</v>
      </c>
      <c r="G502">
        <v>67.89</v>
      </c>
      <c r="H502">
        <v>1.17</v>
      </c>
      <c r="I502">
        <v>6</v>
      </c>
      <c r="J502">
        <v>154.6</v>
      </c>
      <c r="K502">
        <v>47.83</v>
      </c>
      <c r="L502">
        <v>10.25</v>
      </c>
      <c r="M502">
        <v>4</v>
      </c>
      <c r="N502">
        <v>26.53</v>
      </c>
      <c r="O502">
        <v>19301.82</v>
      </c>
      <c r="P502">
        <v>68.25</v>
      </c>
      <c r="Q502">
        <v>204.14</v>
      </c>
      <c r="R502">
        <v>24.88</v>
      </c>
      <c r="S502">
        <v>17.37</v>
      </c>
      <c r="T502">
        <v>1650.41</v>
      </c>
      <c r="U502">
        <v>0.7</v>
      </c>
      <c r="V502">
        <v>0.75</v>
      </c>
      <c r="W502">
        <v>1.1499999999999999</v>
      </c>
      <c r="X502">
        <v>0.1</v>
      </c>
      <c r="Y502">
        <v>1</v>
      </c>
      <c r="Z502">
        <v>10</v>
      </c>
    </row>
    <row r="503" spans="1:26" x14ac:dyDescent="0.3">
      <c r="A503">
        <v>38</v>
      </c>
      <c r="B503">
        <v>70</v>
      </c>
      <c r="C503" t="s">
        <v>26</v>
      </c>
      <c r="D503">
        <v>10.888999999999999</v>
      </c>
      <c r="E503">
        <v>9.18</v>
      </c>
      <c r="F503">
        <v>6.78</v>
      </c>
      <c r="G503">
        <v>67.819999999999993</v>
      </c>
      <c r="H503">
        <v>1.2</v>
      </c>
      <c r="I503">
        <v>6</v>
      </c>
      <c r="J503">
        <v>154.94999999999999</v>
      </c>
      <c r="K503">
        <v>47.83</v>
      </c>
      <c r="L503">
        <v>10.5</v>
      </c>
      <c r="M503">
        <v>4</v>
      </c>
      <c r="N503">
        <v>26.63</v>
      </c>
      <c r="O503">
        <v>19345.12</v>
      </c>
      <c r="P503">
        <v>68.040000000000006</v>
      </c>
      <c r="Q503">
        <v>204.14</v>
      </c>
      <c r="R503">
        <v>24.68</v>
      </c>
      <c r="S503">
        <v>17.37</v>
      </c>
      <c r="T503">
        <v>1552.22</v>
      </c>
      <c r="U503">
        <v>0.7</v>
      </c>
      <c r="V503">
        <v>0.75</v>
      </c>
      <c r="W503">
        <v>1.1399999999999999</v>
      </c>
      <c r="X503">
        <v>0.09</v>
      </c>
      <c r="Y503">
        <v>1</v>
      </c>
      <c r="Z503">
        <v>10</v>
      </c>
    </row>
    <row r="504" spans="1:26" x14ac:dyDescent="0.3">
      <c r="A504">
        <v>39</v>
      </c>
      <c r="B504">
        <v>70</v>
      </c>
      <c r="C504" t="s">
        <v>26</v>
      </c>
      <c r="D504">
        <v>10.8873</v>
      </c>
      <c r="E504">
        <v>9.18</v>
      </c>
      <c r="F504">
        <v>6.78</v>
      </c>
      <c r="G504">
        <v>67.83</v>
      </c>
      <c r="H504">
        <v>1.23</v>
      </c>
      <c r="I504">
        <v>6</v>
      </c>
      <c r="J504">
        <v>155.31</v>
      </c>
      <c r="K504">
        <v>47.83</v>
      </c>
      <c r="L504">
        <v>10.75</v>
      </c>
      <c r="M504">
        <v>4</v>
      </c>
      <c r="N504">
        <v>26.73</v>
      </c>
      <c r="O504">
        <v>19388.45</v>
      </c>
      <c r="P504">
        <v>67.55</v>
      </c>
      <c r="Q504">
        <v>204.14</v>
      </c>
      <c r="R504">
        <v>24.76</v>
      </c>
      <c r="S504">
        <v>17.37</v>
      </c>
      <c r="T504">
        <v>1590.91</v>
      </c>
      <c r="U504">
        <v>0.7</v>
      </c>
      <c r="V504">
        <v>0.75</v>
      </c>
      <c r="W504">
        <v>1.1399999999999999</v>
      </c>
      <c r="X504">
        <v>0.09</v>
      </c>
      <c r="Y504">
        <v>1</v>
      </c>
      <c r="Z504">
        <v>10</v>
      </c>
    </row>
    <row r="505" spans="1:26" x14ac:dyDescent="0.3">
      <c r="A505">
        <v>40</v>
      </c>
      <c r="B505">
        <v>70</v>
      </c>
      <c r="C505" t="s">
        <v>26</v>
      </c>
      <c r="D505">
        <v>10.8765</v>
      </c>
      <c r="E505">
        <v>9.19</v>
      </c>
      <c r="F505">
        <v>6.79</v>
      </c>
      <c r="G505">
        <v>67.92</v>
      </c>
      <c r="H505">
        <v>1.25</v>
      </c>
      <c r="I505">
        <v>6</v>
      </c>
      <c r="J505">
        <v>155.66</v>
      </c>
      <c r="K505">
        <v>47.83</v>
      </c>
      <c r="L505">
        <v>11</v>
      </c>
      <c r="M505">
        <v>4</v>
      </c>
      <c r="N505">
        <v>26.83</v>
      </c>
      <c r="O505">
        <v>19431.82</v>
      </c>
      <c r="P505">
        <v>67.430000000000007</v>
      </c>
      <c r="Q505">
        <v>204.14</v>
      </c>
      <c r="R505">
        <v>25.1</v>
      </c>
      <c r="S505">
        <v>17.37</v>
      </c>
      <c r="T505">
        <v>1763.77</v>
      </c>
      <c r="U505">
        <v>0.69</v>
      </c>
      <c r="V505">
        <v>0.75</v>
      </c>
      <c r="W505">
        <v>1.1399999999999999</v>
      </c>
      <c r="X505">
        <v>0.1</v>
      </c>
      <c r="Y505">
        <v>1</v>
      </c>
      <c r="Z505">
        <v>10</v>
      </c>
    </row>
    <row r="506" spans="1:26" x14ac:dyDescent="0.3">
      <c r="A506">
        <v>41</v>
      </c>
      <c r="B506">
        <v>70</v>
      </c>
      <c r="C506" t="s">
        <v>26</v>
      </c>
      <c r="D506">
        <v>10.882400000000001</v>
      </c>
      <c r="E506">
        <v>9.19</v>
      </c>
      <c r="F506">
        <v>6.79</v>
      </c>
      <c r="G506">
        <v>67.88</v>
      </c>
      <c r="H506">
        <v>1.28</v>
      </c>
      <c r="I506">
        <v>6</v>
      </c>
      <c r="J506">
        <v>156.01</v>
      </c>
      <c r="K506">
        <v>47.83</v>
      </c>
      <c r="L506">
        <v>11.25</v>
      </c>
      <c r="M506">
        <v>4</v>
      </c>
      <c r="N506">
        <v>26.93</v>
      </c>
      <c r="O506">
        <v>19475.23</v>
      </c>
      <c r="P506">
        <v>66.89</v>
      </c>
      <c r="Q506">
        <v>204.14</v>
      </c>
      <c r="R506">
        <v>24.87</v>
      </c>
      <c r="S506">
        <v>17.37</v>
      </c>
      <c r="T506">
        <v>1645.32</v>
      </c>
      <c r="U506">
        <v>0.7</v>
      </c>
      <c r="V506">
        <v>0.75</v>
      </c>
      <c r="W506">
        <v>1.1399999999999999</v>
      </c>
      <c r="X506">
        <v>0.1</v>
      </c>
      <c r="Y506">
        <v>1</v>
      </c>
      <c r="Z506">
        <v>10</v>
      </c>
    </row>
    <row r="507" spans="1:26" x14ac:dyDescent="0.3">
      <c r="A507">
        <v>42</v>
      </c>
      <c r="B507">
        <v>70</v>
      </c>
      <c r="C507" t="s">
        <v>26</v>
      </c>
      <c r="D507">
        <v>10.880699999999999</v>
      </c>
      <c r="E507">
        <v>9.19</v>
      </c>
      <c r="F507">
        <v>6.79</v>
      </c>
      <c r="G507">
        <v>67.89</v>
      </c>
      <c r="H507">
        <v>1.3</v>
      </c>
      <c r="I507">
        <v>6</v>
      </c>
      <c r="J507">
        <v>156.36000000000001</v>
      </c>
      <c r="K507">
        <v>47.83</v>
      </c>
      <c r="L507">
        <v>11.5</v>
      </c>
      <c r="M507">
        <v>4</v>
      </c>
      <c r="N507">
        <v>27.03</v>
      </c>
      <c r="O507">
        <v>19518.669999999998</v>
      </c>
      <c r="P507">
        <v>66.709999999999994</v>
      </c>
      <c r="Q507">
        <v>204.16</v>
      </c>
      <c r="R507">
        <v>24.84</v>
      </c>
      <c r="S507">
        <v>17.37</v>
      </c>
      <c r="T507">
        <v>1631.56</v>
      </c>
      <c r="U507">
        <v>0.7</v>
      </c>
      <c r="V507">
        <v>0.75</v>
      </c>
      <c r="W507">
        <v>1.1499999999999999</v>
      </c>
      <c r="X507">
        <v>0.1</v>
      </c>
      <c r="Y507">
        <v>1</v>
      </c>
      <c r="Z507">
        <v>10</v>
      </c>
    </row>
    <row r="508" spans="1:26" x14ac:dyDescent="0.3">
      <c r="A508">
        <v>43</v>
      </c>
      <c r="B508">
        <v>70</v>
      </c>
      <c r="C508" t="s">
        <v>26</v>
      </c>
      <c r="D508">
        <v>10.9399</v>
      </c>
      <c r="E508">
        <v>9.14</v>
      </c>
      <c r="F508">
        <v>6.77</v>
      </c>
      <c r="G508">
        <v>81.22</v>
      </c>
      <c r="H508">
        <v>1.33</v>
      </c>
      <c r="I508">
        <v>5</v>
      </c>
      <c r="J508">
        <v>156.71</v>
      </c>
      <c r="K508">
        <v>47.83</v>
      </c>
      <c r="L508">
        <v>11.75</v>
      </c>
      <c r="M508">
        <v>3</v>
      </c>
      <c r="N508">
        <v>27.14</v>
      </c>
      <c r="O508">
        <v>19562.150000000001</v>
      </c>
      <c r="P508">
        <v>65.5</v>
      </c>
      <c r="Q508">
        <v>204.14</v>
      </c>
      <c r="R508">
        <v>24.26</v>
      </c>
      <c r="S508">
        <v>17.37</v>
      </c>
      <c r="T508">
        <v>1349.66</v>
      </c>
      <c r="U508">
        <v>0.72</v>
      </c>
      <c r="V508">
        <v>0.75</v>
      </c>
      <c r="W508">
        <v>1.1399999999999999</v>
      </c>
      <c r="X508">
        <v>0.08</v>
      </c>
      <c r="Y508">
        <v>1</v>
      </c>
      <c r="Z508">
        <v>10</v>
      </c>
    </row>
    <row r="509" spans="1:26" x14ac:dyDescent="0.3">
      <c r="A509">
        <v>44</v>
      </c>
      <c r="B509">
        <v>70</v>
      </c>
      <c r="C509" t="s">
        <v>26</v>
      </c>
      <c r="D509">
        <v>10.9283</v>
      </c>
      <c r="E509">
        <v>9.15</v>
      </c>
      <c r="F509">
        <v>6.78</v>
      </c>
      <c r="G509">
        <v>81.33</v>
      </c>
      <c r="H509">
        <v>1.35</v>
      </c>
      <c r="I509">
        <v>5</v>
      </c>
      <c r="J509">
        <v>157.07</v>
      </c>
      <c r="K509">
        <v>47.83</v>
      </c>
      <c r="L509">
        <v>12</v>
      </c>
      <c r="M509">
        <v>3</v>
      </c>
      <c r="N509">
        <v>27.24</v>
      </c>
      <c r="O509">
        <v>19605.66</v>
      </c>
      <c r="P509">
        <v>65.900000000000006</v>
      </c>
      <c r="Q509">
        <v>204.14</v>
      </c>
      <c r="R509">
        <v>24.58</v>
      </c>
      <c r="S509">
        <v>17.37</v>
      </c>
      <c r="T509">
        <v>1505.96</v>
      </c>
      <c r="U509">
        <v>0.71</v>
      </c>
      <c r="V509">
        <v>0.75</v>
      </c>
      <c r="W509">
        <v>1.1399999999999999</v>
      </c>
      <c r="X509">
        <v>0.09</v>
      </c>
      <c r="Y509">
        <v>1</v>
      </c>
      <c r="Z509">
        <v>10</v>
      </c>
    </row>
    <row r="510" spans="1:26" x14ac:dyDescent="0.3">
      <c r="A510">
        <v>45</v>
      </c>
      <c r="B510">
        <v>70</v>
      </c>
      <c r="C510" t="s">
        <v>26</v>
      </c>
      <c r="D510">
        <v>10.931900000000001</v>
      </c>
      <c r="E510">
        <v>9.15</v>
      </c>
      <c r="F510">
        <v>6.77</v>
      </c>
      <c r="G510">
        <v>81.3</v>
      </c>
      <c r="H510">
        <v>1.38</v>
      </c>
      <c r="I510">
        <v>5</v>
      </c>
      <c r="J510">
        <v>157.41999999999999</v>
      </c>
      <c r="K510">
        <v>47.83</v>
      </c>
      <c r="L510">
        <v>12.25</v>
      </c>
      <c r="M510">
        <v>3</v>
      </c>
      <c r="N510">
        <v>27.34</v>
      </c>
      <c r="O510">
        <v>19649.2</v>
      </c>
      <c r="P510">
        <v>66.06</v>
      </c>
      <c r="Q510">
        <v>204.18</v>
      </c>
      <c r="R510">
        <v>24.38</v>
      </c>
      <c r="S510">
        <v>17.37</v>
      </c>
      <c r="T510">
        <v>1406.23</v>
      </c>
      <c r="U510">
        <v>0.71</v>
      </c>
      <c r="V510">
        <v>0.75</v>
      </c>
      <c r="W510">
        <v>1.1499999999999999</v>
      </c>
      <c r="X510">
        <v>0.08</v>
      </c>
      <c r="Y510">
        <v>1</v>
      </c>
      <c r="Z510">
        <v>10</v>
      </c>
    </row>
    <row r="511" spans="1:26" x14ac:dyDescent="0.3">
      <c r="A511">
        <v>46</v>
      </c>
      <c r="B511">
        <v>70</v>
      </c>
      <c r="C511" t="s">
        <v>26</v>
      </c>
      <c r="D511">
        <v>10.9339</v>
      </c>
      <c r="E511">
        <v>9.15</v>
      </c>
      <c r="F511">
        <v>6.77</v>
      </c>
      <c r="G511">
        <v>81.28</v>
      </c>
      <c r="H511">
        <v>1.4</v>
      </c>
      <c r="I511">
        <v>5</v>
      </c>
      <c r="J511">
        <v>157.77000000000001</v>
      </c>
      <c r="K511">
        <v>47.83</v>
      </c>
      <c r="L511">
        <v>12.5</v>
      </c>
      <c r="M511">
        <v>3</v>
      </c>
      <c r="N511">
        <v>27.45</v>
      </c>
      <c r="O511">
        <v>19692.79</v>
      </c>
      <c r="P511">
        <v>65.84</v>
      </c>
      <c r="Q511">
        <v>204.14</v>
      </c>
      <c r="R511">
        <v>24.44</v>
      </c>
      <c r="S511">
        <v>17.37</v>
      </c>
      <c r="T511">
        <v>1439.23</v>
      </c>
      <c r="U511">
        <v>0.71</v>
      </c>
      <c r="V511">
        <v>0.75</v>
      </c>
      <c r="W511">
        <v>1.1399999999999999</v>
      </c>
      <c r="X511">
        <v>0.08</v>
      </c>
      <c r="Y511">
        <v>1</v>
      </c>
      <c r="Z511">
        <v>10</v>
      </c>
    </row>
    <row r="512" spans="1:26" x14ac:dyDescent="0.3">
      <c r="A512">
        <v>47</v>
      </c>
      <c r="B512">
        <v>70</v>
      </c>
      <c r="C512" t="s">
        <v>26</v>
      </c>
      <c r="D512">
        <v>10.9276</v>
      </c>
      <c r="E512">
        <v>9.15</v>
      </c>
      <c r="F512">
        <v>6.78</v>
      </c>
      <c r="G512">
        <v>81.34</v>
      </c>
      <c r="H512">
        <v>1.43</v>
      </c>
      <c r="I512">
        <v>5</v>
      </c>
      <c r="J512">
        <v>158.13</v>
      </c>
      <c r="K512">
        <v>47.83</v>
      </c>
      <c r="L512">
        <v>12.75</v>
      </c>
      <c r="M512">
        <v>3</v>
      </c>
      <c r="N512">
        <v>27.55</v>
      </c>
      <c r="O512">
        <v>19736.400000000001</v>
      </c>
      <c r="P512">
        <v>65.7</v>
      </c>
      <c r="Q512">
        <v>204.15</v>
      </c>
      <c r="R512">
        <v>24.54</v>
      </c>
      <c r="S512">
        <v>17.37</v>
      </c>
      <c r="T512">
        <v>1486.98</v>
      </c>
      <c r="U512">
        <v>0.71</v>
      </c>
      <c r="V512">
        <v>0.75</v>
      </c>
      <c r="W512">
        <v>1.1499999999999999</v>
      </c>
      <c r="X512">
        <v>0.09</v>
      </c>
      <c r="Y512">
        <v>1</v>
      </c>
      <c r="Z512">
        <v>10</v>
      </c>
    </row>
    <row r="513" spans="1:26" x14ac:dyDescent="0.3">
      <c r="A513">
        <v>48</v>
      </c>
      <c r="B513">
        <v>70</v>
      </c>
      <c r="C513" t="s">
        <v>26</v>
      </c>
      <c r="D513">
        <v>10.938599999999999</v>
      </c>
      <c r="E513">
        <v>9.14</v>
      </c>
      <c r="F513">
        <v>6.77</v>
      </c>
      <c r="G513">
        <v>81.23</v>
      </c>
      <c r="H513">
        <v>1.45</v>
      </c>
      <c r="I513">
        <v>5</v>
      </c>
      <c r="J513">
        <v>158.47999999999999</v>
      </c>
      <c r="K513">
        <v>47.83</v>
      </c>
      <c r="L513">
        <v>13</v>
      </c>
      <c r="M513">
        <v>3</v>
      </c>
      <c r="N513">
        <v>27.65</v>
      </c>
      <c r="O513">
        <v>19780.060000000001</v>
      </c>
      <c r="P513">
        <v>65.14</v>
      </c>
      <c r="Q513">
        <v>204.14</v>
      </c>
      <c r="R513">
        <v>24.31</v>
      </c>
      <c r="S513">
        <v>17.37</v>
      </c>
      <c r="T513">
        <v>1370.07</v>
      </c>
      <c r="U513">
        <v>0.71</v>
      </c>
      <c r="V513">
        <v>0.75</v>
      </c>
      <c r="W513">
        <v>1.1399999999999999</v>
      </c>
      <c r="X513">
        <v>0.08</v>
      </c>
      <c r="Y513">
        <v>1</v>
      </c>
      <c r="Z513">
        <v>10</v>
      </c>
    </row>
    <row r="514" spans="1:26" x14ac:dyDescent="0.3">
      <c r="A514">
        <v>49</v>
      </c>
      <c r="B514">
        <v>70</v>
      </c>
      <c r="C514" t="s">
        <v>26</v>
      </c>
      <c r="D514">
        <v>10.9442</v>
      </c>
      <c r="E514">
        <v>9.14</v>
      </c>
      <c r="F514">
        <v>6.76</v>
      </c>
      <c r="G514">
        <v>81.17</v>
      </c>
      <c r="H514">
        <v>1.48</v>
      </c>
      <c r="I514">
        <v>5</v>
      </c>
      <c r="J514">
        <v>158.84</v>
      </c>
      <c r="K514">
        <v>47.83</v>
      </c>
      <c r="L514">
        <v>13.25</v>
      </c>
      <c r="M514">
        <v>3</v>
      </c>
      <c r="N514">
        <v>27.76</v>
      </c>
      <c r="O514">
        <v>19823.75</v>
      </c>
      <c r="P514">
        <v>64.67</v>
      </c>
      <c r="Q514">
        <v>204.16</v>
      </c>
      <c r="R514">
        <v>24.17</v>
      </c>
      <c r="S514">
        <v>17.37</v>
      </c>
      <c r="T514">
        <v>1301.6500000000001</v>
      </c>
      <c r="U514">
        <v>0.72</v>
      </c>
      <c r="V514">
        <v>0.75</v>
      </c>
      <c r="W514">
        <v>1.1399999999999999</v>
      </c>
      <c r="X514">
        <v>7.0000000000000007E-2</v>
      </c>
      <c r="Y514">
        <v>1</v>
      </c>
      <c r="Z514">
        <v>10</v>
      </c>
    </row>
    <row r="515" spans="1:26" x14ac:dyDescent="0.3">
      <c r="A515">
        <v>50</v>
      </c>
      <c r="B515">
        <v>70</v>
      </c>
      <c r="C515" t="s">
        <v>26</v>
      </c>
      <c r="D515">
        <v>10.9466</v>
      </c>
      <c r="E515">
        <v>9.14</v>
      </c>
      <c r="F515">
        <v>6.76</v>
      </c>
      <c r="G515">
        <v>81.150000000000006</v>
      </c>
      <c r="H515">
        <v>1.5</v>
      </c>
      <c r="I515">
        <v>5</v>
      </c>
      <c r="J515">
        <v>159.19</v>
      </c>
      <c r="K515">
        <v>47.83</v>
      </c>
      <c r="L515">
        <v>13.5</v>
      </c>
      <c r="M515">
        <v>3</v>
      </c>
      <c r="N515">
        <v>27.86</v>
      </c>
      <c r="O515">
        <v>19867.59</v>
      </c>
      <c r="P515">
        <v>63.91</v>
      </c>
      <c r="Q515">
        <v>204.14</v>
      </c>
      <c r="R515">
        <v>24.03</v>
      </c>
      <c r="S515">
        <v>17.37</v>
      </c>
      <c r="T515">
        <v>1230.6600000000001</v>
      </c>
      <c r="U515">
        <v>0.72</v>
      </c>
      <c r="V515">
        <v>0.76</v>
      </c>
      <c r="W515">
        <v>1.1399999999999999</v>
      </c>
      <c r="X515">
        <v>7.0000000000000007E-2</v>
      </c>
      <c r="Y515">
        <v>1</v>
      </c>
      <c r="Z515">
        <v>10</v>
      </c>
    </row>
    <row r="516" spans="1:26" x14ac:dyDescent="0.3">
      <c r="A516">
        <v>51</v>
      </c>
      <c r="B516">
        <v>70</v>
      </c>
      <c r="C516" t="s">
        <v>26</v>
      </c>
      <c r="D516">
        <v>10.9383</v>
      </c>
      <c r="E516">
        <v>9.14</v>
      </c>
      <c r="F516">
        <v>6.77</v>
      </c>
      <c r="G516">
        <v>81.23</v>
      </c>
      <c r="H516">
        <v>1.53</v>
      </c>
      <c r="I516">
        <v>5</v>
      </c>
      <c r="J516">
        <v>159.55000000000001</v>
      </c>
      <c r="K516">
        <v>47.83</v>
      </c>
      <c r="L516">
        <v>13.75</v>
      </c>
      <c r="M516">
        <v>3</v>
      </c>
      <c r="N516">
        <v>27.97</v>
      </c>
      <c r="O516">
        <v>19911.36</v>
      </c>
      <c r="P516">
        <v>63.14</v>
      </c>
      <c r="Q516">
        <v>204.14</v>
      </c>
      <c r="R516">
        <v>24.18</v>
      </c>
      <c r="S516">
        <v>17.37</v>
      </c>
      <c r="T516">
        <v>1306.72</v>
      </c>
      <c r="U516">
        <v>0.72</v>
      </c>
      <c r="V516">
        <v>0.75</v>
      </c>
      <c r="W516">
        <v>1.1499999999999999</v>
      </c>
      <c r="X516">
        <v>0.08</v>
      </c>
      <c r="Y516">
        <v>1</v>
      </c>
      <c r="Z516">
        <v>10</v>
      </c>
    </row>
    <row r="517" spans="1:26" x14ac:dyDescent="0.3">
      <c r="A517">
        <v>52</v>
      </c>
      <c r="B517">
        <v>70</v>
      </c>
      <c r="C517" t="s">
        <v>26</v>
      </c>
      <c r="D517">
        <v>10.9396</v>
      </c>
      <c r="E517">
        <v>9.14</v>
      </c>
      <c r="F517">
        <v>6.77</v>
      </c>
      <c r="G517">
        <v>81.22</v>
      </c>
      <c r="H517">
        <v>1.55</v>
      </c>
      <c r="I517">
        <v>5</v>
      </c>
      <c r="J517">
        <v>159.9</v>
      </c>
      <c r="K517">
        <v>47.83</v>
      </c>
      <c r="L517">
        <v>14</v>
      </c>
      <c r="M517">
        <v>3</v>
      </c>
      <c r="N517">
        <v>28.07</v>
      </c>
      <c r="O517">
        <v>19955.16</v>
      </c>
      <c r="P517">
        <v>62.95</v>
      </c>
      <c r="Q517">
        <v>204.14</v>
      </c>
      <c r="R517">
        <v>24.2</v>
      </c>
      <c r="S517">
        <v>17.37</v>
      </c>
      <c r="T517">
        <v>1318.73</v>
      </c>
      <c r="U517">
        <v>0.72</v>
      </c>
      <c r="V517">
        <v>0.75</v>
      </c>
      <c r="W517">
        <v>1.1499999999999999</v>
      </c>
      <c r="X517">
        <v>0.08</v>
      </c>
      <c r="Y517">
        <v>1</v>
      </c>
      <c r="Z517">
        <v>10</v>
      </c>
    </row>
    <row r="518" spans="1:26" x14ac:dyDescent="0.3">
      <c r="A518">
        <v>53</v>
      </c>
      <c r="B518">
        <v>70</v>
      </c>
      <c r="C518" t="s">
        <v>26</v>
      </c>
      <c r="D518">
        <v>10.933299999999999</v>
      </c>
      <c r="E518">
        <v>9.15</v>
      </c>
      <c r="F518">
        <v>6.77</v>
      </c>
      <c r="G518">
        <v>81.28</v>
      </c>
      <c r="H518">
        <v>1.58</v>
      </c>
      <c r="I518">
        <v>5</v>
      </c>
      <c r="J518">
        <v>160.26</v>
      </c>
      <c r="K518">
        <v>47.83</v>
      </c>
      <c r="L518">
        <v>14.25</v>
      </c>
      <c r="M518">
        <v>2</v>
      </c>
      <c r="N518">
        <v>28.18</v>
      </c>
      <c r="O518">
        <v>19998.990000000002</v>
      </c>
      <c r="P518">
        <v>62.6</v>
      </c>
      <c r="Q518">
        <v>204.14</v>
      </c>
      <c r="R518">
        <v>24.45</v>
      </c>
      <c r="S518">
        <v>17.37</v>
      </c>
      <c r="T518">
        <v>1440.48</v>
      </c>
      <c r="U518">
        <v>0.71</v>
      </c>
      <c r="V518">
        <v>0.75</v>
      </c>
      <c r="W518">
        <v>1.1399999999999999</v>
      </c>
      <c r="X518">
        <v>0.08</v>
      </c>
      <c r="Y518">
        <v>1</v>
      </c>
      <c r="Z518">
        <v>10</v>
      </c>
    </row>
    <row r="519" spans="1:26" x14ac:dyDescent="0.3">
      <c r="A519">
        <v>54</v>
      </c>
      <c r="B519">
        <v>70</v>
      </c>
      <c r="C519" t="s">
        <v>26</v>
      </c>
      <c r="D519">
        <v>10.9316</v>
      </c>
      <c r="E519">
        <v>9.15</v>
      </c>
      <c r="F519">
        <v>6.78</v>
      </c>
      <c r="G519">
        <v>81.3</v>
      </c>
      <c r="H519">
        <v>1.6</v>
      </c>
      <c r="I519">
        <v>5</v>
      </c>
      <c r="J519">
        <v>160.61000000000001</v>
      </c>
      <c r="K519">
        <v>47.83</v>
      </c>
      <c r="L519">
        <v>14.5</v>
      </c>
      <c r="M519">
        <v>1</v>
      </c>
      <c r="N519">
        <v>28.28</v>
      </c>
      <c r="O519">
        <v>20042.86</v>
      </c>
      <c r="P519">
        <v>62.5</v>
      </c>
      <c r="Q519">
        <v>204.14</v>
      </c>
      <c r="R519">
        <v>24.36</v>
      </c>
      <c r="S519">
        <v>17.37</v>
      </c>
      <c r="T519">
        <v>1398.51</v>
      </c>
      <c r="U519">
        <v>0.71</v>
      </c>
      <c r="V519">
        <v>0.75</v>
      </c>
      <c r="W519">
        <v>1.1499999999999999</v>
      </c>
      <c r="X519">
        <v>0.08</v>
      </c>
      <c r="Y519">
        <v>1</v>
      </c>
      <c r="Z519">
        <v>10</v>
      </c>
    </row>
    <row r="520" spans="1:26" x14ac:dyDescent="0.3">
      <c r="A520">
        <v>55</v>
      </c>
      <c r="B520">
        <v>70</v>
      </c>
      <c r="C520" t="s">
        <v>26</v>
      </c>
      <c r="D520">
        <v>10.930999999999999</v>
      </c>
      <c r="E520">
        <v>9.15</v>
      </c>
      <c r="F520">
        <v>6.78</v>
      </c>
      <c r="G520">
        <v>81.31</v>
      </c>
      <c r="H520">
        <v>1.62</v>
      </c>
      <c r="I520">
        <v>5</v>
      </c>
      <c r="J520">
        <v>160.97</v>
      </c>
      <c r="K520">
        <v>47.83</v>
      </c>
      <c r="L520">
        <v>14.75</v>
      </c>
      <c r="M520">
        <v>1</v>
      </c>
      <c r="N520">
        <v>28.39</v>
      </c>
      <c r="O520">
        <v>20086.77</v>
      </c>
      <c r="P520">
        <v>62.39</v>
      </c>
      <c r="Q520">
        <v>204.14</v>
      </c>
      <c r="R520">
        <v>24.4</v>
      </c>
      <c r="S520">
        <v>17.37</v>
      </c>
      <c r="T520">
        <v>1417.13</v>
      </c>
      <c r="U520">
        <v>0.71</v>
      </c>
      <c r="V520">
        <v>0.75</v>
      </c>
      <c r="W520">
        <v>1.1499999999999999</v>
      </c>
      <c r="X520">
        <v>0.08</v>
      </c>
      <c r="Y520">
        <v>1</v>
      </c>
      <c r="Z520">
        <v>10</v>
      </c>
    </row>
    <row r="521" spans="1:26" x14ac:dyDescent="0.3">
      <c r="A521">
        <v>56</v>
      </c>
      <c r="B521">
        <v>70</v>
      </c>
      <c r="C521" t="s">
        <v>26</v>
      </c>
      <c r="D521">
        <v>10.9353</v>
      </c>
      <c r="E521">
        <v>9.14</v>
      </c>
      <c r="F521">
        <v>6.77</v>
      </c>
      <c r="G521">
        <v>81.260000000000005</v>
      </c>
      <c r="H521">
        <v>1.65</v>
      </c>
      <c r="I521">
        <v>5</v>
      </c>
      <c r="J521">
        <v>161.32</v>
      </c>
      <c r="K521">
        <v>47.83</v>
      </c>
      <c r="L521">
        <v>15</v>
      </c>
      <c r="M521">
        <v>1</v>
      </c>
      <c r="N521">
        <v>28.5</v>
      </c>
      <c r="O521">
        <v>20130.71</v>
      </c>
      <c r="P521">
        <v>62.19</v>
      </c>
      <c r="Q521">
        <v>204.14</v>
      </c>
      <c r="R521">
        <v>24.3</v>
      </c>
      <c r="S521">
        <v>17.37</v>
      </c>
      <c r="T521">
        <v>1367.07</v>
      </c>
      <c r="U521">
        <v>0.71</v>
      </c>
      <c r="V521">
        <v>0.75</v>
      </c>
      <c r="W521">
        <v>1.1499999999999999</v>
      </c>
      <c r="X521">
        <v>0.08</v>
      </c>
      <c r="Y521">
        <v>1</v>
      </c>
      <c r="Z521">
        <v>10</v>
      </c>
    </row>
    <row r="522" spans="1:26" x14ac:dyDescent="0.3">
      <c r="A522">
        <v>57</v>
      </c>
      <c r="B522">
        <v>70</v>
      </c>
      <c r="C522" t="s">
        <v>26</v>
      </c>
      <c r="D522">
        <v>10.9343</v>
      </c>
      <c r="E522">
        <v>9.15</v>
      </c>
      <c r="F522">
        <v>6.77</v>
      </c>
      <c r="G522">
        <v>81.27</v>
      </c>
      <c r="H522">
        <v>1.67</v>
      </c>
      <c r="I522">
        <v>5</v>
      </c>
      <c r="J522">
        <v>161.68</v>
      </c>
      <c r="K522">
        <v>47.83</v>
      </c>
      <c r="L522">
        <v>15.25</v>
      </c>
      <c r="M522">
        <v>1</v>
      </c>
      <c r="N522">
        <v>28.6</v>
      </c>
      <c r="O522">
        <v>20174.689999999999</v>
      </c>
      <c r="P522">
        <v>62.03</v>
      </c>
      <c r="Q522">
        <v>204.14</v>
      </c>
      <c r="R522">
        <v>24.28</v>
      </c>
      <c r="S522">
        <v>17.37</v>
      </c>
      <c r="T522">
        <v>1355.61</v>
      </c>
      <c r="U522">
        <v>0.72</v>
      </c>
      <c r="V522">
        <v>0.75</v>
      </c>
      <c r="W522">
        <v>1.1499999999999999</v>
      </c>
      <c r="X522">
        <v>0.08</v>
      </c>
      <c r="Y522">
        <v>1</v>
      </c>
      <c r="Z522">
        <v>10</v>
      </c>
    </row>
    <row r="523" spans="1:26" x14ac:dyDescent="0.3">
      <c r="A523">
        <v>58</v>
      </c>
      <c r="B523">
        <v>70</v>
      </c>
      <c r="C523" t="s">
        <v>26</v>
      </c>
      <c r="D523">
        <v>10.9937</v>
      </c>
      <c r="E523">
        <v>9.1</v>
      </c>
      <c r="F523">
        <v>6.75</v>
      </c>
      <c r="G523">
        <v>101.28</v>
      </c>
      <c r="H523">
        <v>1.69</v>
      </c>
      <c r="I523">
        <v>4</v>
      </c>
      <c r="J523">
        <v>162.04</v>
      </c>
      <c r="K523">
        <v>47.83</v>
      </c>
      <c r="L523">
        <v>15.5</v>
      </c>
      <c r="M523">
        <v>0</v>
      </c>
      <c r="N523">
        <v>28.71</v>
      </c>
      <c r="O523">
        <v>20218.71</v>
      </c>
      <c r="P523">
        <v>61.77</v>
      </c>
      <c r="Q523">
        <v>204.14</v>
      </c>
      <c r="R523">
        <v>23.65</v>
      </c>
      <c r="S523">
        <v>17.37</v>
      </c>
      <c r="T523">
        <v>1049.3399999999999</v>
      </c>
      <c r="U523">
        <v>0.73</v>
      </c>
      <c r="V523">
        <v>0.76</v>
      </c>
      <c r="W523">
        <v>1.1499999999999999</v>
      </c>
      <c r="X523">
        <v>0.06</v>
      </c>
      <c r="Y523">
        <v>1</v>
      </c>
      <c r="Z523">
        <v>10</v>
      </c>
    </row>
    <row r="524" spans="1:26" x14ac:dyDescent="0.3">
      <c r="A524">
        <v>0</v>
      </c>
      <c r="B524">
        <v>90</v>
      </c>
      <c r="C524" t="s">
        <v>26</v>
      </c>
      <c r="D524">
        <v>7.3918999999999997</v>
      </c>
      <c r="E524">
        <v>13.53</v>
      </c>
      <c r="F524">
        <v>8.3000000000000007</v>
      </c>
      <c r="G524">
        <v>6.3</v>
      </c>
      <c r="H524">
        <v>0.1</v>
      </c>
      <c r="I524">
        <v>79</v>
      </c>
      <c r="J524">
        <v>176.73</v>
      </c>
      <c r="K524">
        <v>52.44</v>
      </c>
      <c r="L524">
        <v>1</v>
      </c>
      <c r="M524">
        <v>77</v>
      </c>
      <c r="N524">
        <v>33.29</v>
      </c>
      <c r="O524">
        <v>22031.19</v>
      </c>
      <c r="P524">
        <v>108.92</v>
      </c>
      <c r="Q524">
        <v>204.2</v>
      </c>
      <c r="R524">
        <v>71.78</v>
      </c>
      <c r="S524">
        <v>17.37</v>
      </c>
      <c r="T524">
        <v>24736.31</v>
      </c>
      <c r="U524">
        <v>0.24</v>
      </c>
      <c r="V524">
        <v>0.62</v>
      </c>
      <c r="W524">
        <v>1.27</v>
      </c>
      <c r="X524">
        <v>1.6</v>
      </c>
      <c r="Y524">
        <v>1</v>
      </c>
      <c r="Z524">
        <v>10</v>
      </c>
    </row>
    <row r="525" spans="1:26" x14ac:dyDescent="0.3">
      <c r="A525">
        <v>1</v>
      </c>
      <c r="B525">
        <v>90</v>
      </c>
      <c r="C525" t="s">
        <v>26</v>
      </c>
      <c r="D525">
        <v>8.0023</v>
      </c>
      <c r="E525">
        <v>12.5</v>
      </c>
      <c r="F525">
        <v>7.91</v>
      </c>
      <c r="G525">
        <v>7.78</v>
      </c>
      <c r="H525">
        <v>0.13</v>
      </c>
      <c r="I525">
        <v>61</v>
      </c>
      <c r="J525">
        <v>177.1</v>
      </c>
      <c r="K525">
        <v>52.44</v>
      </c>
      <c r="L525">
        <v>1.25</v>
      </c>
      <c r="M525">
        <v>59</v>
      </c>
      <c r="N525">
        <v>33.409999999999997</v>
      </c>
      <c r="O525">
        <v>22076.81</v>
      </c>
      <c r="P525">
        <v>103.55</v>
      </c>
      <c r="Q525">
        <v>204.17</v>
      </c>
      <c r="R525">
        <v>59.85</v>
      </c>
      <c r="S525">
        <v>17.37</v>
      </c>
      <c r="T525">
        <v>18860.71</v>
      </c>
      <c r="U525">
        <v>0.28999999999999998</v>
      </c>
      <c r="V525">
        <v>0.65</v>
      </c>
      <c r="W525">
        <v>1.23</v>
      </c>
      <c r="X525">
        <v>1.21</v>
      </c>
      <c r="Y525">
        <v>1</v>
      </c>
      <c r="Z525">
        <v>10</v>
      </c>
    </row>
    <row r="526" spans="1:26" x14ac:dyDescent="0.3">
      <c r="A526">
        <v>2</v>
      </c>
      <c r="B526">
        <v>90</v>
      </c>
      <c r="C526" t="s">
        <v>26</v>
      </c>
      <c r="D526">
        <v>8.4459</v>
      </c>
      <c r="E526">
        <v>11.84</v>
      </c>
      <c r="F526">
        <v>7.68</v>
      </c>
      <c r="G526">
        <v>9.4</v>
      </c>
      <c r="H526">
        <v>0.15</v>
      </c>
      <c r="I526">
        <v>49</v>
      </c>
      <c r="J526">
        <v>177.47</v>
      </c>
      <c r="K526">
        <v>52.44</v>
      </c>
      <c r="L526">
        <v>1.5</v>
      </c>
      <c r="M526">
        <v>47</v>
      </c>
      <c r="N526">
        <v>33.53</v>
      </c>
      <c r="O526">
        <v>22122.46</v>
      </c>
      <c r="P526">
        <v>100.39</v>
      </c>
      <c r="Q526">
        <v>204.19</v>
      </c>
      <c r="R526">
        <v>52.54</v>
      </c>
      <c r="S526">
        <v>17.37</v>
      </c>
      <c r="T526">
        <v>15269.67</v>
      </c>
      <c r="U526">
        <v>0.33</v>
      </c>
      <c r="V526">
        <v>0.67</v>
      </c>
      <c r="W526">
        <v>1.22</v>
      </c>
      <c r="X526">
        <v>0.98</v>
      </c>
      <c r="Y526">
        <v>1</v>
      </c>
      <c r="Z526">
        <v>10</v>
      </c>
    </row>
    <row r="527" spans="1:26" x14ac:dyDescent="0.3">
      <c r="A527">
        <v>3</v>
      </c>
      <c r="B527">
        <v>90</v>
      </c>
      <c r="C527" t="s">
        <v>26</v>
      </c>
      <c r="D527">
        <v>8.7922999999999991</v>
      </c>
      <c r="E527">
        <v>11.37</v>
      </c>
      <c r="F527">
        <v>7.5</v>
      </c>
      <c r="G527">
        <v>10.97</v>
      </c>
      <c r="H527">
        <v>0.17</v>
      </c>
      <c r="I527">
        <v>41</v>
      </c>
      <c r="J527">
        <v>177.84</v>
      </c>
      <c r="K527">
        <v>52.44</v>
      </c>
      <c r="L527">
        <v>1.75</v>
      </c>
      <c r="M527">
        <v>39</v>
      </c>
      <c r="N527">
        <v>33.65</v>
      </c>
      <c r="O527">
        <v>22168.15</v>
      </c>
      <c r="P527">
        <v>97.82</v>
      </c>
      <c r="Q527">
        <v>204.15</v>
      </c>
      <c r="R527">
        <v>46.69</v>
      </c>
      <c r="S527">
        <v>17.37</v>
      </c>
      <c r="T527">
        <v>12380.37</v>
      </c>
      <c r="U527">
        <v>0.37</v>
      </c>
      <c r="V527">
        <v>0.68</v>
      </c>
      <c r="W527">
        <v>1.21</v>
      </c>
      <c r="X527">
        <v>0.8</v>
      </c>
      <c r="Y527">
        <v>1</v>
      </c>
      <c r="Z527">
        <v>10</v>
      </c>
    </row>
    <row r="528" spans="1:26" x14ac:dyDescent="0.3">
      <c r="A528">
        <v>4</v>
      </c>
      <c r="B528">
        <v>90</v>
      </c>
      <c r="C528" t="s">
        <v>26</v>
      </c>
      <c r="D528">
        <v>9.0036000000000005</v>
      </c>
      <c r="E528">
        <v>11.11</v>
      </c>
      <c r="F528">
        <v>7.41</v>
      </c>
      <c r="G528">
        <v>12.34</v>
      </c>
      <c r="H528">
        <v>0.2</v>
      </c>
      <c r="I528">
        <v>36</v>
      </c>
      <c r="J528">
        <v>178.21</v>
      </c>
      <c r="K528">
        <v>52.44</v>
      </c>
      <c r="L528">
        <v>2</v>
      </c>
      <c r="M528">
        <v>34</v>
      </c>
      <c r="N528">
        <v>33.770000000000003</v>
      </c>
      <c r="O528">
        <v>22213.89</v>
      </c>
      <c r="P528">
        <v>96.49</v>
      </c>
      <c r="Q528">
        <v>204.2</v>
      </c>
      <c r="R528">
        <v>43.76</v>
      </c>
      <c r="S528">
        <v>17.37</v>
      </c>
      <c r="T528">
        <v>10940.41</v>
      </c>
      <c r="U528">
        <v>0.4</v>
      </c>
      <c r="V528">
        <v>0.69</v>
      </c>
      <c r="W528">
        <v>1.2</v>
      </c>
      <c r="X528">
        <v>0.71</v>
      </c>
      <c r="Y528">
        <v>1</v>
      </c>
      <c r="Z528">
        <v>10</v>
      </c>
    </row>
    <row r="529" spans="1:26" x14ac:dyDescent="0.3">
      <c r="A529">
        <v>5</v>
      </c>
      <c r="B529">
        <v>90</v>
      </c>
      <c r="C529" t="s">
        <v>26</v>
      </c>
      <c r="D529">
        <v>9.2027000000000001</v>
      </c>
      <c r="E529">
        <v>10.87</v>
      </c>
      <c r="F529">
        <v>7.31</v>
      </c>
      <c r="G529">
        <v>13.7</v>
      </c>
      <c r="H529">
        <v>0.22</v>
      </c>
      <c r="I529">
        <v>32</v>
      </c>
      <c r="J529">
        <v>178.59</v>
      </c>
      <c r="K529">
        <v>52.44</v>
      </c>
      <c r="L529">
        <v>2.25</v>
      </c>
      <c r="M529">
        <v>30</v>
      </c>
      <c r="N529">
        <v>33.89</v>
      </c>
      <c r="O529">
        <v>22259.66</v>
      </c>
      <c r="P529">
        <v>94.99</v>
      </c>
      <c r="Q529">
        <v>204.17</v>
      </c>
      <c r="R529">
        <v>41.19</v>
      </c>
      <c r="S529">
        <v>17.37</v>
      </c>
      <c r="T529">
        <v>9678.59</v>
      </c>
      <c r="U529">
        <v>0.42</v>
      </c>
      <c r="V529">
        <v>0.7</v>
      </c>
      <c r="W529">
        <v>1.18</v>
      </c>
      <c r="X529">
        <v>0.62</v>
      </c>
      <c r="Y529">
        <v>1</v>
      </c>
      <c r="Z529">
        <v>10</v>
      </c>
    </row>
    <row r="530" spans="1:26" x14ac:dyDescent="0.3">
      <c r="A530">
        <v>6</v>
      </c>
      <c r="B530">
        <v>90</v>
      </c>
      <c r="C530" t="s">
        <v>26</v>
      </c>
      <c r="D530">
        <v>9.3970000000000002</v>
      </c>
      <c r="E530">
        <v>10.64</v>
      </c>
      <c r="F530">
        <v>7.23</v>
      </c>
      <c r="G530">
        <v>15.48</v>
      </c>
      <c r="H530">
        <v>0.25</v>
      </c>
      <c r="I530">
        <v>28</v>
      </c>
      <c r="J530">
        <v>178.96</v>
      </c>
      <c r="K530">
        <v>52.44</v>
      </c>
      <c r="L530">
        <v>2.5</v>
      </c>
      <c r="M530">
        <v>26</v>
      </c>
      <c r="N530">
        <v>34.020000000000003</v>
      </c>
      <c r="O530">
        <v>22305.48</v>
      </c>
      <c r="P530">
        <v>93.74</v>
      </c>
      <c r="Q530">
        <v>204.14</v>
      </c>
      <c r="R530">
        <v>38.729999999999997</v>
      </c>
      <c r="S530">
        <v>17.37</v>
      </c>
      <c r="T530">
        <v>8465.99</v>
      </c>
      <c r="U530">
        <v>0.45</v>
      </c>
      <c r="V530">
        <v>0.71</v>
      </c>
      <c r="W530">
        <v>1.17</v>
      </c>
      <c r="X530">
        <v>0.53</v>
      </c>
      <c r="Y530">
        <v>1</v>
      </c>
      <c r="Z530">
        <v>10</v>
      </c>
    </row>
    <row r="531" spans="1:26" x14ac:dyDescent="0.3">
      <c r="A531">
        <v>7</v>
      </c>
      <c r="B531">
        <v>90</v>
      </c>
      <c r="C531" t="s">
        <v>26</v>
      </c>
      <c r="D531">
        <v>9.4829000000000008</v>
      </c>
      <c r="E531">
        <v>10.55</v>
      </c>
      <c r="F531">
        <v>7.2</v>
      </c>
      <c r="G531">
        <v>16.62</v>
      </c>
      <c r="H531">
        <v>0.27</v>
      </c>
      <c r="I531">
        <v>26</v>
      </c>
      <c r="J531">
        <v>179.33</v>
      </c>
      <c r="K531">
        <v>52.44</v>
      </c>
      <c r="L531">
        <v>2.75</v>
      </c>
      <c r="M531">
        <v>24</v>
      </c>
      <c r="N531">
        <v>34.14</v>
      </c>
      <c r="O531">
        <v>22351.34</v>
      </c>
      <c r="P531">
        <v>93.23</v>
      </c>
      <c r="Q531">
        <v>204.16</v>
      </c>
      <c r="R531">
        <v>37.33</v>
      </c>
      <c r="S531">
        <v>17.37</v>
      </c>
      <c r="T531">
        <v>7778.13</v>
      </c>
      <c r="U531">
        <v>0.47</v>
      </c>
      <c r="V531">
        <v>0.71</v>
      </c>
      <c r="W531">
        <v>1.19</v>
      </c>
      <c r="X531">
        <v>0.51</v>
      </c>
      <c r="Y531">
        <v>1</v>
      </c>
      <c r="Z531">
        <v>10</v>
      </c>
    </row>
    <row r="532" spans="1:26" x14ac:dyDescent="0.3">
      <c r="A532">
        <v>8</v>
      </c>
      <c r="B532">
        <v>90</v>
      </c>
      <c r="C532" t="s">
        <v>26</v>
      </c>
      <c r="D532">
        <v>9.6397999999999993</v>
      </c>
      <c r="E532">
        <v>10.37</v>
      </c>
      <c r="F532">
        <v>7.14</v>
      </c>
      <c r="G532">
        <v>18.61</v>
      </c>
      <c r="H532">
        <v>0.3</v>
      </c>
      <c r="I532">
        <v>23</v>
      </c>
      <c r="J532">
        <v>179.7</v>
      </c>
      <c r="K532">
        <v>52.44</v>
      </c>
      <c r="L532">
        <v>3</v>
      </c>
      <c r="M532">
        <v>21</v>
      </c>
      <c r="N532">
        <v>34.26</v>
      </c>
      <c r="O532">
        <v>22397.24</v>
      </c>
      <c r="P532">
        <v>92.2</v>
      </c>
      <c r="Q532">
        <v>204.14</v>
      </c>
      <c r="R532">
        <v>35.729999999999997</v>
      </c>
      <c r="S532">
        <v>17.37</v>
      </c>
      <c r="T532">
        <v>6991.6</v>
      </c>
      <c r="U532">
        <v>0.49</v>
      </c>
      <c r="V532">
        <v>0.72</v>
      </c>
      <c r="W532">
        <v>1.17</v>
      </c>
      <c r="X532">
        <v>0.44</v>
      </c>
      <c r="Y532">
        <v>1</v>
      </c>
      <c r="Z532">
        <v>10</v>
      </c>
    </row>
    <row r="533" spans="1:26" x14ac:dyDescent="0.3">
      <c r="A533">
        <v>9</v>
      </c>
      <c r="B533">
        <v>90</v>
      </c>
      <c r="C533" t="s">
        <v>26</v>
      </c>
      <c r="D533">
        <v>9.7017000000000007</v>
      </c>
      <c r="E533">
        <v>10.31</v>
      </c>
      <c r="F533">
        <v>7.1</v>
      </c>
      <c r="G533">
        <v>19.38</v>
      </c>
      <c r="H533">
        <v>0.32</v>
      </c>
      <c r="I533">
        <v>22</v>
      </c>
      <c r="J533">
        <v>180.07</v>
      </c>
      <c r="K533">
        <v>52.44</v>
      </c>
      <c r="L533">
        <v>3.25</v>
      </c>
      <c r="M533">
        <v>20</v>
      </c>
      <c r="N533">
        <v>34.380000000000003</v>
      </c>
      <c r="O533">
        <v>22443.18</v>
      </c>
      <c r="P533">
        <v>91.62</v>
      </c>
      <c r="Q533">
        <v>204.17</v>
      </c>
      <c r="R533">
        <v>34.67</v>
      </c>
      <c r="S533">
        <v>17.37</v>
      </c>
      <c r="T533">
        <v>6469.38</v>
      </c>
      <c r="U533">
        <v>0.5</v>
      </c>
      <c r="V533">
        <v>0.72</v>
      </c>
      <c r="W533">
        <v>1.17</v>
      </c>
      <c r="X533">
        <v>0.41</v>
      </c>
      <c r="Y533">
        <v>1</v>
      </c>
      <c r="Z533">
        <v>10</v>
      </c>
    </row>
    <row r="534" spans="1:26" x14ac:dyDescent="0.3">
      <c r="A534">
        <v>10</v>
      </c>
      <c r="B534">
        <v>90</v>
      </c>
      <c r="C534" t="s">
        <v>26</v>
      </c>
      <c r="D534">
        <v>9.8012999999999995</v>
      </c>
      <c r="E534">
        <v>10.199999999999999</v>
      </c>
      <c r="F534">
        <v>7.07</v>
      </c>
      <c r="G534">
        <v>21.21</v>
      </c>
      <c r="H534">
        <v>0.34</v>
      </c>
      <c r="I534">
        <v>20</v>
      </c>
      <c r="J534">
        <v>180.45</v>
      </c>
      <c r="K534">
        <v>52.44</v>
      </c>
      <c r="L534">
        <v>3.5</v>
      </c>
      <c r="M534">
        <v>18</v>
      </c>
      <c r="N534">
        <v>34.51</v>
      </c>
      <c r="O534">
        <v>22489.16</v>
      </c>
      <c r="P534">
        <v>91.09</v>
      </c>
      <c r="Q534">
        <v>204.15</v>
      </c>
      <c r="R534">
        <v>33.81</v>
      </c>
      <c r="S534">
        <v>17.37</v>
      </c>
      <c r="T534">
        <v>6045.62</v>
      </c>
      <c r="U534">
        <v>0.51</v>
      </c>
      <c r="V534">
        <v>0.72</v>
      </c>
      <c r="W534">
        <v>1.1599999999999999</v>
      </c>
      <c r="X534">
        <v>0.38</v>
      </c>
      <c r="Y534">
        <v>1</v>
      </c>
      <c r="Z534">
        <v>10</v>
      </c>
    </row>
    <row r="535" spans="1:26" x14ac:dyDescent="0.3">
      <c r="A535">
        <v>11</v>
      </c>
      <c r="B535">
        <v>90</v>
      </c>
      <c r="C535" t="s">
        <v>26</v>
      </c>
      <c r="D535">
        <v>9.8567999999999998</v>
      </c>
      <c r="E535">
        <v>10.15</v>
      </c>
      <c r="F535">
        <v>7.05</v>
      </c>
      <c r="G535">
        <v>22.26</v>
      </c>
      <c r="H535">
        <v>0.37</v>
      </c>
      <c r="I535">
        <v>19</v>
      </c>
      <c r="J535">
        <v>180.82</v>
      </c>
      <c r="K535">
        <v>52.44</v>
      </c>
      <c r="L535">
        <v>3.75</v>
      </c>
      <c r="M535">
        <v>17</v>
      </c>
      <c r="N535">
        <v>34.630000000000003</v>
      </c>
      <c r="O535">
        <v>22535.19</v>
      </c>
      <c r="P535">
        <v>90.66</v>
      </c>
      <c r="Q535">
        <v>204.15</v>
      </c>
      <c r="R535">
        <v>33.07</v>
      </c>
      <c r="S535">
        <v>17.37</v>
      </c>
      <c r="T535">
        <v>5682.92</v>
      </c>
      <c r="U535">
        <v>0.53</v>
      </c>
      <c r="V535">
        <v>0.72</v>
      </c>
      <c r="W535">
        <v>1.1599999999999999</v>
      </c>
      <c r="X535">
        <v>0.36</v>
      </c>
      <c r="Y535">
        <v>1</v>
      </c>
      <c r="Z535">
        <v>10</v>
      </c>
    </row>
    <row r="536" spans="1:26" x14ac:dyDescent="0.3">
      <c r="A536">
        <v>12</v>
      </c>
      <c r="B536">
        <v>90</v>
      </c>
      <c r="C536" t="s">
        <v>26</v>
      </c>
      <c r="D536">
        <v>9.9206000000000003</v>
      </c>
      <c r="E536">
        <v>10.08</v>
      </c>
      <c r="F536">
        <v>7.02</v>
      </c>
      <c r="G536">
        <v>23.4</v>
      </c>
      <c r="H536">
        <v>0.39</v>
      </c>
      <c r="I536">
        <v>18</v>
      </c>
      <c r="J536">
        <v>181.19</v>
      </c>
      <c r="K536">
        <v>52.44</v>
      </c>
      <c r="L536">
        <v>4</v>
      </c>
      <c r="M536">
        <v>16</v>
      </c>
      <c r="N536">
        <v>34.75</v>
      </c>
      <c r="O536">
        <v>22581.25</v>
      </c>
      <c r="P536">
        <v>89.8</v>
      </c>
      <c r="Q536">
        <v>204.14</v>
      </c>
      <c r="R536">
        <v>32.1</v>
      </c>
      <c r="S536">
        <v>17.37</v>
      </c>
      <c r="T536">
        <v>5204.22</v>
      </c>
      <c r="U536">
        <v>0.54</v>
      </c>
      <c r="V536">
        <v>0.73</v>
      </c>
      <c r="W536">
        <v>1.1599999999999999</v>
      </c>
      <c r="X536">
        <v>0.33</v>
      </c>
      <c r="Y536">
        <v>1</v>
      </c>
      <c r="Z536">
        <v>10</v>
      </c>
    </row>
    <row r="537" spans="1:26" x14ac:dyDescent="0.3">
      <c r="A537">
        <v>13</v>
      </c>
      <c r="B537">
        <v>90</v>
      </c>
      <c r="C537" t="s">
        <v>26</v>
      </c>
      <c r="D537">
        <v>9.9580000000000002</v>
      </c>
      <c r="E537">
        <v>10.039999999999999</v>
      </c>
      <c r="F537">
        <v>7.02</v>
      </c>
      <c r="G537">
        <v>24.77</v>
      </c>
      <c r="H537">
        <v>0.42</v>
      </c>
      <c r="I537">
        <v>17</v>
      </c>
      <c r="J537">
        <v>181.57</v>
      </c>
      <c r="K537">
        <v>52.44</v>
      </c>
      <c r="L537">
        <v>4.25</v>
      </c>
      <c r="M537">
        <v>15</v>
      </c>
      <c r="N537">
        <v>34.880000000000003</v>
      </c>
      <c r="O537">
        <v>22627.360000000001</v>
      </c>
      <c r="P537">
        <v>89.88</v>
      </c>
      <c r="Q537">
        <v>204.16</v>
      </c>
      <c r="R537">
        <v>31.95</v>
      </c>
      <c r="S537">
        <v>17.37</v>
      </c>
      <c r="T537">
        <v>5131.46</v>
      </c>
      <c r="U537">
        <v>0.54</v>
      </c>
      <c r="V537">
        <v>0.73</v>
      </c>
      <c r="W537">
        <v>1.1599999999999999</v>
      </c>
      <c r="X537">
        <v>0.33</v>
      </c>
      <c r="Y537">
        <v>1</v>
      </c>
      <c r="Z537">
        <v>10</v>
      </c>
    </row>
    <row r="538" spans="1:26" x14ac:dyDescent="0.3">
      <c r="A538">
        <v>14</v>
      </c>
      <c r="B538">
        <v>90</v>
      </c>
      <c r="C538" t="s">
        <v>26</v>
      </c>
      <c r="D538">
        <v>10.0008</v>
      </c>
      <c r="E538">
        <v>10</v>
      </c>
      <c r="F538">
        <v>7.01</v>
      </c>
      <c r="G538">
        <v>26.29</v>
      </c>
      <c r="H538">
        <v>0.44</v>
      </c>
      <c r="I538">
        <v>16</v>
      </c>
      <c r="J538">
        <v>181.94</v>
      </c>
      <c r="K538">
        <v>52.44</v>
      </c>
      <c r="L538">
        <v>4.5</v>
      </c>
      <c r="M538">
        <v>14</v>
      </c>
      <c r="N538">
        <v>35</v>
      </c>
      <c r="O538">
        <v>22673.63</v>
      </c>
      <c r="P538">
        <v>89.6</v>
      </c>
      <c r="Q538">
        <v>204.17</v>
      </c>
      <c r="R538">
        <v>31.81</v>
      </c>
      <c r="S538">
        <v>17.37</v>
      </c>
      <c r="T538">
        <v>5066.5200000000004</v>
      </c>
      <c r="U538">
        <v>0.55000000000000004</v>
      </c>
      <c r="V538">
        <v>0.73</v>
      </c>
      <c r="W538">
        <v>1.1599999999999999</v>
      </c>
      <c r="X538">
        <v>0.32</v>
      </c>
      <c r="Y538">
        <v>1</v>
      </c>
      <c r="Z538">
        <v>10</v>
      </c>
    </row>
    <row r="539" spans="1:26" x14ac:dyDescent="0.3">
      <c r="A539">
        <v>15</v>
      </c>
      <c r="B539">
        <v>90</v>
      </c>
      <c r="C539" t="s">
        <v>26</v>
      </c>
      <c r="D539">
        <v>10.088800000000001</v>
      </c>
      <c r="E539">
        <v>9.91</v>
      </c>
      <c r="F539">
        <v>6.96</v>
      </c>
      <c r="G539">
        <v>27.83</v>
      </c>
      <c r="H539">
        <v>0.46</v>
      </c>
      <c r="I539">
        <v>15</v>
      </c>
      <c r="J539">
        <v>182.32</v>
      </c>
      <c r="K539">
        <v>52.44</v>
      </c>
      <c r="L539">
        <v>4.75</v>
      </c>
      <c r="M539">
        <v>13</v>
      </c>
      <c r="N539">
        <v>35.119999999999997</v>
      </c>
      <c r="O539">
        <v>22719.83</v>
      </c>
      <c r="P539">
        <v>88.71</v>
      </c>
      <c r="Q539">
        <v>204.18</v>
      </c>
      <c r="R539">
        <v>30.17</v>
      </c>
      <c r="S539">
        <v>17.37</v>
      </c>
      <c r="T539">
        <v>4253.9799999999996</v>
      </c>
      <c r="U539">
        <v>0.57999999999999996</v>
      </c>
      <c r="V539">
        <v>0.73</v>
      </c>
      <c r="W539">
        <v>1.1599999999999999</v>
      </c>
      <c r="X539">
        <v>0.27</v>
      </c>
      <c r="Y539">
        <v>1</v>
      </c>
      <c r="Z539">
        <v>10</v>
      </c>
    </row>
    <row r="540" spans="1:26" x14ac:dyDescent="0.3">
      <c r="A540">
        <v>16</v>
      </c>
      <c r="B540">
        <v>90</v>
      </c>
      <c r="C540" t="s">
        <v>26</v>
      </c>
      <c r="D540">
        <v>10.133100000000001</v>
      </c>
      <c r="E540">
        <v>9.8699999999999992</v>
      </c>
      <c r="F540">
        <v>6.95</v>
      </c>
      <c r="G540">
        <v>29.79</v>
      </c>
      <c r="H540">
        <v>0.49</v>
      </c>
      <c r="I540">
        <v>14</v>
      </c>
      <c r="J540">
        <v>182.69</v>
      </c>
      <c r="K540">
        <v>52.44</v>
      </c>
      <c r="L540">
        <v>5</v>
      </c>
      <c r="M540">
        <v>12</v>
      </c>
      <c r="N540">
        <v>35.25</v>
      </c>
      <c r="O540">
        <v>22766.06</v>
      </c>
      <c r="P540">
        <v>88.47</v>
      </c>
      <c r="Q540">
        <v>204.14</v>
      </c>
      <c r="R540">
        <v>29.82</v>
      </c>
      <c r="S540">
        <v>17.37</v>
      </c>
      <c r="T540">
        <v>4080.9</v>
      </c>
      <c r="U540">
        <v>0.57999999999999996</v>
      </c>
      <c r="V540">
        <v>0.73</v>
      </c>
      <c r="W540">
        <v>1.1599999999999999</v>
      </c>
      <c r="X540">
        <v>0.26</v>
      </c>
      <c r="Y540">
        <v>1</v>
      </c>
      <c r="Z540">
        <v>10</v>
      </c>
    </row>
    <row r="541" spans="1:26" x14ac:dyDescent="0.3">
      <c r="A541">
        <v>17</v>
      </c>
      <c r="B541">
        <v>90</v>
      </c>
      <c r="C541" t="s">
        <v>26</v>
      </c>
      <c r="D541">
        <v>10.1989</v>
      </c>
      <c r="E541">
        <v>9.8000000000000007</v>
      </c>
      <c r="F541">
        <v>6.92</v>
      </c>
      <c r="G541">
        <v>31.95</v>
      </c>
      <c r="H541">
        <v>0.51</v>
      </c>
      <c r="I541">
        <v>13</v>
      </c>
      <c r="J541">
        <v>183.07</v>
      </c>
      <c r="K541">
        <v>52.44</v>
      </c>
      <c r="L541">
        <v>5.25</v>
      </c>
      <c r="M541">
        <v>11</v>
      </c>
      <c r="N541">
        <v>35.369999999999997</v>
      </c>
      <c r="O541">
        <v>22812.34</v>
      </c>
      <c r="P541">
        <v>87.82</v>
      </c>
      <c r="Q541">
        <v>204.14</v>
      </c>
      <c r="R541">
        <v>29.18</v>
      </c>
      <c r="S541">
        <v>17.37</v>
      </c>
      <c r="T541">
        <v>3766.87</v>
      </c>
      <c r="U541">
        <v>0.6</v>
      </c>
      <c r="V541">
        <v>0.74</v>
      </c>
      <c r="W541">
        <v>1.1499999999999999</v>
      </c>
      <c r="X541">
        <v>0.23</v>
      </c>
      <c r="Y541">
        <v>1</v>
      </c>
      <c r="Z541">
        <v>10</v>
      </c>
    </row>
    <row r="542" spans="1:26" x14ac:dyDescent="0.3">
      <c r="A542">
        <v>18</v>
      </c>
      <c r="B542">
        <v>90</v>
      </c>
      <c r="C542" t="s">
        <v>26</v>
      </c>
      <c r="D542">
        <v>10.199199999999999</v>
      </c>
      <c r="E542">
        <v>9.8000000000000007</v>
      </c>
      <c r="F542">
        <v>6.92</v>
      </c>
      <c r="G542">
        <v>31.95</v>
      </c>
      <c r="H542">
        <v>0.53</v>
      </c>
      <c r="I542">
        <v>13</v>
      </c>
      <c r="J542">
        <v>183.44</v>
      </c>
      <c r="K542">
        <v>52.44</v>
      </c>
      <c r="L542">
        <v>5.5</v>
      </c>
      <c r="M542">
        <v>11</v>
      </c>
      <c r="N542">
        <v>35.5</v>
      </c>
      <c r="O542">
        <v>22858.66</v>
      </c>
      <c r="P542">
        <v>87.86</v>
      </c>
      <c r="Q542">
        <v>204.15</v>
      </c>
      <c r="R542">
        <v>28.98</v>
      </c>
      <c r="S542">
        <v>17.37</v>
      </c>
      <c r="T542">
        <v>3668.69</v>
      </c>
      <c r="U542">
        <v>0.6</v>
      </c>
      <c r="V542">
        <v>0.74</v>
      </c>
      <c r="W542">
        <v>1.1599999999999999</v>
      </c>
      <c r="X542">
        <v>0.23</v>
      </c>
      <c r="Y542">
        <v>1</v>
      </c>
      <c r="Z542">
        <v>10</v>
      </c>
    </row>
    <row r="543" spans="1:26" x14ac:dyDescent="0.3">
      <c r="A543">
        <v>19</v>
      </c>
      <c r="B543">
        <v>90</v>
      </c>
      <c r="C543" t="s">
        <v>26</v>
      </c>
      <c r="D543">
        <v>10.248200000000001</v>
      </c>
      <c r="E543">
        <v>9.76</v>
      </c>
      <c r="F543">
        <v>6.91</v>
      </c>
      <c r="G543">
        <v>34.549999999999997</v>
      </c>
      <c r="H543">
        <v>0.55000000000000004</v>
      </c>
      <c r="I543">
        <v>12</v>
      </c>
      <c r="J543">
        <v>183.82</v>
      </c>
      <c r="K543">
        <v>52.44</v>
      </c>
      <c r="L543">
        <v>5.75</v>
      </c>
      <c r="M543">
        <v>10</v>
      </c>
      <c r="N543">
        <v>35.630000000000003</v>
      </c>
      <c r="O543">
        <v>22905.03</v>
      </c>
      <c r="P543">
        <v>87.48</v>
      </c>
      <c r="Q543">
        <v>204.16</v>
      </c>
      <c r="R543">
        <v>28.82</v>
      </c>
      <c r="S543">
        <v>17.37</v>
      </c>
      <c r="T543">
        <v>3590.47</v>
      </c>
      <c r="U543">
        <v>0.6</v>
      </c>
      <c r="V543">
        <v>0.74</v>
      </c>
      <c r="W543">
        <v>1.1499999999999999</v>
      </c>
      <c r="X543">
        <v>0.22</v>
      </c>
      <c r="Y543">
        <v>1</v>
      </c>
      <c r="Z543">
        <v>10</v>
      </c>
    </row>
    <row r="544" spans="1:26" x14ac:dyDescent="0.3">
      <c r="A544">
        <v>20</v>
      </c>
      <c r="B544">
        <v>90</v>
      </c>
      <c r="C544" t="s">
        <v>26</v>
      </c>
      <c r="D544">
        <v>10.2439</v>
      </c>
      <c r="E544">
        <v>9.76</v>
      </c>
      <c r="F544">
        <v>6.91</v>
      </c>
      <c r="G544">
        <v>34.57</v>
      </c>
      <c r="H544">
        <v>0.57999999999999996</v>
      </c>
      <c r="I544">
        <v>12</v>
      </c>
      <c r="J544">
        <v>184.19</v>
      </c>
      <c r="K544">
        <v>52.44</v>
      </c>
      <c r="L544">
        <v>6</v>
      </c>
      <c r="M544">
        <v>10</v>
      </c>
      <c r="N544">
        <v>35.75</v>
      </c>
      <c r="O544">
        <v>22951.43</v>
      </c>
      <c r="P544">
        <v>87.4</v>
      </c>
      <c r="Q544">
        <v>204.14</v>
      </c>
      <c r="R544">
        <v>28.81</v>
      </c>
      <c r="S544">
        <v>17.37</v>
      </c>
      <c r="T544">
        <v>3587.63</v>
      </c>
      <c r="U544">
        <v>0.6</v>
      </c>
      <c r="V544">
        <v>0.74</v>
      </c>
      <c r="W544">
        <v>1.1599999999999999</v>
      </c>
      <c r="X544">
        <v>0.22</v>
      </c>
      <c r="Y544">
        <v>1</v>
      </c>
      <c r="Z544">
        <v>10</v>
      </c>
    </row>
    <row r="545" spans="1:26" x14ac:dyDescent="0.3">
      <c r="A545">
        <v>21</v>
      </c>
      <c r="B545">
        <v>90</v>
      </c>
      <c r="C545" t="s">
        <v>26</v>
      </c>
      <c r="D545">
        <v>10.3217</v>
      </c>
      <c r="E545">
        <v>9.69</v>
      </c>
      <c r="F545">
        <v>6.88</v>
      </c>
      <c r="G545">
        <v>37.51</v>
      </c>
      <c r="H545">
        <v>0.6</v>
      </c>
      <c r="I545">
        <v>11</v>
      </c>
      <c r="J545">
        <v>184.57</v>
      </c>
      <c r="K545">
        <v>52.44</v>
      </c>
      <c r="L545">
        <v>6.25</v>
      </c>
      <c r="M545">
        <v>9</v>
      </c>
      <c r="N545">
        <v>35.880000000000003</v>
      </c>
      <c r="O545">
        <v>22997.88</v>
      </c>
      <c r="P545">
        <v>86.51</v>
      </c>
      <c r="Q545">
        <v>204.15</v>
      </c>
      <c r="R545">
        <v>27.64</v>
      </c>
      <c r="S545">
        <v>17.37</v>
      </c>
      <c r="T545">
        <v>3008.11</v>
      </c>
      <c r="U545">
        <v>0.63</v>
      </c>
      <c r="V545">
        <v>0.74</v>
      </c>
      <c r="W545">
        <v>1.1499999999999999</v>
      </c>
      <c r="X545">
        <v>0.19</v>
      </c>
      <c r="Y545">
        <v>1</v>
      </c>
      <c r="Z545">
        <v>10</v>
      </c>
    </row>
    <row r="546" spans="1:26" x14ac:dyDescent="0.3">
      <c r="A546">
        <v>22</v>
      </c>
      <c r="B546">
        <v>90</v>
      </c>
      <c r="C546" t="s">
        <v>26</v>
      </c>
      <c r="D546">
        <v>10.319000000000001</v>
      </c>
      <c r="E546">
        <v>9.69</v>
      </c>
      <c r="F546">
        <v>6.88</v>
      </c>
      <c r="G546">
        <v>37.520000000000003</v>
      </c>
      <c r="H546">
        <v>0.62</v>
      </c>
      <c r="I546">
        <v>11</v>
      </c>
      <c r="J546">
        <v>184.95</v>
      </c>
      <c r="K546">
        <v>52.44</v>
      </c>
      <c r="L546">
        <v>6.5</v>
      </c>
      <c r="M546">
        <v>9</v>
      </c>
      <c r="N546">
        <v>36.01</v>
      </c>
      <c r="O546">
        <v>23044.38</v>
      </c>
      <c r="P546">
        <v>86.52</v>
      </c>
      <c r="Q546">
        <v>204.14</v>
      </c>
      <c r="R546">
        <v>27.72</v>
      </c>
      <c r="S546">
        <v>17.37</v>
      </c>
      <c r="T546">
        <v>3046.77</v>
      </c>
      <c r="U546">
        <v>0.63</v>
      </c>
      <c r="V546">
        <v>0.74</v>
      </c>
      <c r="W546">
        <v>1.1499999999999999</v>
      </c>
      <c r="X546">
        <v>0.19</v>
      </c>
      <c r="Y546">
        <v>1</v>
      </c>
      <c r="Z546">
        <v>10</v>
      </c>
    </row>
    <row r="547" spans="1:26" x14ac:dyDescent="0.3">
      <c r="A547">
        <v>23</v>
      </c>
      <c r="B547">
        <v>90</v>
      </c>
      <c r="C547" t="s">
        <v>26</v>
      </c>
      <c r="D547">
        <v>10.312799999999999</v>
      </c>
      <c r="E547">
        <v>9.6999999999999993</v>
      </c>
      <c r="F547">
        <v>6.88</v>
      </c>
      <c r="G547">
        <v>37.549999999999997</v>
      </c>
      <c r="H547">
        <v>0.65</v>
      </c>
      <c r="I547">
        <v>11</v>
      </c>
      <c r="J547">
        <v>185.33</v>
      </c>
      <c r="K547">
        <v>52.44</v>
      </c>
      <c r="L547">
        <v>6.75</v>
      </c>
      <c r="M547">
        <v>9</v>
      </c>
      <c r="N547">
        <v>36.130000000000003</v>
      </c>
      <c r="O547">
        <v>23090.91</v>
      </c>
      <c r="P547">
        <v>86.26</v>
      </c>
      <c r="Q547">
        <v>204.15</v>
      </c>
      <c r="R547">
        <v>27.91</v>
      </c>
      <c r="S547">
        <v>17.37</v>
      </c>
      <c r="T547">
        <v>3143.24</v>
      </c>
      <c r="U547">
        <v>0.62</v>
      </c>
      <c r="V547">
        <v>0.74</v>
      </c>
      <c r="W547">
        <v>1.1499999999999999</v>
      </c>
      <c r="X547">
        <v>0.19</v>
      </c>
      <c r="Y547">
        <v>1</v>
      </c>
      <c r="Z547">
        <v>10</v>
      </c>
    </row>
    <row r="548" spans="1:26" x14ac:dyDescent="0.3">
      <c r="A548">
        <v>24</v>
      </c>
      <c r="B548">
        <v>90</v>
      </c>
      <c r="C548" t="s">
        <v>26</v>
      </c>
      <c r="D548">
        <v>10.369899999999999</v>
      </c>
      <c r="E548">
        <v>9.64</v>
      </c>
      <c r="F548">
        <v>6.87</v>
      </c>
      <c r="G548">
        <v>41.2</v>
      </c>
      <c r="H548">
        <v>0.67</v>
      </c>
      <c r="I548">
        <v>10</v>
      </c>
      <c r="J548">
        <v>185.7</v>
      </c>
      <c r="K548">
        <v>52.44</v>
      </c>
      <c r="L548">
        <v>7</v>
      </c>
      <c r="M548">
        <v>8</v>
      </c>
      <c r="N548">
        <v>36.26</v>
      </c>
      <c r="O548">
        <v>23137.49</v>
      </c>
      <c r="P548">
        <v>85.78</v>
      </c>
      <c r="Q548">
        <v>204.14</v>
      </c>
      <c r="R548">
        <v>27.3</v>
      </c>
      <c r="S548">
        <v>17.37</v>
      </c>
      <c r="T548">
        <v>2843.36</v>
      </c>
      <c r="U548">
        <v>0.64</v>
      </c>
      <c r="V548">
        <v>0.74</v>
      </c>
      <c r="W548">
        <v>1.1499999999999999</v>
      </c>
      <c r="X548">
        <v>0.18</v>
      </c>
      <c r="Y548">
        <v>1</v>
      </c>
      <c r="Z548">
        <v>10</v>
      </c>
    </row>
    <row r="549" spans="1:26" x14ac:dyDescent="0.3">
      <c r="A549">
        <v>25</v>
      </c>
      <c r="B549">
        <v>90</v>
      </c>
      <c r="C549" t="s">
        <v>26</v>
      </c>
      <c r="D549">
        <v>10.3705</v>
      </c>
      <c r="E549">
        <v>9.64</v>
      </c>
      <c r="F549">
        <v>6.87</v>
      </c>
      <c r="G549">
        <v>41.2</v>
      </c>
      <c r="H549">
        <v>0.69</v>
      </c>
      <c r="I549">
        <v>10</v>
      </c>
      <c r="J549">
        <v>186.08</v>
      </c>
      <c r="K549">
        <v>52.44</v>
      </c>
      <c r="L549">
        <v>7.25</v>
      </c>
      <c r="M549">
        <v>8</v>
      </c>
      <c r="N549">
        <v>36.39</v>
      </c>
      <c r="O549">
        <v>23184.11</v>
      </c>
      <c r="P549">
        <v>85.72</v>
      </c>
      <c r="Q549">
        <v>204.17</v>
      </c>
      <c r="R549">
        <v>27.35</v>
      </c>
      <c r="S549">
        <v>17.37</v>
      </c>
      <c r="T549">
        <v>2865.42</v>
      </c>
      <c r="U549">
        <v>0.64</v>
      </c>
      <c r="V549">
        <v>0.74</v>
      </c>
      <c r="W549">
        <v>1.1499999999999999</v>
      </c>
      <c r="X549">
        <v>0.17</v>
      </c>
      <c r="Y549">
        <v>1</v>
      </c>
      <c r="Z549">
        <v>10</v>
      </c>
    </row>
    <row r="550" spans="1:26" x14ac:dyDescent="0.3">
      <c r="A550">
        <v>26</v>
      </c>
      <c r="B550">
        <v>90</v>
      </c>
      <c r="C550" t="s">
        <v>26</v>
      </c>
      <c r="D550">
        <v>10.365399999999999</v>
      </c>
      <c r="E550">
        <v>9.65</v>
      </c>
      <c r="F550">
        <v>6.87</v>
      </c>
      <c r="G550">
        <v>41.23</v>
      </c>
      <c r="H550">
        <v>0.71</v>
      </c>
      <c r="I550">
        <v>10</v>
      </c>
      <c r="J550">
        <v>186.46</v>
      </c>
      <c r="K550">
        <v>52.44</v>
      </c>
      <c r="L550">
        <v>7.5</v>
      </c>
      <c r="M550">
        <v>8</v>
      </c>
      <c r="N550">
        <v>36.520000000000003</v>
      </c>
      <c r="O550">
        <v>23230.78</v>
      </c>
      <c r="P550">
        <v>85.65</v>
      </c>
      <c r="Q550">
        <v>204.14</v>
      </c>
      <c r="R550">
        <v>27.4</v>
      </c>
      <c r="S550">
        <v>17.37</v>
      </c>
      <c r="T550">
        <v>2891.86</v>
      </c>
      <c r="U550">
        <v>0.63</v>
      </c>
      <c r="V550">
        <v>0.74</v>
      </c>
      <c r="W550">
        <v>1.1499999999999999</v>
      </c>
      <c r="X550">
        <v>0.18</v>
      </c>
      <c r="Y550">
        <v>1</v>
      </c>
      <c r="Z550">
        <v>10</v>
      </c>
    </row>
    <row r="551" spans="1:26" x14ac:dyDescent="0.3">
      <c r="A551">
        <v>27</v>
      </c>
      <c r="B551">
        <v>90</v>
      </c>
      <c r="C551" t="s">
        <v>26</v>
      </c>
      <c r="D551">
        <v>10.4191</v>
      </c>
      <c r="E551">
        <v>9.6</v>
      </c>
      <c r="F551">
        <v>6.86</v>
      </c>
      <c r="G551">
        <v>45.71</v>
      </c>
      <c r="H551">
        <v>0.74</v>
      </c>
      <c r="I551">
        <v>9</v>
      </c>
      <c r="J551">
        <v>186.84</v>
      </c>
      <c r="K551">
        <v>52.44</v>
      </c>
      <c r="L551">
        <v>7.75</v>
      </c>
      <c r="M551">
        <v>7</v>
      </c>
      <c r="N551">
        <v>36.65</v>
      </c>
      <c r="O551">
        <v>23277.49</v>
      </c>
      <c r="P551">
        <v>85.33</v>
      </c>
      <c r="Q551">
        <v>204.14</v>
      </c>
      <c r="R551">
        <v>26.91</v>
      </c>
      <c r="S551">
        <v>17.37</v>
      </c>
      <c r="T551">
        <v>2652.45</v>
      </c>
      <c r="U551">
        <v>0.65</v>
      </c>
      <c r="V551">
        <v>0.74</v>
      </c>
      <c r="W551">
        <v>1.1499999999999999</v>
      </c>
      <c r="X551">
        <v>0.17</v>
      </c>
      <c r="Y551">
        <v>1</v>
      </c>
      <c r="Z551">
        <v>10</v>
      </c>
    </row>
    <row r="552" spans="1:26" x14ac:dyDescent="0.3">
      <c r="A552">
        <v>28</v>
      </c>
      <c r="B552">
        <v>90</v>
      </c>
      <c r="C552" t="s">
        <v>26</v>
      </c>
      <c r="D552">
        <v>10.4251</v>
      </c>
      <c r="E552">
        <v>9.59</v>
      </c>
      <c r="F552">
        <v>6.85</v>
      </c>
      <c r="G552">
        <v>45.68</v>
      </c>
      <c r="H552">
        <v>0.76</v>
      </c>
      <c r="I552">
        <v>9</v>
      </c>
      <c r="J552">
        <v>187.22</v>
      </c>
      <c r="K552">
        <v>52.44</v>
      </c>
      <c r="L552">
        <v>8</v>
      </c>
      <c r="M552">
        <v>7</v>
      </c>
      <c r="N552">
        <v>36.78</v>
      </c>
      <c r="O552">
        <v>23324.240000000002</v>
      </c>
      <c r="P552">
        <v>85.4</v>
      </c>
      <c r="Q552">
        <v>204.2</v>
      </c>
      <c r="R552">
        <v>26.86</v>
      </c>
      <c r="S552">
        <v>17.37</v>
      </c>
      <c r="T552">
        <v>2629.27</v>
      </c>
      <c r="U552">
        <v>0.65</v>
      </c>
      <c r="V552">
        <v>0.75</v>
      </c>
      <c r="W552">
        <v>1.1499999999999999</v>
      </c>
      <c r="X552">
        <v>0.16</v>
      </c>
      <c r="Y552">
        <v>1</v>
      </c>
      <c r="Z552">
        <v>10</v>
      </c>
    </row>
    <row r="553" spans="1:26" x14ac:dyDescent="0.3">
      <c r="A553">
        <v>29</v>
      </c>
      <c r="B553">
        <v>90</v>
      </c>
      <c r="C553" t="s">
        <v>26</v>
      </c>
      <c r="D553">
        <v>10.4176</v>
      </c>
      <c r="E553">
        <v>9.6</v>
      </c>
      <c r="F553">
        <v>6.86</v>
      </c>
      <c r="G553">
        <v>45.72</v>
      </c>
      <c r="H553">
        <v>0.78</v>
      </c>
      <c r="I553">
        <v>9</v>
      </c>
      <c r="J553">
        <v>187.6</v>
      </c>
      <c r="K553">
        <v>52.44</v>
      </c>
      <c r="L553">
        <v>8.25</v>
      </c>
      <c r="M553">
        <v>7</v>
      </c>
      <c r="N553">
        <v>36.9</v>
      </c>
      <c r="O553">
        <v>23371.040000000001</v>
      </c>
      <c r="P553">
        <v>85.15</v>
      </c>
      <c r="Q553">
        <v>204.14</v>
      </c>
      <c r="R553">
        <v>27.05</v>
      </c>
      <c r="S553">
        <v>17.37</v>
      </c>
      <c r="T553">
        <v>2721.14</v>
      </c>
      <c r="U553">
        <v>0.64</v>
      </c>
      <c r="V553">
        <v>0.74</v>
      </c>
      <c r="W553">
        <v>1.1499999999999999</v>
      </c>
      <c r="X553">
        <v>0.17</v>
      </c>
      <c r="Y553">
        <v>1</v>
      </c>
      <c r="Z553">
        <v>10</v>
      </c>
    </row>
    <row r="554" spans="1:26" x14ac:dyDescent="0.3">
      <c r="A554">
        <v>30</v>
      </c>
      <c r="B554">
        <v>90</v>
      </c>
      <c r="C554" t="s">
        <v>26</v>
      </c>
      <c r="D554">
        <v>10.422700000000001</v>
      </c>
      <c r="E554">
        <v>9.59</v>
      </c>
      <c r="F554">
        <v>6.85</v>
      </c>
      <c r="G554">
        <v>45.69</v>
      </c>
      <c r="H554">
        <v>0.8</v>
      </c>
      <c r="I554">
        <v>9</v>
      </c>
      <c r="J554">
        <v>187.98</v>
      </c>
      <c r="K554">
        <v>52.44</v>
      </c>
      <c r="L554">
        <v>8.5</v>
      </c>
      <c r="M554">
        <v>7</v>
      </c>
      <c r="N554">
        <v>37.03</v>
      </c>
      <c r="O554">
        <v>23417.88</v>
      </c>
      <c r="P554">
        <v>84.79</v>
      </c>
      <c r="Q554">
        <v>204.22</v>
      </c>
      <c r="R554">
        <v>26.94</v>
      </c>
      <c r="S554">
        <v>17.37</v>
      </c>
      <c r="T554">
        <v>2666.5</v>
      </c>
      <c r="U554">
        <v>0.64</v>
      </c>
      <c r="V554">
        <v>0.75</v>
      </c>
      <c r="W554">
        <v>1.1499999999999999</v>
      </c>
      <c r="X554">
        <v>0.16</v>
      </c>
      <c r="Y554">
        <v>1</v>
      </c>
      <c r="Z554">
        <v>10</v>
      </c>
    </row>
    <row r="555" spans="1:26" x14ac:dyDescent="0.3">
      <c r="A555">
        <v>31</v>
      </c>
      <c r="B555">
        <v>90</v>
      </c>
      <c r="C555" t="s">
        <v>26</v>
      </c>
      <c r="D555">
        <v>10.4969</v>
      </c>
      <c r="E555">
        <v>9.5299999999999994</v>
      </c>
      <c r="F555">
        <v>6.82</v>
      </c>
      <c r="G555">
        <v>51.16</v>
      </c>
      <c r="H555">
        <v>0.82</v>
      </c>
      <c r="I555">
        <v>8</v>
      </c>
      <c r="J555">
        <v>188.36</v>
      </c>
      <c r="K555">
        <v>52.44</v>
      </c>
      <c r="L555">
        <v>8.75</v>
      </c>
      <c r="M555">
        <v>6</v>
      </c>
      <c r="N555">
        <v>37.159999999999997</v>
      </c>
      <c r="O555">
        <v>23464.76</v>
      </c>
      <c r="P555">
        <v>84.19</v>
      </c>
      <c r="Q555">
        <v>204.14</v>
      </c>
      <c r="R555">
        <v>25.99</v>
      </c>
      <c r="S555">
        <v>17.37</v>
      </c>
      <c r="T555">
        <v>2196.4899999999998</v>
      </c>
      <c r="U555">
        <v>0.67</v>
      </c>
      <c r="V555">
        <v>0.75</v>
      </c>
      <c r="W555">
        <v>1.1499999999999999</v>
      </c>
      <c r="X555">
        <v>0.13</v>
      </c>
      <c r="Y555">
        <v>1</v>
      </c>
      <c r="Z555">
        <v>10</v>
      </c>
    </row>
    <row r="556" spans="1:26" x14ac:dyDescent="0.3">
      <c r="A556">
        <v>32</v>
      </c>
      <c r="B556">
        <v>90</v>
      </c>
      <c r="C556" t="s">
        <v>26</v>
      </c>
      <c r="D556">
        <v>10.497199999999999</v>
      </c>
      <c r="E556">
        <v>9.5299999999999994</v>
      </c>
      <c r="F556">
        <v>6.82</v>
      </c>
      <c r="G556">
        <v>51.16</v>
      </c>
      <c r="H556">
        <v>0.85</v>
      </c>
      <c r="I556">
        <v>8</v>
      </c>
      <c r="J556">
        <v>188.74</v>
      </c>
      <c r="K556">
        <v>52.44</v>
      </c>
      <c r="L556">
        <v>9</v>
      </c>
      <c r="M556">
        <v>6</v>
      </c>
      <c r="N556">
        <v>37.299999999999997</v>
      </c>
      <c r="O556">
        <v>23511.69</v>
      </c>
      <c r="P556">
        <v>83.88</v>
      </c>
      <c r="Q556">
        <v>204.15</v>
      </c>
      <c r="R556">
        <v>25.88</v>
      </c>
      <c r="S556">
        <v>17.37</v>
      </c>
      <c r="T556">
        <v>2141.63</v>
      </c>
      <c r="U556">
        <v>0.67</v>
      </c>
      <c r="V556">
        <v>0.75</v>
      </c>
      <c r="W556">
        <v>1.1499999999999999</v>
      </c>
      <c r="X556">
        <v>0.13</v>
      </c>
      <c r="Y556">
        <v>1</v>
      </c>
      <c r="Z556">
        <v>10</v>
      </c>
    </row>
    <row r="557" spans="1:26" x14ac:dyDescent="0.3">
      <c r="A557">
        <v>33</v>
      </c>
      <c r="B557">
        <v>90</v>
      </c>
      <c r="C557" t="s">
        <v>26</v>
      </c>
      <c r="D557">
        <v>10.4819</v>
      </c>
      <c r="E557">
        <v>9.5399999999999991</v>
      </c>
      <c r="F557">
        <v>6.84</v>
      </c>
      <c r="G557">
        <v>51.26</v>
      </c>
      <c r="H557">
        <v>0.87</v>
      </c>
      <c r="I557">
        <v>8</v>
      </c>
      <c r="J557">
        <v>189.12</v>
      </c>
      <c r="K557">
        <v>52.44</v>
      </c>
      <c r="L557">
        <v>9.25</v>
      </c>
      <c r="M557">
        <v>6</v>
      </c>
      <c r="N557">
        <v>37.43</v>
      </c>
      <c r="O557">
        <v>23558.67</v>
      </c>
      <c r="P557">
        <v>83.89</v>
      </c>
      <c r="Q557">
        <v>204.15</v>
      </c>
      <c r="R557">
        <v>26.31</v>
      </c>
      <c r="S557">
        <v>17.37</v>
      </c>
      <c r="T557">
        <v>2359.81</v>
      </c>
      <c r="U557">
        <v>0.66</v>
      </c>
      <c r="V557">
        <v>0.75</v>
      </c>
      <c r="W557">
        <v>1.1499999999999999</v>
      </c>
      <c r="X557">
        <v>0.14000000000000001</v>
      </c>
      <c r="Y557">
        <v>1</v>
      </c>
      <c r="Z557">
        <v>10</v>
      </c>
    </row>
    <row r="558" spans="1:26" x14ac:dyDescent="0.3">
      <c r="A558">
        <v>34</v>
      </c>
      <c r="B558">
        <v>90</v>
      </c>
      <c r="C558" t="s">
        <v>26</v>
      </c>
      <c r="D558">
        <v>10.487399999999999</v>
      </c>
      <c r="E558">
        <v>9.5399999999999991</v>
      </c>
      <c r="F558">
        <v>6.83</v>
      </c>
      <c r="G558">
        <v>51.23</v>
      </c>
      <c r="H558">
        <v>0.89</v>
      </c>
      <c r="I558">
        <v>8</v>
      </c>
      <c r="J558">
        <v>189.5</v>
      </c>
      <c r="K558">
        <v>52.44</v>
      </c>
      <c r="L558">
        <v>9.5</v>
      </c>
      <c r="M558">
        <v>6</v>
      </c>
      <c r="N558">
        <v>37.56</v>
      </c>
      <c r="O558">
        <v>23605.68</v>
      </c>
      <c r="P558">
        <v>83.73</v>
      </c>
      <c r="Q558">
        <v>204.14</v>
      </c>
      <c r="R558">
        <v>26.11</v>
      </c>
      <c r="S558">
        <v>17.37</v>
      </c>
      <c r="T558">
        <v>2256.5300000000002</v>
      </c>
      <c r="U558">
        <v>0.67</v>
      </c>
      <c r="V558">
        <v>0.75</v>
      </c>
      <c r="W558">
        <v>1.1499999999999999</v>
      </c>
      <c r="X558">
        <v>0.14000000000000001</v>
      </c>
      <c r="Y558">
        <v>1</v>
      </c>
      <c r="Z558">
        <v>10</v>
      </c>
    </row>
    <row r="559" spans="1:26" x14ac:dyDescent="0.3">
      <c r="A559">
        <v>35</v>
      </c>
      <c r="B559">
        <v>90</v>
      </c>
      <c r="C559" t="s">
        <v>26</v>
      </c>
      <c r="D559">
        <v>10.4892</v>
      </c>
      <c r="E559">
        <v>9.5299999999999994</v>
      </c>
      <c r="F559">
        <v>6.83</v>
      </c>
      <c r="G559">
        <v>51.21</v>
      </c>
      <c r="H559">
        <v>0.91</v>
      </c>
      <c r="I559">
        <v>8</v>
      </c>
      <c r="J559">
        <v>189.88</v>
      </c>
      <c r="K559">
        <v>52.44</v>
      </c>
      <c r="L559">
        <v>9.75</v>
      </c>
      <c r="M559">
        <v>6</v>
      </c>
      <c r="N559">
        <v>37.69</v>
      </c>
      <c r="O559">
        <v>23652.75</v>
      </c>
      <c r="P559">
        <v>83.29</v>
      </c>
      <c r="Q559">
        <v>204.14</v>
      </c>
      <c r="R559">
        <v>26.15</v>
      </c>
      <c r="S559">
        <v>17.37</v>
      </c>
      <c r="T559">
        <v>2277.5</v>
      </c>
      <c r="U559">
        <v>0.66</v>
      </c>
      <c r="V559">
        <v>0.75</v>
      </c>
      <c r="W559">
        <v>1.1499999999999999</v>
      </c>
      <c r="X559">
        <v>0.14000000000000001</v>
      </c>
      <c r="Y559">
        <v>1</v>
      </c>
      <c r="Z559">
        <v>10</v>
      </c>
    </row>
    <row r="560" spans="1:26" x14ac:dyDescent="0.3">
      <c r="A560">
        <v>36</v>
      </c>
      <c r="B560">
        <v>90</v>
      </c>
      <c r="C560" t="s">
        <v>26</v>
      </c>
      <c r="D560">
        <v>10.558400000000001</v>
      </c>
      <c r="E560">
        <v>9.4700000000000006</v>
      </c>
      <c r="F560">
        <v>6.8</v>
      </c>
      <c r="G560">
        <v>58.3</v>
      </c>
      <c r="H560">
        <v>0.93</v>
      </c>
      <c r="I560">
        <v>7</v>
      </c>
      <c r="J560">
        <v>190.26</v>
      </c>
      <c r="K560">
        <v>52.44</v>
      </c>
      <c r="L560">
        <v>10</v>
      </c>
      <c r="M560">
        <v>5</v>
      </c>
      <c r="N560">
        <v>37.82</v>
      </c>
      <c r="O560">
        <v>23699.85</v>
      </c>
      <c r="P560">
        <v>82.86</v>
      </c>
      <c r="Q560">
        <v>204.16</v>
      </c>
      <c r="R560">
        <v>25.26</v>
      </c>
      <c r="S560">
        <v>17.37</v>
      </c>
      <c r="T560">
        <v>1838.02</v>
      </c>
      <c r="U560">
        <v>0.69</v>
      </c>
      <c r="V560">
        <v>0.75</v>
      </c>
      <c r="W560">
        <v>1.1499999999999999</v>
      </c>
      <c r="X560">
        <v>0.11</v>
      </c>
      <c r="Y560">
        <v>1</v>
      </c>
      <c r="Z560">
        <v>10</v>
      </c>
    </row>
    <row r="561" spans="1:26" x14ac:dyDescent="0.3">
      <c r="A561">
        <v>37</v>
      </c>
      <c r="B561">
        <v>90</v>
      </c>
      <c r="C561" t="s">
        <v>26</v>
      </c>
      <c r="D561">
        <v>10.551299999999999</v>
      </c>
      <c r="E561">
        <v>9.48</v>
      </c>
      <c r="F561">
        <v>6.81</v>
      </c>
      <c r="G561">
        <v>58.35</v>
      </c>
      <c r="H561">
        <v>0.95</v>
      </c>
      <c r="I561">
        <v>7</v>
      </c>
      <c r="J561">
        <v>190.65</v>
      </c>
      <c r="K561">
        <v>52.44</v>
      </c>
      <c r="L561">
        <v>10.25</v>
      </c>
      <c r="M561">
        <v>5</v>
      </c>
      <c r="N561">
        <v>37.950000000000003</v>
      </c>
      <c r="O561">
        <v>23747</v>
      </c>
      <c r="P561">
        <v>83.04</v>
      </c>
      <c r="Q561">
        <v>204.14</v>
      </c>
      <c r="R561">
        <v>25.47</v>
      </c>
      <c r="S561">
        <v>17.37</v>
      </c>
      <c r="T561">
        <v>1940.3</v>
      </c>
      <c r="U561">
        <v>0.68</v>
      </c>
      <c r="V561">
        <v>0.75</v>
      </c>
      <c r="W561">
        <v>1.1499999999999999</v>
      </c>
      <c r="X561">
        <v>0.12</v>
      </c>
      <c r="Y561">
        <v>1</v>
      </c>
      <c r="Z561">
        <v>10</v>
      </c>
    </row>
    <row r="562" spans="1:26" x14ac:dyDescent="0.3">
      <c r="A562">
        <v>38</v>
      </c>
      <c r="B562">
        <v>90</v>
      </c>
      <c r="C562" t="s">
        <v>26</v>
      </c>
      <c r="D562">
        <v>10.5519</v>
      </c>
      <c r="E562">
        <v>9.48</v>
      </c>
      <c r="F562">
        <v>6.81</v>
      </c>
      <c r="G562">
        <v>58.35</v>
      </c>
      <c r="H562">
        <v>0.98</v>
      </c>
      <c r="I562">
        <v>7</v>
      </c>
      <c r="J562">
        <v>191.03</v>
      </c>
      <c r="K562">
        <v>52.44</v>
      </c>
      <c r="L562">
        <v>10.5</v>
      </c>
      <c r="M562">
        <v>5</v>
      </c>
      <c r="N562">
        <v>38.090000000000003</v>
      </c>
      <c r="O562">
        <v>23794.2</v>
      </c>
      <c r="P562">
        <v>83.04</v>
      </c>
      <c r="Q562">
        <v>204.14</v>
      </c>
      <c r="R562">
        <v>25.53</v>
      </c>
      <c r="S562">
        <v>17.37</v>
      </c>
      <c r="T562">
        <v>1973.94</v>
      </c>
      <c r="U562">
        <v>0.68</v>
      </c>
      <c r="V562">
        <v>0.75</v>
      </c>
      <c r="W562">
        <v>1.1499999999999999</v>
      </c>
      <c r="X562">
        <v>0.12</v>
      </c>
      <c r="Y562">
        <v>1</v>
      </c>
      <c r="Z562">
        <v>10</v>
      </c>
    </row>
    <row r="563" spans="1:26" x14ac:dyDescent="0.3">
      <c r="A563">
        <v>39</v>
      </c>
      <c r="B563">
        <v>90</v>
      </c>
      <c r="C563" t="s">
        <v>26</v>
      </c>
      <c r="D563">
        <v>10.546099999999999</v>
      </c>
      <c r="E563">
        <v>9.48</v>
      </c>
      <c r="F563">
        <v>6.81</v>
      </c>
      <c r="G563">
        <v>58.4</v>
      </c>
      <c r="H563">
        <v>1</v>
      </c>
      <c r="I563">
        <v>7</v>
      </c>
      <c r="J563">
        <v>191.41</v>
      </c>
      <c r="K563">
        <v>52.44</v>
      </c>
      <c r="L563">
        <v>10.75</v>
      </c>
      <c r="M563">
        <v>5</v>
      </c>
      <c r="N563">
        <v>38.22</v>
      </c>
      <c r="O563">
        <v>23841.439999999999</v>
      </c>
      <c r="P563">
        <v>82.99</v>
      </c>
      <c r="Q563">
        <v>204.14</v>
      </c>
      <c r="R563">
        <v>25.55</v>
      </c>
      <c r="S563">
        <v>17.37</v>
      </c>
      <c r="T563">
        <v>1983.89</v>
      </c>
      <c r="U563">
        <v>0.68</v>
      </c>
      <c r="V563">
        <v>0.75</v>
      </c>
      <c r="W563">
        <v>1.1499999999999999</v>
      </c>
      <c r="X563">
        <v>0.12</v>
      </c>
      <c r="Y563">
        <v>1</v>
      </c>
      <c r="Z563">
        <v>10</v>
      </c>
    </row>
    <row r="564" spans="1:26" x14ac:dyDescent="0.3">
      <c r="A564">
        <v>40</v>
      </c>
      <c r="B564">
        <v>90</v>
      </c>
      <c r="C564" t="s">
        <v>26</v>
      </c>
      <c r="D564">
        <v>10.5504</v>
      </c>
      <c r="E564">
        <v>9.48</v>
      </c>
      <c r="F564">
        <v>6.81</v>
      </c>
      <c r="G564">
        <v>58.36</v>
      </c>
      <c r="H564">
        <v>1.02</v>
      </c>
      <c r="I564">
        <v>7</v>
      </c>
      <c r="J564">
        <v>191.79</v>
      </c>
      <c r="K564">
        <v>52.44</v>
      </c>
      <c r="L564">
        <v>11</v>
      </c>
      <c r="M564">
        <v>5</v>
      </c>
      <c r="N564">
        <v>38.35</v>
      </c>
      <c r="O564">
        <v>23888.73</v>
      </c>
      <c r="P564">
        <v>82.65</v>
      </c>
      <c r="Q564">
        <v>204.17</v>
      </c>
      <c r="R564">
        <v>25.65</v>
      </c>
      <c r="S564">
        <v>17.37</v>
      </c>
      <c r="T564">
        <v>2030.84</v>
      </c>
      <c r="U564">
        <v>0.68</v>
      </c>
      <c r="V564">
        <v>0.75</v>
      </c>
      <c r="W564">
        <v>1.1399999999999999</v>
      </c>
      <c r="X564">
        <v>0.12</v>
      </c>
      <c r="Y564">
        <v>1</v>
      </c>
      <c r="Z564">
        <v>10</v>
      </c>
    </row>
    <row r="565" spans="1:26" x14ac:dyDescent="0.3">
      <c r="A565">
        <v>41</v>
      </c>
      <c r="B565">
        <v>90</v>
      </c>
      <c r="C565" t="s">
        <v>26</v>
      </c>
      <c r="D565">
        <v>10.5436</v>
      </c>
      <c r="E565">
        <v>9.48</v>
      </c>
      <c r="F565">
        <v>6.82</v>
      </c>
      <c r="G565">
        <v>58.41</v>
      </c>
      <c r="H565">
        <v>1.04</v>
      </c>
      <c r="I565">
        <v>7</v>
      </c>
      <c r="J565">
        <v>192.18</v>
      </c>
      <c r="K565">
        <v>52.44</v>
      </c>
      <c r="L565">
        <v>11.25</v>
      </c>
      <c r="M565">
        <v>5</v>
      </c>
      <c r="N565">
        <v>38.49</v>
      </c>
      <c r="O565">
        <v>23936.06</v>
      </c>
      <c r="P565">
        <v>82.35</v>
      </c>
      <c r="Q565">
        <v>204.15</v>
      </c>
      <c r="R565">
        <v>25.74</v>
      </c>
      <c r="S565">
        <v>17.37</v>
      </c>
      <c r="T565">
        <v>2075.34</v>
      </c>
      <c r="U565">
        <v>0.68</v>
      </c>
      <c r="V565">
        <v>0.75</v>
      </c>
      <c r="W565">
        <v>1.1499999999999999</v>
      </c>
      <c r="X565">
        <v>0.12</v>
      </c>
      <c r="Y565">
        <v>1</v>
      </c>
      <c r="Z565">
        <v>10</v>
      </c>
    </row>
    <row r="566" spans="1:26" x14ac:dyDescent="0.3">
      <c r="A566">
        <v>42</v>
      </c>
      <c r="B566">
        <v>90</v>
      </c>
      <c r="C566" t="s">
        <v>26</v>
      </c>
      <c r="D566">
        <v>10.547000000000001</v>
      </c>
      <c r="E566">
        <v>9.48</v>
      </c>
      <c r="F566">
        <v>6.81</v>
      </c>
      <c r="G566">
        <v>58.39</v>
      </c>
      <c r="H566">
        <v>1.06</v>
      </c>
      <c r="I566">
        <v>7</v>
      </c>
      <c r="J566">
        <v>192.56</v>
      </c>
      <c r="K566">
        <v>52.44</v>
      </c>
      <c r="L566">
        <v>11.5</v>
      </c>
      <c r="M566">
        <v>5</v>
      </c>
      <c r="N566">
        <v>38.619999999999997</v>
      </c>
      <c r="O566">
        <v>23983.439999999999</v>
      </c>
      <c r="P566">
        <v>81.99</v>
      </c>
      <c r="Q566">
        <v>204.14</v>
      </c>
      <c r="R566">
        <v>25.58</v>
      </c>
      <c r="S566">
        <v>17.37</v>
      </c>
      <c r="T566">
        <v>1998.07</v>
      </c>
      <c r="U566">
        <v>0.68</v>
      </c>
      <c r="V566">
        <v>0.75</v>
      </c>
      <c r="W566">
        <v>1.1499999999999999</v>
      </c>
      <c r="X566">
        <v>0.12</v>
      </c>
      <c r="Y566">
        <v>1</v>
      </c>
      <c r="Z566">
        <v>10</v>
      </c>
    </row>
    <row r="567" spans="1:26" x14ac:dyDescent="0.3">
      <c r="A567">
        <v>43</v>
      </c>
      <c r="B567">
        <v>90</v>
      </c>
      <c r="C567" t="s">
        <v>26</v>
      </c>
      <c r="D567">
        <v>10.6145</v>
      </c>
      <c r="E567">
        <v>9.42</v>
      </c>
      <c r="F567">
        <v>6.79</v>
      </c>
      <c r="G567">
        <v>67.87</v>
      </c>
      <c r="H567">
        <v>1.08</v>
      </c>
      <c r="I567">
        <v>6</v>
      </c>
      <c r="J567">
        <v>192.95</v>
      </c>
      <c r="K567">
        <v>52.44</v>
      </c>
      <c r="L567">
        <v>11.75</v>
      </c>
      <c r="M567">
        <v>4</v>
      </c>
      <c r="N567">
        <v>38.75</v>
      </c>
      <c r="O567">
        <v>24030.86</v>
      </c>
      <c r="P567">
        <v>81.38</v>
      </c>
      <c r="Q567">
        <v>204.14</v>
      </c>
      <c r="R567">
        <v>24.74</v>
      </c>
      <c r="S567">
        <v>17.37</v>
      </c>
      <c r="T567">
        <v>1581.18</v>
      </c>
      <c r="U567">
        <v>0.7</v>
      </c>
      <c r="V567">
        <v>0.75</v>
      </c>
      <c r="W567">
        <v>1.1499999999999999</v>
      </c>
      <c r="X567">
        <v>0.1</v>
      </c>
      <c r="Y567">
        <v>1</v>
      </c>
      <c r="Z567">
        <v>10</v>
      </c>
    </row>
    <row r="568" spans="1:26" x14ac:dyDescent="0.3">
      <c r="A568">
        <v>44</v>
      </c>
      <c r="B568">
        <v>90</v>
      </c>
      <c r="C568" t="s">
        <v>26</v>
      </c>
      <c r="D568">
        <v>10.612</v>
      </c>
      <c r="E568">
        <v>9.42</v>
      </c>
      <c r="F568">
        <v>6.79</v>
      </c>
      <c r="G568">
        <v>67.89</v>
      </c>
      <c r="H568">
        <v>1.1000000000000001</v>
      </c>
      <c r="I568">
        <v>6</v>
      </c>
      <c r="J568">
        <v>193.33</v>
      </c>
      <c r="K568">
        <v>52.44</v>
      </c>
      <c r="L568">
        <v>12</v>
      </c>
      <c r="M568">
        <v>4</v>
      </c>
      <c r="N568">
        <v>38.89</v>
      </c>
      <c r="O568">
        <v>24078.33</v>
      </c>
      <c r="P568">
        <v>81.39</v>
      </c>
      <c r="Q568">
        <v>204.14</v>
      </c>
      <c r="R568">
        <v>24.85</v>
      </c>
      <c r="S568">
        <v>17.37</v>
      </c>
      <c r="T568">
        <v>1635.85</v>
      </c>
      <c r="U568">
        <v>0.7</v>
      </c>
      <c r="V568">
        <v>0.75</v>
      </c>
      <c r="W568">
        <v>1.1499999999999999</v>
      </c>
      <c r="X568">
        <v>0.1</v>
      </c>
      <c r="Y568">
        <v>1</v>
      </c>
      <c r="Z568">
        <v>10</v>
      </c>
    </row>
    <row r="569" spans="1:26" x14ac:dyDescent="0.3">
      <c r="A569">
        <v>45</v>
      </c>
      <c r="B569">
        <v>90</v>
      </c>
      <c r="C569" t="s">
        <v>26</v>
      </c>
      <c r="D569">
        <v>10.613200000000001</v>
      </c>
      <c r="E569">
        <v>9.42</v>
      </c>
      <c r="F569">
        <v>6.79</v>
      </c>
      <c r="G569">
        <v>67.88</v>
      </c>
      <c r="H569">
        <v>1.1200000000000001</v>
      </c>
      <c r="I569">
        <v>6</v>
      </c>
      <c r="J569">
        <v>193.72</v>
      </c>
      <c r="K569">
        <v>52.44</v>
      </c>
      <c r="L569">
        <v>12.25</v>
      </c>
      <c r="M569">
        <v>4</v>
      </c>
      <c r="N569">
        <v>39.020000000000003</v>
      </c>
      <c r="O569">
        <v>24125.85</v>
      </c>
      <c r="P569">
        <v>81.5</v>
      </c>
      <c r="Q569">
        <v>204.14</v>
      </c>
      <c r="R569">
        <v>24.82</v>
      </c>
      <c r="S569">
        <v>17.37</v>
      </c>
      <c r="T569">
        <v>1620.31</v>
      </c>
      <c r="U569">
        <v>0.7</v>
      </c>
      <c r="V569">
        <v>0.75</v>
      </c>
      <c r="W569">
        <v>1.1499999999999999</v>
      </c>
      <c r="X569">
        <v>0.1</v>
      </c>
      <c r="Y569">
        <v>1</v>
      </c>
      <c r="Z569">
        <v>10</v>
      </c>
    </row>
    <row r="570" spans="1:26" x14ac:dyDescent="0.3">
      <c r="A570">
        <v>46</v>
      </c>
      <c r="B570">
        <v>90</v>
      </c>
      <c r="C570" t="s">
        <v>26</v>
      </c>
      <c r="D570">
        <v>10.6129</v>
      </c>
      <c r="E570">
        <v>9.42</v>
      </c>
      <c r="F570">
        <v>6.79</v>
      </c>
      <c r="G570">
        <v>67.89</v>
      </c>
      <c r="H570">
        <v>1.1399999999999999</v>
      </c>
      <c r="I570">
        <v>6</v>
      </c>
      <c r="J570">
        <v>194.1</v>
      </c>
      <c r="K570">
        <v>52.44</v>
      </c>
      <c r="L570">
        <v>12.5</v>
      </c>
      <c r="M570">
        <v>4</v>
      </c>
      <c r="N570">
        <v>39.159999999999997</v>
      </c>
      <c r="O570">
        <v>24173.41</v>
      </c>
      <c r="P570">
        <v>81.44</v>
      </c>
      <c r="Q570">
        <v>204.14</v>
      </c>
      <c r="R570">
        <v>24.95</v>
      </c>
      <c r="S570">
        <v>17.37</v>
      </c>
      <c r="T570">
        <v>1687.25</v>
      </c>
      <c r="U570">
        <v>0.7</v>
      </c>
      <c r="V570">
        <v>0.75</v>
      </c>
      <c r="W570">
        <v>1.1399999999999999</v>
      </c>
      <c r="X570">
        <v>0.1</v>
      </c>
      <c r="Y570">
        <v>1</v>
      </c>
      <c r="Z570">
        <v>10</v>
      </c>
    </row>
    <row r="571" spans="1:26" x14ac:dyDescent="0.3">
      <c r="A571">
        <v>47</v>
      </c>
      <c r="B571">
        <v>90</v>
      </c>
      <c r="C571" t="s">
        <v>26</v>
      </c>
      <c r="D571">
        <v>10.621700000000001</v>
      </c>
      <c r="E571">
        <v>9.41</v>
      </c>
      <c r="F571">
        <v>6.78</v>
      </c>
      <c r="G571">
        <v>67.81</v>
      </c>
      <c r="H571">
        <v>1.1599999999999999</v>
      </c>
      <c r="I571">
        <v>6</v>
      </c>
      <c r="J571">
        <v>194.49</v>
      </c>
      <c r="K571">
        <v>52.44</v>
      </c>
      <c r="L571">
        <v>12.75</v>
      </c>
      <c r="M571">
        <v>4</v>
      </c>
      <c r="N571">
        <v>39.299999999999997</v>
      </c>
      <c r="O571">
        <v>24221.02</v>
      </c>
      <c r="P571">
        <v>81.099999999999994</v>
      </c>
      <c r="Q571">
        <v>204.15</v>
      </c>
      <c r="R571">
        <v>24.61</v>
      </c>
      <c r="S571">
        <v>17.37</v>
      </c>
      <c r="T571">
        <v>1516.29</v>
      </c>
      <c r="U571">
        <v>0.71</v>
      </c>
      <c r="V571">
        <v>0.75</v>
      </c>
      <c r="W571">
        <v>1.1499999999999999</v>
      </c>
      <c r="X571">
        <v>0.09</v>
      </c>
      <c r="Y571">
        <v>1</v>
      </c>
      <c r="Z571">
        <v>10</v>
      </c>
    </row>
    <row r="572" spans="1:26" x14ac:dyDescent="0.3">
      <c r="A572">
        <v>48</v>
      </c>
      <c r="B572">
        <v>90</v>
      </c>
      <c r="C572" t="s">
        <v>26</v>
      </c>
      <c r="D572">
        <v>10.620100000000001</v>
      </c>
      <c r="E572">
        <v>9.42</v>
      </c>
      <c r="F572">
        <v>6.78</v>
      </c>
      <c r="G572">
        <v>67.819999999999993</v>
      </c>
      <c r="H572">
        <v>1.18</v>
      </c>
      <c r="I572">
        <v>6</v>
      </c>
      <c r="J572">
        <v>194.88</v>
      </c>
      <c r="K572">
        <v>52.44</v>
      </c>
      <c r="L572">
        <v>13</v>
      </c>
      <c r="M572">
        <v>4</v>
      </c>
      <c r="N572">
        <v>39.43</v>
      </c>
      <c r="O572">
        <v>24268.67</v>
      </c>
      <c r="P572">
        <v>80.83</v>
      </c>
      <c r="Q572">
        <v>204.14</v>
      </c>
      <c r="R572">
        <v>24.75</v>
      </c>
      <c r="S572">
        <v>17.37</v>
      </c>
      <c r="T572">
        <v>1588.22</v>
      </c>
      <c r="U572">
        <v>0.7</v>
      </c>
      <c r="V572">
        <v>0.75</v>
      </c>
      <c r="W572">
        <v>1.1399999999999999</v>
      </c>
      <c r="X572">
        <v>0.09</v>
      </c>
      <c r="Y572">
        <v>1</v>
      </c>
      <c r="Z572">
        <v>10</v>
      </c>
    </row>
    <row r="573" spans="1:26" x14ac:dyDescent="0.3">
      <c r="A573">
        <v>49</v>
      </c>
      <c r="B573">
        <v>90</v>
      </c>
      <c r="C573" t="s">
        <v>26</v>
      </c>
      <c r="D573">
        <v>10.6082</v>
      </c>
      <c r="E573">
        <v>9.43</v>
      </c>
      <c r="F573">
        <v>6.79</v>
      </c>
      <c r="G573">
        <v>67.930000000000007</v>
      </c>
      <c r="H573">
        <v>1.2</v>
      </c>
      <c r="I573">
        <v>6</v>
      </c>
      <c r="J573">
        <v>195.26</v>
      </c>
      <c r="K573">
        <v>52.44</v>
      </c>
      <c r="L573">
        <v>13.25</v>
      </c>
      <c r="M573">
        <v>4</v>
      </c>
      <c r="N573">
        <v>39.57</v>
      </c>
      <c r="O573">
        <v>24316.37</v>
      </c>
      <c r="P573">
        <v>80.739999999999995</v>
      </c>
      <c r="Q573">
        <v>204.14</v>
      </c>
      <c r="R573">
        <v>25.06</v>
      </c>
      <c r="S573">
        <v>17.37</v>
      </c>
      <c r="T573">
        <v>1742.06</v>
      </c>
      <c r="U573">
        <v>0.69</v>
      </c>
      <c r="V573">
        <v>0.75</v>
      </c>
      <c r="W573">
        <v>1.1399999999999999</v>
      </c>
      <c r="X573">
        <v>0.1</v>
      </c>
      <c r="Y573">
        <v>1</v>
      </c>
      <c r="Z573">
        <v>10</v>
      </c>
    </row>
    <row r="574" spans="1:26" x14ac:dyDescent="0.3">
      <c r="A574">
        <v>50</v>
      </c>
      <c r="B574">
        <v>90</v>
      </c>
      <c r="C574" t="s">
        <v>26</v>
      </c>
      <c r="D574">
        <v>10.6113</v>
      </c>
      <c r="E574">
        <v>9.42</v>
      </c>
      <c r="F574">
        <v>6.79</v>
      </c>
      <c r="G574">
        <v>67.900000000000006</v>
      </c>
      <c r="H574">
        <v>1.22</v>
      </c>
      <c r="I574">
        <v>6</v>
      </c>
      <c r="J574">
        <v>195.65</v>
      </c>
      <c r="K574">
        <v>52.44</v>
      </c>
      <c r="L574">
        <v>13.5</v>
      </c>
      <c r="M574">
        <v>4</v>
      </c>
      <c r="N574">
        <v>39.71</v>
      </c>
      <c r="O574">
        <v>24364.12</v>
      </c>
      <c r="P574">
        <v>80.31</v>
      </c>
      <c r="Q574">
        <v>204.14</v>
      </c>
      <c r="R574">
        <v>24.89</v>
      </c>
      <c r="S574">
        <v>17.37</v>
      </c>
      <c r="T574">
        <v>1659.16</v>
      </c>
      <c r="U574">
        <v>0.7</v>
      </c>
      <c r="V574">
        <v>0.75</v>
      </c>
      <c r="W574">
        <v>1.1499999999999999</v>
      </c>
      <c r="X574">
        <v>0.1</v>
      </c>
      <c r="Y574">
        <v>1</v>
      </c>
      <c r="Z574">
        <v>10</v>
      </c>
    </row>
    <row r="575" spans="1:26" x14ac:dyDescent="0.3">
      <c r="A575">
        <v>51</v>
      </c>
      <c r="B575">
        <v>90</v>
      </c>
      <c r="C575" t="s">
        <v>26</v>
      </c>
      <c r="D575">
        <v>10.6157</v>
      </c>
      <c r="E575">
        <v>9.42</v>
      </c>
      <c r="F575">
        <v>6.79</v>
      </c>
      <c r="G575">
        <v>67.86</v>
      </c>
      <c r="H575">
        <v>1.25</v>
      </c>
      <c r="I575">
        <v>6</v>
      </c>
      <c r="J575">
        <v>196.04</v>
      </c>
      <c r="K575">
        <v>52.44</v>
      </c>
      <c r="L575">
        <v>13.75</v>
      </c>
      <c r="M575">
        <v>4</v>
      </c>
      <c r="N575">
        <v>39.840000000000003</v>
      </c>
      <c r="O575">
        <v>24411.91</v>
      </c>
      <c r="P575">
        <v>80.349999999999994</v>
      </c>
      <c r="Q575">
        <v>204.14</v>
      </c>
      <c r="R575">
        <v>24.79</v>
      </c>
      <c r="S575">
        <v>17.37</v>
      </c>
      <c r="T575">
        <v>1606.25</v>
      </c>
      <c r="U575">
        <v>0.7</v>
      </c>
      <c r="V575">
        <v>0.75</v>
      </c>
      <c r="W575">
        <v>1.1499999999999999</v>
      </c>
      <c r="X575">
        <v>0.1</v>
      </c>
      <c r="Y575">
        <v>1</v>
      </c>
      <c r="Z575">
        <v>10</v>
      </c>
    </row>
    <row r="576" spans="1:26" x14ac:dyDescent="0.3">
      <c r="A576">
        <v>52</v>
      </c>
      <c r="B576">
        <v>90</v>
      </c>
      <c r="C576" t="s">
        <v>26</v>
      </c>
      <c r="D576">
        <v>10.6082</v>
      </c>
      <c r="E576">
        <v>9.43</v>
      </c>
      <c r="F576">
        <v>6.79</v>
      </c>
      <c r="G576">
        <v>67.930000000000007</v>
      </c>
      <c r="H576">
        <v>1.27</v>
      </c>
      <c r="I576">
        <v>6</v>
      </c>
      <c r="J576">
        <v>196.42</v>
      </c>
      <c r="K576">
        <v>52.44</v>
      </c>
      <c r="L576">
        <v>14</v>
      </c>
      <c r="M576">
        <v>4</v>
      </c>
      <c r="N576">
        <v>39.979999999999997</v>
      </c>
      <c r="O576">
        <v>24459.75</v>
      </c>
      <c r="P576">
        <v>79.790000000000006</v>
      </c>
      <c r="Q576">
        <v>204.15</v>
      </c>
      <c r="R576">
        <v>25.08</v>
      </c>
      <c r="S576">
        <v>17.37</v>
      </c>
      <c r="T576">
        <v>1753.13</v>
      </c>
      <c r="U576">
        <v>0.69</v>
      </c>
      <c r="V576">
        <v>0.75</v>
      </c>
      <c r="W576">
        <v>1.1399999999999999</v>
      </c>
      <c r="X576">
        <v>0.1</v>
      </c>
      <c r="Y576">
        <v>1</v>
      </c>
      <c r="Z576">
        <v>10</v>
      </c>
    </row>
    <row r="577" spans="1:26" x14ac:dyDescent="0.3">
      <c r="A577">
        <v>53</v>
      </c>
      <c r="B577">
        <v>90</v>
      </c>
      <c r="C577" t="s">
        <v>26</v>
      </c>
      <c r="D577">
        <v>10.672000000000001</v>
      </c>
      <c r="E577">
        <v>9.3699999999999992</v>
      </c>
      <c r="F577">
        <v>6.77</v>
      </c>
      <c r="G577">
        <v>81.260000000000005</v>
      </c>
      <c r="H577">
        <v>1.29</v>
      </c>
      <c r="I577">
        <v>5</v>
      </c>
      <c r="J577">
        <v>196.81</v>
      </c>
      <c r="K577">
        <v>52.44</v>
      </c>
      <c r="L577">
        <v>14.25</v>
      </c>
      <c r="M577">
        <v>3</v>
      </c>
      <c r="N577">
        <v>40.119999999999997</v>
      </c>
      <c r="O577">
        <v>24507.64</v>
      </c>
      <c r="P577">
        <v>79.040000000000006</v>
      </c>
      <c r="Q577">
        <v>204.14</v>
      </c>
      <c r="R577">
        <v>24.35</v>
      </c>
      <c r="S577">
        <v>17.37</v>
      </c>
      <c r="T577">
        <v>1390.56</v>
      </c>
      <c r="U577">
        <v>0.71</v>
      </c>
      <c r="V577">
        <v>0.75</v>
      </c>
      <c r="W577">
        <v>1.1399999999999999</v>
      </c>
      <c r="X577">
        <v>0.08</v>
      </c>
      <c r="Y577">
        <v>1</v>
      </c>
      <c r="Z577">
        <v>10</v>
      </c>
    </row>
    <row r="578" spans="1:26" x14ac:dyDescent="0.3">
      <c r="A578">
        <v>54</v>
      </c>
      <c r="B578">
        <v>90</v>
      </c>
      <c r="C578" t="s">
        <v>26</v>
      </c>
      <c r="D578">
        <v>10.667</v>
      </c>
      <c r="E578">
        <v>9.3699999999999992</v>
      </c>
      <c r="F578">
        <v>6.78</v>
      </c>
      <c r="G578">
        <v>81.319999999999993</v>
      </c>
      <c r="H578">
        <v>1.31</v>
      </c>
      <c r="I578">
        <v>5</v>
      </c>
      <c r="J578">
        <v>197.2</v>
      </c>
      <c r="K578">
        <v>52.44</v>
      </c>
      <c r="L578">
        <v>14.5</v>
      </c>
      <c r="M578">
        <v>3</v>
      </c>
      <c r="N578">
        <v>40.26</v>
      </c>
      <c r="O578">
        <v>24555.57</v>
      </c>
      <c r="P578">
        <v>79.42</v>
      </c>
      <c r="Q578">
        <v>204.14</v>
      </c>
      <c r="R578">
        <v>24.59</v>
      </c>
      <c r="S578">
        <v>17.37</v>
      </c>
      <c r="T578">
        <v>1514.21</v>
      </c>
      <c r="U578">
        <v>0.71</v>
      </c>
      <c r="V578">
        <v>0.75</v>
      </c>
      <c r="W578">
        <v>1.1399999999999999</v>
      </c>
      <c r="X578">
        <v>0.09</v>
      </c>
      <c r="Y578">
        <v>1</v>
      </c>
      <c r="Z578">
        <v>10</v>
      </c>
    </row>
    <row r="579" spans="1:26" x14ac:dyDescent="0.3">
      <c r="A579">
        <v>55</v>
      </c>
      <c r="B579">
        <v>90</v>
      </c>
      <c r="C579" t="s">
        <v>26</v>
      </c>
      <c r="D579">
        <v>10.673</v>
      </c>
      <c r="E579">
        <v>9.3699999999999992</v>
      </c>
      <c r="F579">
        <v>6.77</v>
      </c>
      <c r="G579">
        <v>81.25</v>
      </c>
      <c r="H579">
        <v>1.33</v>
      </c>
      <c r="I579">
        <v>5</v>
      </c>
      <c r="J579">
        <v>197.59</v>
      </c>
      <c r="K579">
        <v>52.44</v>
      </c>
      <c r="L579">
        <v>14.75</v>
      </c>
      <c r="M579">
        <v>3</v>
      </c>
      <c r="N579">
        <v>40.4</v>
      </c>
      <c r="O579">
        <v>24603.55</v>
      </c>
      <c r="P579">
        <v>79.39</v>
      </c>
      <c r="Q579">
        <v>204.14</v>
      </c>
      <c r="R579">
        <v>24.36</v>
      </c>
      <c r="S579">
        <v>17.37</v>
      </c>
      <c r="T579">
        <v>1396.14</v>
      </c>
      <c r="U579">
        <v>0.71</v>
      </c>
      <c r="V579">
        <v>0.75</v>
      </c>
      <c r="W579">
        <v>1.1399999999999999</v>
      </c>
      <c r="X579">
        <v>0.08</v>
      </c>
      <c r="Y579">
        <v>1</v>
      </c>
      <c r="Z579">
        <v>10</v>
      </c>
    </row>
    <row r="580" spans="1:26" x14ac:dyDescent="0.3">
      <c r="A580">
        <v>56</v>
      </c>
      <c r="B580">
        <v>90</v>
      </c>
      <c r="C580" t="s">
        <v>26</v>
      </c>
      <c r="D580">
        <v>10.667899999999999</v>
      </c>
      <c r="E580">
        <v>9.3699999999999992</v>
      </c>
      <c r="F580">
        <v>6.78</v>
      </c>
      <c r="G580">
        <v>81.31</v>
      </c>
      <c r="H580">
        <v>1.35</v>
      </c>
      <c r="I580">
        <v>5</v>
      </c>
      <c r="J580">
        <v>197.98</v>
      </c>
      <c r="K580">
        <v>52.44</v>
      </c>
      <c r="L580">
        <v>15</v>
      </c>
      <c r="M580">
        <v>3</v>
      </c>
      <c r="N580">
        <v>40.54</v>
      </c>
      <c r="O580">
        <v>24651.58</v>
      </c>
      <c r="P580">
        <v>79.67</v>
      </c>
      <c r="Q580">
        <v>204.15</v>
      </c>
      <c r="R580">
        <v>24.48</v>
      </c>
      <c r="S580">
        <v>17.37</v>
      </c>
      <c r="T580">
        <v>1458.04</v>
      </c>
      <c r="U580">
        <v>0.71</v>
      </c>
      <c r="V580">
        <v>0.75</v>
      </c>
      <c r="W580">
        <v>1.1399999999999999</v>
      </c>
      <c r="X580">
        <v>0.08</v>
      </c>
      <c r="Y580">
        <v>1</v>
      </c>
      <c r="Z580">
        <v>10</v>
      </c>
    </row>
    <row r="581" spans="1:26" x14ac:dyDescent="0.3">
      <c r="A581">
        <v>57</v>
      </c>
      <c r="B581">
        <v>90</v>
      </c>
      <c r="C581" t="s">
        <v>26</v>
      </c>
      <c r="D581">
        <v>10.670500000000001</v>
      </c>
      <c r="E581">
        <v>9.3699999999999992</v>
      </c>
      <c r="F581">
        <v>6.77</v>
      </c>
      <c r="G581">
        <v>81.28</v>
      </c>
      <c r="H581">
        <v>1.36</v>
      </c>
      <c r="I581">
        <v>5</v>
      </c>
      <c r="J581">
        <v>198.37</v>
      </c>
      <c r="K581">
        <v>52.44</v>
      </c>
      <c r="L581">
        <v>15.25</v>
      </c>
      <c r="M581">
        <v>3</v>
      </c>
      <c r="N581">
        <v>40.68</v>
      </c>
      <c r="O581">
        <v>24699.65</v>
      </c>
      <c r="P581">
        <v>79.33</v>
      </c>
      <c r="Q581">
        <v>204.14</v>
      </c>
      <c r="R581">
        <v>24.39</v>
      </c>
      <c r="S581">
        <v>17.37</v>
      </c>
      <c r="T581">
        <v>1414.32</v>
      </c>
      <c r="U581">
        <v>0.71</v>
      </c>
      <c r="V581">
        <v>0.75</v>
      </c>
      <c r="W581">
        <v>1.1399999999999999</v>
      </c>
      <c r="X581">
        <v>0.08</v>
      </c>
      <c r="Y581">
        <v>1</v>
      </c>
      <c r="Z581">
        <v>10</v>
      </c>
    </row>
    <row r="582" spans="1:26" x14ac:dyDescent="0.3">
      <c r="A582">
        <v>58</v>
      </c>
      <c r="B582">
        <v>90</v>
      </c>
      <c r="C582" t="s">
        <v>26</v>
      </c>
      <c r="D582">
        <v>10.6645</v>
      </c>
      <c r="E582">
        <v>9.3800000000000008</v>
      </c>
      <c r="F582">
        <v>6.78</v>
      </c>
      <c r="G582">
        <v>81.34</v>
      </c>
      <c r="H582">
        <v>1.38</v>
      </c>
      <c r="I582">
        <v>5</v>
      </c>
      <c r="J582">
        <v>198.76</v>
      </c>
      <c r="K582">
        <v>52.44</v>
      </c>
      <c r="L582">
        <v>15.5</v>
      </c>
      <c r="M582">
        <v>3</v>
      </c>
      <c r="N582">
        <v>40.82</v>
      </c>
      <c r="O582">
        <v>24747.78</v>
      </c>
      <c r="P582">
        <v>79.33</v>
      </c>
      <c r="Q582">
        <v>204.14</v>
      </c>
      <c r="R582">
        <v>24.54</v>
      </c>
      <c r="S582">
        <v>17.37</v>
      </c>
      <c r="T582">
        <v>1485.75</v>
      </c>
      <c r="U582">
        <v>0.71</v>
      </c>
      <c r="V582">
        <v>0.75</v>
      </c>
      <c r="W582">
        <v>1.1499999999999999</v>
      </c>
      <c r="X582">
        <v>0.09</v>
      </c>
      <c r="Y582">
        <v>1</v>
      </c>
      <c r="Z582">
        <v>10</v>
      </c>
    </row>
    <row r="583" spans="1:26" x14ac:dyDescent="0.3">
      <c r="A583">
        <v>59</v>
      </c>
      <c r="B583">
        <v>90</v>
      </c>
      <c r="C583" t="s">
        <v>26</v>
      </c>
      <c r="D583">
        <v>10.673</v>
      </c>
      <c r="E583">
        <v>9.3699999999999992</v>
      </c>
      <c r="F583">
        <v>6.77</v>
      </c>
      <c r="G583">
        <v>81.25</v>
      </c>
      <c r="H583">
        <v>1.4</v>
      </c>
      <c r="I583">
        <v>5</v>
      </c>
      <c r="J583">
        <v>199.15</v>
      </c>
      <c r="K583">
        <v>52.44</v>
      </c>
      <c r="L583">
        <v>15.75</v>
      </c>
      <c r="M583">
        <v>3</v>
      </c>
      <c r="N583">
        <v>40.96</v>
      </c>
      <c r="O583">
        <v>24795.95</v>
      </c>
      <c r="P583">
        <v>79.05</v>
      </c>
      <c r="Q583">
        <v>204.14</v>
      </c>
      <c r="R583">
        <v>24.41</v>
      </c>
      <c r="S583">
        <v>17.37</v>
      </c>
      <c r="T583">
        <v>1420.42</v>
      </c>
      <c r="U583">
        <v>0.71</v>
      </c>
      <c r="V583">
        <v>0.75</v>
      </c>
      <c r="W583">
        <v>1.1399999999999999</v>
      </c>
      <c r="X583">
        <v>0.08</v>
      </c>
      <c r="Y583">
        <v>1</v>
      </c>
      <c r="Z583">
        <v>10</v>
      </c>
    </row>
    <row r="584" spans="1:26" x14ac:dyDescent="0.3">
      <c r="A584">
        <v>60</v>
      </c>
      <c r="B584">
        <v>90</v>
      </c>
      <c r="C584" t="s">
        <v>26</v>
      </c>
      <c r="D584">
        <v>10.674300000000001</v>
      </c>
      <c r="E584">
        <v>9.3699999999999992</v>
      </c>
      <c r="F584">
        <v>6.77</v>
      </c>
      <c r="G584">
        <v>81.239999999999995</v>
      </c>
      <c r="H584">
        <v>1.42</v>
      </c>
      <c r="I584">
        <v>5</v>
      </c>
      <c r="J584">
        <v>199.54</v>
      </c>
      <c r="K584">
        <v>52.44</v>
      </c>
      <c r="L584">
        <v>16</v>
      </c>
      <c r="M584">
        <v>3</v>
      </c>
      <c r="N584">
        <v>41.1</v>
      </c>
      <c r="O584">
        <v>24844.17</v>
      </c>
      <c r="P584">
        <v>78.790000000000006</v>
      </c>
      <c r="Q584">
        <v>204.14</v>
      </c>
      <c r="R584">
        <v>24.39</v>
      </c>
      <c r="S584">
        <v>17.37</v>
      </c>
      <c r="T584">
        <v>1410.02</v>
      </c>
      <c r="U584">
        <v>0.71</v>
      </c>
      <c r="V584">
        <v>0.75</v>
      </c>
      <c r="W584">
        <v>1.1399999999999999</v>
      </c>
      <c r="X584">
        <v>0.08</v>
      </c>
      <c r="Y584">
        <v>1</v>
      </c>
      <c r="Z584">
        <v>10</v>
      </c>
    </row>
    <row r="585" spans="1:26" x14ac:dyDescent="0.3">
      <c r="A585">
        <v>61</v>
      </c>
      <c r="B585">
        <v>90</v>
      </c>
      <c r="C585" t="s">
        <v>26</v>
      </c>
      <c r="D585">
        <v>10.678699999999999</v>
      </c>
      <c r="E585">
        <v>9.36</v>
      </c>
      <c r="F585">
        <v>6.77</v>
      </c>
      <c r="G585">
        <v>81.19</v>
      </c>
      <c r="H585">
        <v>1.44</v>
      </c>
      <c r="I585">
        <v>5</v>
      </c>
      <c r="J585">
        <v>199.93</v>
      </c>
      <c r="K585">
        <v>52.44</v>
      </c>
      <c r="L585">
        <v>16.25</v>
      </c>
      <c r="M585">
        <v>3</v>
      </c>
      <c r="N585">
        <v>41.24</v>
      </c>
      <c r="O585">
        <v>24892.44</v>
      </c>
      <c r="P585">
        <v>78.349999999999994</v>
      </c>
      <c r="Q585">
        <v>204.14</v>
      </c>
      <c r="R585">
        <v>24.14</v>
      </c>
      <c r="S585">
        <v>17.37</v>
      </c>
      <c r="T585">
        <v>1287.17</v>
      </c>
      <c r="U585">
        <v>0.72</v>
      </c>
      <c r="V585">
        <v>0.75</v>
      </c>
      <c r="W585">
        <v>1.1399999999999999</v>
      </c>
      <c r="X585">
        <v>7.0000000000000007E-2</v>
      </c>
      <c r="Y585">
        <v>1</v>
      </c>
      <c r="Z585">
        <v>10</v>
      </c>
    </row>
    <row r="586" spans="1:26" x14ac:dyDescent="0.3">
      <c r="A586">
        <v>62</v>
      </c>
      <c r="B586">
        <v>90</v>
      </c>
      <c r="C586" t="s">
        <v>26</v>
      </c>
      <c r="D586">
        <v>10.680300000000001</v>
      </c>
      <c r="E586">
        <v>9.36</v>
      </c>
      <c r="F586">
        <v>6.76</v>
      </c>
      <c r="G586">
        <v>81.180000000000007</v>
      </c>
      <c r="H586">
        <v>1.46</v>
      </c>
      <c r="I586">
        <v>5</v>
      </c>
      <c r="J586">
        <v>200.32</v>
      </c>
      <c r="K586">
        <v>52.44</v>
      </c>
      <c r="L586">
        <v>16.5</v>
      </c>
      <c r="M586">
        <v>3</v>
      </c>
      <c r="N586">
        <v>41.38</v>
      </c>
      <c r="O586">
        <v>24940.75</v>
      </c>
      <c r="P586">
        <v>77.83</v>
      </c>
      <c r="Q586">
        <v>204.14</v>
      </c>
      <c r="R586">
        <v>24.06</v>
      </c>
      <c r="S586">
        <v>17.37</v>
      </c>
      <c r="T586">
        <v>1248.07</v>
      </c>
      <c r="U586">
        <v>0.72</v>
      </c>
      <c r="V586">
        <v>0.75</v>
      </c>
      <c r="W586">
        <v>1.1499999999999999</v>
      </c>
      <c r="X586">
        <v>7.0000000000000007E-2</v>
      </c>
      <c r="Y586">
        <v>1</v>
      </c>
      <c r="Z586">
        <v>10</v>
      </c>
    </row>
    <row r="587" spans="1:26" x14ac:dyDescent="0.3">
      <c r="A587">
        <v>63</v>
      </c>
      <c r="B587">
        <v>90</v>
      </c>
      <c r="C587" t="s">
        <v>26</v>
      </c>
      <c r="D587">
        <v>10.6746</v>
      </c>
      <c r="E587">
        <v>9.3699999999999992</v>
      </c>
      <c r="F587">
        <v>6.77</v>
      </c>
      <c r="G587">
        <v>81.239999999999995</v>
      </c>
      <c r="H587">
        <v>1.48</v>
      </c>
      <c r="I587">
        <v>5</v>
      </c>
      <c r="J587">
        <v>200.72</v>
      </c>
      <c r="K587">
        <v>52.44</v>
      </c>
      <c r="L587">
        <v>16.75</v>
      </c>
      <c r="M587">
        <v>3</v>
      </c>
      <c r="N587">
        <v>41.52</v>
      </c>
      <c r="O587">
        <v>24989.11</v>
      </c>
      <c r="P587">
        <v>77.290000000000006</v>
      </c>
      <c r="Q587">
        <v>204.14</v>
      </c>
      <c r="R587">
        <v>24.21</v>
      </c>
      <c r="S587">
        <v>17.37</v>
      </c>
      <c r="T587">
        <v>1321.92</v>
      </c>
      <c r="U587">
        <v>0.72</v>
      </c>
      <c r="V587">
        <v>0.75</v>
      </c>
      <c r="W587">
        <v>1.1499999999999999</v>
      </c>
      <c r="X587">
        <v>0.08</v>
      </c>
      <c r="Y587">
        <v>1</v>
      </c>
      <c r="Z587">
        <v>10</v>
      </c>
    </row>
    <row r="588" spans="1:26" x14ac:dyDescent="0.3">
      <c r="A588">
        <v>64</v>
      </c>
      <c r="B588">
        <v>90</v>
      </c>
      <c r="C588" t="s">
        <v>26</v>
      </c>
      <c r="D588">
        <v>10.6784</v>
      </c>
      <c r="E588">
        <v>9.36</v>
      </c>
      <c r="F588">
        <v>6.77</v>
      </c>
      <c r="G588">
        <v>81.2</v>
      </c>
      <c r="H588">
        <v>1.5</v>
      </c>
      <c r="I588">
        <v>5</v>
      </c>
      <c r="J588">
        <v>201.11</v>
      </c>
      <c r="K588">
        <v>52.44</v>
      </c>
      <c r="L588">
        <v>17</v>
      </c>
      <c r="M588">
        <v>3</v>
      </c>
      <c r="N588">
        <v>41.67</v>
      </c>
      <c r="O588">
        <v>25037.53</v>
      </c>
      <c r="P588">
        <v>76.900000000000006</v>
      </c>
      <c r="Q588">
        <v>204.14</v>
      </c>
      <c r="R588">
        <v>24.18</v>
      </c>
      <c r="S588">
        <v>17.37</v>
      </c>
      <c r="T588">
        <v>1308.0899999999999</v>
      </c>
      <c r="U588">
        <v>0.72</v>
      </c>
      <c r="V588">
        <v>0.75</v>
      </c>
      <c r="W588">
        <v>1.1399999999999999</v>
      </c>
      <c r="X588">
        <v>0.08</v>
      </c>
      <c r="Y588">
        <v>1</v>
      </c>
      <c r="Z588">
        <v>10</v>
      </c>
    </row>
    <row r="589" spans="1:26" x14ac:dyDescent="0.3">
      <c r="A589">
        <v>65</v>
      </c>
      <c r="B589">
        <v>90</v>
      </c>
      <c r="C589" t="s">
        <v>26</v>
      </c>
      <c r="D589">
        <v>10.6739</v>
      </c>
      <c r="E589">
        <v>9.3699999999999992</v>
      </c>
      <c r="F589">
        <v>6.77</v>
      </c>
      <c r="G589">
        <v>81.239999999999995</v>
      </c>
      <c r="H589">
        <v>1.52</v>
      </c>
      <c r="I589">
        <v>5</v>
      </c>
      <c r="J589">
        <v>201.5</v>
      </c>
      <c r="K589">
        <v>52.44</v>
      </c>
      <c r="L589">
        <v>17.25</v>
      </c>
      <c r="M589">
        <v>3</v>
      </c>
      <c r="N589">
        <v>41.81</v>
      </c>
      <c r="O589">
        <v>25085.99</v>
      </c>
      <c r="P589">
        <v>76.8</v>
      </c>
      <c r="Q589">
        <v>204.14</v>
      </c>
      <c r="R589">
        <v>24.29</v>
      </c>
      <c r="S589">
        <v>17.37</v>
      </c>
      <c r="T589">
        <v>1364.19</v>
      </c>
      <c r="U589">
        <v>0.72</v>
      </c>
      <c r="V589">
        <v>0.75</v>
      </c>
      <c r="W589">
        <v>1.1399999999999999</v>
      </c>
      <c r="X589">
        <v>0.08</v>
      </c>
      <c r="Y589">
        <v>1</v>
      </c>
      <c r="Z589">
        <v>10</v>
      </c>
    </row>
    <row r="590" spans="1:26" x14ac:dyDescent="0.3">
      <c r="A590">
        <v>66</v>
      </c>
      <c r="B590">
        <v>90</v>
      </c>
      <c r="C590" t="s">
        <v>26</v>
      </c>
      <c r="D590">
        <v>10.666</v>
      </c>
      <c r="E590">
        <v>9.3800000000000008</v>
      </c>
      <c r="F590">
        <v>6.78</v>
      </c>
      <c r="G590">
        <v>81.33</v>
      </c>
      <c r="H590">
        <v>1.54</v>
      </c>
      <c r="I590">
        <v>5</v>
      </c>
      <c r="J590">
        <v>201.9</v>
      </c>
      <c r="K590">
        <v>52.44</v>
      </c>
      <c r="L590">
        <v>17.5</v>
      </c>
      <c r="M590">
        <v>3</v>
      </c>
      <c r="N590">
        <v>41.95</v>
      </c>
      <c r="O590">
        <v>25134.5</v>
      </c>
      <c r="P590">
        <v>76.63</v>
      </c>
      <c r="Q590">
        <v>204.14</v>
      </c>
      <c r="R590">
        <v>24.48</v>
      </c>
      <c r="S590">
        <v>17.37</v>
      </c>
      <c r="T590">
        <v>1455.37</v>
      </c>
      <c r="U590">
        <v>0.71</v>
      </c>
      <c r="V590">
        <v>0.75</v>
      </c>
      <c r="W590">
        <v>1.1499999999999999</v>
      </c>
      <c r="X590">
        <v>0.09</v>
      </c>
      <c r="Y590">
        <v>1</v>
      </c>
      <c r="Z590">
        <v>10</v>
      </c>
    </row>
    <row r="591" spans="1:26" x14ac:dyDescent="0.3">
      <c r="A591">
        <v>67</v>
      </c>
      <c r="B591">
        <v>90</v>
      </c>
      <c r="C591" t="s">
        <v>26</v>
      </c>
      <c r="D591">
        <v>10.6736</v>
      </c>
      <c r="E591">
        <v>9.3699999999999992</v>
      </c>
      <c r="F591">
        <v>6.77</v>
      </c>
      <c r="G591">
        <v>81.25</v>
      </c>
      <c r="H591">
        <v>1.56</v>
      </c>
      <c r="I591">
        <v>5</v>
      </c>
      <c r="J591">
        <v>202.29</v>
      </c>
      <c r="K591">
        <v>52.44</v>
      </c>
      <c r="L591">
        <v>17.75</v>
      </c>
      <c r="M591">
        <v>3</v>
      </c>
      <c r="N591">
        <v>42.1</v>
      </c>
      <c r="O591">
        <v>25183.06</v>
      </c>
      <c r="P591">
        <v>76.010000000000005</v>
      </c>
      <c r="Q591">
        <v>204.14</v>
      </c>
      <c r="R591">
        <v>24.23</v>
      </c>
      <c r="S591">
        <v>17.37</v>
      </c>
      <c r="T591">
        <v>1332.14</v>
      </c>
      <c r="U591">
        <v>0.72</v>
      </c>
      <c r="V591">
        <v>0.75</v>
      </c>
      <c r="W591">
        <v>1.1499999999999999</v>
      </c>
      <c r="X591">
        <v>0.08</v>
      </c>
      <c r="Y591">
        <v>1</v>
      </c>
      <c r="Z591">
        <v>10</v>
      </c>
    </row>
    <row r="592" spans="1:26" x14ac:dyDescent="0.3">
      <c r="A592">
        <v>68</v>
      </c>
      <c r="B592">
        <v>90</v>
      </c>
      <c r="C592" t="s">
        <v>26</v>
      </c>
      <c r="D592">
        <v>10.7456</v>
      </c>
      <c r="E592">
        <v>9.31</v>
      </c>
      <c r="F592">
        <v>6.74</v>
      </c>
      <c r="G592">
        <v>101.15</v>
      </c>
      <c r="H592">
        <v>1.58</v>
      </c>
      <c r="I592">
        <v>4</v>
      </c>
      <c r="J592">
        <v>202.68</v>
      </c>
      <c r="K592">
        <v>52.44</v>
      </c>
      <c r="L592">
        <v>18</v>
      </c>
      <c r="M592">
        <v>2</v>
      </c>
      <c r="N592">
        <v>42.24</v>
      </c>
      <c r="O592">
        <v>25231.66</v>
      </c>
      <c r="P592">
        <v>75.09</v>
      </c>
      <c r="Q592">
        <v>204.14</v>
      </c>
      <c r="R592">
        <v>23.44</v>
      </c>
      <c r="S592">
        <v>17.37</v>
      </c>
      <c r="T592">
        <v>939.85</v>
      </c>
      <c r="U592">
        <v>0.74</v>
      </c>
      <c r="V592">
        <v>0.76</v>
      </c>
      <c r="W592">
        <v>1.1399999999999999</v>
      </c>
      <c r="X592">
        <v>0.05</v>
      </c>
      <c r="Y592">
        <v>1</v>
      </c>
      <c r="Z592">
        <v>10</v>
      </c>
    </row>
    <row r="593" spans="1:26" x14ac:dyDescent="0.3">
      <c r="A593">
        <v>69</v>
      </c>
      <c r="B593">
        <v>90</v>
      </c>
      <c r="C593" t="s">
        <v>26</v>
      </c>
      <c r="D593">
        <v>10.7447</v>
      </c>
      <c r="E593">
        <v>9.31</v>
      </c>
      <c r="F593">
        <v>6.74</v>
      </c>
      <c r="G593">
        <v>101.16</v>
      </c>
      <c r="H593">
        <v>1.6</v>
      </c>
      <c r="I593">
        <v>4</v>
      </c>
      <c r="J593">
        <v>203.08</v>
      </c>
      <c r="K593">
        <v>52.44</v>
      </c>
      <c r="L593">
        <v>18.25</v>
      </c>
      <c r="M593">
        <v>2</v>
      </c>
      <c r="N593">
        <v>42.39</v>
      </c>
      <c r="O593">
        <v>25280.45</v>
      </c>
      <c r="P593">
        <v>75.11</v>
      </c>
      <c r="Q593">
        <v>204.14</v>
      </c>
      <c r="R593">
        <v>23.48</v>
      </c>
      <c r="S593">
        <v>17.37</v>
      </c>
      <c r="T593">
        <v>960.41</v>
      </c>
      <c r="U593">
        <v>0.74</v>
      </c>
      <c r="V593">
        <v>0.76</v>
      </c>
      <c r="W593">
        <v>1.1399999999999999</v>
      </c>
      <c r="X593">
        <v>0.05</v>
      </c>
      <c r="Y593">
        <v>1</v>
      </c>
      <c r="Z593">
        <v>10</v>
      </c>
    </row>
    <row r="594" spans="1:26" x14ac:dyDescent="0.3">
      <c r="A594">
        <v>70</v>
      </c>
      <c r="B594">
        <v>90</v>
      </c>
      <c r="C594" t="s">
        <v>26</v>
      </c>
      <c r="D594">
        <v>10.7399</v>
      </c>
      <c r="E594">
        <v>9.31</v>
      </c>
      <c r="F594">
        <v>6.75</v>
      </c>
      <c r="G594">
        <v>101.22</v>
      </c>
      <c r="H594">
        <v>1.61</v>
      </c>
      <c r="I594">
        <v>4</v>
      </c>
      <c r="J594">
        <v>203.47</v>
      </c>
      <c r="K594">
        <v>52.44</v>
      </c>
      <c r="L594">
        <v>18.5</v>
      </c>
      <c r="M594">
        <v>2</v>
      </c>
      <c r="N594">
        <v>42.53</v>
      </c>
      <c r="O594">
        <v>25329.15</v>
      </c>
      <c r="P594">
        <v>75.459999999999994</v>
      </c>
      <c r="Q594">
        <v>204.14</v>
      </c>
      <c r="R594">
        <v>23.64</v>
      </c>
      <c r="S594">
        <v>17.37</v>
      </c>
      <c r="T594">
        <v>1043.32</v>
      </c>
      <c r="U594">
        <v>0.73</v>
      </c>
      <c r="V594">
        <v>0.76</v>
      </c>
      <c r="W594">
        <v>1.1399999999999999</v>
      </c>
      <c r="X594">
        <v>0.06</v>
      </c>
      <c r="Y594">
        <v>1</v>
      </c>
      <c r="Z594">
        <v>10</v>
      </c>
    </row>
    <row r="595" spans="1:26" x14ac:dyDescent="0.3">
      <c r="A595">
        <v>71</v>
      </c>
      <c r="B595">
        <v>90</v>
      </c>
      <c r="C595" t="s">
        <v>26</v>
      </c>
      <c r="D595">
        <v>10.7402</v>
      </c>
      <c r="E595">
        <v>9.31</v>
      </c>
      <c r="F595">
        <v>6.75</v>
      </c>
      <c r="G595">
        <v>101.22</v>
      </c>
      <c r="H595">
        <v>1.63</v>
      </c>
      <c r="I595">
        <v>4</v>
      </c>
      <c r="J595">
        <v>203.87</v>
      </c>
      <c r="K595">
        <v>52.44</v>
      </c>
      <c r="L595">
        <v>18.75</v>
      </c>
      <c r="M595">
        <v>2</v>
      </c>
      <c r="N595">
        <v>42.68</v>
      </c>
      <c r="O595">
        <v>25377.91</v>
      </c>
      <c r="P595">
        <v>75.510000000000005</v>
      </c>
      <c r="Q595">
        <v>204.14</v>
      </c>
      <c r="R595">
        <v>23.63</v>
      </c>
      <c r="S595">
        <v>17.37</v>
      </c>
      <c r="T595">
        <v>1036.1099999999999</v>
      </c>
      <c r="U595">
        <v>0.74</v>
      </c>
      <c r="V595">
        <v>0.76</v>
      </c>
      <c r="W595">
        <v>1.1399999999999999</v>
      </c>
      <c r="X595">
        <v>0.06</v>
      </c>
      <c r="Y595">
        <v>1</v>
      </c>
      <c r="Z595">
        <v>10</v>
      </c>
    </row>
    <row r="596" spans="1:26" x14ac:dyDescent="0.3">
      <c r="A596">
        <v>72</v>
      </c>
      <c r="B596">
        <v>90</v>
      </c>
      <c r="C596" t="s">
        <v>26</v>
      </c>
      <c r="D596">
        <v>10.7392</v>
      </c>
      <c r="E596">
        <v>9.31</v>
      </c>
      <c r="F596">
        <v>6.75</v>
      </c>
      <c r="G596">
        <v>101.23</v>
      </c>
      <c r="H596">
        <v>1.65</v>
      </c>
      <c r="I596">
        <v>4</v>
      </c>
      <c r="J596">
        <v>204.26</v>
      </c>
      <c r="K596">
        <v>52.44</v>
      </c>
      <c r="L596">
        <v>19</v>
      </c>
      <c r="M596">
        <v>2</v>
      </c>
      <c r="N596">
        <v>42.82</v>
      </c>
      <c r="O596">
        <v>25426.720000000001</v>
      </c>
      <c r="P596">
        <v>75.59</v>
      </c>
      <c r="Q596">
        <v>204.16</v>
      </c>
      <c r="R596">
        <v>23.64</v>
      </c>
      <c r="S596">
        <v>17.37</v>
      </c>
      <c r="T596">
        <v>1044.44</v>
      </c>
      <c r="U596">
        <v>0.73</v>
      </c>
      <c r="V596">
        <v>0.76</v>
      </c>
      <c r="W596">
        <v>1.1399999999999999</v>
      </c>
      <c r="X596">
        <v>0.06</v>
      </c>
      <c r="Y596">
        <v>1</v>
      </c>
      <c r="Z596">
        <v>10</v>
      </c>
    </row>
    <row r="597" spans="1:26" x14ac:dyDescent="0.3">
      <c r="A597">
        <v>73</v>
      </c>
      <c r="B597">
        <v>90</v>
      </c>
      <c r="C597" t="s">
        <v>26</v>
      </c>
      <c r="D597">
        <v>10.7476</v>
      </c>
      <c r="E597">
        <v>9.3000000000000007</v>
      </c>
      <c r="F597">
        <v>6.74</v>
      </c>
      <c r="G597">
        <v>101.12</v>
      </c>
      <c r="H597">
        <v>1.67</v>
      </c>
      <c r="I597">
        <v>4</v>
      </c>
      <c r="J597">
        <v>204.66</v>
      </c>
      <c r="K597">
        <v>52.44</v>
      </c>
      <c r="L597">
        <v>19.25</v>
      </c>
      <c r="M597">
        <v>2</v>
      </c>
      <c r="N597">
        <v>42.97</v>
      </c>
      <c r="O597">
        <v>25475.58</v>
      </c>
      <c r="P597">
        <v>75.5</v>
      </c>
      <c r="Q597">
        <v>204.14</v>
      </c>
      <c r="R597">
        <v>23.47</v>
      </c>
      <c r="S597">
        <v>17.37</v>
      </c>
      <c r="T597">
        <v>957.72</v>
      </c>
      <c r="U597">
        <v>0.74</v>
      </c>
      <c r="V597">
        <v>0.76</v>
      </c>
      <c r="W597">
        <v>1.1399999999999999</v>
      </c>
      <c r="X597">
        <v>0.05</v>
      </c>
      <c r="Y597">
        <v>1</v>
      </c>
      <c r="Z597">
        <v>10</v>
      </c>
    </row>
    <row r="598" spans="1:26" x14ac:dyDescent="0.3">
      <c r="A598">
        <v>74</v>
      </c>
      <c r="B598">
        <v>90</v>
      </c>
      <c r="C598" t="s">
        <v>26</v>
      </c>
      <c r="D598">
        <v>10.744</v>
      </c>
      <c r="E598">
        <v>9.31</v>
      </c>
      <c r="F598">
        <v>6.74</v>
      </c>
      <c r="G598">
        <v>101.17</v>
      </c>
      <c r="H598">
        <v>1.69</v>
      </c>
      <c r="I598">
        <v>4</v>
      </c>
      <c r="J598">
        <v>205.06</v>
      </c>
      <c r="K598">
        <v>52.44</v>
      </c>
      <c r="L598">
        <v>19.5</v>
      </c>
      <c r="M598">
        <v>2</v>
      </c>
      <c r="N598">
        <v>43.11</v>
      </c>
      <c r="O598">
        <v>25524.49</v>
      </c>
      <c r="P598">
        <v>75.63</v>
      </c>
      <c r="Q598">
        <v>204.14</v>
      </c>
      <c r="R598">
        <v>23.51</v>
      </c>
      <c r="S598">
        <v>17.37</v>
      </c>
      <c r="T598">
        <v>978.9</v>
      </c>
      <c r="U598">
        <v>0.74</v>
      </c>
      <c r="V598">
        <v>0.76</v>
      </c>
      <c r="W598">
        <v>1.1399999999999999</v>
      </c>
      <c r="X598">
        <v>0.05</v>
      </c>
      <c r="Y598">
        <v>1</v>
      </c>
      <c r="Z598">
        <v>10</v>
      </c>
    </row>
    <row r="599" spans="1:26" x14ac:dyDescent="0.3">
      <c r="A599">
        <v>75</v>
      </c>
      <c r="B599">
        <v>90</v>
      </c>
      <c r="C599" t="s">
        <v>26</v>
      </c>
      <c r="D599">
        <v>10.7408</v>
      </c>
      <c r="E599">
        <v>9.31</v>
      </c>
      <c r="F599">
        <v>6.75</v>
      </c>
      <c r="G599">
        <v>101.21</v>
      </c>
      <c r="H599">
        <v>1.71</v>
      </c>
      <c r="I599">
        <v>4</v>
      </c>
      <c r="J599">
        <v>205.45</v>
      </c>
      <c r="K599">
        <v>52.44</v>
      </c>
      <c r="L599">
        <v>19.75</v>
      </c>
      <c r="M599">
        <v>2</v>
      </c>
      <c r="N599">
        <v>43.26</v>
      </c>
      <c r="O599">
        <v>25573.439999999999</v>
      </c>
      <c r="P599">
        <v>75.510000000000005</v>
      </c>
      <c r="Q599">
        <v>204.14</v>
      </c>
      <c r="R599">
        <v>23.62</v>
      </c>
      <c r="S599">
        <v>17.37</v>
      </c>
      <c r="T599">
        <v>1031.97</v>
      </c>
      <c r="U599">
        <v>0.74</v>
      </c>
      <c r="V599">
        <v>0.76</v>
      </c>
      <c r="W599">
        <v>1.1399999999999999</v>
      </c>
      <c r="X599">
        <v>0.06</v>
      </c>
      <c r="Y599">
        <v>1</v>
      </c>
      <c r="Z599">
        <v>10</v>
      </c>
    </row>
    <row r="600" spans="1:26" x14ac:dyDescent="0.3">
      <c r="A600">
        <v>76</v>
      </c>
      <c r="B600">
        <v>90</v>
      </c>
      <c r="C600" t="s">
        <v>26</v>
      </c>
      <c r="D600">
        <v>10.7399</v>
      </c>
      <c r="E600">
        <v>9.31</v>
      </c>
      <c r="F600">
        <v>6.75</v>
      </c>
      <c r="G600">
        <v>101.22</v>
      </c>
      <c r="H600">
        <v>1.73</v>
      </c>
      <c r="I600">
        <v>4</v>
      </c>
      <c r="J600">
        <v>205.85</v>
      </c>
      <c r="K600">
        <v>52.44</v>
      </c>
      <c r="L600">
        <v>20</v>
      </c>
      <c r="M600">
        <v>2</v>
      </c>
      <c r="N600">
        <v>43.41</v>
      </c>
      <c r="O600">
        <v>25622.45</v>
      </c>
      <c r="P600">
        <v>75.42</v>
      </c>
      <c r="Q600">
        <v>204.15</v>
      </c>
      <c r="R600">
        <v>23.63</v>
      </c>
      <c r="S600">
        <v>17.37</v>
      </c>
      <c r="T600">
        <v>1035.29</v>
      </c>
      <c r="U600">
        <v>0.74</v>
      </c>
      <c r="V600">
        <v>0.76</v>
      </c>
      <c r="W600">
        <v>1.1399999999999999</v>
      </c>
      <c r="X600">
        <v>0.06</v>
      </c>
      <c r="Y600">
        <v>1</v>
      </c>
      <c r="Z600">
        <v>10</v>
      </c>
    </row>
    <row r="601" spans="1:26" x14ac:dyDescent="0.3">
      <c r="A601">
        <v>77</v>
      </c>
      <c r="B601">
        <v>90</v>
      </c>
      <c r="C601" t="s">
        <v>26</v>
      </c>
      <c r="D601">
        <v>10.7386</v>
      </c>
      <c r="E601">
        <v>9.31</v>
      </c>
      <c r="F601">
        <v>6.75</v>
      </c>
      <c r="G601">
        <v>101.24</v>
      </c>
      <c r="H601">
        <v>1.74</v>
      </c>
      <c r="I601">
        <v>4</v>
      </c>
      <c r="J601">
        <v>206.25</v>
      </c>
      <c r="K601">
        <v>52.44</v>
      </c>
      <c r="L601">
        <v>20.25</v>
      </c>
      <c r="M601">
        <v>2</v>
      </c>
      <c r="N601">
        <v>43.56</v>
      </c>
      <c r="O601">
        <v>25671.51</v>
      </c>
      <c r="P601">
        <v>75.260000000000005</v>
      </c>
      <c r="Q601">
        <v>204.14</v>
      </c>
      <c r="R601">
        <v>23.64</v>
      </c>
      <c r="S601">
        <v>17.37</v>
      </c>
      <c r="T601">
        <v>1041.77</v>
      </c>
      <c r="U601">
        <v>0.73</v>
      </c>
      <c r="V601">
        <v>0.76</v>
      </c>
      <c r="W601">
        <v>1.1399999999999999</v>
      </c>
      <c r="X601">
        <v>0.06</v>
      </c>
      <c r="Y601">
        <v>1</v>
      </c>
      <c r="Z601">
        <v>10</v>
      </c>
    </row>
    <row r="602" spans="1:26" x14ac:dyDescent="0.3">
      <c r="A602">
        <v>78</v>
      </c>
      <c r="B602">
        <v>90</v>
      </c>
      <c r="C602" t="s">
        <v>26</v>
      </c>
      <c r="D602">
        <v>10.738899999999999</v>
      </c>
      <c r="E602">
        <v>9.31</v>
      </c>
      <c r="F602">
        <v>6.75</v>
      </c>
      <c r="G602">
        <v>101.24</v>
      </c>
      <c r="H602">
        <v>1.76</v>
      </c>
      <c r="I602">
        <v>4</v>
      </c>
      <c r="J602">
        <v>206.65</v>
      </c>
      <c r="K602">
        <v>52.44</v>
      </c>
      <c r="L602">
        <v>20.5</v>
      </c>
      <c r="M602">
        <v>2</v>
      </c>
      <c r="N602">
        <v>43.71</v>
      </c>
      <c r="O602">
        <v>25720.62</v>
      </c>
      <c r="P602">
        <v>75.09</v>
      </c>
      <c r="Q602">
        <v>204.14</v>
      </c>
      <c r="R602">
        <v>23.57</v>
      </c>
      <c r="S602">
        <v>17.37</v>
      </c>
      <c r="T602">
        <v>1009.16</v>
      </c>
      <c r="U602">
        <v>0.74</v>
      </c>
      <c r="V602">
        <v>0.76</v>
      </c>
      <c r="W602">
        <v>1.1399999999999999</v>
      </c>
      <c r="X602">
        <v>0.06</v>
      </c>
      <c r="Y602">
        <v>1</v>
      </c>
      <c r="Z602">
        <v>10</v>
      </c>
    </row>
    <row r="603" spans="1:26" x14ac:dyDescent="0.3">
      <c r="A603">
        <v>79</v>
      </c>
      <c r="B603">
        <v>90</v>
      </c>
      <c r="C603" t="s">
        <v>26</v>
      </c>
      <c r="D603">
        <v>10.744999999999999</v>
      </c>
      <c r="E603">
        <v>9.31</v>
      </c>
      <c r="F603">
        <v>6.74</v>
      </c>
      <c r="G603">
        <v>101.16</v>
      </c>
      <c r="H603">
        <v>1.78</v>
      </c>
      <c r="I603">
        <v>4</v>
      </c>
      <c r="J603">
        <v>207.05</v>
      </c>
      <c r="K603">
        <v>52.44</v>
      </c>
      <c r="L603">
        <v>20.75</v>
      </c>
      <c r="M603">
        <v>2</v>
      </c>
      <c r="N603">
        <v>43.85</v>
      </c>
      <c r="O603">
        <v>25769.78</v>
      </c>
      <c r="P603">
        <v>74.81</v>
      </c>
      <c r="Q603">
        <v>204.14</v>
      </c>
      <c r="R603">
        <v>23.49</v>
      </c>
      <c r="S603">
        <v>17.37</v>
      </c>
      <c r="T603">
        <v>965.6</v>
      </c>
      <c r="U603">
        <v>0.74</v>
      </c>
      <c r="V603">
        <v>0.76</v>
      </c>
      <c r="W603">
        <v>1.1399999999999999</v>
      </c>
      <c r="X603">
        <v>0.05</v>
      </c>
      <c r="Y603">
        <v>1</v>
      </c>
      <c r="Z603">
        <v>10</v>
      </c>
    </row>
    <row r="604" spans="1:26" x14ac:dyDescent="0.3">
      <c r="A604">
        <v>80</v>
      </c>
      <c r="B604">
        <v>90</v>
      </c>
      <c r="C604" t="s">
        <v>26</v>
      </c>
      <c r="D604">
        <v>10.746600000000001</v>
      </c>
      <c r="E604">
        <v>9.31</v>
      </c>
      <c r="F604">
        <v>6.74</v>
      </c>
      <c r="G604">
        <v>101.14</v>
      </c>
      <c r="H604">
        <v>1.8</v>
      </c>
      <c r="I604">
        <v>4</v>
      </c>
      <c r="J604">
        <v>207.45</v>
      </c>
      <c r="K604">
        <v>52.44</v>
      </c>
      <c r="L604">
        <v>21</v>
      </c>
      <c r="M604">
        <v>2</v>
      </c>
      <c r="N604">
        <v>44</v>
      </c>
      <c r="O604">
        <v>25818.99</v>
      </c>
      <c r="P604">
        <v>74.39</v>
      </c>
      <c r="Q604">
        <v>204.14</v>
      </c>
      <c r="R604">
        <v>23.43</v>
      </c>
      <c r="S604">
        <v>17.37</v>
      </c>
      <c r="T604">
        <v>938.21</v>
      </c>
      <c r="U604">
        <v>0.74</v>
      </c>
      <c r="V604">
        <v>0.76</v>
      </c>
      <c r="W604">
        <v>1.1399999999999999</v>
      </c>
      <c r="X604">
        <v>0.05</v>
      </c>
      <c r="Y604">
        <v>1</v>
      </c>
      <c r="Z604">
        <v>10</v>
      </c>
    </row>
    <row r="605" spans="1:26" x14ac:dyDescent="0.3">
      <c r="A605">
        <v>81</v>
      </c>
      <c r="B605">
        <v>90</v>
      </c>
      <c r="C605" t="s">
        <v>26</v>
      </c>
      <c r="D605">
        <v>10.7492</v>
      </c>
      <c r="E605">
        <v>9.3000000000000007</v>
      </c>
      <c r="F605">
        <v>6.74</v>
      </c>
      <c r="G605">
        <v>101.1</v>
      </c>
      <c r="H605">
        <v>1.82</v>
      </c>
      <c r="I605">
        <v>4</v>
      </c>
      <c r="J605">
        <v>207.84</v>
      </c>
      <c r="K605">
        <v>52.44</v>
      </c>
      <c r="L605">
        <v>21.25</v>
      </c>
      <c r="M605">
        <v>2</v>
      </c>
      <c r="N605">
        <v>44.15</v>
      </c>
      <c r="O605">
        <v>25868.26</v>
      </c>
      <c r="P605">
        <v>74.010000000000005</v>
      </c>
      <c r="Q605">
        <v>204.14</v>
      </c>
      <c r="R605">
        <v>23.4</v>
      </c>
      <c r="S605">
        <v>17.37</v>
      </c>
      <c r="T605">
        <v>924.49</v>
      </c>
      <c r="U605">
        <v>0.74</v>
      </c>
      <c r="V605">
        <v>0.76</v>
      </c>
      <c r="W605">
        <v>1.1399999999999999</v>
      </c>
      <c r="X605">
        <v>0.05</v>
      </c>
      <c r="Y605">
        <v>1</v>
      </c>
      <c r="Z605">
        <v>10</v>
      </c>
    </row>
    <row r="606" spans="1:26" x14ac:dyDescent="0.3">
      <c r="A606">
        <v>82</v>
      </c>
      <c r="B606">
        <v>90</v>
      </c>
      <c r="C606" t="s">
        <v>26</v>
      </c>
      <c r="D606">
        <v>10.7469</v>
      </c>
      <c r="E606">
        <v>9.3000000000000007</v>
      </c>
      <c r="F606">
        <v>6.74</v>
      </c>
      <c r="G606">
        <v>101.13</v>
      </c>
      <c r="H606">
        <v>1.83</v>
      </c>
      <c r="I606">
        <v>4</v>
      </c>
      <c r="J606">
        <v>208.24</v>
      </c>
      <c r="K606">
        <v>52.44</v>
      </c>
      <c r="L606">
        <v>21.5</v>
      </c>
      <c r="M606">
        <v>1</v>
      </c>
      <c r="N606">
        <v>44.3</v>
      </c>
      <c r="O606">
        <v>25917.57</v>
      </c>
      <c r="P606">
        <v>74.010000000000005</v>
      </c>
      <c r="Q606">
        <v>204.14</v>
      </c>
      <c r="R606">
        <v>23.36</v>
      </c>
      <c r="S606">
        <v>17.37</v>
      </c>
      <c r="T606">
        <v>904.72</v>
      </c>
      <c r="U606">
        <v>0.74</v>
      </c>
      <c r="V606">
        <v>0.76</v>
      </c>
      <c r="W606">
        <v>1.1399999999999999</v>
      </c>
      <c r="X606">
        <v>0.05</v>
      </c>
      <c r="Y606">
        <v>1</v>
      </c>
      <c r="Z606">
        <v>10</v>
      </c>
    </row>
    <row r="607" spans="1:26" x14ac:dyDescent="0.3">
      <c r="A607">
        <v>83</v>
      </c>
      <c r="B607">
        <v>90</v>
      </c>
      <c r="C607" t="s">
        <v>26</v>
      </c>
      <c r="D607">
        <v>10.7476</v>
      </c>
      <c r="E607">
        <v>9.3000000000000007</v>
      </c>
      <c r="F607">
        <v>6.74</v>
      </c>
      <c r="G607">
        <v>101.12</v>
      </c>
      <c r="H607">
        <v>1.85</v>
      </c>
      <c r="I607">
        <v>4</v>
      </c>
      <c r="J607">
        <v>208.64</v>
      </c>
      <c r="K607">
        <v>52.44</v>
      </c>
      <c r="L607">
        <v>21.75</v>
      </c>
      <c r="M607">
        <v>1</v>
      </c>
      <c r="N607">
        <v>44.45</v>
      </c>
      <c r="O607">
        <v>25966.93</v>
      </c>
      <c r="P607">
        <v>73.930000000000007</v>
      </c>
      <c r="Q607">
        <v>204.14</v>
      </c>
      <c r="R607">
        <v>23.31</v>
      </c>
      <c r="S607">
        <v>17.37</v>
      </c>
      <c r="T607">
        <v>876.67</v>
      </c>
      <c r="U607">
        <v>0.75</v>
      </c>
      <c r="V607">
        <v>0.76</v>
      </c>
      <c r="W607">
        <v>1.1399999999999999</v>
      </c>
      <c r="X607">
        <v>0.05</v>
      </c>
      <c r="Y607">
        <v>1</v>
      </c>
      <c r="Z607">
        <v>10</v>
      </c>
    </row>
    <row r="608" spans="1:26" x14ac:dyDescent="0.3">
      <c r="A608">
        <v>84</v>
      </c>
      <c r="B608">
        <v>90</v>
      </c>
      <c r="C608" t="s">
        <v>26</v>
      </c>
      <c r="D608">
        <v>10.750400000000001</v>
      </c>
      <c r="E608">
        <v>9.3000000000000007</v>
      </c>
      <c r="F608">
        <v>6.74</v>
      </c>
      <c r="G608">
        <v>101.09</v>
      </c>
      <c r="H608">
        <v>1.87</v>
      </c>
      <c r="I608">
        <v>4</v>
      </c>
      <c r="J608">
        <v>209.05</v>
      </c>
      <c r="K608">
        <v>52.44</v>
      </c>
      <c r="L608">
        <v>22</v>
      </c>
      <c r="M608">
        <v>1</v>
      </c>
      <c r="N608">
        <v>44.6</v>
      </c>
      <c r="O608">
        <v>26016.35</v>
      </c>
      <c r="P608">
        <v>73.81</v>
      </c>
      <c r="Q608">
        <v>204.18</v>
      </c>
      <c r="R608">
        <v>23.28</v>
      </c>
      <c r="S608">
        <v>17.37</v>
      </c>
      <c r="T608">
        <v>864.79</v>
      </c>
      <c r="U608">
        <v>0.75</v>
      </c>
      <c r="V608">
        <v>0.76</v>
      </c>
      <c r="W608">
        <v>1.1399999999999999</v>
      </c>
      <c r="X608">
        <v>0.05</v>
      </c>
      <c r="Y608">
        <v>1</v>
      </c>
      <c r="Z608">
        <v>10</v>
      </c>
    </row>
    <row r="609" spans="1:26" x14ac:dyDescent="0.3">
      <c r="A609">
        <v>85</v>
      </c>
      <c r="B609">
        <v>90</v>
      </c>
      <c r="C609" t="s">
        <v>26</v>
      </c>
      <c r="D609">
        <v>10.7469</v>
      </c>
      <c r="E609">
        <v>9.3000000000000007</v>
      </c>
      <c r="F609">
        <v>6.74</v>
      </c>
      <c r="G609">
        <v>101.13</v>
      </c>
      <c r="H609">
        <v>1.89</v>
      </c>
      <c r="I609">
        <v>4</v>
      </c>
      <c r="J609">
        <v>209.45</v>
      </c>
      <c r="K609">
        <v>52.44</v>
      </c>
      <c r="L609">
        <v>22.25</v>
      </c>
      <c r="M609">
        <v>0</v>
      </c>
      <c r="N609">
        <v>44.75</v>
      </c>
      <c r="O609">
        <v>26065.82</v>
      </c>
      <c r="P609">
        <v>73.91</v>
      </c>
      <c r="Q609">
        <v>204.14</v>
      </c>
      <c r="R609">
        <v>23.31</v>
      </c>
      <c r="S609">
        <v>17.37</v>
      </c>
      <c r="T609">
        <v>876.94</v>
      </c>
      <c r="U609">
        <v>0.75</v>
      </c>
      <c r="V609">
        <v>0.76</v>
      </c>
      <c r="W609">
        <v>1.1499999999999999</v>
      </c>
      <c r="X609">
        <v>0.05</v>
      </c>
      <c r="Y609">
        <v>1</v>
      </c>
      <c r="Z609">
        <v>10</v>
      </c>
    </row>
    <row r="610" spans="1:26" x14ac:dyDescent="0.3">
      <c r="A610">
        <v>0</v>
      </c>
      <c r="B610">
        <v>110</v>
      </c>
      <c r="C610" t="s">
        <v>26</v>
      </c>
      <c r="D610">
        <v>6.6349999999999998</v>
      </c>
      <c r="E610">
        <v>15.07</v>
      </c>
      <c r="F610">
        <v>8.57</v>
      </c>
      <c r="G610">
        <v>5.59</v>
      </c>
      <c r="H610">
        <v>0.08</v>
      </c>
      <c r="I610">
        <v>92</v>
      </c>
      <c r="J610">
        <v>213.37</v>
      </c>
      <c r="K610">
        <v>56.13</v>
      </c>
      <c r="L610">
        <v>1</v>
      </c>
      <c r="M610">
        <v>90</v>
      </c>
      <c r="N610">
        <v>46.25</v>
      </c>
      <c r="O610">
        <v>26550.29</v>
      </c>
      <c r="P610">
        <v>127.04</v>
      </c>
      <c r="Q610">
        <v>204.2</v>
      </c>
      <c r="R610">
        <v>80.150000000000006</v>
      </c>
      <c r="S610">
        <v>17.37</v>
      </c>
      <c r="T610">
        <v>28859.58</v>
      </c>
      <c r="U610">
        <v>0.22</v>
      </c>
      <c r="V610">
        <v>0.6</v>
      </c>
      <c r="W610">
        <v>1.3</v>
      </c>
      <c r="X610">
        <v>1.88</v>
      </c>
      <c r="Y610">
        <v>1</v>
      </c>
      <c r="Z610">
        <v>10</v>
      </c>
    </row>
    <row r="611" spans="1:26" x14ac:dyDescent="0.3">
      <c r="A611">
        <v>1</v>
      </c>
      <c r="B611">
        <v>110</v>
      </c>
      <c r="C611" t="s">
        <v>26</v>
      </c>
      <c r="D611">
        <v>7.3162000000000003</v>
      </c>
      <c r="E611">
        <v>13.67</v>
      </c>
      <c r="F611">
        <v>8.1</v>
      </c>
      <c r="G611">
        <v>6.94</v>
      </c>
      <c r="H611">
        <v>0.1</v>
      </c>
      <c r="I611">
        <v>70</v>
      </c>
      <c r="J611">
        <v>213.78</v>
      </c>
      <c r="K611">
        <v>56.13</v>
      </c>
      <c r="L611">
        <v>1.25</v>
      </c>
      <c r="M611">
        <v>68</v>
      </c>
      <c r="N611">
        <v>46.4</v>
      </c>
      <c r="O611">
        <v>26600.32</v>
      </c>
      <c r="P611">
        <v>119.85</v>
      </c>
      <c r="Q611">
        <v>204.17</v>
      </c>
      <c r="R611">
        <v>65.86</v>
      </c>
      <c r="S611">
        <v>17.37</v>
      </c>
      <c r="T611">
        <v>21823.17</v>
      </c>
      <c r="U611">
        <v>0.26</v>
      </c>
      <c r="V611">
        <v>0.63</v>
      </c>
      <c r="W611">
        <v>1.25</v>
      </c>
      <c r="X611">
        <v>1.41</v>
      </c>
      <c r="Y611">
        <v>1</v>
      </c>
      <c r="Z611">
        <v>10</v>
      </c>
    </row>
    <row r="612" spans="1:26" x14ac:dyDescent="0.3">
      <c r="A612">
        <v>2</v>
      </c>
      <c r="B612">
        <v>110</v>
      </c>
      <c r="C612" t="s">
        <v>26</v>
      </c>
      <c r="D612">
        <v>7.7862999999999998</v>
      </c>
      <c r="E612">
        <v>12.84</v>
      </c>
      <c r="F612">
        <v>7.82</v>
      </c>
      <c r="G612">
        <v>8.24</v>
      </c>
      <c r="H612">
        <v>0.12</v>
      </c>
      <c r="I612">
        <v>57</v>
      </c>
      <c r="J612">
        <v>214.19</v>
      </c>
      <c r="K612">
        <v>56.13</v>
      </c>
      <c r="L612">
        <v>1.5</v>
      </c>
      <c r="M612">
        <v>55</v>
      </c>
      <c r="N612">
        <v>46.56</v>
      </c>
      <c r="O612">
        <v>26650.41</v>
      </c>
      <c r="P612">
        <v>115.62</v>
      </c>
      <c r="Q612">
        <v>204.23</v>
      </c>
      <c r="R612">
        <v>57.18</v>
      </c>
      <c r="S612">
        <v>17.37</v>
      </c>
      <c r="T612">
        <v>17547.7</v>
      </c>
      <c r="U612">
        <v>0.3</v>
      </c>
      <c r="V612">
        <v>0.65</v>
      </c>
      <c r="W612">
        <v>1.22</v>
      </c>
      <c r="X612">
        <v>1.1299999999999999</v>
      </c>
      <c r="Y612">
        <v>1</v>
      </c>
      <c r="Z612">
        <v>10</v>
      </c>
    </row>
    <row r="613" spans="1:26" x14ac:dyDescent="0.3">
      <c r="A613">
        <v>3</v>
      </c>
      <c r="B613">
        <v>110</v>
      </c>
      <c r="C613" t="s">
        <v>26</v>
      </c>
      <c r="D613">
        <v>8.1369000000000007</v>
      </c>
      <c r="E613">
        <v>12.29</v>
      </c>
      <c r="F613">
        <v>7.65</v>
      </c>
      <c r="G613">
        <v>9.56</v>
      </c>
      <c r="H613">
        <v>0.14000000000000001</v>
      </c>
      <c r="I613">
        <v>48</v>
      </c>
      <c r="J613">
        <v>214.59</v>
      </c>
      <c r="K613">
        <v>56.13</v>
      </c>
      <c r="L613">
        <v>1.75</v>
      </c>
      <c r="M613">
        <v>46</v>
      </c>
      <c r="N613">
        <v>46.72</v>
      </c>
      <c r="O613">
        <v>26700.55</v>
      </c>
      <c r="P613">
        <v>112.91</v>
      </c>
      <c r="Q613">
        <v>204.14</v>
      </c>
      <c r="R613">
        <v>51.55</v>
      </c>
      <c r="S613">
        <v>17.37</v>
      </c>
      <c r="T613">
        <v>14777.32</v>
      </c>
      <c r="U613">
        <v>0.34</v>
      </c>
      <c r="V613">
        <v>0.67</v>
      </c>
      <c r="W613">
        <v>1.22</v>
      </c>
      <c r="X613">
        <v>0.96</v>
      </c>
      <c r="Y613">
        <v>1</v>
      </c>
      <c r="Z613">
        <v>10</v>
      </c>
    </row>
    <row r="614" spans="1:26" x14ac:dyDescent="0.3">
      <c r="A614">
        <v>4</v>
      </c>
      <c r="B614">
        <v>110</v>
      </c>
      <c r="C614" t="s">
        <v>26</v>
      </c>
      <c r="D614">
        <v>8.4412000000000003</v>
      </c>
      <c r="E614">
        <v>11.85</v>
      </c>
      <c r="F614">
        <v>7.5</v>
      </c>
      <c r="G614">
        <v>10.98</v>
      </c>
      <c r="H614">
        <v>0.17</v>
      </c>
      <c r="I614">
        <v>41</v>
      </c>
      <c r="J614">
        <v>215</v>
      </c>
      <c r="K614">
        <v>56.13</v>
      </c>
      <c r="L614">
        <v>2</v>
      </c>
      <c r="M614">
        <v>39</v>
      </c>
      <c r="N614">
        <v>46.87</v>
      </c>
      <c r="O614">
        <v>26750.75</v>
      </c>
      <c r="P614">
        <v>110.59</v>
      </c>
      <c r="Q614">
        <v>204.15</v>
      </c>
      <c r="R614">
        <v>47.29</v>
      </c>
      <c r="S614">
        <v>17.37</v>
      </c>
      <c r="T614">
        <v>12680.08</v>
      </c>
      <c r="U614">
        <v>0.37</v>
      </c>
      <c r="V614">
        <v>0.68</v>
      </c>
      <c r="W614">
        <v>1.2</v>
      </c>
      <c r="X614">
        <v>0.81</v>
      </c>
      <c r="Y614">
        <v>1</v>
      </c>
      <c r="Z614">
        <v>10</v>
      </c>
    </row>
    <row r="615" spans="1:26" x14ac:dyDescent="0.3">
      <c r="A615">
        <v>5</v>
      </c>
      <c r="B615">
        <v>110</v>
      </c>
      <c r="C615" t="s">
        <v>26</v>
      </c>
      <c r="D615">
        <v>8.6705000000000005</v>
      </c>
      <c r="E615">
        <v>11.53</v>
      </c>
      <c r="F615">
        <v>7.4</v>
      </c>
      <c r="G615">
        <v>12.33</v>
      </c>
      <c r="H615">
        <v>0.19</v>
      </c>
      <c r="I615">
        <v>36</v>
      </c>
      <c r="J615">
        <v>215.41</v>
      </c>
      <c r="K615">
        <v>56.13</v>
      </c>
      <c r="L615">
        <v>2.25</v>
      </c>
      <c r="M615">
        <v>34</v>
      </c>
      <c r="N615">
        <v>47.03</v>
      </c>
      <c r="O615">
        <v>26801</v>
      </c>
      <c r="P615">
        <v>108.99</v>
      </c>
      <c r="Q615">
        <v>204.16</v>
      </c>
      <c r="R615">
        <v>43.56</v>
      </c>
      <c r="S615">
        <v>17.37</v>
      </c>
      <c r="T615">
        <v>10841.01</v>
      </c>
      <c r="U615">
        <v>0.4</v>
      </c>
      <c r="V615">
        <v>0.69</v>
      </c>
      <c r="W615">
        <v>1.2</v>
      </c>
      <c r="X615">
        <v>0.71</v>
      </c>
      <c r="Y615">
        <v>1</v>
      </c>
      <c r="Z615">
        <v>10</v>
      </c>
    </row>
    <row r="616" spans="1:26" x14ac:dyDescent="0.3">
      <c r="A616">
        <v>6</v>
      </c>
      <c r="B616">
        <v>110</v>
      </c>
      <c r="C616" t="s">
        <v>26</v>
      </c>
      <c r="D616">
        <v>8.8721999999999994</v>
      </c>
      <c r="E616">
        <v>11.27</v>
      </c>
      <c r="F616">
        <v>7.31</v>
      </c>
      <c r="G616">
        <v>13.7</v>
      </c>
      <c r="H616">
        <v>0.21</v>
      </c>
      <c r="I616">
        <v>32</v>
      </c>
      <c r="J616">
        <v>215.82</v>
      </c>
      <c r="K616">
        <v>56.13</v>
      </c>
      <c r="L616">
        <v>2.5</v>
      </c>
      <c r="M616">
        <v>30</v>
      </c>
      <c r="N616">
        <v>47.19</v>
      </c>
      <c r="O616">
        <v>26851.31</v>
      </c>
      <c r="P616">
        <v>107.45</v>
      </c>
      <c r="Q616">
        <v>204.15</v>
      </c>
      <c r="R616">
        <v>41.01</v>
      </c>
      <c r="S616">
        <v>17.37</v>
      </c>
      <c r="T616">
        <v>9589.34</v>
      </c>
      <c r="U616">
        <v>0.42</v>
      </c>
      <c r="V616">
        <v>0.7</v>
      </c>
      <c r="W616">
        <v>1.19</v>
      </c>
      <c r="X616">
        <v>0.62</v>
      </c>
      <c r="Y616">
        <v>1</v>
      </c>
      <c r="Z616">
        <v>10</v>
      </c>
    </row>
    <row r="617" spans="1:26" x14ac:dyDescent="0.3">
      <c r="A617">
        <v>7</v>
      </c>
      <c r="B617">
        <v>110</v>
      </c>
      <c r="C617" t="s">
        <v>26</v>
      </c>
      <c r="D617">
        <v>9.0014000000000003</v>
      </c>
      <c r="E617">
        <v>11.11</v>
      </c>
      <c r="F617">
        <v>7.27</v>
      </c>
      <c r="G617">
        <v>15.05</v>
      </c>
      <c r="H617">
        <v>0.23</v>
      </c>
      <c r="I617">
        <v>29</v>
      </c>
      <c r="J617">
        <v>216.22</v>
      </c>
      <c r="K617">
        <v>56.13</v>
      </c>
      <c r="L617">
        <v>2.75</v>
      </c>
      <c r="M617">
        <v>27</v>
      </c>
      <c r="N617">
        <v>47.35</v>
      </c>
      <c r="O617">
        <v>26901.66</v>
      </c>
      <c r="P617">
        <v>106.82</v>
      </c>
      <c r="Q617">
        <v>204.16</v>
      </c>
      <c r="R617">
        <v>39.94</v>
      </c>
      <c r="S617">
        <v>17.37</v>
      </c>
      <c r="T617">
        <v>9065.74</v>
      </c>
      <c r="U617">
        <v>0.44</v>
      </c>
      <c r="V617">
        <v>0.7</v>
      </c>
      <c r="W617">
        <v>1.19</v>
      </c>
      <c r="X617">
        <v>0.57999999999999996</v>
      </c>
      <c r="Y617">
        <v>1</v>
      </c>
      <c r="Z617">
        <v>10</v>
      </c>
    </row>
    <row r="618" spans="1:26" x14ac:dyDescent="0.3">
      <c r="A618">
        <v>8</v>
      </c>
      <c r="B618">
        <v>110</v>
      </c>
      <c r="C618" t="s">
        <v>26</v>
      </c>
      <c r="D618">
        <v>9.1152999999999995</v>
      </c>
      <c r="E618">
        <v>10.97</v>
      </c>
      <c r="F618">
        <v>7.22</v>
      </c>
      <c r="G618">
        <v>16.04</v>
      </c>
      <c r="H618">
        <v>0.25</v>
      </c>
      <c r="I618">
        <v>27</v>
      </c>
      <c r="J618">
        <v>216.63</v>
      </c>
      <c r="K618">
        <v>56.13</v>
      </c>
      <c r="L618">
        <v>3</v>
      </c>
      <c r="M618">
        <v>25</v>
      </c>
      <c r="N618">
        <v>47.51</v>
      </c>
      <c r="O618">
        <v>26952.080000000002</v>
      </c>
      <c r="P618">
        <v>105.89</v>
      </c>
      <c r="Q618">
        <v>204.17</v>
      </c>
      <c r="R618">
        <v>38.17</v>
      </c>
      <c r="S618">
        <v>17.37</v>
      </c>
      <c r="T618">
        <v>8194.17</v>
      </c>
      <c r="U618">
        <v>0.46</v>
      </c>
      <c r="V618">
        <v>0.71</v>
      </c>
      <c r="W618">
        <v>1.18</v>
      </c>
      <c r="X618">
        <v>0.53</v>
      </c>
      <c r="Y618">
        <v>1</v>
      </c>
      <c r="Z618">
        <v>10</v>
      </c>
    </row>
    <row r="619" spans="1:26" x14ac:dyDescent="0.3">
      <c r="A619">
        <v>9</v>
      </c>
      <c r="B619">
        <v>110</v>
      </c>
      <c r="C619" t="s">
        <v>26</v>
      </c>
      <c r="D619">
        <v>9.2322000000000006</v>
      </c>
      <c r="E619">
        <v>10.83</v>
      </c>
      <c r="F619">
        <v>7.16</v>
      </c>
      <c r="G619">
        <v>17.190000000000001</v>
      </c>
      <c r="H619">
        <v>0.27</v>
      </c>
      <c r="I619">
        <v>25</v>
      </c>
      <c r="J619">
        <v>217.04</v>
      </c>
      <c r="K619">
        <v>56.13</v>
      </c>
      <c r="L619">
        <v>3.25</v>
      </c>
      <c r="M619">
        <v>23</v>
      </c>
      <c r="N619">
        <v>47.66</v>
      </c>
      <c r="O619">
        <v>27002.55</v>
      </c>
      <c r="P619">
        <v>104.97</v>
      </c>
      <c r="Q619">
        <v>204.16</v>
      </c>
      <c r="R619">
        <v>36.549999999999997</v>
      </c>
      <c r="S619">
        <v>17.37</v>
      </c>
      <c r="T619">
        <v>7392.28</v>
      </c>
      <c r="U619">
        <v>0.48</v>
      </c>
      <c r="V619">
        <v>0.71</v>
      </c>
      <c r="W619">
        <v>1.17</v>
      </c>
      <c r="X619">
        <v>0.47</v>
      </c>
      <c r="Y619">
        <v>1</v>
      </c>
      <c r="Z619">
        <v>10</v>
      </c>
    </row>
    <row r="620" spans="1:26" x14ac:dyDescent="0.3">
      <c r="A620">
        <v>10</v>
      </c>
      <c r="B620">
        <v>110</v>
      </c>
      <c r="C620" t="s">
        <v>26</v>
      </c>
      <c r="D620">
        <v>9.3284000000000002</v>
      </c>
      <c r="E620">
        <v>10.72</v>
      </c>
      <c r="F620">
        <v>7.14</v>
      </c>
      <c r="G620">
        <v>18.62</v>
      </c>
      <c r="H620">
        <v>0.28999999999999998</v>
      </c>
      <c r="I620">
        <v>23</v>
      </c>
      <c r="J620">
        <v>217.45</v>
      </c>
      <c r="K620">
        <v>56.13</v>
      </c>
      <c r="L620">
        <v>3.5</v>
      </c>
      <c r="M620">
        <v>21</v>
      </c>
      <c r="N620">
        <v>47.82</v>
      </c>
      <c r="O620">
        <v>27053.07</v>
      </c>
      <c r="P620">
        <v>104.47</v>
      </c>
      <c r="Q620">
        <v>204.17</v>
      </c>
      <c r="R620">
        <v>35.5</v>
      </c>
      <c r="S620">
        <v>17.37</v>
      </c>
      <c r="T620">
        <v>6875.07</v>
      </c>
      <c r="U620">
        <v>0.49</v>
      </c>
      <c r="V620">
        <v>0.72</v>
      </c>
      <c r="W620">
        <v>1.18</v>
      </c>
      <c r="X620">
        <v>0.44</v>
      </c>
      <c r="Y620">
        <v>1</v>
      </c>
      <c r="Z620">
        <v>10</v>
      </c>
    </row>
    <row r="621" spans="1:26" x14ac:dyDescent="0.3">
      <c r="A621">
        <v>11</v>
      </c>
      <c r="B621">
        <v>110</v>
      </c>
      <c r="C621" t="s">
        <v>26</v>
      </c>
      <c r="D621">
        <v>9.4415999999999993</v>
      </c>
      <c r="E621">
        <v>10.59</v>
      </c>
      <c r="F621">
        <v>7.09</v>
      </c>
      <c r="G621">
        <v>20.260000000000002</v>
      </c>
      <c r="H621">
        <v>0.31</v>
      </c>
      <c r="I621">
        <v>21</v>
      </c>
      <c r="J621">
        <v>217.86</v>
      </c>
      <c r="K621">
        <v>56.13</v>
      </c>
      <c r="L621">
        <v>3.75</v>
      </c>
      <c r="M621">
        <v>19</v>
      </c>
      <c r="N621">
        <v>47.98</v>
      </c>
      <c r="O621">
        <v>27103.65</v>
      </c>
      <c r="P621">
        <v>103.65</v>
      </c>
      <c r="Q621">
        <v>204.14</v>
      </c>
      <c r="R621">
        <v>34.270000000000003</v>
      </c>
      <c r="S621">
        <v>17.37</v>
      </c>
      <c r="T621">
        <v>6272.87</v>
      </c>
      <c r="U621">
        <v>0.51</v>
      </c>
      <c r="V621">
        <v>0.72</v>
      </c>
      <c r="W621">
        <v>1.17</v>
      </c>
      <c r="X621">
        <v>0.4</v>
      </c>
      <c r="Y621">
        <v>1</v>
      </c>
      <c r="Z621">
        <v>10</v>
      </c>
    </row>
    <row r="622" spans="1:26" x14ac:dyDescent="0.3">
      <c r="A622">
        <v>12</v>
      </c>
      <c r="B622">
        <v>110</v>
      </c>
      <c r="C622" t="s">
        <v>26</v>
      </c>
      <c r="D622">
        <v>9.4908999999999999</v>
      </c>
      <c r="E622">
        <v>10.54</v>
      </c>
      <c r="F622">
        <v>7.08</v>
      </c>
      <c r="G622">
        <v>21.24</v>
      </c>
      <c r="H622">
        <v>0.33</v>
      </c>
      <c r="I622">
        <v>20</v>
      </c>
      <c r="J622">
        <v>218.27</v>
      </c>
      <c r="K622">
        <v>56.13</v>
      </c>
      <c r="L622">
        <v>4</v>
      </c>
      <c r="M622">
        <v>18</v>
      </c>
      <c r="N622">
        <v>48.15</v>
      </c>
      <c r="O622">
        <v>27154.29</v>
      </c>
      <c r="P622">
        <v>103.39</v>
      </c>
      <c r="Q622">
        <v>204.16</v>
      </c>
      <c r="R622">
        <v>33.770000000000003</v>
      </c>
      <c r="S622">
        <v>17.37</v>
      </c>
      <c r="T622">
        <v>6026.87</v>
      </c>
      <c r="U622">
        <v>0.51</v>
      </c>
      <c r="V622">
        <v>0.72</v>
      </c>
      <c r="W622">
        <v>1.17</v>
      </c>
      <c r="X622">
        <v>0.39</v>
      </c>
      <c r="Y622">
        <v>1</v>
      </c>
      <c r="Z622">
        <v>10</v>
      </c>
    </row>
    <row r="623" spans="1:26" x14ac:dyDescent="0.3">
      <c r="A623">
        <v>13</v>
      </c>
      <c r="B623">
        <v>110</v>
      </c>
      <c r="C623" t="s">
        <v>26</v>
      </c>
      <c r="D623">
        <v>9.5434999999999999</v>
      </c>
      <c r="E623">
        <v>10.48</v>
      </c>
      <c r="F623">
        <v>7.06</v>
      </c>
      <c r="G623">
        <v>22.31</v>
      </c>
      <c r="H623">
        <v>0.35</v>
      </c>
      <c r="I623">
        <v>19</v>
      </c>
      <c r="J623">
        <v>218.68</v>
      </c>
      <c r="K623">
        <v>56.13</v>
      </c>
      <c r="L623">
        <v>4.25</v>
      </c>
      <c r="M623">
        <v>17</v>
      </c>
      <c r="N623">
        <v>48.31</v>
      </c>
      <c r="O623">
        <v>27204.98</v>
      </c>
      <c r="P623">
        <v>103</v>
      </c>
      <c r="Q623">
        <v>204.17</v>
      </c>
      <c r="R623">
        <v>33.24</v>
      </c>
      <c r="S623">
        <v>17.37</v>
      </c>
      <c r="T623">
        <v>5768.37</v>
      </c>
      <c r="U623">
        <v>0.52</v>
      </c>
      <c r="V623">
        <v>0.72</v>
      </c>
      <c r="W623">
        <v>1.17</v>
      </c>
      <c r="X623">
        <v>0.37</v>
      </c>
      <c r="Y623">
        <v>1</v>
      </c>
      <c r="Z623">
        <v>10</v>
      </c>
    </row>
    <row r="624" spans="1:26" x14ac:dyDescent="0.3">
      <c r="A624">
        <v>14</v>
      </c>
      <c r="B624">
        <v>110</v>
      </c>
      <c r="C624" t="s">
        <v>26</v>
      </c>
      <c r="D624">
        <v>9.6113</v>
      </c>
      <c r="E624">
        <v>10.4</v>
      </c>
      <c r="F624">
        <v>7.03</v>
      </c>
      <c r="G624">
        <v>23.44</v>
      </c>
      <c r="H624">
        <v>0.36</v>
      </c>
      <c r="I624">
        <v>18</v>
      </c>
      <c r="J624">
        <v>219.09</v>
      </c>
      <c r="K624">
        <v>56.13</v>
      </c>
      <c r="L624">
        <v>4.5</v>
      </c>
      <c r="M624">
        <v>16</v>
      </c>
      <c r="N624">
        <v>48.47</v>
      </c>
      <c r="O624">
        <v>27255.72</v>
      </c>
      <c r="P624">
        <v>102.3</v>
      </c>
      <c r="Q624">
        <v>204.16</v>
      </c>
      <c r="R624">
        <v>32.51</v>
      </c>
      <c r="S624">
        <v>17.37</v>
      </c>
      <c r="T624">
        <v>5408.38</v>
      </c>
      <c r="U624">
        <v>0.53</v>
      </c>
      <c r="V624">
        <v>0.73</v>
      </c>
      <c r="W624">
        <v>1.1599999999999999</v>
      </c>
      <c r="X624">
        <v>0.34</v>
      </c>
      <c r="Y624">
        <v>1</v>
      </c>
      <c r="Z624">
        <v>10</v>
      </c>
    </row>
    <row r="625" spans="1:26" x14ac:dyDescent="0.3">
      <c r="A625">
        <v>15</v>
      </c>
      <c r="B625">
        <v>110</v>
      </c>
      <c r="C625" t="s">
        <v>26</v>
      </c>
      <c r="D625">
        <v>9.6641999999999992</v>
      </c>
      <c r="E625">
        <v>10.35</v>
      </c>
      <c r="F625">
        <v>7.02</v>
      </c>
      <c r="G625">
        <v>24.77</v>
      </c>
      <c r="H625">
        <v>0.38</v>
      </c>
      <c r="I625">
        <v>17</v>
      </c>
      <c r="J625">
        <v>219.51</v>
      </c>
      <c r="K625">
        <v>56.13</v>
      </c>
      <c r="L625">
        <v>4.75</v>
      </c>
      <c r="M625">
        <v>15</v>
      </c>
      <c r="N625">
        <v>48.63</v>
      </c>
      <c r="O625">
        <v>27306.53</v>
      </c>
      <c r="P625">
        <v>102.14</v>
      </c>
      <c r="Q625">
        <v>204.15</v>
      </c>
      <c r="R625">
        <v>32.020000000000003</v>
      </c>
      <c r="S625">
        <v>17.37</v>
      </c>
      <c r="T625">
        <v>5164.96</v>
      </c>
      <c r="U625">
        <v>0.54</v>
      </c>
      <c r="V625">
        <v>0.73</v>
      </c>
      <c r="W625">
        <v>1.1599999999999999</v>
      </c>
      <c r="X625">
        <v>0.33</v>
      </c>
      <c r="Y625">
        <v>1</v>
      </c>
      <c r="Z625">
        <v>10</v>
      </c>
    </row>
    <row r="626" spans="1:26" x14ac:dyDescent="0.3">
      <c r="A626">
        <v>16</v>
      </c>
      <c r="B626">
        <v>110</v>
      </c>
      <c r="C626" t="s">
        <v>26</v>
      </c>
      <c r="D626">
        <v>9.7192000000000007</v>
      </c>
      <c r="E626">
        <v>10.29</v>
      </c>
      <c r="F626">
        <v>7</v>
      </c>
      <c r="G626">
        <v>26.25</v>
      </c>
      <c r="H626">
        <v>0.4</v>
      </c>
      <c r="I626">
        <v>16</v>
      </c>
      <c r="J626">
        <v>219.92</v>
      </c>
      <c r="K626">
        <v>56.13</v>
      </c>
      <c r="L626">
        <v>5</v>
      </c>
      <c r="M626">
        <v>14</v>
      </c>
      <c r="N626">
        <v>48.79</v>
      </c>
      <c r="O626">
        <v>27357.39</v>
      </c>
      <c r="P626">
        <v>101.67</v>
      </c>
      <c r="Q626">
        <v>204.14</v>
      </c>
      <c r="R626">
        <v>31.41</v>
      </c>
      <c r="S626">
        <v>17.37</v>
      </c>
      <c r="T626">
        <v>4866.42</v>
      </c>
      <c r="U626">
        <v>0.55000000000000004</v>
      </c>
      <c r="V626">
        <v>0.73</v>
      </c>
      <c r="W626">
        <v>1.17</v>
      </c>
      <c r="X626">
        <v>0.31</v>
      </c>
      <c r="Y626">
        <v>1</v>
      </c>
      <c r="Z626">
        <v>10</v>
      </c>
    </row>
    <row r="627" spans="1:26" x14ac:dyDescent="0.3">
      <c r="A627">
        <v>17</v>
      </c>
      <c r="B627">
        <v>110</v>
      </c>
      <c r="C627" t="s">
        <v>26</v>
      </c>
      <c r="D627">
        <v>9.7838999999999992</v>
      </c>
      <c r="E627">
        <v>10.220000000000001</v>
      </c>
      <c r="F627">
        <v>6.97</v>
      </c>
      <c r="G627">
        <v>27.9</v>
      </c>
      <c r="H627">
        <v>0.42</v>
      </c>
      <c r="I627">
        <v>15</v>
      </c>
      <c r="J627">
        <v>220.33</v>
      </c>
      <c r="K627">
        <v>56.13</v>
      </c>
      <c r="L627">
        <v>5.25</v>
      </c>
      <c r="M627">
        <v>13</v>
      </c>
      <c r="N627">
        <v>48.95</v>
      </c>
      <c r="O627">
        <v>27408.3</v>
      </c>
      <c r="P627">
        <v>101.29</v>
      </c>
      <c r="Q627">
        <v>204.16</v>
      </c>
      <c r="R627">
        <v>30.69</v>
      </c>
      <c r="S627">
        <v>17.37</v>
      </c>
      <c r="T627">
        <v>4510.46</v>
      </c>
      <c r="U627">
        <v>0.56999999999999995</v>
      </c>
      <c r="V627">
        <v>0.73</v>
      </c>
      <c r="W627">
        <v>1.1599999999999999</v>
      </c>
      <c r="X627">
        <v>0.28000000000000003</v>
      </c>
      <c r="Y627">
        <v>1</v>
      </c>
      <c r="Z627">
        <v>10</v>
      </c>
    </row>
    <row r="628" spans="1:26" x14ac:dyDescent="0.3">
      <c r="A628">
        <v>18</v>
      </c>
      <c r="B628">
        <v>110</v>
      </c>
      <c r="C628" t="s">
        <v>26</v>
      </c>
      <c r="D628">
        <v>9.7834000000000003</v>
      </c>
      <c r="E628">
        <v>10.220000000000001</v>
      </c>
      <c r="F628">
        <v>6.98</v>
      </c>
      <c r="G628">
        <v>27.9</v>
      </c>
      <c r="H628">
        <v>0.44</v>
      </c>
      <c r="I628">
        <v>15</v>
      </c>
      <c r="J628">
        <v>220.74</v>
      </c>
      <c r="K628">
        <v>56.13</v>
      </c>
      <c r="L628">
        <v>5.5</v>
      </c>
      <c r="M628">
        <v>13</v>
      </c>
      <c r="N628">
        <v>49.12</v>
      </c>
      <c r="O628">
        <v>27459.27</v>
      </c>
      <c r="P628">
        <v>101.05</v>
      </c>
      <c r="Q628">
        <v>204.15</v>
      </c>
      <c r="R628">
        <v>30.61</v>
      </c>
      <c r="S628">
        <v>17.37</v>
      </c>
      <c r="T628">
        <v>4474.49</v>
      </c>
      <c r="U628">
        <v>0.56999999999999995</v>
      </c>
      <c r="V628">
        <v>0.73</v>
      </c>
      <c r="W628">
        <v>1.1599999999999999</v>
      </c>
      <c r="X628">
        <v>0.28000000000000003</v>
      </c>
      <c r="Y628">
        <v>1</v>
      </c>
      <c r="Z628">
        <v>10</v>
      </c>
    </row>
    <row r="629" spans="1:26" x14ac:dyDescent="0.3">
      <c r="A629">
        <v>19</v>
      </c>
      <c r="B629">
        <v>110</v>
      </c>
      <c r="C629" t="s">
        <v>26</v>
      </c>
      <c r="D629">
        <v>9.8462999999999994</v>
      </c>
      <c r="E629">
        <v>10.16</v>
      </c>
      <c r="F629">
        <v>6.95</v>
      </c>
      <c r="G629">
        <v>29.8</v>
      </c>
      <c r="H629">
        <v>0.46</v>
      </c>
      <c r="I629">
        <v>14</v>
      </c>
      <c r="J629">
        <v>221.16</v>
      </c>
      <c r="K629">
        <v>56.13</v>
      </c>
      <c r="L629">
        <v>5.75</v>
      </c>
      <c r="M629">
        <v>12</v>
      </c>
      <c r="N629">
        <v>49.28</v>
      </c>
      <c r="O629">
        <v>27510.3</v>
      </c>
      <c r="P629">
        <v>100.72</v>
      </c>
      <c r="Q629">
        <v>204.14</v>
      </c>
      <c r="R629">
        <v>29.79</v>
      </c>
      <c r="S629">
        <v>17.37</v>
      </c>
      <c r="T629">
        <v>4069.56</v>
      </c>
      <c r="U629">
        <v>0.57999999999999996</v>
      </c>
      <c r="V629">
        <v>0.73</v>
      </c>
      <c r="W629">
        <v>1.1599999999999999</v>
      </c>
      <c r="X629">
        <v>0.26</v>
      </c>
      <c r="Y629">
        <v>1</v>
      </c>
      <c r="Z629">
        <v>10</v>
      </c>
    </row>
    <row r="630" spans="1:26" x14ac:dyDescent="0.3">
      <c r="A630">
        <v>20</v>
      </c>
      <c r="B630">
        <v>110</v>
      </c>
      <c r="C630" t="s">
        <v>26</v>
      </c>
      <c r="D630">
        <v>9.9122000000000003</v>
      </c>
      <c r="E630">
        <v>10.09</v>
      </c>
      <c r="F630">
        <v>6.93</v>
      </c>
      <c r="G630">
        <v>31.97</v>
      </c>
      <c r="H630">
        <v>0.48</v>
      </c>
      <c r="I630">
        <v>13</v>
      </c>
      <c r="J630">
        <v>221.57</v>
      </c>
      <c r="K630">
        <v>56.13</v>
      </c>
      <c r="L630">
        <v>6</v>
      </c>
      <c r="M630">
        <v>11</v>
      </c>
      <c r="N630">
        <v>49.45</v>
      </c>
      <c r="O630">
        <v>27561.39</v>
      </c>
      <c r="P630">
        <v>100.03</v>
      </c>
      <c r="Q630">
        <v>204.16</v>
      </c>
      <c r="R630">
        <v>29.2</v>
      </c>
      <c r="S630">
        <v>17.37</v>
      </c>
      <c r="T630">
        <v>3777.16</v>
      </c>
      <c r="U630">
        <v>0.59</v>
      </c>
      <c r="V630">
        <v>0.74</v>
      </c>
      <c r="W630">
        <v>1.1599999999999999</v>
      </c>
      <c r="X630">
        <v>0.24</v>
      </c>
      <c r="Y630">
        <v>1</v>
      </c>
      <c r="Z630">
        <v>10</v>
      </c>
    </row>
    <row r="631" spans="1:26" x14ac:dyDescent="0.3">
      <c r="A631">
        <v>21</v>
      </c>
      <c r="B631">
        <v>110</v>
      </c>
      <c r="C631" t="s">
        <v>26</v>
      </c>
      <c r="D631">
        <v>9.9190000000000005</v>
      </c>
      <c r="E631">
        <v>10.08</v>
      </c>
      <c r="F631">
        <v>6.92</v>
      </c>
      <c r="G631">
        <v>31.94</v>
      </c>
      <c r="H631">
        <v>0.5</v>
      </c>
      <c r="I631">
        <v>13</v>
      </c>
      <c r="J631">
        <v>221.99</v>
      </c>
      <c r="K631">
        <v>56.13</v>
      </c>
      <c r="L631">
        <v>6.25</v>
      </c>
      <c r="M631">
        <v>11</v>
      </c>
      <c r="N631">
        <v>49.61</v>
      </c>
      <c r="O631">
        <v>27612.53</v>
      </c>
      <c r="P631">
        <v>99.98</v>
      </c>
      <c r="Q631">
        <v>204.14</v>
      </c>
      <c r="R631">
        <v>28.89</v>
      </c>
      <c r="S631">
        <v>17.37</v>
      </c>
      <c r="T631">
        <v>3624.73</v>
      </c>
      <c r="U631">
        <v>0.6</v>
      </c>
      <c r="V631">
        <v>0.74</v>
      </c>
      <c r="W631">
        <v>1.1599999999999999</v>
      </c>
      <c r="X631">
        <v>0.23</v>
      </c>
      <c r="Y631">
        <v>1</v>
      </c>
      <c r="Z631">
        <v>10</v>
      </c>
    </row>
    <row r="632" spans="1:26" x14ac:dyDescent="0.3">
      <c r="A632">
        <v>22</v>
      </c>
      <c r="B632">
        <v>110</v>
      </c>
      <c r="C632" t="s">
        <v>26</v>
      </c>
      <c r="D632">
        <v>9.9733999999999998</v>
      </c>
      <c r="E632">
        <v>10.029999999999999</v>
      </c>
      <c r="F632">
        <v>6.91</v>
      </c>
      <c r="G632">
        <v>34.54</v>
      </c>
      <c r="H632">
        <v>0.52</v>
      </c>
      <c r="I632">
        <v>12</v>
      </c>
      <c r="J632">
        <v>222.4</v>
      </c>
      <c r="K632">
        <v>56.13</v>
      </c>
      <c r="L632">
        <v>6.5</v>
      </c>
      <c r="M632">
        <v>10</v>
      </c>
      <c r="N632">
        <v>49.78</v>
      </c>
      <c r="O632">
        <v>27663.85</v>
      </c>
      <c r="P632">
        <v>99.58</v>
      </c>
      <c r="Q632">
        <v>204.14</v>
      </c>
      <c r="R632">
        <v>28.67</v>
      </c>
      <c r="S632">
        <v>17.37</v>
      </c>
      <c r="T632">
        <v>3519.63</v>
      </c>
      <c r="U632">
        <v>0.61</v>
      </c>
      <c r="V632">
        <v>0.74</v>
      </c>
      <c r="W632">
        <v>1.1499999999999999</v>
      </c>
      <c r="X632">
        <v>0.22</v>
      </c>
      <c r="Y632">
        <v>1</v>
      </c>
      <c r="Z632">
        <v>10</v>
      </c>
    </row>
    <row r="633" spans="1:26" x14ac:dyDescent="0.3">
      <c r="A633">
        <v>23</v>
      </c>
      <c r="B633">
        <v>110</v>
      </c>
      <c r="C633" t="s">
        <v>26</v>
      </c>
      <c r="D633">
        <v>9.9640000000000004</v>
      </c>
      <c r="E633">
        <v>10.039999999999999</v>
      </c>
      <c r="F633">
        <v>6.92</v>
      </c>
      <c r="G633">
        <v>34.58</v>
      </c>
      <c r="H633">
        <v>0.54</v>
      </c>
      <c r="I633">
        <v>12</v>
      </c>
      <c r="J633">
        <v>222.82</v>
      </c>
      <c r="K633">
        <v>56.13</v>
      </c>
      <c r="L633">
        <v>6.75</v>
      </c>
      <c r="M633">
        <v>10</v>
      </c>
      <c r="N633">
        <v>49.94</v>
      </c>
      <c r="O633">
        <v>27715.11</v>
      </c>
      <c r="P633">
        <v>99.68</v>
      </c>
      <c r="Q633">
        <v>204.14</v>
      </c>
      <c r="R633">
        <v>28.68</v>
      </c>
      <c r="S633">
        <v>17.37</v>
      </c>
      <c r="T633">
        <v>3521.35</v>
      </c>
      <c r="U633">
        <v>0.61</v>
      </c>
      <c r="V633">
        <v>0.74</v>
      </c>
      <c r="W633">
        <v>1.1599999999999999</v>
      </c>
      <c r="X633">
        <v>0.23</v>
      </c>
      <c r="Y633">
        <v>1</v>
      </c>
      <c r="Z633">
        <v>10</v>
      </c>
    </row>
    <row r="634" spans="1:26" x14ac:dyDescent="0.3">
      <c r="A634">
        <v>24</v>
      </c>
      <c r="B634">
        <v>110</v>
      </c>
      <c r="C634" t="s">
        <v>26</v>
      </c>
      <c r="D634">
        <v>9.9624000000000006</v>
      </c>
      <c r="E634">
        <v>10.039999999999999</v>
      </c>
      <c r="F634">
        <v>6.92</v>
      </c>
      <c r="G634">
        <v>34.590000000000003</v>
      </c>
      <c r="H634">
        <v>0.56000000000000005</v>
      </c>
      <c r="I634">
        <v>12</v>
      </c>
      <c r="J634">
        <v>223.23</v>
      </c>
      <c r="K634">
        <v>56.13</v>
      </c>
      <c r="L634">
        <v>7</v>
      </c>
      <c r="M634">
        <v>10</v>
      </c>
      <c r="N634">
        <v>50.11</v>
      </c>
      <c r="O634">
        <v>27766.43</v>
      </c>
      <c r="P634">
        <v>99.48</v>
      </c>
      <c r="Q634">
        <v>204.18</v>
      </c>
      <c r="R634">
        <v>28.76</v>
      </c>
      <c r="S634">
        <v>17.37</v>
      </c>
      <c r="T634">
        <v>3564.55</v>
      </c>
      <c r="U634">
        <v>0.6</v>
      </c>
      <c r="V634">
        <v>0.74</v>
      </c>
      <c r="W634">
        <v>1.1599999999999999</v>
      </c>
      <c r="X634">
        <v>0.23</v>
      </c>
      <c r="Y634">
        <v>1</v>
      </c>
      <c r="Z634">
        <v>10</v>
      </c>
    </row>
    <row r="635" spans="1:26" x14ac:dyDescent="0.3">
      <c r="A635">
        <v>25</v>
      </c>
      <c r="B635">
        <v>110</v>
      </c>
      <c r="C635" t="s">
        <v>26</v>
      </c>
      <c r="D635">
        <v>10.037599999999999</v>
      </c>
      <c r="E635">
        <v>9.9600000000000009</v>
      </c>
      <c r="F635">
        <v>6.89</v>
      </c>
      <c r="G635">
        <v>37.56</v>
      </c>
      <c r="H635">
        <v>0.57999999999999996</v>
      </c>
      <c r="I635">
        <v>11</v>
      </c>
      <c r="J635">
        <v>223.65</v>
      </c>
      <c r="K635">
        <v>56.13</v>
      </c>
      <c r="L635">
        <v>7.25</v>
      </c>
      <c r="M635">
        <v>9</v>
      </c>
      <c r="N635">
        <v>50.27</v>
      </c>
      <c r="O635">
        <v>27817.81</v>
      </c>
      <c r="P635">
        <v>98.82</v>
      </c>
      <c r="Q635">
        <v>204.14</v>
      </c>
      <c r="R635">
        <v>27.91</v>
      </c>
      <c r="S635">
        <v>17.37</v>
      </c>
      <c r="T635">
        <v>3140.21</v>
      </c>
      <c r="U635">
        <v>0.62</v>
      </c>
      <c r="V635">
        <v>0.74</v>
      </c>
      <c r="W635">
        <v>1.1499999999999999</v>
      </c>
      <c r="X635">
        <v>0.19</v>
      </c>
      <c r="Y635">
        <v>1</v>
      </c>
      <c r="Z635">
        <v>10</v>
      </c>
    </row>
    <row r="636" spans="1:26" x14ac:dyDescent="0.3">
      <c r="A636">
        <v>26</v>
      </c>
      <c r="B636">
        <v>110</v>
      </c>
      <c r="C636" t="s">
        <v>26</v>
      </c>
      <c r="D636">
        <v>10.0326</v>
      </c>
      <c r="E636">
        <v>9.9700000000000006</v>
      </c>
      <c r="F636">
        <v>6.89</v>
      </c>
      <c r="G636">
        <v>37.58</v>
      </c>
      <c r="H636">
        <v>0.59</v>
      </c>
      <c r="I636">
        <v>11</v>
      </c>
      <c r="J636">
        <v>224.07</v>
      </c>
      <c r="K636">
        <v>56.13</v>
      </c>
      <c r="L636">
        <v>7.5</v>
      </c>
      <c r="M636">
        <v>9</v>
      </c>
      <c r="N636">
        <v>50.44</v>
      </c>
      <c r="O636">
        <v>27869.24</v>
      </c>
      <c r="P636">
        <v>98.86</v>
      </c>
      <c r="Q636">
        <v>204.14</v>
      </c>
      <c r="R636">
        <v>27.99</v>
      </c>
      <c r="S636">
        <v>17.37</v>
      </c>
      <c r="T636">
        <v>3182.62</v>
      </c>
      <c r="U636">
        <v>0.62</v>
      </c>
      <c r="V636">
        <v>0.74</v>
      </c>
      <c r="W636">
        <v>1.1599999999999999</v>
      </c>
      <c r="X636">
        <v>0.2</v>
      </c>
      <c r="Y636">
        <v>1</v>
      </c>
      <c r="Z636">
        <v>10</v>
      </c>
    </row>
    <row r="637" spans="1:26" x14ac:dyDescent="0.3">
      <c r="A637">
        <v>27</v>
      </c>
      <c r="B637">
        <v>110</v>
      </c>
      <c r="C637" t="s">
        <v>26</v>
      </c>
      <c r="D637">
        <v>10.0351</v>
      </c>
      <c r="E637">
        <v>9.9600000000000009</v>
      </c>
      <c r="F637">
        <v>6.89</v>
      </c>
      <c r="G637">
        <v>37.57</v>
      </c>
      <c r="H637">
        <v>0.61</v>
      </c>
      <c r="I637">
        <v>11</v>
      </c>
      <c r="J637">
        <v>224.49</v>
      </c>
      <c r="K637">
        <v>56.13</v>
      </c>
      <c r="L637">
        <v>7.75</v>
      </c>
      <c r="M637">
        <v>9</v>
      </c>
      <c r="N637">
        <v>50.61</v>
      </c>
      <c r="O637">
        <v>27920.73</v>
      </c>
      <c r="P637">
        <v>98.54</v>
      </c>
      <c r="Q637">
        <v>204.15</v>
      </c>
      <c r="R637">
        <v>27.93</v>
      </c>
      <c r="S637">
        <v>17.37</v>
      </c>
      <c r="T637">
        <v>3152.92</v>
      </c>
      <c r="U637">
        <v>0.62</v>
      </c>
      <c r="V637">
        <v>0.74</v>
      </c>
      <c r="W637">
        <v>1.1499999999999999</v>
      </c>
      <c r="X637">
        <v>0.2</v>
      </c>
      <c r="Y637">
        <v>1</v>
      </c>
      <c r="Z637">
        <v>10</v>
      </c>
    </row>
    <row r="638" spans="1:26" x14ac:dyDescent="0.3">
      <c r="A638">
        <v>28</v>
      </c>
      <c r="B638">
        <v>110</v>
      </c>
      <c r="C638" t="s">
        <v>26</v>
      </c>
      <c r="D638">
        <v>10.100199999999999</v>
      </c>
      <c r="E638">
        <v>9.9</v>
      </c>
      <c r="F638">
        <v>6.87</v>
      </c>
      <c r="G638">
        <v>41.2</v>
      </c>
      <c r="H638">
        <v>0.63</v>
      </c>
      <c r="I638">
        <v>10</v>
      </c>
      <c r="J638">
        <v>224.9</v>
      </c>
      <c r="K638">
        <v>56.13</v>
      </c>
      <c r="L638">
        <v>8</v>
      </c>
      <c r="M638">
        <v>8</v>
      </c>
      <c r="N638">
        <v>50.78</v>
      </c>
      <c r="O638">
        <v>27972.28</v>
      </c>
      <c r="P638">
        <v>98.04</v>
      </c>
      <c r="Q638">
        <v>204.15</v>
      </c>
      <c r="R638">
        <v>27.29</v>
      </c>
      <c r="S638">
        <v>17.37</v>
      </c>
      <c r="T638">
        <v>2835.19</v>
      </c>
      <c r="U638">
        <v>0.64</v>
      </c>
      <c r="V638">
        <v>0.74</v>
      </c>
      <c r="W638">
        <v>1.1499999999999999</v>
      </c>
      <c r="X638">
        <v>0.17</v>
      </c>
      <c r="Y638">
        <v>1</v>
      </c>
      <c r="Z638">
        <v>10</v>
      </c>
    </row>
    <row r="639" spans="1:26" x14ac:dyDescent="0.3">
      <c r="A639">
        <v>29</v>
      </c>
      <c r="B639">
        <v>110</v>
      </c>
      <c r="C639" t="s">
        <v>26</v>
      </c>
      <c r="D639">
        <v>10.1004</v>
      </c>
      <c r="E639">
        <v>9.9</v>
      </c>
      <c r="F639">
        <v>6.87</v>
      </c>
      <c r="G639">
        <v>41.19</v>
      </c>
      <c r="H639">
        <v>0.65</v>
      </c>
      <c r="I639">
        <v>10</v>
      </c>
      <c r="J639">
        <v>225.32</v>
      </c>
      <c r="K639">
        <v>56.13</v>
      </c>
      <c r="L639">
        <v>8.25</v>
      </c>
      <c r="M639">
        <v>8</v>
      </c>
      <c r="N639">
        <v>50.95</v>
      </c>
      <c r="O639">
        <v>28023.89</v>
      </c>
      <c r="P639">
        <v>98.05</v>
      </c>
      <c r="Q639">
        <v>204.18</v>
      </c>
      <c r="R639">
        <v>27.27</v>
      </c>
      <c r="S639">
        <v>17.37</v>
      </c>
      <c r="T639">
        <v>2826.25</v>
      </c>
      <c r="U639">
        <v>0.64</v>
      </c>
      <c r="V639">
        <v>0.74</v>
      </c>
      <c r="W639">
        <v>1.1499999999999999</v>
      </c>
      <c r="X639">
        <v>0.17</v>
      </c>
      <c r="Y639">
        <v>1</v>
      </c>
      <c r="Z639">
        <v>10</v>
      </c>
    </row>
    <row r="640" spans="1:26" x14ac:dyDescent="0.3">
      <c r="A640">
        <v>30</v>
      </c>
      <c r="B640">
        <v>110</v>
      </c>
      <c r="C640" t="s">
        <v>26</v>
      </c>
      <c r="D640">
        <v>10.105</v>
      </c>
      <c r="E640">
        <v>9.9</v>
      </c>
      <c r="F640">
        <v>6.86</v>
      </c>
      <c r="G640">
        <v>41.17</v>
      </c>
      <c r="H640">
        <v>0.67</v>
      </c>
      <c r="I640">
        <v>10</v>
      </c>
      <c r="J640">
        <v>225.74</v>
      </c>
      <c r="K640">
        <v>56.13</v>
      </c>
      <c r="L640">
        <v>8.5</v>
      </c>
      <c r="M640">
        <v>8</v>
      </c>
      <c r="N640">
        <v>51.11</v>
      </c>
      <c r="O640">
        <v>28075.56</v>
      </c>
      <c r="P640">
        <v>97.98</v>
      </c>
      <c r="Q640">
        <v>204.15</v>
      </c>
      <c r="R640">
        <v>27.04</v>
      </c>
      <c r="S640">
        <v>17.37</v>
      </c>
      <c r="T640">
        <v>2710.64</v>
      </c>
      <c r="U640">
        <v>0.64</v>
      </c>
      <c r="V640">
        <v>0.74</v>
      </c>
      <c r="W640">
        <v>1.1499999999999999</v>
      </c>
      <c r="X640">
        <v>0.17</v>
      </c>
      <c r="Y640">
        <v>1</v>
      </c>
      <c r="Z640">
        <v>10</v>
      </c>
    </row>
    <row r="641" spans="1:26" x14ac:dyDescent="0.3">
      <c r="A641">
        <v>31</v>
      </c>
      <c r="B641">
        <v>110</v>
      </c>
      <c r="C641" t="s">
        <v>26</v>
      </c>
      <c r="D641">
        <v>10.1678</v>
      </c>
      <c r="E641">
        <v>9.84</v>
      </c>
      <c r="F641">
        <v>6.84</v>
      </c>
      <c r="G641">
        <v>45.61</v>
      </c>
      <c r="H641">
        <v>0.69</v>
      </c>
      <c r="I641">
        <v>9</v>
      </c>
      <c r="J641">
        <v>226.16</v>
      </c>
      <c r="K641">
        <v>56.13</v>
      </c>
      <c r="L641">
        <v>8.75</v>
      </c>
      <c r="M641">
        <v>7</v>
      </c>
      <c r="N641">
        <v>51.28</v>
      </c>
      <c r="O641">
        <v>28127.29</v>
      </c>
      <c r="P641">
        <v>97.27</v>
      </c>
      <c r="Q641">
        <v>204.15</v>
      </c>
      <c r="R641">
        <v>26.57</v>
      </c>
      <c r="S641">
        <v>17.37</v>
      </c>
      <c r="T641">
        <v>2482.11</v>
      </c>
      <c r="U641">
        <v>0.65</v>
      </c>
      <c r="V641">
        <v>0.75</v>
      </c>
      <c r="W641">
        <v>1.1499999999999999</v>
      </c>
      <c r="X641">
        <v>0.15</v>
      </c>
      <c r="Y641">
        <v>1</v>
      </c>
      <c r="Z641">
        <v>10</v>
      </c>
    </row>
    <row r="642" spans="1:26" x14ac:dyDescent="0.3">
      <c r="A642">
        <v>32</v>
      </c>
      <c r="B642">
        <v>110</v>
      </c>
      <c r="C642" t="s">
        <v>26</v>
      </c>
      <c r="D642">
        <v>10.149699999999999</v>
      </c>
      <c r="E642">
        <v>9.85</v>
      </c>
      <c r="F642">
        <v>6.86</v>
      </c>
      <c r="G642">
        <v>45.73</v>
      </c>
      <c r="H642">
        <v>0.71</v>
      </c>
      <c r="I642">
        <v>9</v>
      </c>
      <c r="J642">
        <v>226.58</v>
      </c>
      <c r="K642">
        <v>56.13</v>
      </c>
      <c r="L642">
        <v>9</v>
      </c>
      <c r="M642">
        <v>7</v>
      </c>
      <c r="N642">
        <v>51.45</v>
      </c>
      <c r="O642">
        <v>28179.08</v>
      </c>
      <c r="P642">
        <v>97.78</v>
      </c>
      <c r="Q642">
        <v>204.15</v>
      </c>
      <c r="R642">
        <v>27.16</v>
      </c>
      <c r="S642">
        <v>17.37</v>
      </c>
      <c r="T642">
        <v>2775.73</v>
      </c>
      <c r="U642">
        <v>0.64</v>
      </c>
      <c r="V642">
        <v>0.74</v>
      </c>
      <c r="W642">
        <v>1.1499999999999999</v>
      </c>
      <c r="X642">
        <v>0.17</v>
      </c>
      <c r="Y642">
        <v>1</v>
      </c>
      <c r="Z642">
        <v>10</v>
      </c>
    </row>
    <row r="643" spans="1:26" x14ac:dyDescent="0.3">
      <c r="A643">
        <v>33</v>
      </c>
      <c r="B643">
        <v>110</v>
      </c>
      <c r="C643" t="s">
        <v>26</v>
      </c>
      <c r="D643">
        <v>10.1526</v>
      </c>
      <c r="E643">
        <v>9.85</v>
      </c>
      <c r="F643">
        <v>6.86</v>
      </c>
      <c r="G643">
        <v>45.71</v>
      </c>
      <c r="H643">
        <v>0.72</v>
      </c>
      <c r="I643">
        <v>9</v>
      </c>
      <c r="J643">
        <v>227</v>
      </c>
      <c r="K643">
        <v>56.13</v>
      </c>
      <c r="L643">
        <v>9.25</v>
      </c>
      <c r="M643">
        <v>7</v>
      </c>
      <c r="N643">
        <v>51.62</v>
      </c>
      <c r="O643">
        <v>28230.92</v>
      </c>
      <c r="P643">
        <v>97.78</v>
      </c>
      <c r="Q643">
        <v>204.15</v>
      </c>
      <c r="R643">
        <v>26.98</v>
      </c>
      <c r="S643">
        <v>17.37</v>
      </c>
      <c r="T643">
        <v>2689.03</v>
      </c>
      <c r="U643">
        <v>0.64</v>
      </c>
      <c r="V643">
        <v>0.74</v>
      </c>
      <c r="W643">
        <v>1.1499999999999999</v>
      </c>
      <c r="X643">
        <v>0.17</v>
      </c>
      <c r="Y643">
        <v>1</v>
      </c>
      <c r="Z643">
        <v>10</v>
      </c>
    </row>
    <row r="644" spans="1:26" x14ac:dyDescent="0.3">
      <c r="A644">
        <v>34</v>
      </c>
      <c r="B644">
        <v>110</v>
      </c>
      <c r="C644" t="s">
        <v>26</v>
      </c>
      <c r="D644">
        <v>10.1523</v>
      </c>
      <c r="E644">
        <v>9.85</v>
      </c>
      <c r="F644">
        <v>6.86</v>
      </c>
      <c r="G644">
        <v>45.71</v>
      </c>
      <c r="H644">
        <v>0.74</v>
      </c>
      <c r="I644">
        <v>9</v>
      </c>
      <c r="J644">
        <v>227.42</v>
      </c>
      <c r="K644">
        <v>56.13</v>
      </c>
      <c r="L644">
        <v>9.5</v>
      </c>
      <c r="M644">
        <v>7</v>
      </c>
      <c r="N644">
        <v>51.8</v>
      </c>
      <c r="O644">
        <v>28282.83</v>
      </c>
      <c r="P644">
        <v>97.52</v>
      </c>
      <c r="Q644">
        <v>204.16</v>
      </c>
      <c r="R644">
        <v>27.01</v>
      </c>
      <c r="S644">
        <v>17.37</v>
      </c>
      <c r="T644">
        <v>2704.23</v>
      </c>
      <c r="U644">
        <v>0.64</v>
      </c>
      <c r="V644">
        <v>0.74</v>
      </c>
      <c r="W644">
        <v>1.1499999999999999</v>
      </c>
      <c r="X644">
        <v>0.17</v>
      </c>
      <c r="Y644">
        <v>1</v>
      </c>
      <c r="Z644">
        <v>10</v>
      </c>
    </row>
    <row r="645" spans="1:26" x14ac:dyDescent="0.3">
      <c r="A645">
        <v>35</v>
      </c>
      <c r="B645">
        <v>110</v>
      </c>
      <c r="C645" t="s">
        <v>26</v>
      </c>
      <c r="D645">
        <v>10.153700000000001</v>
      </c>
      <c r="E645">
        <v>9.85</v>
      </c>
      <c r="F645">
        <v>6.86</v>
      </c>
      <c r="G645">
        <v>45.71</v>
      </c>
      <c r="H645">
        <v>0.76</v>
      </c>
      <c r="I645">
        <v>9</v>
      </c>
      <c r="J645">
        <v>227.84</v>
      </c>
      <c r="K645">
        <v>56.13</v>
      </c>
      <c r="L645">
        <v>9.75</v>
      </c>
      <c r="M645">
        <v>7</v>
      </c>
      <c r="N645">
        <v>51.97</v>
      </c>
      <c r="O645">
        <v>28334.799999999999</v>
      </c>
      <c r="P645">
        <v>97.26</v>
      </c>
      <c r="Q645">
        <v>204.14</v>
      </c>
      <c r="R645">
        <v>27</v>
      </c>
      <c r="S645">
        <v>17.37</v>
      </c>
      <c r="T645">
        <v>2699.37</v>
      </c>
      <c r="U645">
        <v>0.64</v>
      </c>
      <c r="V645">
        <v>0.74</v>
      </c>
      <c r="W645">
        <v>1.1499999999999999</v>
      </c>
      <c r="X645">
        <v>0.16</v>
      </c>
      <c r="Y645">
        <v>1</v>
      </c>
      <c r="Z645">
        <v>10</v>
      </c>
    </row>
    <row r="646" spans="1:26" x14ac:dyDescent="0.3">
      <c r="A646">
        <v>36</v>
      </c>
      <c r="B646">
        <v>110</v>
      </c>
      <c r="C646" t="s">
        <v>26</v>
      </c>
      <c r="D646">
        <v>10.222899999999999</v>
      </c>
      <c r="E646">
        <v>9.7799999999999994</v>
      </c>
      <c r="F646">
        <v>6.83</v>
      </c>
      <c r="G646">
        <v>51.24</v>
      </c>
      <c r="H646">
        <v>0.78</v>
      </c>
      <c r="I646">
        <v>8</v>
      </c>
      <c r="J646">
        <v>228.27</v>
      </c>
      <c r="K646">
        <v>56.13</v>
      </c>
      <c r="L646">
        <v>10</v>
      </c>
      <c r="M646">
        <v>6</v>
      </c>
      <c r="N646">
        <v>52.14</v>
      </c>
      <c r="O646">
        <v>28386.82</v>
      </c>
      <c r="P646">
        <v>96.72</v>
      </c>
      <c r="Q646">
        <v>204.19</v>
      </c>
      <c r="R646">
        <v>26.19</v>
      </c>
      <c r="S646">
        <v>17.37</v>
      </c>
      <c r="T646">
        <v>2296.61</v>
      </c>
      <c r="U646">
        <v>0.66</v>
      </c>
      <c r="V646">
        <v>0.75</v>
      </c>
      <c r="W646">
        <v>1.1499999999999999</v>
      </c>
      <c r="X646">
        <v>0.14000000000000001</v>
      </c>
      <c r="Y646">
        <v>1</v>
      </c>
      <c r="Z646">
        <v>10</v>
      </c>
    </row>
    <row r="647" spans="1:26" x14ac:dyDescent="0.3">
      <c r="A647">
        <v>37</v>
      </c>
      <c r="B647">
        <v>110</v>
      </c>
      <c r="C647" t="s">
        <v>26</v>
      </c>
      <c r="D647">
        <v>10.236000000000001</v>
      </c>
      <c r="E647">
        <v>9.77</v>
      </c>
      <c r="F647">
        <v>6.82</v>
      </c>
      <c r="G647">
        <v>51.14</v>
      </c>
      <c r="H647">
        <v>0.8</v>
      </c>
      <c r="I647">
        <v>8</v>
      </c>
      <c r="J647">
        <v>228.69</v>
      </c>
      <c r="K647">
        <v>56.13</v>
      </c>
      <c r="L647">
        <v>10.25</v>
      </c>
      <c r="M647">
        <v>6</v>
      </c>
      <c r="N647">
        <v>52.31</v>
      </c>
      <c r="O647">
        <v>28438.91</v>
      </c>
      <c r="P647">
        <v>96.38</v>
      </c>
      <c r="Q647">
        <v>204.14</v>
      </c>
      <c r="R647">
        <v>25.82</v>
      </c>
      <c r="S647">
        <v>17.37</v>
      </c>
      <c r="T647">
        <v>2110.35</v>
      </c>
      <c r="U647">
        <v>0.67</v>
      </c>
      <c r="V647">
        <v>0.75</v>
      </c>
      <c r="W647">
        <v>1.1499999999999999</v>
      </c>
      <c r="X647">
        <v>0.13</v>
      </c>
      <c r="Y647">
        <v>1</v>
      </c>
      <c r="Z647">
        <v>10</v>
      </c>
    </row>
    <row r="648" spans="1:26" x14ac:dyDescent="0.3">
      <c r="A648">
        <v>38</v>
      </c>
      <c r="B648">
        <v>110</v>
      </c>
      <c r="C648" t="s">
        <v>26</v>
      </c>
      <c r="D648">
        <v>10.228400000000001</v>
      </c>
      <c r="E648">
        <v>9.7799999999999994</v>
      </c>
      <c r="F648">
        <v>6.83</v>
      </c>
      <c r="G648">
        <v>51.2</v>
      </c>
      <c r="H648">
        <v>0.81</v>
      </c>
      <c r="I648">
        <v>8</v>
      </c>
      <c r="J648">
        <v>229.11</v>
      </c>
      <c r="K648">
        <v>56.13</v>
      </c>
      <c r="L648">
        <v>10.5</v>
      </c>
      <c r="M648">
        <v>6</v>
      </c>
      <c r="N648">
        <v>52.48</v>
      </c>
      <c r="O648">
        <v>28491.06</v>
      </c>
      <c r="P648">
        <v>96.36</v>
      </c>
      <c r="Q648">
        <v>204.14</v>
      </c>
      <c r="R648">
        <v>25.97</v>
      </c>
      <c r="S648">
        <v>17.37</v>
      </c>
      <c r="T648">
        <v>2187.7800000000002</v>
      </c>
      <c r="U648">
        <v>0.67</v>
      </c>
      <c r="V648">
        <v>0.75</v>
      </c>
      <c r="W648">
        <v>1.1499999999999999</v>
      </c>
      <c r="X648">
        <v>0.14000000000000001</v>
      </c>
      <c r="Y648">
        <v>1</v>
      </c>
      <c r="Z648">
        <v>10</v>
      </c>
    </row>
    <row r="649" spans="1:26" x14ac:dyDescent="0.3">
      <c r="A649">
        <v>39</v>
      </c>
      <c r="B649">
        <v>110</v>
      </c>
      <c r="C649" t="s">
        <v>26</v>
      </c>
      <c r="D649">
        <v>10.2235</v>
      </c>
      <c r="E649">
        <v>9.7799999999999994</v>
      </c>
      <c r="F649">
        <v>6.83</v>
      </c>
      <c r="G649">
        <v>51.23</v>
      </c>
      <c r="H649">
        <v>0.83</v>
      </c>
      <c r="I649">
        <v>8</v>
      </c>
      <c r="J649">
        <v>229.53</v>
      </c>
      <c r="K649">
        <v>56.13</v>
      </c>
      <c r="L649">
        <v>10.75</v>
      </c>
      <c r="M649">
        <v>6</v>
      </c>
      <c r="N649">
        <v>52.66</v>
      </c>
      <c r="O649">
        <v>28543.27</v>
      </c>
      <c r="P649">
        <v>96.22</v>
      </c>
      <c r="Q649">
        <v>204.14</v>
      </c>
      <c r="R649">
        <v>26.1</v>
      </c>
      <c r="S649">
        <v>17.37</v>
      </c>
      <c r="T649">
        <v>2253.54</v>
      </c>
      <c r="U649">
        <v>0.67</v>
      </c>
      <c r="V649">
        <v>0.75</v>
      </c>
      <c r="W649">
        <v>1.1499999999999999</v>
      </c>
      <c r="X649">
        <v>0.14000000000000001</v>
      </c>
      <c r="Y649">
        <v>1</v>
      </c>
      <c r="Z649">
        <v>10</v>
      </c>
    </row>
    <row r="650" spans="1:26" x14ac:dyDescent="0.3">
      <c r="A650">
        <v>40</v>
      </c>
      <c r="B650">
        <v>110</v>
      </c>
      <c r="C650" t="s">
        <v>26</v>
      </c>
      <c r="D650">
        <v>10.2311</v>
      </c>
      <c r="E650">
        <v>9.77</v>
      </c>
      <c r="F650">
        <v>6.82</v>
      </c>
      <c r="G650">
        <v>51.18</v>
      </c>
      <c r="H650">
        <v>0.85</v>
      </c>
      <c r="I650">
        <v>8</v>
      </c>
      <c r="J650">
        <v>229.96</v>
      </c>
      <c r="K650">
        <v>56.13</v>
      </c>
      <c r="L650">
        <v>11</v>
      </c>
      <c r="M650">
        <v>6</v>
      </c>
      <c r="N650">
        <v>52.83</v>
      </c>
      <c r="O650">
        <v>28595.54</v>
      </c>
      <c r="P650">
        <v>96.12</v>
      </c>
      <c r="Q650">
        <v>204.14</v>
      </c>
      <c r="R650">
        <v>25.95</v>
      </c>
      <c r="S650">
        <v>17.37</v>
      </c>
      <c r="T650">
        <v>2177.65</v>
      </c>
      <c r="U650">
        <v>0.67</v>
      </c>
      <c r="V650">
        <v>0.75</v>
      </c>
      <c r="W650">
        <v>1.1499999999999999</v>
      </c>
      <c r="X650">
        <v>0.13</v>
      </c>
      <c r="Y650">
        <v>1</v>
      </c>
      <c r="Z650">
        <v>10</v>
      </c>
    </row>
    <row r="651" spans="1:26" x14ac:dyDescent="0.3">
      <c r="A651">
        <v>41</v>
      </c>
      <c r="B651">
        <v>110</v>
      </c>
      <c r="C651" t="s">
        <v>26</v>
      </c>
      <c r="D651">
        <v>10.225199999999999</v>
      </c>
      <c r="E651">
        <v>9.7799999999999994</v>
      </c>
      <c r="F651">
        <v>6.83</v>
      </c>
      <c r="G651">
        <v>51.22</v>
      </c>
      <c r="H651">
        <v>0.87</v>
      </c>
      <c r="I651">
        <v>8</v>
      </c>
      <c r="J651">
        <v>230.38</v>
      </c>
      <c r="K651">
        <v>56.13</v>
      </c>
      <c r="L651">
        <v>11.25</v>
      </c>
      <c r="M651">
        <v>6</v>
      </c>
      <c r="N651">
        <v>53</v>
      </c>
      <c r="O651">
        <v>28647.87</v>
      </c>
      <c r="P651">
        <v>95.83</v>
      </c>
      <c r="Q651">
        <v>204.14</v>
      </c>
      <c r="R651">
        <v>26.08</v>
      </c>
      <c r="S651">
        <v>17.37</v>
      </c>
      <c r="T651">
        <v>2243</v>
      </c>
      <c r="U651">
        <v>0.67</v>
      </c>
      <c r="V651">
        <v>0.75</v>
      </c>
      <c r="W651">
        <v>1.1499999999999999</v>
      </c>
      <c r="X651">
        <v>0.14000000000000001</v>
      </c>
      <c r="Y651">
        <v>1</v>
      </c>
      <c r="Z651">
        <v>10</v>
      </c>
    </row>
    <row r="652" spans="1:26" x14ac:dyDescent="0.3">
      <c r="A652">
        <v>42</v>
      </c>
      <c r="B652">
        <v>110</v>
      </c>
      <c r="C652" t="s">
        <v>26</v>
      </c>
      <c r="D652">
        <v>10.2987</v>
      </c>
      <c r="E652">
        <v>9.7100000000000009</v>
      </c>
      <c r="F652">
        <v>6.8</v>
      </c>
      <c r="G652">
        <v>58.3</v>
      </c>
      <c r="H652">
        <v>0.89</v>
      </c>
      <c r="I652">
        <v>7</v>
      </c>
      <c r="J652">
        <v>230.81</v>
      </c>
      <c r="K652">
        <v>56.13</v>
      </c>
      <c r="L652">
        <v>11.5</v>
      </c>
      <c r="M652">
        <v>5</v>
      </c>
      <c r="N652">
        <v>53.18</v>
      </c>
      <c r="O652">
        <v>28700.26</v>
      </c>
      <c r="P652">
        <v>95.35</v>
      </c>
      <c r="Q652">
        <v>204.14</v>
      </c>
      <c r="R652">
        <v>25.26</v>
      </c>
      <c r="S652">
        <v>17.37</v>
      </c>
      <c r="T652">
        <v>1834.85</v>
      </c>
      <c r="U652">
        <v>0.69</v>
      </c>
      <c r="V652">
        <v>0.75</v>
      </c>
      <c r="W652">
        <v>1.1499999999999999</v>
      </c>
      <c r="X652">
        <v>0.11</v>
      </c>
      <c r="Y652">
        <v>1</v>
      </c>
      <c r="Z652">
        <v>10</v>
      </c>
    </row>
    <row r="653" spans="1:26" x14ac:dyDescent="0.3">
      <c r="A653">
        <v>43</v>
      </c>
      <c r="B653">
        <v>110</v>
      </c>
      <c r="C653" t="s">
        <v>26</v>
      </c>
      <c r="D653">
        <v>10.2889</v>
      </c>
      <c r="E653">
        <v>9.7200000000000006</v>
      </c>
      <c r="F653">
        <v>6.81</v>
      </c>
      <c r="G653">
        <v>58.38</v>
      </c>
      <c r="H653">
        <v>0.9</v>
      </c>
      <c r="I653">
        <v>7</v>
      </c>
      <c r="J653">
        <v>231.23</v>
      </c>
      <c r="K653">
        <v>56.13</v>
      </c>
      <c r="L653">
        <v>11.75</v>
      </c>
      <c r="M653">
        <v>5</v>
      </c>
      <c r="N653">
        <v>53.36</v>
      </c>
      <c r="O653">
        <v>28752.71</v>
      </c>
      <c r="P653">
        <v>95.61</v>
      </c>
      <c r="Q653">
        <v>204.14</v>
      </c>
      <c r="R653">
        <v>25.53</v>
      </c>
      <c r="S653">
        <v>17.37</v>
      </c>
      <c r="T653">
        <v>1971.3</v>
      </c>
      <c r="U653">
        <v>0.68</v>
      </c>
      <c r="V653">
        <v>0.75</v>
      </c>
      <c r="W653">
        <v>1.1499999999999999</v>
      </c>
      <c r="X653">
        <v>0.12</v>
      </c>
      <c r="Y653">
        <v>1</v>
      </c>
      <c r="Z653">
        <v>10</v>
      </c>
    </row>
    <row r="654" spans="1:26" x14ac:dyDescent="0.3">
      <c r="A654">
        <v>44</v>
      </c>
      <c r="B654">
        <v>110</v>
      </c>
      <c r="C654" t="s">
        <v>26</v>
      </c>
      <c r="D654">
        <v>10.295400000000001</v>
      </c>
      <c r="E654">
        <v>9.7100000000000009</v>
      </c>
      <c r="F654">
        <v>6.8</v>
      </c>
      <c r="G654">
        <v>58.33</v>
      </c>
      <c r="H654">
        <v>0.92</v>
      </c>
      <c r="I654">
        <v>7</v>
      </c>
      <c r="J654">
        <v>231.66</v>
      </c>
      <c r="K654">
        <v>56.13</v>
      </c>
      <c r="L654">
        <v>12</v>
      </c>
      <c r="M654">
        <v>5</v>
      </c>
      <c r="N654">
        <v>53.53</v>
      </c>
      <c r="O654">
        <v>28805.23</v>
      </c>
      <c r="P654">
        <v>95.72</v>
      </c>
      <c r="Q654">
        <v>204.14</v>
      </c>
      <c r="R654">
        <v>25.29</v>
      </c>
      <c r="S654">
        <v>17.37</v>
      </c>
      <c r="T654">
        <v>1854.33</v>
      </c>
      <c r="U654">
        <v>0.69</v>
      </c>
      <c r="V654">
        <v>0.75</v>
      </c>
      <c r="W654">
        <v>1.1499999999999999</v>
      </c>
      <c r="X654">
        <v>0.11</v>
      </c>
      <c r="Y654">
        <v>1</v>
      </c>
      <c r="Z654">
        <v>10</v>
      </c>
    </row>
    <row r="655" spans="1:26" x14ac:dyDescent="0.3">
      <c r="A655">
        <v>45</v>
      </c>
      <c r="B655">
        <v>110</v>
      </c>
      <c r="C655" t="s">
        <v>26</v>
      </c>
      <c r="D655">
        <v>10.2913</v>
      </c>
      <c r="E655">
        <v>9.7200000000000006</v>
      </c>
      <c r="F655">
        <v>6.81</v>
      </c>
      <c r="G655">
        <v>58.36</v>
      </c>
      <c r="H655">
        <v>0.94</v>
      </c>
      <c r="I655">
        <v>7</v>
      </c>
      <c r="J655">
        <v>232.08</v>
      </c>
      <c r="K655">
        <v>56.13</v>
      </c>
      <c r="L655">
        <v>12.25</v>
      </c>
      <c r="M655">
        <v>5</v>
      </c>
      <c r="N655">
        <v>53.71</v>
      </c>
      <c r="O655">
        <v>28857.81</v>
      </c>
      <c r="P655">
        <v>95.65</v>
      </c>
      <c r="Q655">
        <v>204.14</v>
      </c>
      <c r="R655">
        <v>25.62</v>
      </c>
      <c r="S655">
        <v>17.37</v>
      </c>
      <c r="T655">
        <v>2018.85</v>
      </c>
      <c r="U655">
        <v>0.68</v>
      </c>
      <c r="V655">
        <v>0.75</v>
      </c>
      <c r="W655">
        <v>1.1399999999999999</v>
      </c>
      <c r="X655">
        <v>0.12</v>
      </c>
      <c r="Y655">
        <v>1</v>
      </c>
      <c r="Z655">
        <v>10</v>
      </c>
    </row>
    <row r="656" spans="1:26" x14ac:dyDescent="0.3">
      <c r="A656">
        <v>46</v>
      </c>
      <c r="B656">
        <v>110</v>
      </c>
      <c r="C656" t="s">
        <v>26</v>
      </c>
      <c r="D656">
        <v>10.290100000000001</v>
      </c>
      <c r="E656">
        <v>9.7200000000000006</v>
      </c>
      <c r="F656">
        <v>6.81</v>
      </c>
      <c r="G656">
        <v>58.37</v>
      </c>
      <c r="H656">
        <v>0.96</v>
      </c>
      <c r="I656">
        <v>7</v>
      </c>
      <c r="J656">
        <v>232.51</v>
      </c>
      <c r="K656">
        <v>56.13</v>
      </c>
      <c r="L656">
        <v>12.5</v>
      </c>
      <c r="M656">
        <v>5</v>
      </c>
      <c r="N656">
        <v>53.88</v>
      </c>
      <c r="O656">
        <v>28910.45</v>
      </c>
      <c r="P656">
        <v>95.53</v>
      </c>
      <c r="Q656">
        <v>204.15</v>
      </c>
      <c r="R656">
        <v>25.59</v>
      </c>
      <c r="S656">
        <v>17.37</v>
      </c>
      <c r="T656">
        <v>2004.01</v>
      </c>
      <c r="U656">
        <v>0.68</v>
      </c>
      <c r="V656">
        <v>0.75</v>
      </c>
      <c r="W656">
        <v>1.1499999999999999</v>
      </c>
      <c r="X656">
        <v>0.12</v>
      </c>
      <c r="Y656">
        <v>1</v>
      </c>
      <c r="Z656">
        <v>10</v>
      </c>
    </row>
    <row r="657" spans="1:26" x14ac:dyDescent="0.3">
      <c r="A657">
        <v>47</v>
      </c>
      <c r="B657">
        <v>110</v>
      </c>
      <c r="C657" t="s">
        <v>26</v>
      </c>
      <c r="D657">
        <v>10.291</v>
      </c>
      <c r="E657">
        <v>9.7200000000000006</v>
      </c>
      <c r="F657">
        <v>6.81</v>
      </c>
      <c r="G657">
        <v>58.36</v>
      </c>
      <c r="H657">
        <v>0.97</v>
      </c>
      <c r="I657">
        <v>7</v>
      </c>
      <c r="J657">
        <v>232.94</v>
      </c>
      <c r="K657">
        <v>56.13</v>
      </c>
      <c r="L657">
        <v>12.75</v>
      </c>
      <c r="M657">
        <v>5</v>
      </c>
      <c r="N657">
        <v>54.06</v>
      </c>
      <c r="O657">
        <v>28963.15</v>
      </c>
      <c r="P657">
        <v>95.28</v>
      </c>
      <c r="Q657">
        <v>204.15</v>
      </c>
      <c r="R657">
        <v>25.58</v>
      </c>
      <c r="S657">
        <v>17.37</v>
      </c>
      <c r="T657">
        <v>1997.89</v>
      </c>
      <c r="U657">
        <v>0.68</v>
      </c>
      <c r="V657">
        <v>0.75</v>
      </c>
      <c r="W657">
        <v>1.1499999999999999</v>
      </c>
      <c r="X657">
        <v>0.12</v>
      </c>
      <c r="Y657">
        <v>1</v>
      </c>
      <c r="Z657">
        <v>10</v>
      </c>
    </row>
    <row r="658" spans="1:26" x14ac:dyDescent="0.3">
      <c r="A658">
        <v>48</v>
      </c>
      <c r="B658">
        <v>110</v>
      </c>
      <c r="C658" t="s">
        <v>26</v>
      </c>
      <c r="D658">
        <v>10.2881</v>
      </c>
      <c r="E658">
        <v>9.7200000000000006</v>
      </c>
      <c r="F658">
        <v>6.81</v>
      </c>
      <c r="G658">
        <v>58.39</v>
      </c>
      <c r="H658">
        <v>0.99</v>
      </c>
      <c r="I658">
        <v>7</v>
      </c>
      <c r="J658">
        <v>233.37</v>
      </c>
      <c r="K658">
        <v>56.13</v>
      </c>
      <c r="L658">
        <v>13</v>
      </c>
      <c r="M658">
        <v>5</v>
      </c>
      <c r="N658">
        <v>54.24</v>
      </c>
      <c r="O658">
        <v>29015.91</v>
      </c>
      <c r="P658">
        <v>95.06</v>
      </c>
      <c r="Q658">
        <v>204.14</v>
      </c>
      <c r="R658">
        <v>25.72</v>
      </c>
      <c r="S658">
        <v>17.37</v>
      </c>
      <c r="T658">
        <v>2067.4699999999998</v>
      </c>
      <c r="U658">
        <v>0.68</v>
      </c>
      <c r="V658">
        <v>0.75</v>
      </c>
      <c r="W658">
        <v>1.1399999999999999</v>
      </c>
      <c r="X658">
        <v>0.12</v>
      </c>
      <c r="Y658">
        <v>1</v>
      </c>
      <c r="Z658">
        <v>10</v>
      </c>
    </row>
    <row r="659" spans="1:26" x14ac:dyDescent="0.3">
      <c r="A659">
        <v>49</v>
      </c>
      <c r="B659">
        <v>110</v>
      </c>
      <c r="C659" t="s">
        <v>26</v>
      </c>
      <c r="D659">
        <v>10.2889</v>
      </c>
      <c r="E659">
        <v>9.7200000000000006</v>
      </c>
      <c r="F659">
        <v>6.81</v>
      </c>
      <c r="G659">
        <v>58.38</v>
      </c>
      <c r="H659">
        <v>1.01</v>
      </c>
      <c r="I659">
        <v>7</v>
      </c>
      <c r="J659">
        <v>233.79</v>
      </c>
      <c r="K659">
        <v>56.13</v>
      </c>
      <c r="L659">
        <v>13.25</v>
      </c>
      <c r="M659">
        <v>5</v>
      </c>
      <c r="N659">
        <v>54.42</v>
      </c>
      <c r="O659">
        <v>29068.74</v>
      </c>
      <c r="P659">
        <v>94.81</v>
      </c>
      <c r="Q659">
        <v>204.16</v>
      </c>
      <c r="R659">
        <v>25.61</v>
      </c>
      <c r="S659">
        <v>17.37</v>
      </c>
      <c r="T659">
        <v>2010.86</v>
      </c>
      <c r="U659">
        <v>0.68</v>
      </c>
      <c r="V659">
        <v>0.75</v>
      </c>
      <c r="W659">
        <v>1.1499999999999999</v>
      </c>
      <c r="X659">
        <v>0.12</v>
      </c>
      <c r="Y659">
        <v>1</v>
      </c>
      <c r="Z659">
        <v>10</v>
      </c>
    </row>
    <row r="660" spans="1:26" x14ac:dyDescent="0.3">
      <c r="A660">
        <v>50</v>
      </c>
      <c r="B660">
        <v>110</v>
      </c>
      <c r="C660" t="s">
        <v>26</v>
      </c>
      <c r="D660">
        <v>10.3606</v>
      </c>
      <c r="E660">
        <v>9.65</v>
      </c>
      <c r="F660">
        <v>6.79</v>
      </c>
      <c r="G660">
        <v>67.86</v>
      </c>
      <c r="H660">
        <v>1.02</v>
      </c>
      <c r="I660">
        <v>6</v>
      </c>
      <c r="J660">
        <v>234.22</v>
      </c>
      <c r="K660">
        <v>56.13</v>
      </c>
      <c r="L660">
        <v>13.5</v>
      </c>
      <c r="M660">
        <v>4</v>
      </c>
      <c r="N660">
        <v>54.6</v>
      </c>
      <c r="O660">
        <v>29121.64</v>
      </c>
      <c r="P660">
        <v>94.13</v>
      </c>
      <c r="Q660">
        <v>204.14</v>
      </c>
      <c r="R660">
        <v>24.75</v>
      </c>
      <c r="S660">
        <v>17.37</v>
      </c>
      <c r="T660">
        <v>1588.75</v>
      </c>
      <c r="U660">
        <v>0.7</v>
      </c>
      <c r="V660">
        <v>0.75</v>
      </c>
      <c r="W660">
        <v>1.1499999999999999</v>
      </c>
      <c r="X660">
        <v>0.09</v>
      </c>
      <c r="Y660">
        <v>1</v>
      </c>
      <c r="Z660">
        <v>10</v>
      </c>
    </row>
    <row r="661" spans="1:26" x14ac:dyDescent="0.3">
      <c r="A661">
        <v>51</v>
      </c>
      <c r="B661">
        <v>110</v>
      </c>
      <c r="C661" t="s">
        <v>26</v>
      </c>
      <c r="D661">
        <v>10.3621</v>
      </c>
      <c r="E661">
        <v>9.65</v>
      </c>
      <c r="F661">
        <v>6.78</v>
      </c>
      <c r="G661">
        <v>67.84</v>
      </c>
      <c r="H661">
        <v>1.04</v>
      </c>
      <c r="I661">
        <v>6</v>
      </c>
      <c r="J661">
        <v>234.65</v>
      </c>
      <c r="K661">
        <v>56.13</v>
      </c>
      <c r="L661">
        <v>13.75</v>
      </c>
      <c r="M661">
        <v>4</v>
      </c>
      <c r="N661">
        <v>54.78</v>
      </c>
      <c r="O661">
        <v>29174.59</v>
      </c>
      <c r="P661">
        <v>94.16</v>
      </c>
      <c r="Q661">
        <v>204.15</v>
      </c>
      <c r="R661">
        <v>24.71</v>
      </c>
      <c r="S661">
        <v>17.37</v>
      </c>
      <c r="T661">
        <v>1565.06</v>
      </c>
      <c r="U661">
        <v>0.7</v>
      </c>
      <c r="V661">
        <v>0.75</v>
      </c>
      <c r="W661">
        <v>1.1499999999999999</v>
      </c>
      <c r="X661">
        <v>0.09</v>
      </c>
      <c r="Y661">
        <v>1</v>
      </c>
      <c r="Z661">
        <v>10</v>
      </c>
    </row>
    <row r="662" spans="1:26" x14ac:dyDescent="0.3">
      <c r="A662">
        <v>52</v>
      </c>
      <c r="B662">
        <v>110</v>
      </c>
      <c r="C662" t="s">
        <v>26</v>
      </c>
      <c r="D662">
        <v>10.36</v>
      </c>
      <c r="E662">
        <v>9.65</v>
      </c>
      <c r="F662">
        <v>6.79</v>
      </c>
      <c r="G662">
        <v>67.86</v>
      </c>
      <c r="H662">
        <v>1.06</v>
      </c>
      <c r="I662">
        <v>6</v>
      </c>
      <c r="J662">
        <v>235.08</v>
      </c>
      <c r="K662">
        <v>56.13</v>
      </c>
      <c r="L662">
        <v>14</v>
      </c>
      <c r="M662">
        <v>4</v>
      </c>
      <c r="N662">
        <v>54.96</v>
      </c>
      <c r="O662">
        <v>29227.61</v>
      </c>
      <c r="P662">
        <v>94.15</v>
      </c>
      <c r="Q662">
        <v>204.15</v>
      </c>
      <c r="R662">
        <v>24.87</v>
      </c>
      <c r="S662">
        <v>17.37</v>
      </c>
      <c r="T662">
        <v>1646.68</v>
      </c>
      <c r="U662">
        <v>0.7</v>
      </c>
      <c r="V662">
        <v>0.75</v>
      </c>
      <c r="W662">
        <v>1.1399999999999999</v>
      </c>
      <c r="X662">
        <v>0.1</v>
      </c>
      <c r="Y662">
        <v>1</v>
      </c>
      <c r="Z662">
        <v>10</v>
      </c>
    </row>
    <row r="663" spans="1:26" x14ac:dyDescent="0.3">
      <c r="A663">
        <v>53</v>
      </c>
      <c r="B663">
        <v>110</v>
      </c>
      <c r="C663" t="s">
        <v>26</v>
      </c>
      <c r="D663">
        <v>10.3561</v>
      </c>
      <c r="E663">
        <v>9.66</v>
      </c>
      <c r="F663">
        <v>6.79</v>
      </c>
      <c r="G663">
        <v>67.900000000000006</v>
      </c>
      <c r="H663">
        <v>1.08</v>
      </c>
      <c r="I663">
        <v>6</v>
      </c>
      <c r="J663">
        <v>235.51</v>
      </c>
      <c r="K663">
        <v>56.13</v>
      </c>
      <c r="L663">
        <v>14.25</v>
      </c>
      <c r="M663">
        <v>4</v>
      </c>
      <c r="N663">
        <v>55.14</v>
      </c>
      <c r="O663">
        <v>29280.69</v>
      </c>
      <c r="P663">
        <v>94.33</v>
      </c>
      <c r="Q663">
        <v>204.17</v>
      </c>
      <c r="R663">
        <v>24.89</v>
      </c>
      <c r="S663">
        <v>17.37</v>
      </c>
      <c r="T663">
        <v>1656.09</v>
      </c>
      <c r="U663">
        <v>0.7</v>
      </c>
      <c r="V663">
        <v>0.75</v>
      </c>
      <c r="W663">
        <v>1.1499999999999999</v>
      </c>
      <c r="X663">
        <v>0.1</v>
      </c>
      <c r="Y663">
        <v>1</v>
      </c>
      <c r="Z663">
        <v>10</v>
      </c>
    </row>
    <row r="664" spans="1:26" x14ac:dyDescent="0.3">
      <c r="A664">
        <v>54</v>
      </c>
      <c r="B664">
        <v>110</v>
      </c>
      <c r="C664" t="s">
        <v>26</v>
      </c>
      <c r="D664">
        <v>10.3576</v>
      </c>
      <c r="E664">
        <v>9.65</v>
      </c>
      <c r="F664">
        <v>6.79</v>
      </c>
      <c r="G664">
        <v>67.89</v>
      </c>
      <c r="H664">
        <v>1.0900000000000001</v>
      </c>
      <c r="I664">
        <v>6</v>
      </c>
      <c r="J664">
        <v>235.94</v>
      </c>
      <c r="K664">
        <v>56.13</v>
      </c>
      <c r="L664">
        <v>14.5</v>
      </c>
      <c r="M664">
        <v>4</v>
      </c>
      <c r="N664">
        <v>55.32</v>
      </c>
      <c r="O664">
        <v>29333.84</v>
      </c>
      <c r="P664">
        <v>94.29</v>
      </c>
      <c r="Q664">
        <v>204.14</v>
      </c>
      <c r="R664">
        <v>24.98</v>
      </c>
      <c r="S664">
        <v>17.37</v>
      </c>
      <c r="T664">
        <v>1699.99</v>
      </c>
      <c r="U664">
        <v>0.7</v>
      </c>
      <c r="V664">
        <v>0.75</v>
      </c>
      <c r="W664">
        <v>1.1399999999999999</v>
      </c>
      <c r="X664">
        <v>0.1</v>
      </c>
      <c r="Y664">
        <v>1</v>
      </c>
      <c r="Z664">
        <v>10</v>
      </c>
    </row>
    <row r="665" spans="1:26" x14ac:dyDescent="0.3">
      <c r="A665">
        <v>55</v>
      </c>
      <c r="B665">
        <v>110</v>
      </c>
      <c r="C665" t="s">
        <v>26</v>
      </c>
      <c r="D665">
        <v>10.366</v>
      </c>
      <c r="E665">
        <v>9.65</v>
      </c>
      <c r="F665">
        <v>6.78</v>
      </c>
      <c r="G665">
        <v>67.81</v>
      </c>
      <c r="H665">
        <v>1.1100000000000001</v>
      </c>
      <c r="I665">
        <v>6</v>
      </c>
      <c r="J665">
        <v>236.37</v>
      </c>
      <c r="K665">
        <v>56.13</v>
      </c>
      <c r="L665">
        <v>14.75</v>
      </c>
      <c r="M665">
        <v>4</v>
      </c>
      <c r="N665">
        <v>55.5</v>
      </c>
      <c r="O665">
        <v>29387.05</v>
      </c>
      <c r="P665">
        <v>94.12</v>
      </c>
      <c r="Q665">
        <v>204.14</v>
      </c>
      <c r="R665">
        <v>24.61</v>
      </c>
      <c r="S665">
        <v>17.37</v>
      </c>
      <c r="T665">
        <v>1518.5</v>
      </c>
      <c r="U665">
        <v>0.71</v>
      </c>
      <c r="V665">
        <v>0.75</v>
      </c>
      <c r="W665">
        <v>1.1499999999999999</v>
      </c>
      <c r="X665">
        <v>0.09</v>
      </c>
      <c r="Y665">
        <v>1</v>
      </c>
      <c r="Z665">
        <v>10</v>
      </c>
    </row>
    <row r="666" spans="1:26" x14ac:dyDescent="0.3">
      <c r="A666">
        <v>56</v>
      </c>
      <c r="B666">
        <v>110</v>
      </c>
      <c r="C666" t="s">
        <v>26</v>
      </c>
      <c r="D666">
        <v>10.3612</v>
      </c>
      <c r="E666">
        <v>9.65</v>
      </c>
      <c r="F666">
        <v>6.79</v>
      </c>
      <c r="G666">
        <v>67.849999999999994</v>
      </c>
      <c r="H666">
        <v>1.1299999999999999</v>
      </c>
      <c r="I666">
        <v>6</v>
      </c>
      <c r="J666">
        <v>236.81</v>
      </c>
      <c r="K666">
        <v>56.13</v>
      </c>
      <c r="L666">
        <v>15</v>
      </c>
      <c r="M666">
        <v>4</v>
      </c>
      <c r="N666">
        <v>55.68</v>
      </c>
      <c r="O666">
        <v>29440.33</v>
      </c>
      <c r="P666">
        <v>93.82</v>
      </c>
      <c r="Q666">
        <v>204.14</v>
      </c>
      <c r="R666">
        <v>24.72</v>
      </c>
      <c r="S666">
        <v>17.37</v>
      </c>
      <c r="T666">
        <v>1574.64</v>
      </c>
      <c r="U666">
        <v>0.7</v>
      </c>
      <c r="V666">
        <v>0.75</v>
      </c>
      <c r="W666">
        <v>1.1499999999999999</v>
      </c>
      <c r="X666">
        <v>0.09</v>
      </c>
      <c r="Y666">
        <v>1</v>
      </c>
      <c r="Z666">
        <v>10</v>
      </c>
    </row>
    <row r="667" spans="1:26" x14ac:dyDescent="0.3">
      <c r="A667">
        <v>57</v>
      </c>
      <c r="B667">
        <v>110</v>
      </c>
      <c r="C667" t="s">
        <v>26</v>
      </c>
      <c r="D667">
        <v>10.3567</v>
      </c>
      <c r="E667">
        <v>9.66</v>
      </c>
      <c r="F667">
        <v>6.79</v>
      </c>
      <c r="G667">
        <v>67.89</v>
      </c>
      <c r="H667">
        <v>1.1399999999999999</v>
      </c>
      <c r="I667">
        <v>6</v>
      </c>
      <c r="J667">
        <v>237.24</v>
      </c>
      <c r="K667">
        <v>56.13</v>
      </c>
      <c r="L667">
        <v>15.25</v>
      </c>
      <c r="M667">
        <v>4</v>
      </c>
      <c r="N667">
        <v>55.86</v>
      </c>
      <c r="O667">
        <v>29493.67</v>
      </c>
      <c r="P667">
        <v>93.77</v>
      </c>
      <c r="Q667">
        <v>204.14</v>
      </c>
      <c r="R667">
        <v>24.91</v>
      </c>
      <c r="S667">
        <v>17.37</v>
      </c>
      <c r="T667">
        <v>1669.66</v>
      </c>
      <c r="U667">
        <v>0.7</v>
      </c>
      <c r="V667">
        <v>0.75</v>
      </c>
      <c r="W667">
        <v>1.1499999999999999</v>
      </c>
      <c r="X667">
        <v>0.1</v>
      </c>
      <c r="Y667">
        <v>1</v>
      </c>
      <c r="Z667">
        <v>10</v>
      </c>
    </row>
    <row r="668" spans="1:26" x14ac:dyDescent="0.3">
      <c r="A668">
        <v>58</v>
      </c>
      <c r="B668">
        <v>110</v>
      </c>
      <c r="C668" t="s">
        <v>26</v>
      </c>
      <c r="D668">
        <v>10.3543</v>
      </c>
      <c r="E668">
        <v>9.66</v>
      </c>
      <c r="F668">
        <v>6.79</v>
      </c>
      <c r="G668">
        <v>67.92</v>
      </c>
      <c r="H668">
        <v>1.1599999999999999</v>
      </c>
      <c r="I668">
        <v>6</v>
      </c>
      <c r="J668">
        <v>237.67</v>
      </c>
      <c r="K668">
        <v>56.13</v>
      </c>
      <c r="L668">
        <v>15.5</v>
      </c>
      <c r="M668">
        <v>4</v>
      </c>
      <c r="N668">
        <v>56.05</v>
      </c>
      <c r="O668">
        <v>29547.07</v>
      </c>
      <c r="P668">
        <v>93.66</v>
      </c>
      <c r="Q668">
        <v>204.14</v>
      </c>
      <c r="R668">
        <v>25.03</v>
      </c>
      <c r="S668">
        <v>17.37</v>
      </c>
      <c r="T668">
        <v>1724.91</v>
      </c>
      <c r="U668">
        <v>0.69</v>
      </c>
      <c r="V668">
        <v>0.75</v>
      </c>
      <c r="W668">
        <v>1.1399999999999999</v>
      </c>
      <c r="X668">
        <v>0.1</v>
      </c>
      <c r="Y668">
        <v>1</v>
      </c>
      <c r="Z668">
        <v>10</v>
      </c>
    </row>
    <row r="669" spans="1:26" x14ac:dyDescent="0.3">
      <c r="A669">
        <v>59</v>
      </c>
      <c r="B669">
        <v>110</v>
      </c>
      <c r="C669" t="s">
        <v>26</v>
      </c>
      <c r="D669">
        <v>10.3543</v>
      </c>
      <c r="E669">
        <v>9.66</v>
      </c>
      <c r="F669">
        <v>6.79</v>
      </c>
      <c r="G669">
        <v>67.92</v>
      </c>
      <c r="H669">
        <v>1.18</v>
      </c>
      <c r="I669">
        <v>6</v>
      </c>
      <c r="J669">
        <v>238.11</v>
      </c>
      <c r="K669">
        <v>56.13</v>
      </c>
      <c r="L669">
        <v>15.75</v>
      </c>
      <c r="M669">
        <v>4</v>
      </c>
      <c r="N669">
        <v>56.23</v>
      </c>
      <c r="O669">
        <v>29600.54</v>
      </c>
      <c r="P669">
        <v>93.37</v>
      </c>
      <c r="Q669">
        <v>204.15</v>
      </c>
      <c r="R669">
        <v>24.92</v>
      </c>
      <c r="S669">
        <v>17.37</v>
      </c>
      <c r="T669">
        <v>1671.08</v>
      </c>
      <c r="U669">
        <v>0.7</v>
      </c>
      <c r="V669">
        <v>0.75</v>
      </c>
      <c r="W669">
        <v>1.1499999999999999</v>
      </c>
      <c r="X669">
        <v>0.1</v>
      </c>
      <c r="Y669">
        <v>1</v>
      </c>
      <c r="Z669">
        <v>10</v>
      </c>
    </row>
    <row r="670" spans="1:26" x14ac:dyDescent="0.3">
      <c r="A670">
        <v>60</v>
      </c>
      <c r="B670">
        <v>110</v>
      </c>
      <c r="C670" t="s">
        <v>26</v>
      </c>
      <c r="D670">
        <v>10.3582</v>
      </c>
      <c r="E670">
        <v>9.65</v>
      </c>
      <c r="F670">
        <v>6.79</v>
      </c>
      <c r="G670">
        <v>67.88</v>
      </c>
      <c r="H670">
        <v>1.19</v>
      </c>
      <c r="I670">
        <v>6</v>
      </c>
      <c r="J670">
        <v>238.54</v>
      </c>
      <c r="K670">
        <v>56.13</v>
      </c>
      <c r="L670">
        <v>16</v>
      </c>
      <c r="M670">
        <v>4</v>
      </c>
      <c r="N670">
        <v>56.41</v>
      </c>
      <c r="O670">
        <v>29654.080000000002</v>
      </c>
      <c r="P670">
        <v>93.43</v>
      </c>
      <c r="Q670">
        <v>204.16</v>
      </c>
      <c r="R670">
        <v>24.76</v>
      </c>
      <c r="S670">
        <v>17.37</v>
      </c>
      <c r="T670">
        <v>1592.66</v>
      </c>
      <c r="U670">
        <v>0.7</v>
      </c>
      <c r="V670">
        <v>0.75</v>
      </c>
      <c r="W670">
        <v>1.1499999999999999</v>
      </c>
      <c r="X670">
        <v>0.1</v>
      </c>
      <c r="Y670">
        <v>1</v>
      </c>
      <c r="Z670">
        <v>10</v>
      </c>
    </row>
    <row r="671" spans="1:26" x14ac:dyDescent="0.3">
      <c r="A671">
        <v>61</v>
      </c>
      <c r="B671">
        <v>110</v>
      </c>
      <c r="C671" t="s">
        <v>26</v>
      </c>
      <c r="D671">
        <v>10.3546</v>
      </c>
      <c r="E671">
        <v>9.66</v>
      </c>
      <c r="F671">
        <v>6.79</v>
      </c>
      <c r="G671">
        <v>67.91</v>
      </c>
      <c r="H671">
        <v>1.21</v>
      </c>
      <c r="I671">
        <v>6</v>
      </c>
      <c r="J671">
        <v>238.97</v>
      </c>
      <c r="K671">
        <v>56.13</v>
      </c>
      <c r="L671">
        <v>16.25</v>
      </c>
      <c r="M671">
        <v>4</v>
      </c>
      <c r="N671">
        <v>56.6</v>
      </c>
      <c r="O671">
        <v>29707.68</v>
      </c>
      <c r="P671">
        <v>93.11</v>
      </c>
      <c r="Q671">
        <v>204.14</v>
      </c>
      <c r="R671">
        <v>25.01</v>
      </c>
      <c r="S671">
        <v>17.37</v>
      </c>
      <c r="T671">
        <v>1719.58</v>
      </c>
      <c r="U671">
        <v>0.69</v>
      </c>
      <c r="V671">
        <v>0.75</v>
      </c>
      <c r="W671">
        <v>1.1399999999999999</v>
      </c>
      <c r="X671">
        <v>0.1</v>
      </c>
      <c r="Y671">
        <v>1</v>
      </c>
      <c r="Z671">
        <v>10</v>
      </c>
    </row>
    <row r="672" spans="1:26" x14ac:dyDescent="0.3">
      <c r="A672">
        <v>62</v>
      </c>
      <c r="B672">
        <v>110</v>
      </c>
      <c r="C672" t="s">
        <v>26</v>
      </c>
      <c r="D672">
        <v>10.425700000000001</v>
      </c>
      <c r="E672">
        <v>9.59</v>
      </c>
      <c r="F672">
        <v>6.77</v>
      </c>
      <c r="G672">
        <v>81.209999999999994</v>
      </c>
      <c r="H672">
        <v>1.23</v>
      </c>
      <c r="I672">
        <v>5</v>
      </c>
      <c r="J672">
        <v>239.41</v>
      </c>
      <c r="K672">
        <v>56.13</v>
      </c>
      <c r="L672">
        <v>16.5</v>
      </c>
      <c r="M672">
        <v>3</v>
      </c>
      <c r="N672">
        <v>56.78</v>
      </c>
      <c r="O672">
        <v>29761.35</v>
      </c>
      <c r="P672">
        <v>92.16</v>
      </c>
      <c r="Q672">
        <v>204.14</v>
      </c>
      <c r="R672">
        <v>24.27</v>
      </c>
      <c r="S672">
        <v>17.37</v>
      </c>
      <c r="T672">
        <v>1351.43</v>
      </c>
      <c r="U672">
        <v>0.72</v>
      </c>
      <c r="V672">
        <v>0.75</v>
      </c>
      <c r="W672">
        <v>1.1399999999999999</v>
      </c>
      <c r="X672">
        <v>0.08</v>
      </c>
      <c r="Y672">
        <v>1</v>
      </c>
      <c r="Z672">
        <v>10</v>
      </c>
    </row>
    <row r="673" spans="1:26" x14ac:dyDescent="0.3">
      <c r="A673">
        <v>63</v>
      </c>
      <c r="B673">
        <v>110</v>
      </c>
      <c r="C673" t="s">
        <v>26</v>
      </c>
      <c r="D673">
        <v>10.419700000000001</v>
      </c>
      <c r="E673">
        <v>9.6</v>
      </c>
      <c r="F673">
        <v>6.77</v>
      </c>
      <c r="G673">
        <v>81.28</v>
      </c>
      <c r="H673">
        <v>1.24</v>
      </c>
      <c r="I673">
        <v>5</v>
      </c>
      <c r="J673">
        <v>239.85</v>
      </c>
      <c r="K673">
        <v>56.13</v>
      </c>
      <c r="L673">
        <v>16.75</v>
      </c>
      <c r="M673">
        <v>3</v>
      </c>
      <c r="N673">
        <v>56.97</v>
      </c>
      <c r="O673">
        <v>29815.09</v>
      </c>
      <c r="P673">
        <v>92.46</v>
      </c>
      <c r="Q673">
        <v>204.14</v>
      </c>
      <c r="R673">
        <v>24.43</v>
      </c>
      <c r="S673">
        <v>17.37</v>
      </c>
      <c r="T673">
        <v>1434.71</v>
      </c>
      <c r="U673">
        <v>0.71</v>
      </c>
      <c r="V673">
        <v>0.75</v>
      </c>
      <c r="W673">
        <v>1.1399999999999999</v>
      </c>
      <c r="X673">
        <v>0.08</v>
      </c>
      <c r="Y673">
        <v>1</v>
      </c>
      <c r="Z673">
        <v>10</v>
      </c>
    </row>
    <row r="674" spans="1:26" x14ac:dyDescent="0.3">
      <c r="A674">
        <v>64</v>
      </c>
      <c r="B674">
        <v>110</v>
      </c>
      <c r="C674" t="s">
        <v>26</v>
      </c>
      <c r="D674">
        <v>10.4155</v>
      </c>
      <c r="E674">
        <v>9.6</v>
      </c>
      <c r="F674">
        <v>6.78</v>
      </c>
      <c r="G674">
        <v>81.33</v>
      </c>
      <c r="H674">
        <v>1.26</v>
      </c>
      <c r="I674">
        <v>5</v>
      </c>
      <c r="J674">
        <v>240.28</v>
      </c>
      <c r="K674">
        <v>56.13</v>
      </c>
      <c r="L674">
        <v>17</v>
      </c>
      <c r="M674">
        <v>3</v>
      </c>
      <c r="N674">
        <v>57.16</v>
      </c>
      <c r="O674">
        <v>29869.01</v>
      </c>
      <c r="P674">
        <v>92.66</v>
      </c>
      <c r="Q674">
        <v>204.14</v>
      </c>
      <c r="R674">
        <v>24.59</v>
      </c>
      <c r="S674">
        <v>17.37</v>
      </c>
      <c r="T674">
        <v>1510.4</v>
      </c>
      <c r="U674">
        <v>0.71</v>
      </c>
      <c r="V674">
        <v>0.75</v>
      </c>
      <c r="W674">
        <v>1.1399999999999999</v>
      </c>
      <c r="X674">
        <v>0.09</v>
      </c>
      <c r="Y674">
        <v>1</v>
      </c>
      <c r="Z674">
        <v>10</v>
      </c>
    </row>
    <row r="675" spans="1:26" x14ac:dyDescent="0.3">
      <c r="A675">
        <v>65</v>
      </c>
      <c r="B675">
        <v>110</v>
      </c>
      <c r="C675" t="s">
        <v>26</v>
      </c>
      <c r="D675">
        <v>10.420299999999999</v>
      </c>
      <c r="E675">
        <v>9.6</v>
      </c>
      <c r="F675">
        <v>6.77</v>
      </c>
      <c r="G675">
        <v>81.27</v>
      </c>
      <c r="H675">
        <v>1.27</v>
      </c>
      <c r="I675">
        <v>5</v>
      </c>
      <c r="J675">
        <v>240.72</v>
      </c>
      <c r="K675">
        <v>56.13</v>
      </c>
      <c r="L675">
        <v>17.25</v>
      </c>
      <c r="M675">
        <v>3</v>
      </c>
      <c r="N675">
        <v>57.34</v>
      </c>
      <c r="O675">
        <v>29922.880000000001</v>
      </c>
      <c r="P675">
        <v>92.61</v>
      </c>
      <c r="Q675">
        <v>204.14</v>
      </c>
      <c r="R675">
        <v>24.35</v>
      </c>
      <c r="S675">
        <v>17.37</v>
      </c>
      <c r="T675">
        <v>1391.89</v>
      </c>
      <c r="U675">
        <v>0.71</v>
      </c>
      <c r="V675">
        <v>0.75</v>
      </c>
      <c r="W675">
        <v>1.1499999999999999</v>
      </c>
      <c r="X675">
        <v>0.08</v>
      </c>
      <c r="Y675">
        <v>1</v>
      </c>
      <c r="Z675">
        <v>10</v>
      </c>
    </row>
    <row r="676" spans="1:26" x14ac:dyDescent="0.3">
      <c r="A676">
        <v>66</v>
      </c>
      <c r="B676">
        <v>110</v>
      </c>
      <c r="C676" t="s">
        <v>26</v>
      </c>
      <c r="D676">
        <v>10.418200000000001</v>
      </c>
      <c r="E676">
        <v>9.6</v>
      </c>
      <c r="F676">
        <v>6.77</v>
      </c>
      <c r="G676">
        <v>81.3</v>
      </c>
      <c r="H676">
        <v>1.29</v>
      </c>
      <c r="I676">
        <v>5</v>
      </c>
      <c r="J676">
        <v>241.16</v>
      </c>
      <c r="K676">
        <v>56.13</v>
      </c>
      <c r="L676">
        <v>17.5</v>
      </c>
      <c r="M676">
        <v>3</v>
      </c>
      <c r="N676">
        <v>57.53</v>
      </c>
      <c r="O676">
        <v>29976.82</v>
      </c>
      <c r="P676">
        <v>92.88</v>
      </c>
      <c r="Q676">
        <v>204.15</v>
      </c>
      <c r="R676">
        <v>24.41</v>
      </c>
      <c r="S676">
        <v>17.37</v>
      </c>
      <c r="T676">
        <v>1424.48</v>
      </c>
      <c r="U676">
        <v>0.71</v>
      </c>
      <c r="V676">
        <v>0.75</v>
      </c>
      <c r="W676">
        <v>1.1499999999999999</v>
      </c>
      <c r="X676">
        <v>0.08</v>
      </c>
      <c r="Y676">
        <v>1</v>
      </c>
      <c r="Z676">
        <v>10</v>
      </c>
    </row>
    <row r="677" spans="1:26" x14ac:dyDescent="0.3">
      <c r="A677">
        <v>67</v>
      </c>
      <c r="B677">
        <v>110</v>
      </c>
      <c r="C677" t="s">
        <v>26</v>
      </c>
      <c r="D677">
        <v>10.4194</v>
      </c>
      <c r="E677">
        <v>9.6</v>
      </c>
      <c r="F677">
        <v>6.77</v>
      </c>
      <c r="G677">
        <v>81.28</v>
      </c>
      <c r="H677">
        <v>1.31</v>
      </c>
      <c r="I677">
        <v>5</v>
      </c>
      <c r="J677">
        <v>241.59</v>
      </c>
      <c r="K677">
        <v>56.13</v>
      </c>
      <c r="L677">
        <v>17.75</v>
      </c>
      <c r="M677">
        <v>3</v>
      </c>
      <c r="N677">
        <v>57.72</v>
      </c>
      <c r="O677">
        <v>30030.83</v>
      </c>
      <c r="P677">
        <v>92.7</v>
      </c>
      <c r="Q677">
        <v>204.14</v>
      </c>
      <c r="R677">
        <v>24.44</v>
      </c>
      <c r="S677">
        <v>17.37</v>
      </c>
      <c r="T677">
        <v>1436.8</v>
      </c>
      <c r="U677">
        <v>0.71</v>
      </c>
      <c r="V677">
        <v>0.75</v>
      </c>
      <c r="W677">
        <v>1.1399999999999999</v>
      </c>
      <c r="X677">
        <v>0.08</v>
      </c>
      <c r="Y677">
        <v>1</v>
      </c>
      <c r="Z677">
        <v>10</v>
      </c>
    </row>
    <row r="678" spans="1:26" x14ac:dyDescent="0.3">
      <c r="A678">
        <v>68</v>
      </c>
      <c r="B678">
        <v>110</v>
      </c>
      <c r="C678" t="s">
        <v>26</v>
      </c>
      <c r="D678">
        <v>10.420299999999999</v>
      </c>
      <c r="E678">
        <v>9.6</v>
      </c>
      <c r="F678">
        <v>6.77</v>
      </c>
      <c r="G678">
        <v>81.27</v>
      </c>
      <c r="H678">
        <v>1.32</v>
      </c>
      <c r="I678">
        <v>5</v>
      </c>
      <c r="J678">
        <v>242.03</v>
      </c>
      <c r="K678">
        <v>56.13</v>
      </c>
      <c r="L678">
        <v>18</v>
      </c>
      <c r="M678">
        <v>3</v>
      </c>
      <c r="N678">
        <v>57.91</v>
      </c>
      <c r="O678">
        <v>30084.9</v>
      </c>
      <c r="P678">
        <v>92.6</v>
      </c>
      <c r="Q678">
        <v>204.17</v>
      </c>
      <c r="R678">
        <v>24.45</v>
      </c>
      <c r="S678">
        <v>17.37</v>
      </c>
      <c r="T678">
        <v>1440.42</v>
      </c>
      <c r="U678">
        <v>0.71</v>
      </c>
      <c r="V678">
        <v>0.75</v>
      </c>
      <c r="W678">
        <v>1.1399999999999999</v>
      </c>
      <c r="X678">
        <v>0.08</v>
      </c>
      <c r="Y678">
        <v>1</v>
      </c>
      <c r="Z678">
        <v>10</v>
      </c>
    </row>
    <row r="679" spans="1:26" x14ac:dyDescent="0.3">
      <c r="A679">
        <v>69</v>
      </c>
      <c r="B679">
        <v>110</v>
      </c>
      <c r="C679" t="s">
        <v>26</v>
      </c>
      <c r="D679">
        <v>10.415800000000001</v>
      </c>
      <c r="E679">
        <v>9.6</v>
      </c>
      <c r="F679">
        <v>6.78</v>
      </c>
      <c r="G679">
        <v>81.319999999999993</v>
      </c>
      <c r="H679">
        <v>1.34</v>
      </c>
      <c r="I679">
        <v>5</v>
      </c>
      <c r="J679">
        <v>242.47</v>
      </c>
      <c r="K679">
        <v>56.13</v>
      </c>
      <c r="L679">
        <v>18.25</v>
      </c>
      <c r="M679">
        <v>3</v>
      </c>
      <c r="N679">
        <v>58.1</v>
      </c>
      <c r="O679">
        <v>30139.040000000001</v>
      </c>
      <c r="P679">
        <v>92.59</v>
      </c>
      <c r="Q679">
        <v>204.14</v>
      </c>
      <c r="R679">
        <v>24.49</v>
      </c>
      <c r="S679">
        <v>17.37</v>
      </c>
      <c r="T679">
        <v>1462.49</v>
      </c>
      <c r="U679">
        <v>0.71</v>
      </c>
      <c r="V679">
        <v>0.75</v>
      </c>
      <c r="W679">
        <v>1.1499999999999999</v>
      </c>
      <c r="X679">
        <v>0.09</v>
      </c>
      <c r="Y679">
        <v>1</v>
      </c>
      <c r="Z679">
        <v>10</v>
      </c>
    </row>
    <row r="680" spans="1:26" x14ac:dyDescent="0.3">
      <c r="A680">
        <v>70</v>
      </c>
      <c r="B680">
        <v>110</v>
      </c>
      <c r="C680" t="s">
        <v>26</v>
      </c>
      <c r="D680">
        <v>10.422700000000001</v>
      </c>
      <c r="E680">
        <v>9.59</v>
      </c>
      <c r="F680">
        <v>6.77</v>
      </c>
      <c r="G680">
        <v>81.25</v>
      </c>
      <c r="H680">
        <v>1.35</v>
      </c>
      <c r="I680">
        <v>5</v>
      </c>
      <c r="J680">
        <v>242.91</v>
      </c>
      <c r="K680">
        <v>56.13</v>
      </c>
      <c r="L680">
        <v>18.5</v>
      </c>
      <c r="M680">
        <v>3</v>
      </c>
      <c r="N680">
        <v>58.28</v>
      </c>
      <c r="O680">
        <v>30193.25</v>
      </c>
      <c r="P680">
        <v>92.34</v>
      </c>
      <c r="Q680">
        <v>204.14</v>
      </c>
      <c r="R680">
        <v>24.39</v>
      </c>
      <c r="S680">
        <v>17.37</v>
      </c>
      <c r="T680">
        <v>1412.74</v>
      </c>
      <c r="U680">
        <v>0.71</v>
      </c>
      <c r="V680">
        <v>0.75</v>
      </c>
      <c r="W680">
        <v>1.1399999999999999</v>
      </c>
      <c r="X680">
        <v>0.08</v>
      </c>
      <c r="Y680">
        <v>1</v>
      </c>
      <c r="Z680">
        <v>10</v>
      </c>
    </row>
    <row r="681" spans="1:26" x14ac:dyDescent="0.3">
      <c r="A681">
        <v>71</v>
      </c>
      <c r="B681">
        <v>110</v>
      </c>
      <c r="C681" t="s">
        <v>26</v>
      </c>
      <c r="D681">
        <v>10.42</v>
      </c>
      <c r="E681">
        <v>9.6</v>
      </c>
      <c r="F681">
        <v>6.77</v>
      </c>
      <c r="G681">
        <v>81.28</v>
      </c>
      <c r="H681">
        <v>1.37</v>
      </c>
      <c r="I681">
        <v>5</v>
      </c>
      <c r="J681">
        <v>243.35</v>
      </c>
      <c r="K681">
        <v>56.13</v>
      </c>
      <c r="L681">
        <v>18.75</v>
      </c>
      <c r="M681">
        <v>3</v>
      </c>
      <c r="N681">
        <v>58.47</v>
      </c>
      <c r="O681">
        <v>30247.53</v>
      </c>
      <c r="P681">
        <v>92.23</v>
      </c>
      <c r="Q681">
        <v>204.14</v>
      </c>
      <c r="R681">
        <v>24.45</v>
      </c>
      <c r="S681">
        <v>17.37</v>
      </c>
      <c r="T681">
        <v>1440.56</v>
      </c>
      <c r="U681">
        <v>0.71</v>
      </c>
      <c r="V681">
        <v>0.75</v>
      </c>
      <c r="W681">
        <v>1.1399999999999999</v>
      </c>
      <c r="X681">
        <v>0.08</v>
      </c>
      <c r="Y681">
        <v>1</v>
      </c>
      <c r="Z681">
        <v>10</v>
      </c>
    </row>
    <row r="682" spans="1:26" x14ac:dyDescent="0.3">
      <c r="A682">
        <v>72</v>
      </c>
      <c r="B682">
        <v>110</v>
      </c>
      <c r="C682" t="s">
        <v>26</v>
      </c>
      <c r="D682">
        <v>10.4269</v>
      </c>
      <c r="E682">
        <v>9.59</v>
      </c>
      <c r="F682">
        <v>6.77</v>
      </c>
      <c r="G682">
        <v>81.2</v>
      </c>
      <c r="H682">
        <v>1.39</v>
      </c>
      <c r="I682">
        <v>5</v>
      </c>
      <c r="J682">
        <v>243.79</v>
      </c>
      <c r="K682">
        <v>56.13</v>
      </c>
      <c r="L682">
        <v>19</v>
      </c>
      <c r="M682">
        <v>3</v>
      </c>
      <c r="N682">
        <v>58.67</v>
      </c>
      <c r="O682">
        <v>30301.87</v>
      </c>
      <c r="P682">
        <v>91.92</v>
      </c>
      <c r="Q682">
        <v>204.16</v>
      </c>
      <c r="R682">
        <v>24.21</v>
      </c>
      <c r="S682">
        <v>17.37</v>
      </c>
      <c r="T682">
        <v>1323.05</v>
      </c>
      <c r="U682">
        <v>0.72</v>
      </c>
      <c r="V682">
        <v>0.75</v>
      </c>
      <c r="W682">
        <v>1.1399999999999999</v>
      </c>
      <c r="X682">
        <v>7.0000000000000007E-2</v>
      </c>
      <c r="Y682">
        <v>1</v>
      </c>
      <c r="Z682">
        <v>10</v>
      </c>
    </row>
    <row r="683" spans="1:26" x14ac:dyDescent="0.3">
      <c r="A683">
        <v>73</v>
      </c>
      <c r="B683">
        <v>110</v>
      </c>
      <c r="C683" t="s">
        <v>26</v>
      </c>
      <c r="D683">
        <v>10.4305</v>
      </c>
      <c r="E683">
        <v>9.59</v>
      </c>
      <c r="F683">
        <v>6.76</v>
      </c>
      <c r="G683">
        <v>81.16</v>
      </c>
      <c r="H683">
        <v>1.4</v>
      </c>
      <c r="I683">
        <v>5</v>
      </c>
      <c r="J683">
        <v>244.23</v>
      </c>
      <c r="K683">
        <v>56.13</v>
      </c>
      <c r="L683">
        <v>19.25</v>
      </c>
      <c r="M683">
        <v>3</v>
      </c>
      <c r="N683">
        <v>58.86</v>
      </c>
      <c r="O683">
        <v>30356.29</v>
      </c>
      <c r="P683">
        <v>91.55</v>
      </c>
      <c r="Q683">
        <v>204.14</v>
      </c>
      <c r="R683">
        <v>24.11</v>
      </c>
      <c r="S683">
        <v>17.37</v>
      </c>
      <c r="T683">
        <v>1274</v>
      </c>
      <c r="U683">
        <v>0.72</v>
      </c>
      <c r="V683">
        <v>0.76</v>
      </c>
      <c r="W683">
        <v>1.1399999999999999</v>
      </c>
      <c r="X683">
        <v>7.0000000000000007E-2</v>
      </c>
      <c r="Y683">
        <v>1</v>
      </c>
      <c r="Z683">
        <v>10</v>
      </c>
    </row>
    <row r="684" spans="1:26" x14ac:dyDescent="0.3">
      <c r="A684">
        <v>74</v>
      </c>
      <c r="B684">
        <v>110</v>
      </c>
      <c r="C684" t="s">
        <v>26</v>
      </c>
      <c r="D684">
        <v>10.4305</v>
      </c>
      <c r="E684">
        <v>9.59</v>
      </c>
      <c r="F684">
        <v>6.76</v>
      </c>
      <c r="G684">
        <v>81.16</v>
      </c>
      <c r="H684">
        <v>1.42</v>
      </c>
      <c r="I684">
        <v>5</v>
      </c>
      <c r="J684">
        <v>244.68</v>
      </c>
      <c r="K684">
        <v>56.13</v>
      </c>
      <c r="L684">
        <v>19.5</v>
      </c>
      <c r="M684">
        <v>3</v>
      </c>
      <c r="N684">
        <v>59.05</v>
      </c>
      <c r="O684">
        <v>30410.77</v>
      </c>
      <c r="P684">
        <v>91.24</v>
      </c>
      <c r="Q684">
        <v>204.14</v>
      </c>
      <c r="R684">
        <v>24.05</v>
      </c>
      <c r="S684">
        <v>17.37</v>
      </c>
      <c r="T684">
        <v>1240.5</v>
      </c>
      <c r="U684">
        <v>0.72</v>
      </c>
      <c r="V684">
        <v>0.76</v>
      </c>
      <c r="W684">
        <v>1.1399999999999999</v>
      </c>
      <c r="X684">
        <v>7.0000000000000007E-2</v>
      </c>
      <c r="Y684">
        <v>1</v>
      </c>
      <c r="Z684">
        <v>10</v>
      </c>
    </row>
    <row r="685" spans="1:26" x14ac:dyDescent="0.3">
      <c r="A685">
        <v>75</v>
      </c>
      <c r="B685">
        <v>110</v>
      </c>
      <c r="C685" t="s">
        <v>26</v>
      </c>
      <c r="D685">
        <v>10.424799999999999</v>
      </c>
      <c r="E685">
        <v>9.59</v>
      </c>
      <c r="F685">
        <v>6.77</v>
      </c>
      <c r="G685">
        <v>81.22</v>
      </c>
      <c r="H685">
        <v>1.43</v>
      </c>
      <c r="I685">
        <v>5</v>
      </c>
      <c r="J685">
        <v>245.12</v>
      </c>
      <c r="K685">
        <v>56.13</v>
      </c>
      <c r="L685">
        <v>19.75</v>
      </c>
      <c r="M685">
        <v>3</v>
      </c>
      <c r="N685">
        <v>59.24</v>
      </c>
      <c r="O685">
        <v>30465.32</v>
      </c>
      <c r="P685">
        <v>90.87</v>
      </c>
      <c r="Q685">
        <v>204.14</v>
      </c>
      <c r="R685">
        <v>24.17</v>
      </c>
      <c r="S685">
        <v>17.37</v>
      </c>
      <c r="T685">
        <v>1303.71</v>
      </c>
      <c r="U685">
        <v>0.72</v>
      </c>
      <c r="V685">
        <v>0.75</v>
      </c>
      <c r="W685">
        <v>1.1499999999999999</v>
      </c>
      <c r="X685">
        <v>0.08</v>
      </c>
      <c r="Y685">
        <v>1</v>
      </c>
      <c r="Z685">
        <v>10</v>
      </c>
    </row>
    <row r="686" spans="1:26" x14ac:dyDescent="0.3">
      <c r="A686">
        <v>76</v>
      </c>
      <c r="B686">
        <v>110</v>
      </c>
      <c r="C686" t="s">
        <v>26</v>
      </c>
      <c r="D686">
        <v>10.428699999999999</v>
      </c>
      <c r="E686">
        <v>9.59</v>
      </c>
      <c r="F686">
        <v>6.76</v>
      </c>
      <c r="G686">
        <v>81.180000000000007</v>
      </c>
      <c r="H686">
        <v>1.45</v>
      </c>
      <c r="I686">
        <v>5</v>
      </c>
      <c r="J686">
        <v>245.56</v>
      </c>
      <c r="K686">
        <v>56.13</v>
      </c>
      <c r="L686">
        <v>20</v>
      </c>
      <c r="M686">
        <v>3</v>
      </c>
      <c r="N686">
        <v>59.43</v>
      </c>
      <c r="O686">
        <v>30519.94</v>
      </c>
      <c r="P686">
        <v>90.48</v>
      </c>
      <c r="Q686">
        <v>204.14</v>
      </c>
      <c r="R686">
        <v>24.16</v>
      </c>
      <c r="S686">
        <v>17.37</v>
      </c>
      <c r="T686">
        <v>1299.6199999999999</v>
      </c>
      <c r="U686">
        <v>0.72</v>
      </c>
      <c r="V686">
        <v>0.75</v>
      </c>
      <c r="W686">
        <v>1.1399999999999999</v>
      </c>
      <c r="X686">
        <v>7.0000000000000007E-2</v>
      </c>
      <c r="Y686">
        <v>1</v>
      </c>
      <c r="Z686">
        <v>10</v>
      </c>
    </row>
    <row r="687" spans="1:26" x14ac:dyDescent="0.3">
      <c r="A687">
        <v>77</v>
      </c>
      <c r="B687">
        <v>110</v>
      </c>
      <c r="C687" t="s">
        <v>26</v>
      </c>
      <c r="D687">
        <v>10.426</v>
      </c>
      <c r="E687">
        <v>9.59</v>
      </c>
      <c r="F687">
        <v>6.77</v>
      </c>
      <c r="G687">
        <v>81.209999999999994</v>
      </c>
      <c r="H687">
        <v>1.46</v>
      </c>
      <c r="I687">
        <v>5</v>
      </c>
      <c r="J687">
        <v>246</v>
      </c>
      <c r="K687">
        <v>56.13</v>
      </c>
      <c r="L687">
        <v>20.25</v>
      </c>
      <c r="M687">
        <v>3</v>
      </c>
      <c r="N687">
        <v>59.63</v>
      </c>
      <c r="O687">
        <v>30574.639999999999</v>
      </c>
      <c r="P687">
        <v>90.4</v>
      </c>
      <c r="Q687">
        <v>204.17</v>
      </c>
      <c r="R687">
        <v>24.22</v>
      </c>
      <c r="S687">
        <v>17.37</v>
      </c>
      <c r="T687">
        <v>1325.11</v>
      </c>
      <c r="U687">
        <v>0.72</v>
      </c>
      <c r="V687">
        <v>0.75</v>
      </c>
      <c r="W687">
        <v>1.1399999999999999</v>
      </c>
      <c r="X687">
        <v>0.08</v>
      </c>
      <c r="Y687">
        <v>1</v>
      </c>
      <c r="Z687">
        <v>10</v>
      </c>
    </row>
    <row r="688" spans="1:26" x14ac:dyDescent="0.3">
      <c r="A688">
        <v>78</v>
      </c>
      <c r="B688">
        <v>110</v>
      </c>
      <c r="C688" t="s">
        <v>26</v>
      </c>
      <c r="D688">
        <v>10.4239</v>
      </c>
      <c r="E688">
        <v>9.59</v>
      </c>
      <c r="F688">
        <v>6.77</v>
      </c>
      <c r="G688">
        <v>81.23</v>
      </c>
      <c r="H688">
        <v>1.48</v>
      </c>
      <c r="I688">
        <v>5</v>
      </c>
      <c r="J688">
        <v>246.45</v>
      </c>
      <c r="K688">
        <v>56.13</v>
      </c>
      <c r="L688">
        <v>20.5</v>
      </c>
      <c r="M688">
        <v>3</v>
      </c>
      <c r="N688">
        <v>59.82</v>
      </c>
      <c r="O688">
        <v>30629.4</v>
      </c>
      <c r="P688">
        <v>90.28</v>
      </c>
      <c r="Q688">
        <v>204.14</v>
      </c>
      <c r="R688">
        <v>24.3</v>
      </c>
      <c r="S688">
        <v>17.37</v>
      </c>
      <c r="T688">
        <v>1368.53</v>
      </c>
      <c r="U688">
        <v>0.71</v>
      </c>
      <c r="V688">
        <v>0.75</v>
      </c>
      <c r="W688">
        <v>1.1399999999999999</v>
      </c>
      <c r="X688">
        <v>0.08</v>
      </c>
      <c r="Y688">
        <v>1</v>
      </c>
      <c r="Z688">
        <v>10</v>
      </c>
    </row>
    <row r="689" spans="1:26" x14ac:dyDescent="0.3">
      <c r="A689">
        <v>79</v>
      </c>
      <c r="B689">
        <v>110</v>
      </c>
      <c r="C689" t="s">
        <v>26</v>
      </c>
      <c r="D689">
        <v>10.4185</v>
      </c>
      <c r="E689">
        <v>9.6</v>
      </c>
      <c r="F689">
        <v>6.77</v>
      </c>
      <c r="G689">
        <v>81.290000000000006</v>
      </c>
      <c r="H689">
        <v>1.49</v>
      </c>
      <c r="I689">
        <v>5</v>
      </c>
      <c r="J689">
        <v>246.89</v>
      </c>
      <c r="K689">
        <v>56.13</v>
      </c>
      <c r="L689">
        <v>20.75</v>
      </c>
      <c r="M689">
        <v>3</v>
      </c>
      <c r="N689">
        <v>60.02</v>
      </c>
      <c r="O689">
        <v>30684.23</v>
      </c>
      <c r="P689">
        <v>90.18</v>
      </c>
      <c r="Q689">
        <v>204.14</v>
      </c>
      <c r="R689">
        <v>24.43</v>
      </c>
      <c r="S689">
        <v>17.37</v>
      </c>
      <c r="T689">
        <v>1431.38</v>
      </c>
      <c r="U689">
        <v>0.71</v>
      </c>
      <c r="V689">
        <v>0.75</v>
      </c>
      <c r="W689">
        <v>1.1499999999999999</v>
      </c>
      <c r="X689">
        <v>0.08</v>
      </c>
      <c r="Y689">
        <v>1</v>
      </c>
      <c r="Z689">
        <v>10</v>
      </c>
    </row>
    <row r="690" spans="1:26" x14ac:dyDescent="0.3">
      <c r="A690">
        <v>80</v>
      </c>
      <c r="B690">
        <v>110</v>
      </c>
      <c r="C690" t="s">
        <v>26</v>
      </c>
      <c r="D690">
        <v>10.425700000000001</v>
      </c>
      <c r="E690">
        <v>9.59</v>
      </c>
      <c r="F690">
        <v>6.77</v>
      </c>
      <c r="G690">
        <v>81.209999999999994</v>
      </c>
      <c r="H690">
        <v>1.51</v>
      </c>
      <c r="I690">
        <v>5</v>
      </c>
      <c r="J690">
        <v>247.34</v>
      </c>
      <c r="K690">
        <v>56.13</v>
      </c>
      <c r="L690">
        <v>21</v>
      </c>
      <c r="M690">
        <v>3</v>
      </c>
      <c r="N690">
        <v>60.21</v>
      </c>
      <c r="O690">
        <v>30739.14</v>
      </c>
      <c r="P690">
        <v>89.69</v>
      </c>
      <c r="Q690">
        <v>204.14</v>
      </c>
      <c r="R690">
        <v>24.18</v>
      </c>
      <c r="S690">
        <v>17.37</v>
      </c>
      <c r="T690">
        <v>1305.8499999999999</v>
      </c>
      <c r="U690">
        <v>0.72</v>
      </c>
      <c r="V690">
        <v>0.75</v>
      </c>
      <c r="W690">
        <v>1.1499999999999999</v>
      </c>
      <c r="X690">
        <v>0.08</v>
      </c>
      <c r="Y690">
        <v>1</v>
      </c>
      <c r="Z690">
        <v>10</v>
      </c>
    </row>
    <row r="691" spans="1:26" x14ac:dyDescent="0.3">
      <c r="A691">
        <v>81</v>
      </c>
      <c r="B691">
        <v>110</v>
      </c>
      <c r="C691" t="s">
        <v>26</v>
      </c>
      <c r="D691">
        <v>10.498699999999999</v>
      </c>
      <c r="E691">
        <v>9.52</v>
      </c>
      <c r="F691">
        <v>6.74</v>
      </c>
      <c r="G691">
        <v>101.15</v>
      </c>
      <c r="H691">
        <v>1.53</v>
      </c>
      <c r="I691">
        <v>4</v>
      </c>
      <c r="J691">
        <v>247.78</v>
      </c>
      <c r="K691">
        <v>56.13</v>
      </c>
      <c r="L691">
        <v>21.25</v>
      </c>
      <c r="M691">
        <v>2</v>
      </c>
      <c r="N691">
        <v>60.41</v>
      </c>
      <c r="O691">
        <v>30794.11</v>
      </c>
      <c r="P691">
        <v>88.92</v>
      </c>
      <c r="Q691">
        <v>204.15</v>
      </c>
      <c r="R691">
        <v>23.46</v>
      </c>
      <c r="S691">
        <v>17.37</v>
      </c>
      <c r="T691">
        <v>949.92</v>
      </c>
      <c r="U691">
        <v>0.74</v>
      </c>
      <c r="V691">
        <v>0.76</v>
      </c>
      <c r="W691">
        <v>1.1399999999999999</v>
      </c>
      <c r="X691">
        <v>0.05</v>
      </c>
      <c r="Y691">
        <v>1</v>
      </c>
      <c r="Z691">
        <v>10</v>
      </c>
    </row>
    <row r="692" spans="1:26" x14ac:dyDescent="0.3">
      <c r="A692">
        <v>82</v>
      </c>
      <c r="B692">
        <v>110</v>
      </c>
      <c r="C692" t="s">
        <v>26</v>
      </c>
      <c r="D692">
        <v>10.494999999999999</v>
      </c>
      <c r="E692">
        <v>9.5299999999999994</v>
      </c>
      <c r="F692">
        <v>6.75</v>
      </c>
      <c r="G692">
        <v>101.2</v>
      </c>
      <c r="H692">
        <v>1.54</v>
      </c>
      <c r="I692">
        <v>4</v>
      </c>
      <c r="J692">
        <v>248.23</v>
      </c>
      <c r="K692">
        <v>56.13</v>
      </c>
      <c r="L692">
        <v>21.5</v>
      </c>
      <c r="M692">
        <v>2</v>
      </c>
      <c r="N692">
        <v>60.6</v>
      </c>
      <c r="O692">
        <v>30849.16</v>
      </c>
      <c r="P692">
        <v>88.98</v>
      </c>
      <c r="Q692">
        <v>204.14</v>
      </c>
      <c r="R692">
        <v>23.5</v>
      </c>
      <c r="S692">
        <v>17.37</v>
      </c>
      <c r="T692">
        <v>972.89</v>
      </c>
      <c r="U692">
        <v>0.74</v>
      </c>
      <c r="V692">
        <v>0.76</v>
      </c>
      <c r="W692">
        <v>1.1399999999999999</v>
      </c>
      <c r="X692">
        <v>0.06</v>
      </c>
      <c r="Y692">
        <v>1</v>
      </c>
      <c r="Z692">
        <v>10</v>
      </c>
    </row>
    <row r="693" spans="1:26" x14ac:dyDescent="0.3">
      <c r="A693">
        <v>83</v>
      </c>
      <c r="B693">
        <v>110</v>
      </c>
      <c r="C693" t="s">
        <v>26</v>
      </c>
      <c r="D693">
        <v>10.493499999999999</v>
      </c>
      <c r="E693">
        <v>9.5299999999999994</v>
      </c>
      <c r="F693">
        <v>6.75</v>
      </c>
      <c r="G693">
        <v>101.22</v>
      </c>
      <c r="H693">
        <v>1.56</v>
      </c>
      <c r="I693">
        <v>4</v>
      </c>
      <c r="J693">
        <v>248.68</v>
      </c>
      <c r="K693">
        <v>56.13</v>
      </c>
      <c r="L693">
        <v>21.75</v>
      </c>
      <c r="M693">
        <v>2</v>
      </c>
      <c r="N693">
        <v>60.8</v>
      </c>
      <c r="O693">
        <v>30904.28</v>
      </c>
      <c r="P693">
        <v>89.07</v>
      </c>
      <c r="Q693">
        <v>204.14</v>
      </c>
      <c r="R693">
        <v>23.56</v>
      </c>
      <c r="S693">
        <v>17.37</v>
      </c>
      <c r="T693">
        <v>1002.05</v>
      </c>
      <c r="U693">
        <v>0.74</v>
      </c>
      <c r="V693">
        <v>0.76</v>
      </c>
      <c r="W693">
        <v>1.1399999999999999</v>
      </c>
      <c r="X693">
        <v>0.06</v>
      </c>
      <c r="Y693">
        <v>1</v>
      </c>
      <c r="Z693">
        <v>10</v>
      </c>
    </row>
    <row r="694" spans="1:26" x14ac:dyDescent="0.3">
      <c r="A694">
        <v>84</v>
      </c>
      <c r="B694">
        <v>110</v>
      </c>
      <c r="C694" t="s">
        <v>26</v>
      </c>
      <c r="D694">
        <v>10.4932</v>
      </c>
      <c r="E694">
        <v>9.5299999999999994</v>
      </c>
      <c r="F694">
        <v>6.75</v>
      </c>
      <c r="G694">
        <v>101.22</v>
      </c>
      <c r="H694">
        <v>1.57</v>
      </c>
      <c r="I694">
        <v>4</v>
      </c>
      <c r="J694">
        <v>249.12</v>
      </c>
      <c r="K694">
        <v>56.13</v>
      </c>
      <c r="L694">
        <v>22</v>
      </c>
      <c r="M694">
        <v>2</v>
      </c>
      <c r="N694">
        <v>61</v>
      </c>
      <c r="O694">
        <v>30959.46</v>
      </c>
      <c r="P694">
        <v>89.32</v>
      </c>
      <c r="Q694">
        <v>204.15</v>
      </c>
      <c r="R694">
        <v>23.63</v>
      </c>
      <c r="S694">
        <v>17.37</v>
      </c>
      <c r="T694">
        <v>1035.53</v>
      </c>
      <c r="U694">
        <v>0.74</v>
      </c>
      <c r="V694">
        <v>0.76</v>
      </c>
      <c r="W694">
        <v>1.1399999999999999</v>
      </c>
      <c r="X694">
        <v>0.06</v>
      </c>
      <c r="Y694">
        <v>1</v>
      </c>
      <c r="Z694">
        <v>10</v>
      </c>
    </row>
    <row r="695" spans="1:26" x14ac:dyDescent="0.3">
      <c r="A695">
        <v>85</v>
      </c>
      <c r="B695">
        <v>110</v>
      </c>
      <c r="C695" t="s">
        <v>26</v>
      </c>
      <c r="D695">
        <v>10.492900000000001</v>
      </c>
      <c r="E695">
        <v>9.5299999999999994</v>
      </c>
      <c r="F695">
        <v>6.75</v>
      </c>
      <c r="G695">
        <v>101.23</v>
      </c>
      <c r="H695">
        <v>1.59</v>
      </c>
      <c r="I695">
        <v>4</v>
      </c>
      <c r="J695">
        <v>249.57</v>
      </c>
      <c r="K695">
        <v>56.13</v>
      </c>
      <c r="L695">
        <v>22.25</v>
      </c>
      <c r="M695">
        <v>2</v>
      </c>
      <c r="N695">
        <v>61.2</v>
      </c>
      <c r="O695">
        <v>31014.73</v>
      </c>
      <c r="P695">
        <v>89.42</v>
      </c>
      <c r="Q695">
        <v>204.14</v>
      </c>
      <c r="R695">
        <v>23.64</v>
      </c>
      <c r="S695">
        <v>17.37</v>
      </c>
      <c r="T695">
        <v>1039.97</v>
      </c>
      <c r="U695">
        <v>0.74</v>
      </c>
      <c r="V695">
        <v>0.76</v>
      </c>
      <c r="W695">
        <v>1.1399999999999999</v>
      </c>
      <c r="X695">
        <v>0.06</v>
      </c>
      <c r="Y695">
        <v>1</v>
      </c>
      <c r="Z695">
        <v>10</v>
      </c>
    </row>
    <row r="696" spans="1:26" x14ac:dyDescent="0.3">
      <c r="A696">
        <v>86</v>
      </c>
      <c r="B696">
        <v>110</v>
      </c>
      <c r="C696" t="s">
        <v>26</v>
      </c>
      <c r="D696">
        <v>10.4895</v>
      </c>
      <c r="E696">
        <v>9.5299999999999994</v>
      </c>
      <c r="F696">
        <v>6.75</v>
      </c>
      <c r="G696">
        <v>101.28</v>
      </c>
      <c r="H696">
        <v>1.6</v>
      </c>
      <c r="I696">
        <v>4</v>
      </c>
      <c r="J696">
        <v>250.02</v>
      </c>
      <c r="K696">
        <v>56.13</v>
      </c>
      <c r="L696">
        <v>22.5</v>
      </c>
      <c r="M696">
        <v>2</v>
      </c>
      <c r="N696">
        <v>61.39</v>
      </c>
      <c r="O696">
        <v>31070.06</v>
      </c>
      <c r="P696">
        <v>89.47</v>
      </c>
      <c r="Q696">
        <v>204.14</v>
      </c>
      <c r="R696">
        <v>23.74</v>
      </c>
      <c r="S696">
        <v>17.37</v>
      </c>
      <c r="T696">
        <v>1092.99</v>
      </c>
      <c r="U696">
        <v>0.73</v>
      </c>
      <c r="V696">
        <v>0.76</v>
      </c>
      <c r="W696">
        <v>1.1399999999999999</v>
      </c>
      <c r="X696">
        <v>0.06</v>
      </c>
      <c r="Y696">
        <v>1</v>
      </c>
      <c r="Z696">
        <v>10</v>
      </c>
    </row>
    <row r="697" spans="1:26" x14ac:dyDescent="0.3">
      <c r="A697">
        <v>87</v>
      </c>
      <c r="B697">
        <v>110</v>
      </c>
      <c r="C697" t="s">
        <v>26</v>
      </c>
      <c r="D697">
        <v>10.4953</v>
      </c>
      <c r="E697">
        <v>9.5299999999999994</v>
      </c>
      <c r="F697">
        <v>6.75</v>
      </c>
      <c r="G697">
        <v>101.2</v>
      </c>
      <c r="H697">
        <v>1.62</v>
      </c>
      <c r="I697">
        <v>4</v>
      </c>
      <c r="J697">
        <v>250.47</v>
      </c>
      <c r="K697">
        <v>56.13</v>
      </c>
      <c r="L697">
        <v>22.75</v>
      </c>
      <c r="M697">
        <v>2</v>
      </c>
      <c r="N697">
        <v>61.59</v>
      </c>
      <c r="O697">
        <v>31125.47</v>
      </c>
      <c r="P697">
        <v>89.6</v>
      </c>
      <c r="Q697">
        <v>204.14</v>
      </c>
      <c r="R697">
        <v>23.56</v>
      </c>
      <c r="S697">
        <v>17.37</v>
      </c>
      <c r="T697">
        <v>1004.01</v>
      </c>
      <c r="U697">
        <v>0.74</v>
      </c>
      <c r="V697">
        <v>0.76</v>
      </c>
      <c r="W697">
        <v>1.1399999999999999</v>
      </c>
      <c r="X697">
        <v>0.06</v>
      </c>
      <c r="Y697">
        <v>1</v>
      </c>
      <c r="Z697">
        <v>10</v>
      </c>
    </row>
    <row r="698" spans="1:26" x14ac:dyDescent="0.3">
      <c r="A698">
        <v>88</v>
      </c>
      <c r="B698">
        <v>110</v>
      </c>
      <c r="C698" t="s">
        <v>26</v>
      </c>
      <c r="D698">
        <v>10.501099999999999</v>
      </c>
      <c r="E698">
        <v>9.52</v>
      </c>
      <c r="F698">
        <v>6.74</v>
      </c>
      <c r="G698">
        <v>101.12</v>
      </c>
      <c r="H698">
        <v>1.63</v>
      </c>
      <c r="I698">
        <v>4</v>
      </c>
      <c r="J698">
        <v>250.92</v>
      </c>
      <c r="K698">
        <v>56.13</v>
      </c>
      <c r="L698">
        <v>23</v>
      </c>
      <c r="M698">
        <v>2</v>
      </c>
      <c r="N698">
        <v>61.79</v>
      </c>
      <c r="O698">
        <v>31180.95</v>
      </c>
      <c r="P698">
        <v>89.5</v>
      </c>
      <c r="Q698">
        <v>204.15</v>
      </c>
      <c r="R698">
        <v>23.42</v>
      </c>
      <c r="S698">
        <v>17.37</v>
      </c>
      <c r="T698">
        <v>932.88</v>
      </c>
      <c r="U698">
        <v>0.74</v>
      </c>
      <c r="V698">
        <v>0.76</v>
      </c>
      <c r="W698">
        <v>1.1399999999999999</v>
      </c>
      <c r="X698">
        <v>0.05</v>
      </c>
      <c r="Y698">
        <v>1</v>
      </c>
      <c r="Z698">
        <v>10</v>
      </c>
    </row>
    <row r="699" spans="1:26" x14ac:dyDescent="0.3">
      <c r="A699">
        <v>89</v>
      </c>
      <c r="B699">
        <v>110</v>
      </c>
      <c r="C699" t="s">
        <v>26</v>
      </c>
      <c r="D699">
        <v>10.497199999999999</v>
      </c>
      <c r="E699">
        <v>9.5299999999999994</v>
      </c>
      <c r="F699">
        <v>6.74</v>
      </c>
      <c r="G699">
        <v>101.17</v>
      </c>
      <c r="H699">
        <v>1.65</v>
      </c>
      <c r="I699">
        <v>4</v>
      </c>
      <c r="J699">
        <v>251.37</v>
      </c>
      <c r="K699">
        <v>56.13</v>
      </c>
      <c r="L699">
        <v>23.25</v>
      </c>
      <c r="M699">
        <v>2</v>
      </c>
      <c r="N699">
        <v>61.99</v>
      </c>
      <c r="O699">
        <v>31236.5</v>
      </c>
      <c r="P699">
        <v>89.6</v>
      </c>
      <c r="Q699">
        <v>204.14</v>
      </c>
      <c r="R699">
        <v>23.53</v>
      </c>
      <c r="S699">
        <v>17.37</v>
      </c>
      <c r="T699">
        <v>986.34</v>
      </c>
      <c r="U699">
        <v>0.74</v>
      </c>
      <c r="V699">
        <v>0.76</v>
      </c>
      <c r="W699">
        <v>1.1399999999999999</v>
      </c>
      <c r="X699">
        <v>0.05</v>
      </c>
      <c r="Y699">
        <v>1</v>
      </c>
      <c r="Z699">
        <v>10</v>
      </c>
    </row>
    <row r="700" spans="1:26" x14ac:dyDescent="0.3">
      <c r="A700">
        <v>90</v>
      </c>
      <c r="B700">
        <v>110</v>
      </c>
      <c r="C700" t="s">
        <v>26</v>
      </c>
      <c r="D700">
        <v>10.4962</v>
      </c>
      <c r="E700">
        <v>9.5299999999999994</v>
      </c>
      <c r="F700">
        <v>6.75</v>
      </c>
      <c r="G700">
        <v>101.18</v>
      </c>
      <c r="H700">
        <v>1.66</v>
      </c>
      <c r="I700">
        <v>4</v>
      </c>
      <c r="J700">
        <v>251.82</v>
      </c>
      <c r="K700">
        <v>56.13</v>
      </c>
      <c r="L700">
        <v>23.5</v>
      </c>
      <c r="M700">
        <v>2</v>
      </c>
      <c r="N700">
        <v>62.19</v>
      </c>
      <c r="O700">
        <v>31292.13</v>
      </c>
      <c r="P700">
        <v>89.56</v>
      </c>
      <c r="Q700">
        <v>204.14</v>
      </c>
      <c r="R700">
        <v>23.54</v>
      </c>
      <c r="S700">
        <v>17.37</v>
      </c>
      <c r="T700">
        <v>993.02</v>
      </c>
      <c r="U700">
        <v>0.74</v>
      </c>
      <c r="V700">
        <v>0.76</v>
      </c>
      <c r="W700">
        <v>1.1399999999999999</v>
      </c>
      <c r="X700">
        <v>0.05</v>
      </c>
      <c r="Y700">
        <v>1</v>
      </c>
      <c r="Z700">
        <v>10</v>
      </c>
    </row>
    <row r="701" spans="1:26" x14ac:dyDescent="0.3">
      <c r="A701">
        <v>91</v>
      </c>
      <c r="B701">
        <v>110</v>
      </c>
      <c r="C701" t="s">
        <v>26</v>
      </c>
      <c r="D701">
        <v>10.4871</v>
      </c>
      <c r="E701">
        <v>9.5399999999999991</v>
      </c>
      <c r="F701">
        <v>6.75</v>
      </c>
      <c r="G701">
        <v>101.31</v>
      </c>
      <c r="H701">
        <v>1.67</v>
      </c>
      <c r="I701">
        <v>4</v>
      </c>
      <c r="J701">
        <v>252.27</v>
      </c>
      <c r="K701">
        <v>56.13</v>
      </c>
      <c r="L701">
        <v>23.75</v>
      </c>
      <c r="M701">
        <v>2</v>
      </c>
      <c r="N701">
        <v>62.4</v>
      </c>
      <c r="O701">
        <v>31347.83</v>
      </c>
      <c r="P701">
        <v>89.63</v>
      </c>
      <c r="Q701">
        <v>204.14</v>
      </c>
      <c r="R701">
        <v>23.74</v>
      </c>
      <c r="S701">
        <v>17.37</v>
      </c>
      <c r="T701">
        <v>1091.9100000000001</v>
      </c>
      <c r="U701">
        <v>0.73</v>
      </c>
      <c r="V701">
        <v>0.76</v>
      </c>
      <c r="W701">
        <v>1.1399999999999999</v>
      </c>
      <c r="X701">
        <v>0.06</v>
      </c>
      <c r="Y701">
        <v>1</v>
      </c>
      <c r="Z701">
        <v>10</v>
      </c>
    </row>
    <row r="702" spans="1:26" x14ac:dyDescent="0.3">
      <c r="A702">
        <v>92</v>
      </c>
      <c r="B702">
        <v>110</v>
      </c>
      <c r="C702" t="s">
        <v>26</v>
      </c>
      <c r="D702">
        <v>10.491300000000001</v>
      </c>
      <c r="E702">
        <v>9.5299999999999994</v>
      </c>
      <c r="F702">
        <v>6.75</v>
      </c>
      <c r="G702">
        <v>101.25</v>
      </c>
      <c r="H702">
        <v>1.69</v>
      </c>
      <c r="I702">
        <v>4</v>
      </c>
      <c r="J702">
        <v>252.73</v>
      </c>
      <c r="K702">
        <v>56.13</v>
      </c>
      <c r="L702">
        <v>24</v>
      </c>
      <c r="M702">
        <v>2</v>
      </c>
      <c r="N702">
        <v>62.6</v>
      </c>
      <c r="O702">
        <v>31403.599999999999</v>
      </c>
      <c r="P702">
        <v>89.48</v>
      </c>
      <c r="Q702">
        <v>204.14</v>
      </c>
      <c r="R702">
        <v>23.73</v>
      </c>
      <c r="S702">
        <v>17.37</v>
      </c>
      <c r="T702">
        <v>1086.23</v>
      </c>
      <c r="U702">
        <v>0.73</v>
      </c>
      <c r="V702">
        <v>0.76</v>
      </c>
      <c r="W702">
        <v>1.1399999999999999</v>
      </c>
      <c r="X702">
        <v>0.06</v>
      </c>
      <c r="Y702">
        <v>1</v>
      </c>
      <c r="Z702">
        <v>10</v>
      </c>
    </row>
    <row r="703" spans="1:26" x14ac:dyDescent="0.3">
      <c r="A703">
        <v>93</v>
      </c>
      <c r="B703">
        <v>110</v>
      </c>
      <c r="C703" t="s">
        <v>26</v>
      </c>
      <c r="D703">
        <v>10.4932</v>
      </c>
      <c r="E703">
        <v>9.5299999999999994</v>
      </c>
      <c r="F703">
        <v>6.75</v>
      </c>
      <c r="G703">
        <v>101.22</v>
      </c>
      <c r="H703">
        <v>1.7</v>
      </c>
      <c r="I703">
        <v>4</v>
      </c>
      <c r="J703">
        <v>253.18</v>
      </c>
      <c r="K703">
        <v>56.13</v>
      </c>
      <c r="L703">
        <v>24.25</v>
      </c>
      <c r="M703">
        <v>2</v>
      </c>
      <c r="N703">
        <v>62.8</v>
      </c>
      <c r="O703">
        <v>31459.45</v>
      </c>
      <c r="P703">
        <v>89.4</v>
      </c>
      <c r="Q703">
        <v>204.14</v>
      </c>
      <c r="R703">
        <v>23.68</v>
      </c>
      <c r="S703">
        <v>17.37</v>
      </c>
      <c r="T703">
        <v>1059.98</v>
      </c>
      <c r="U703">
        <v>0.73</v>
      </c>
      <c r="V703">
        <v>0.76</v>
      </c>
      <c r="W703">
        <v>1.1399999999999999</v>
      </c>
      <c r="X703">
        <v>0.06</v>
      </c>
      <c r="Y703">
        <v>1</v>
      </c>
      <c r="Z703">
        <v>10</v>
      </c>
    </row>
    <row r="704" spans="1:26" x14ac:dyDescent="0.3">
      <c r="A704">
        <v>94</v>
      </c>
      <c r="B704">
        <v>110</v>
      </c>
      <c r="C704" t="s">
        <v>26</v>
      </c>
      <c r="D704">
        <v>10.4938</v>
      </c>
      <c r="E704">
        <v>9.5299999999999994</v>
      </c>
      <c r="F704">
        <v>6.75</v>
      </c>
      <c r="G704">
        <v>101.22</v>
      </c>
      <c r="H704">
        <v>1.72</v>
      </c>
      <c r="I704">
        <v>4</v>
      </c>
      <c r="J704">
        <v>253.63</v>
      </c>
      <c r="K704">
        <v>56.13</v>
      </c>
      <c r="L704">
        <v>24.5</v>
      </c>
      <c r="M704">
        <v>2</v>
      </c>
      <c r="N704">
        <v>63</v>
      </c>
      <c r="O704">
        <v>31515.37</v>
      </c>
      <c r="P704">
        <v>89.21</v>
      </c>
      <c r="Q704">
        <v>204.14</v>
      </c>
      <c r="R704">
        <v>23.56</v>
      </c>
      <c r="S704">
        <v>17.37</v>
      </c>
      <c r="T704">
        <v>1001.39</v>
      </c>
      <c r="U704">
        <v>0.74</v>
      </c>
      <c r="V704">
        <v>0.76</v>
      </c>
      <c r="W704">
        <v>1.1399999999999999</v>
      </c>
      <c r="X704">
        <v>0.06</v>
      </c>
      <c r="Y704">
        <v>1</v>
      </c>
      <c r="Z704">
        <v>10</v>
      </c>
    </row>
    <row r="705" spans="1:26" x14ac:dyDescent="0.3">
      <c r="A705">
        <v>95</v>
      </c>
      <c r="B705">
        <v>110</v>
      </c>
      <c r="C705" t="s">
        <v>26</v>
      </c>
      <c r="D705">
        <v>10.492900000000001</v>
      </c>
      <c r="E705">
        <v>9.5299999999999994</v>
      </c>
      <c r="F705">
        <v>6.75</v>
      </c>
      <c r="G705">
        <v>101.23</v>
      </c>
      <c r="H705">
        <v>1.73</v>
      </c>
      <c r="I705">
        <v>4</v>
      </c>
      <c r="J705">
        <v>254.09</v>
      </c>
      <c r="K705">
        <v>56.13</v>
      </c>
      <c r="L705">
        <v>24.75</v>
      </c>
      <c r="M705">
        <v>2</v>
      </c>
      <c r="N705">
        <v>63.21</v>
      </c>
      <c r="O705">
        <v>31571.37</v>
      </c>
      <c r="P705">
        <v>89.2</v>
      </c>
      <c r="Q705">
        <v>204.14</v>
      </c>
      <c r="R705">
        <v>23.62</v>
      </c>
      <c r="S705">
        <v>17.37</v>
      </c>
      <c r="T705">
        <v>1030.1400000000001</v>
      </c>
      <c r="U705">
        <v>0.74</v>
      </c>
      <c r="V705">
        <v>0.76</v>
      </c>
      <c r="W705">
        <v>1.1399999999999999</v>
      </c>
      <c r="X705">
        <v>0.06</v>
      </c>
      <c r="Y705">
        <v>1</v>
      </c>
      <c r="Z705">
        <v>10</v>
      </c>
    </row>
    <row r="706" spans="1:26" x14ac:dyDescent="0.3">
      <c r="A706">
        <v>96</v>
      </c>
      <c r="B706">
        <v>110</v>
      </c>
      <c r="C706" t="s">
        <v>26</v>
      </c>
      <c r="D706">
        <v>10.498100000000001</v>
      </c>
      <c r="E706">
        <v>9.5299999999999994</v>
      </c>
      <c r="F706">
        <v>6.74</v>
      </c>
      <c r="G706">
        <v>101.16</v>
      </c>
      <c r="H706">
        <v>1.75</v>
      </c>
      <c r="I706">
        <v>4</v>
      </c>
      <c r="J706">
        <v>254.54</v>
      </c>
      <c r="K706">
        <v>56.13</v>
      </c>
      <c r="L706">
        <v>25</v>
      </c>
      <c r="M706">
        <v>2</v>
      </c>
      <c r="N706">
        <v>63.41</v>
      </c>
      <c r="O706">
        <v>31627.439999999999</v>
      </c>
      <c r="P706">
        <v>89</v>
      </c>
      <c r="Q706">
        <v>204.14</v>
      </c>
      <c r="R706">
        <v>23.43</v>
      </c>
      <c r="S706">
        <v>17.37</v>
      </c>
      <c r="T706">
        <v>939.21</v>
      </c>
      <c r="U706">
        <v>0.74</v>
      </c>
      <c r="V706">
        <v>0.76</v>
      </c>
      <c r="W706">
        <v>1.1399999999999999</v>
      </c>
      <c r="X706">
        <v>0.05</v>
      </c>
      <c r="Y706">
        <v>1</v>
      </c>
      <c r="Z706">
        <v>10</v>
      </c>
    </row>
    <row r="707" spans="1:26" x14ac:dyDescent="0.3">
      <c r="A707">
        <v>97</v>
      </c>
      <c r="B707">
        <v>110</v>
      </c>
      <c r="C707" t="s">
        <v>26</v>
      </c>
      <c r="D707">
        <v>10.5002</v>
      </c>
      <c r="E707">
        <v>9.52</v>
      </c>
      <c r="F707">
        <v>6.74</v>
      </c>
      <c r="G707">
        <v>101.13</v>
      </c>
      <c r="H707">
        <v>1.76</v>
      </c>
      <c r="I707">
        <v>4</v>
      </c>
      <c r="J707">
        <v>255</v>
      </c>
      <c r="K707">
        <v>56.13</v>
      </c>
      <c r="L707">
        <v>25.25</v>
      </c>
      <c r="M707">
        <v>2</v>
      </c>
      <c r="N707">
        <v>63.62</v>
      </c>
      <c r="O707">
        <v>31683.59</v>
      </c>
      <c r="P707">
        <v>88.74</v>
      </c>
      <c r="Q707">
        <v>204.14</v>
      </c>
      <c r="R707">
        <v>23.45</v>
      </c>
      <c r="S707">
        <v>17.37</v>
      </c>
      <c r="T707">
        <v>945.64</v>
      </c>
      <c r="U707">
        <v>0.74</v>
      </c>
      <c r="V707">
        <v>0.76</v>
      </c>
      <c r="W707">
        <v>1.1399999999999999</v>
      </c>
      <c r="X707">
        <v>0.05</v>
      </c>
      <c r="Y707">
        <v>1</v>
      </c>
      <c r="Z707">
        <v>10</v>
      </c>
    </row>
    <row r="708" spans="1:26" x14ac:dyDescent="0.3">
      <c r="A708">
        <v>98</v>
      </c>
      <c r="B708">
        <v>110</v>
      </c>
      <c r="C708" t="s">
        <v>26</v>
      </c>
      <c r="D708">
        <v>10.4999</v>
      </c>
      <c r="E708">
        <v>9.52</v>
      </c>
      <c r="F708">
        <v>6.74</v>
      </c>
      <c r="G708">
        <v>101.13</v>
      </c>
      <c r="H708">
        <v>1.78</v>
      </c>
      <c r="I708">
        <v>4</v>
      </c>
      <c r="J708">
        <v>255.45</v>
      </c>
      <c r="K708">
        <v>56.13</v>
      </c>
      <c r="L708">
        <v>25.5</v>
      </c>
      <c r="M708">
        <v>2</v>
      </c>
      <c r="N708">
        <v>63.82</v>
      </c>
      <c r="O708">
        <v>31739.82</v>
      </c>
      <c r="P708">
        <v>88.51</v>
      </c>
      <c r="Q708">
        <v>204.14</v>
      </c>
      <c r="R708">
        <v>23.47</v>
      </c>
      <c r="S708">
        <v>17.37</v>
      </c>
      <c r="T708">
        <v>956.39</v>
      </c>
      <c r="U708">
        <v>0.74</v>
      </c>
      <c r="V708">
        <v>0.76</v>
      </c>
      <c r="W708">
        <v>1.1399999999999999</v>
      </c>
      <c r="X708">
        <v>0.05</v>
      </c>
      <c r="Y708">
        <v>1</v>
      </c>
      <c r="Z708">
        <v>10</v>
      </c>
    </row>
    <row r="709" spans="1:26" x14ac:dyDescent="0.3">
      <c r="A709">
        <v>99</v>
      </c>
      <c r="B709">
        <v>110</v>
      </c>
      <c r="C709" t="s">
        <v>26</v>
      </c>
      <c r="D709">
        <v>10.498100000000001</v>
      </c>
      <c r="E709">
        <v>9.5299999999999994</v>
      </c>
      <c r="F709">
        <v>6.74</v>
      </c>
      <c r="G709">
        <v>101.16</v>
      </c>
      <c r="H709">
        <v>1.79</v>
      </c>
      <c r="I709">
        <v>4</v>
      </c>
      <c r="J709">
        <v>255.91</v>
      </c>
      <c r="K709">
        <v>56.13</v>
      </c>
      <c r="L709">
        <v>25.75</v>
      </c>
      <c r="M709">
        <v>2</v>
      </c>
      <c r="N709">
        <v>64.03</v>
      </c>
      <c r="O709">
        <v>31796.12</v>
      </c>
      <c r="P709">
        <v>88.37</v>
      </c>
      <c r="Q709">
        <v>204.14</v>
      </c>
      <c r="R709">
        <v>23.39</v>
      </c>
      <c r="S709">
        <v>17.37</v>
      </c>
      <c r="T709">
        <v>917.87</v>
      </c>
      <c r="U709">
        <v>0.74</v>
      </c>
      <c r="V709">
        <v>0.76</v>
      </c>
      <c r="W709">
        <v>1.1399999999999999</v>
      </c>
      <c r="X709">
        <v>0.05</v>
      </c>
      <c r="Y709">
        <v>1</v>
      </c>
      <c r="Z709">
        <v>10</v>
      </c>
    </row>
    <row r="710" spans="1:26" x14ac:dyDescent="0.3">
      <c r="A710">
        <v>100</v>
      </c>
      <c r="B710">
        <v>110</v>
      </c>
      <c r="C710" t="s">
        <v>26</v>
      </c>
      <c r="D710">
        <v>10.502700000000001</v>
      </c>
      <c r="E710">
        <v>9.52</v>
      </c>
      <c r="F710">
        <v>6.74</v>
      </c>
      <c r="G710">
        <v>101.1</v>
      </c>
      <c r="H710">
        <v>1.8</v>
      </c>
      <c r="I710">
        <v>4</v>
      </c>
      <c r="J710">
        <v>256.36</v>
      </c>
      <c r="K710">
        <v>56.13</v>
      </c>
      <c r="L710">
        <v>26</v>
      </c>
      <c r="M710">
        <v>2</v>
      </c>
      <c r="N710">
        <v>64.239999999999995</v>
      </c>
      <c r="O710">
        <v>31852.5</v>
      </c>
      <c r="P710">
        <v>87.97</v>
      </c>
      <c r="Q710">
        <v>204.14</v>
      </c>
      <c r="R710">
        <v>23.33</v>
      </c>
      <c r="S710">
        <v>17.37</v>
      </c>
      <c r="T710">
        <v>888.53</v>
      </c>
      <c r="U710">
        <v>0.74</v>
      </c>
      <c r="V710">
        <v>0.76</v>
      </c>
      <c r="W710">
        <v>1.1399999999999999</v>
      </c>
      <c r="X710">
        <v>0.05</v>
      </c>
      <c r="Y710">
        <v>1</v>
      </c>
      <c r="Z710">
        <v>10</v>
      </c>
    </row>
    <row r="711" spans="1:26" x14ac:dyDescent="0.3">
      <c r="A711">
        <v>101</v>
      </c>
      <c r="B711">
        <v>110</v>
      </c>
      <c r="C711" t="s">
        <v>26</v>
      </c>
      <c r="D711">
        <v>10.499000000000001</v>
      </c>
      <c r="E711">
        <v>9.52</v>
      </c>
      <c r="F711">
        <v>6.74</v>
      </c>
      <c r="G711">
        <v>101.15</v>
      </c>
      <c r="H711">
        <v>1.82</v>
      </c>
      <c r="I711">
        <v>4</v>
      </c>
      <c r="J711">
        <v>256.82</v>
      </c>
      <c r="K711">
        <v>56.13</v>
      </c>
      <c r="L711">
        <v>26.25</v>
      </c>
      <c r="M711">
        <v>2</v>
      </c>
      <c r="N711">
        <v>64.45</v>
      </c>
      <c r="O711">
        <v>31909.08</v>
      </c>
      <c r="P711">
        <v>87.74</v>
      </c>
      <c r="Q711">
        <v>204.14</v>
      </c>
      <c r="R711">
        <v>23.41</v>
      </c>
      <c r="S711">
        <v>17.37</v>
      </c>
      <c r="T711">
        <v>925.37</v>
      </c>
      <c r="U711">
        <v>0.74</v>
      </c>
      <c r="V711">
        <v>0.76</v>
      </c>
      <c r="W711">
        <v>1.1399999999999999</v>
      </c>
      <c r="X711">
        <v>0.05</v>
      </c>
      <c r="Y711">
        <v>1</v>
      </c>
      <c r="Z711">
        <v>10</v>
      </c>
    </row>
    <row r="712" spans="1:26" x14ac:dyDescent="0.3">
      <c r="A712">
        <v>102</v>
      </c>
      <c r="B712">
        <v>110</v>
      </c>
      <c r="C712" t="s">
        <v>26</v>
      </c>
      <c r="D712">
        <v>10.507300000000001</v>
      </c>
      <c r="E712">
        <v>9.52</v>
      </c>
      <c r="F712">
        <v>6.74</v>
      </c>
      <c r="G712">
        <v>101.03</v>
      </c>
      <c r="H712">
        <v>1.83</v>
      </c>
      <c r="I712">
        <v>4</v>
      </c>
      <c r="J712">
        <v>257.27999999999997</v>
      </c>
      <c r="K712">
        <v>56.13</v>
      </c>
      <c r="L712">
        <v>26.5</v>
      </c>
      <c r="M712">
        <v>2</v>
      </c>
      <c r="N712">
        <v>64.66</v>
      </c>
      <c r="O712">
        <v>31965.61</v>
      </c>
      <c r="P712">
        <v>87.39</v>
      </c>
      <c r="Q712">
        <v>204.14</v>
      </c>
      <c r="R712">
        <v>23.17</v>
      </c>
      <c r="S712">
        <v>17.37</v>
      </c>
      <c r="T712">
        <v>809.3</v>
      </c>
      <c r="U712">
        <v>0.75</v>
      </c>
      <c r="V712">
        <v>0.76</v>
      </c>
      <c r="W712">
        <v>1.1399999999999999</v>
      </c>
      <c r="X712">
        <v>0.04</v>
      </c>
      <c r="Y712">
        <v>1</v>
      </c>
      <c r="Z712">
        <v>10</v>
      </c>
    </row>
    <row r="713" spans="1:26" x14ac:dyDescent="0.3">
      <c r="A713">
        <v>103</v>
      </c>
      <c r="B713">
        <v>110</v>
      </c>
      <c r="C713" t="s">
        <v>26</v>
      </c>
      <c r="D713">
        <v>10.510899999999999</v>
      </c>
      <c r="E713">
        <v>9.51</v>
      </c>
      <c r="F713">
        <v>6.73</v>
      </c>
      <c r="G713">
        <v>100.98</v>
      </c>
      <c r="H713">
        <v>1.85</v>
      </c>
      <c r="I713">
        <v>4</v>
      </c>
      <c r="J713">
        <v>257.74</v>
      </c>
      <c r="K713">
        <v>56.13</v>
      </c>
      <c r="L713">
        <v>26.75</v>
      </c>
      <c r="M713">
        <v>2</v>
      </c>
      <c r="N713">
        <v>64.86</v>
      </c>
      <c r="O713">
        <v>32022.22</v>
      </c>
      <c r="P713">
        <v>87.14</v>
      </c>
      <c r="Q713">
        <v>204.14</v>
      </c>
      <c r="R713">
        <v>23.05</v>
      </c>
      <c r="S713">
        <v>17.37</v>
      </c>
      <c r="T713">
        <v>749.14</v>
      </c>
      <c r="U713">
        <v>0.75</v>
      </c>
      <c r="V713">
        <v>0.76</v>
      </c>
      <c r="W713">
        <v>1.1399999999999999</v>
      </c>
      <c r="X713">
        <v>0.04</v>
      </c>
      <c r="Y713">
        <v>1</v>
      </c>
      <c r="Z713">
        <v>10</v>
      </c>
    </row>
    <row r="714" spans="1:26" x14ac:dyDescent="0.3">
      <c r="A714">
        <v>104</v>
      </c>
      <c r="B714">
        <v>110</v>
      </c>
      <c r="C714" t="s">
        <v>26</v>
      </c>
      <c r="D714">
        <v>10.507899999999999</v>
      </c>
      <c r="E714">
        <v>9.52</v>
      </c>
      <c r="F714">
        <v>6.74</v>
      </c>
      <c r="G714">
        <v>101.03</v>
      </c>
      <c r="H714">
        <v>1.86</v>
      </c>
      <c r="I714">
        <v>4</v>
      </c>
      <c r="J714">
        <v>258.2</v>
      </c>
      <c r="K714">
        <v>56.13</v>
      </c>
      <c r="L714">
        <v>27</v>
      </c>
      <c r="M714">
        <v>2</v>
      </c>
      <c r="N714">
        <v>65.069999999999993</v>
      </c>
      <c r="O714">
        <v>32078.91</v>
      </c>
      <c r="P714">
        <v>86.88</v>
      </c>
      <c r="Q714">
        <v>204.14</v>
      </c>
      <c r="R714">
        <v>23.16</v>
      </c>
      <c r="S714">
        <v>17.37</v>
      </c>
      <c r="T714">
        <v>802.49</v>
      </c>
      <c r="U714">
        <v>0.75</v>
      </c>
      <c r="V714">
        <v>0.76</v>
      </c>
      <c r="W714">
        <v>1.1399999999999999</v>
      </c>
      <c r="X714">
        <v>0.04</v>
      </c>
      <c r="Y714">
        <v>1</v>
      </c>
      <c r="Z714">
        <v>10</v>
      </c>
    </row>
    <row r="715" spans="1:26" x14ac:dyDescent="0.3">
      <c r="A715">
        <v>105</v>
      </c>
      <c r="B715">
        <v>110</v>
      </c>
      <c r="C715" t="s">
        <v>26</v>
      </c>
      <c r="D715">
        <v>10.505100000000001</v>
      </c>
      <c r="E715">
        <v>9.52</v>
      </c>
      <c r="F715">
        <v>6.74</v>
      </c>
      <c r="G715">
        <v>101.06</v>
      </c>
      <c r="H715">
        <v>1.87</v>
      </c>
      <c r="I715">
        <v>4</v>
      </c>
      <c r="J715">
        <v>258.66000000000003</v>
      </c>
      <c r="K715">
        <v>56.13</v>
      </c>
      <c r="L715">
        <v>27.25</v>
      </c>
      <c r="M715">
        <v>2</v>
      </c>
      <c r="N715">
        <v>65.28</v>
      </c>
      <c r="O715">
        <v>32135.68</v>
      </c>
      <c r="P715">
        <v>86.69</v>
      </c>
      <c r="Q715">
        <v>204.14</v>
      </c>
      <c r="R715">
        <v>23.24</v>
      </c>
      <c r="S715">
        <v>17.37</v>
      </c>
      <c r="T715">
        <v>844.14</v>
      </c>
      <c r="U715">
        <v>0.75</v>
      </c>
      <c r="V715">
        <v>0.76</v>
      </c>
      <c r="W715">
        <v>1.1399999999999999</v>
      </c>
      <c r="X715">
        <v>0.05</v>
      </c>
      <c r="Y715">
        <v>1</v>
      </c>
      <c r="Z715">
        <v>10</v>
      </c>
    </row>
    <row r="716" spans="1:26" x14ac:dyDescent="0.3">
      <c r="A716">
        <v>106</v>
      </c>
      <c r="B716">
        <v>110</v>
      </c>
      <c r="C716" t="s">
        <v>26</v>
      </c>
      <c r="D716">
        <v>10.502700000000001</v>
      </c>
      <c r="E716">
        <v>9.52</v>
      </c>
      <c r="F716">
        <v>6.74</v>
      </c>
      <c r="G716">
        <v>101.1</v>
      </c>
      <c r="H716">
        <v>1.89</v>
      </c>
      <c r="I716">
        <v>4</v>
      </c>
      <c r="J716">
        <v>259.12</v>
      </c>
      <c r="K716">
        <v>56.13</v>
      </c>
      <c r="L716">
        <v>27.5</v>
      </c>
      <c r="M716">
        <v>2</v>
      </c>
      <c r="N716">
        <v>65.489999999999995</v>
      </c>
      <c r="O716">
        <v>32192.53</v>
      </c>
      <c r="P716">
        <v>86.48</v>
      </c>
      <c r="Q716">
        <v>204.14</v>
      </c>
      <c r="R716">
        <v>23.27</v>
      </c>
      <c r="S716">
        <v>17.37</v>
      </c>
      <c r="T716">
        <v>856.77</v>
      </c>
      <c r="U716">
        <v>0.75</v>
      </c>
      <c r="V716">
        <v>0.76</v>
      </c>
      <c r="W716">
        <v>1.1399999999999999</v>
      </c>
      <c r="X716">
        <v>0.05</v>
      </c>
      <c r="Y716">
        <v>1</v>
      </c>
      <c r="Z716">
        <v>10</v>
      </c>
    </row>
    <row r="717" spans="1:26" x14ac:dyDescent="0.3">
      <c r="A717">
        <v>107</v>
      </c>
      <c r="B717">
        <v>110</v>
      </c>
      <c r="C717" t="s">
        <v>26</v>
      </c>
      <c r="D717">
        <v>10.4993</v>
      </c>
      <c r="E717">
        <v>9.52</v>
      </c>
      <c r="F717">
        <v>6.74</v>
      </c>
      <c r="G717">
        <v>101.14</v>
      </c>
      <c r="H717">
        <v>1.9</v>
      </c>
      <c r="I717">
        <v>4</v>
      </c>
      <c r="J717">
        <v>259.58</v>
      </c>
      <c r="K717">
        <v>56.13</v>
      </c>
      <c r="L717">
        <v>27.75</v>
      </c>
      <c r="M717">
        <v>2</v>
      </c>
      <c r="N717">
        <v>65.709999999999994</v>
      </c>
      <c r="O717">
        <v>32249.46</v>
      </c>
      <c r="P717">
        <v>86.16</v>
      </c>
      <c r="Q717">
        <v>204.14</v>
      </c>
      <c r="R717">
        <v>23.44</v>
      </c>
      <c r="S717">
        <v>17.37</v>
      </c>
      <c r="T717">
        <v>941.16</v>
      </c>
      <c r="U717">
        <v>0.74</v>
      </c>
      <c r="V717">
        <v>0.76</v>
      </c>
      <c r="W717">
        <v>1.1399999999999999</v>
      </c>
      <c r="X717">
        <v>0.05</v>
      </c>
      <c r="Y717">
        <v>1</v>
      </c>
      <c r="Z717">
        <v>10</v>
      </c>
    </row>
    <row r="718" spans="1:26" x14ac:dyDescent="0.3">
      <c r="A718">
        <v>108</v>
      </c>
      <c r="B718">
        <v>110</v>
      </c>
      <c r="C718" t="s">
        <v>26</v>
      </c>
      <c r="D718">
        <v>10.5024</v>
      </c>
      <c r="E718">
        <v>9.52</v>
      </c>
      <c r="F718">
        <v>6.74</v>
      </c>
      <c r="G718">
        <v>101.1</v>
      </c>
      <c r="H718">
        <v>1.92</v>
      </c>
      <c r="I718">
        <v>4</v>
      </c>
      <c r="J718">
        <v>260.05</v>
      </c>
      <c r="K718">
        <v>56.13</v>
      </c>
      <c r="L718">
        <v>28</v>
      </c>
      <c r="M718">
        <v>2</v>
      </c>
      <c r="N718">
        <v>65.92</v>
      </c>
      <c r="O718">
        <v>32306.46</v>
      </c>
      <c r="P718">
        <v>85.74</v>
      </c>
      <c r="Q718">
        <v>204.14</v>
      </c>
      <c r="R718">
        <v>23.38</v>
      </c>
      <c r="S718">
        <v>17.37</v>
      </c>
      <c r="T718">
        <v>914.69</v>
      </c>
      <c r="U718">
        <v>0.74</v>
      </c>
      <c r="V718">
        <v>0.76</v>
      </c>
      <c r="W718">
        <v>1.1399999999999999</v>
      </c>
      <c r="X718">
        <v>0.05</v>
      </c>
      <c r="Y718">
        <v>1</v>
      </c>
      <c r="Z718">
        <v>10</v>
      </c>
    </row>
    <row r="719" spans="1:26" x14ac:dyDescent="0.3">
      <c r="A719">
        <v>109</v>
      </c>
      <c r="B719">
        <v>110</v>
      </c>
      <c r="C719" t="s">
        <v>26</v>
      </c>
      <c r="D719">
        <v>10.5067</v>
      </c>
      <c r="E719">
        <v>9.52</v>
      </c>
      <c r="F719">
        <v>6.74</v>
      </c>
      <c r="G719">
        <v>101.04</v>
      </c>
      <c r="H719">
        <v>1.93</v>
      </c>
      <c r="I719">
        <v>4</v>
      </c>
      <c r="J719">
        <v>260.51</v>
      </c>
      <c r="K719">
        <v>56.13</v>
      </c>
      <c r="L719">
        <v>28.25</v>
      </c>
      <c r="M719">
        <v>2</v>
      </c>
      <c r="N719">
        <v>66.13</v>
      </c>
      <c r="O719">
        <v>32363.54</v>
      </c>
      <c r="P719">
        <v>85.44</v>
      </c>
      <c r="Q719">
        <v>204.14</v>
      </c>
      <c r="R719">
        <v>23.24</v>
      </c>
      <c r="S719">
        <v>17.37</v>
      </c>
      <c r="T719">
        <v>843.05</v>
      </c>
      <c r="U719">
        <v>0.75</v>
      </c>
      <c r="V719">
        <v>0.76</v>
      </c>
      <c r="W719">
        <v>1.1399999999999999</v>
      </c>
      <c r="X719">
        <v>0.04</v>
      </c>
      <c r="Y719">
        <v>1</v>
      </c>
      <c r="Z719">
        <v>10</v>
      </c>
    </row>
    <row r="720" spans="1:26" x14ac:dyDescent="0.3">
      <c r="A720">
        <v>110</v>
      </c>
      <c r="B720">
        <v>110</v>
      </c>
      <c r="C720" t="s">
        <v>26</v>
      </c>
      <c r="D720">
        <v>10.504200000000001</v>
      </c>
      <c r="E720">
        <v>9.52</v>
      </c>
      <c r="F720">
        <v>6.74</v>
      </c>
      <c r="G720">
        <v>101.08</v>
      </c>
      <c r="H720">
        <v>1.94</v>
      </c>
      <c r="I720">
        <v>4</v>
      </c>
      <c r="J720">
        <v>260.97000000000003</v>
      </c>
      <c r="K720">
        <v>56.13</v>
      </c>
      <c r="L720">
        <v>28.5</v>
      </c>
      <c r="M720">
        <v>2</v>
      </c>
      <c r="N720">
        <v>66.349999999999994</v>
      </c>
      <c r="O720">
        <v>32420.71</v>
      </c>
      <c r="P720">
        <v>85.25</v>
      </c>
      <c r="Q720">
        <v>204.14</v>
      </c>
      <c r="R720">
        <v>23.29</v>
      </c>
      <c r="S720">
        <v>17.37</v>
      </c>
      <c r="T720">
        <v>868.78</v>
      </c>
      <c r="U720">
        <v>0.75</v>
      </c>
      <c r="V720">
        <v>0.76</v>
      </c>
      <c r="W720">
        <v>1.1399999999999999</v>
      </c>
      <c r="X720">
        <v>0.05</v>
      </c>
      <c r="Y720">
        <v>1</v>
      </c>
      <c r="Z720">
        <v>10</v>
      </c>
    </row>
    <row r="721" spans="1:26" x14ac:dyDescent="0.3">
      <c r="A721">
        <v>111</v>
      </c>
      <c r="B721">
        <v>110</v>
      </c>
      <c r="C721" t="s">
        <v>26</v>
      </c>
      <c r="D721">
        <v>10.5067</v>
      </c>
      <c r="E721">
        <v>9.52</v>
      </c>
      <c r="F721">
        <v>6.74</v>
      </c>
      <c r="G721">
        <v>101.04</v>
      </c>
      <c r="H721">
        <v>1.96</v>
      </c>
      <c r="I721">
        <v>4</v>
      </c>
      <c r="J721">
        <v>261.44</v>
      </c>
      <c r="K721">
        <v>56.13</v>
      </c>
      <c r="L721">
        <v>28.75</v>
      </c>
      <c r="M721">
        <v>2</v>
      </c>
      <c r="N721">
        <v>66.56</v>
      </c>
      <c r="O721">
        <v>32477.95</v>
      </c>
      <c r="P721">
        <v>85.03</v>
      </c>
      <c r="Q721">
        <v>204.14</v>
      </c>
      <c r="R721">
        <v>23.22</v>
      </c>
      <c r="S721">
        <v>17.37</v>
      </c>
      <c r="T721">
        <v>832.04</v>
      </c>
      <c r="U721">
        <v>0.75</v>
      </c>
      <c r="V721">
        <v>0.76</v>
      </c>
      <c r="W721">
        <v>1.1399999999999999</v>
      </c>
      <c r="X721">
        <v>0.04</v>
      </c>
      <c r="Y721">
        <v>1</v>
      </c>
      <c r="Z721">
        <v>10</v>
      </c>
    </row>
    <row r="722" spans="1:26" x14ac:dyDescent="0.3">
      <c r="A722">
        <v>112</v>
      </c>
      <c r="B722">
        <v>110</v>
      </c>
      <c r="C722" t="s">
        <v>26</v>
      </c>
      <c r="D722">
        <v>10.501799999999999</v>
      </c>
      <c r="E722">
        <v>9.52</v>
      </c>
      <c r="F722">
        <v>6.74</v>
      </c>
      <c r="G722">
        <v>101.11</v>
      </c>
      <c r="H722">
        <v>1.97</v>
      </c>
      <c r="I722">
        <v>4</v>
      </c>
      <c r="J722">
        <v>261.89999999999998</v>
      </c>
      <c r="K722">
        <v>56.13</v>
      </c>
      <c r="L722">
        <v>29</v>
      </c>
      <c r="M722">
        <v>2</v>
      </c>
      <c r="N722">
        <v>66.77</v>
      </c>
      <c r="O722">
        <v>32535.279999999999</v>
      </c>
      <c r="P722">
        <v>84.59</v>
      </c>
      <c r="Q722">
        <v>204.14</v>
      </c>
      <c r="R722">
        <v>23.37</v>
      </c>
      <c r="S722">
        <v>17.37</v>
      </c>
      <c r="T722">
        <v>908.6</v>
      </c>
      <c r="U722">
        <v>0.74</v>
      </c>
      <c r="V722">
        <v>0.76</v>
      </c>
      <c r="W722">
        <v>1.1399999999999999</v>
      </c>
      <c r="X722">
        <v>0.05</v>
      </c>
      <c r="Y722">
        <v>1</v>
      </c>
      <c r="Z722">
        <v>10</v>
      </c>
    </row>
    <row r="723" spans="1:26" x14ac:dyDescent="0.3">
      <c r="A723">
        <v>113</v>
      </c>
      <c r="B723">
        <v>110</v>
      </c>
      <c r="C723" t="s">
        <v>26</v>
      </c>
      <c r="D723">
        <v>10.4978</v>
      </c>
      <c r="E723">
        <v>9.5299999999999994</v>
      </c>
      <c r="F723">
        <v>6.74</v>
      </c>
      <c r="G723">
        <v>101.16</v>
      </c>
      <c r="H723">
        <v>1.98</v>
      </c>
      <c r="I723">
        <v>4</v>
      </c>
      <c r="J723">
        <v>262.37</v>
      </c>
      <c r="K723">
        <v>56.13</v>
      </c>
      <c r="L723">
        <v>29.25</v>
      </c>
      <c r="M723">
        <v>2</v>
      </c>
      <c r="N723">
        <v>66.989999999999995</v>
      </c>
      <c r="O723">
        <v>32592.68</v>
      </c>
      <c r="P723">
        <v>84.14</v>
      </c>
      <c r="Q723">
        <v>204.14</v>
      </c>
      <c r="R723">
        <v>23.45</v>
      </c>
      <c r="S723">
        <v>17.37</v>
      </c>
      <c r="T723">
        <v>947.45</v>
      </c>
      <c r="U723">
        <v>0.74</v>
      </c>
      <c r="V723">
        <v>0.76</v>
      </c>
      <c r="W723">
        <v>1.1399999999999999</v>
      </c>
      <c r="X723">
        <v>0.05</v>
      </c>
      <c r="Y723">
        <v>1</v>
      </c>
      <c r="Z723">
        <v>10</v>
      </c>
    </row>
    <row r="724" spans="1:26" x14ac:dyDescent="0.3">
      <c r="A724">
        <v>114</v>
      </c>
      <c r="B724">
        <v>110</v>
      </c>
      <c r="C724" t="s">
        <v>26</v>
      </c>
      <c r="D724">
        <v>10.504200000000001</v>
      </c>
      <c r="E724">
        <v>9.52</v>
      </c>
      <c r="F724">
        <v>6.74</v>
      </c>
      <c r="G724">
        <v>101.08</v>
      </c>
      <c r="H724">
        <v>2</v>
      </c>
      <c r="I724">
        <v>4</v>
      </c>
      <c r="J724">
        <v>262.83</v>
      </c>
      <c r="K724">
        <v>56.13</v>
      </c>
      <c r="L724">
        <v>29.5</v>
      </c>
      <c r="M724">
        <v>2</v>
      </c>
      <c r="N724">
        <v>67.209999999999994</v>
      </c>
      <c r="O724">
        <v>32650.17</v>
      </c>
      <c r="P724">
        <v>83.63</v>
      </c>
      <c r="Q724">
        <v>204.14</v>
      </c>
      <c r="R724">
        <v>23.3</v>
      </c>
      <c r="S724">
        <v>17.37</v>
      </c>
      <c r="T724">
        <v>871.68</v>
      </c>
      <c r="U724">
        <v>0.75</v>
      </c>
      <c r="V724">
        <v>0.76</v>
      </c>
      <c r="W724">
        <v>1.1399999999999999</v>
      </c>
      <c r="X724">
        <v>0.05</v>
      </c>
      <c r="Y724">
        <v>1</v>
      </c>
      <c r="Z724">
        <v>10</v>
      </c>
    </row>
    <row r="725" spans="1:26" x14ac:dyDescent="0.3">
      <c r="A725">
        <v>115</v>
      </c>
      <c r="B725">
        <v>110</v>
      </c>
      <c r="C725" t="s">
        <v>26</v>
      </c>
      <c r="D725">
        <v>10.574199999999999</v>
      </c>
      <c r="E725">
        <v>9.4600000000000009</v>
      </c>
      <c r="F725">
        <v>6.72</v>
      </c>
      <c r="G725">
        <v>134.35</v>
      </c>
      <c r="H725">
        <v>2.0099999999999998</v>
      </c>
      <c r="I725">
        <v>3</v>
      </c>
      <c r="J725">
        <v>263.3</v>
      </c>
      <c r="K725">
        <v>56.13</v>
      </c>
      <c r="L725">
        <v>29.75</v>
      </c>
      <c r="M725">
        <v>1</v>
      </c>
      <c r="N725">
        <v>67.42</v>
      </c>
      <c r="O725">
        <v>32707.74</v>
      </c>
      <c r="P725">
        <v>82.86</v>
      </c>
      <c r="Q725">
        <v>204.15</v>
      </c>
      <c r="R725">
        <v>22.61</v>
      </c>
      <c r="S725">
        <v>17.37</v>
      </c>
      <c r="T725">
        <v>530.74</v>
      </c>
      <c r="U725">
        <v>0.77</v>
      </c>
      <c r="V725">
        <v>0.76</v>
      </c>
      <c r="W725">
        <v>1.1399999999999999</v>
      </c>
      <c r="X725">
        <v>0.03</v>
      </c>
      <c r="Y725">
        <v>1</v>
      </c>
      <c r="Z725">
        <v>10</v>
      </c>
    </row>
    <row r="726" spans="1:26" x14ac:dyDescent="0.3">
      <c r="A726">
        <v>116</v>
      </c>
      <c r="B726">
        <v>110</v>
      </c>
      <c r="C726" t="s">
        <v>26</v>
      </c>
      <c r="D726">
        <v>10.5733</v>
      </c>
      <c r="E726">
        <v>9.4600000000000009</v>
      </c>
      <c r="F726">
        <v>6.72</v>
      </c>
      <c r="G726">
        <v>134.37</v>
      </c>
      <c r="H726">
        <v>2.02</v>
      </c>
      <c r="I726">
        <v>3</v>
      </c>
      <c r="J726">
        <v>263.77</v>
      </c>
      <c r="K726">
        <v>56.13</v>
      </c>
      <c r="L726">
        <v>30</v>
      </c>
      <c r="M726">
        <v>1</v>
      </c>
      <c r="N726">
        <v>67.64</v>
      </c>
      <c r="O726">
        <v>32765.39</v>
      </c>
      <c r="P726">
        <v>83.28</v>
      </c>
      <c r="Q726">
        <v>204.14</v>
      </c>
      <c r="R726">
        <v>22.63</v>
      </c>
      <c r="S726">
        <v>17.37</v>
      </c>
      <c r="T726">
        <v>541.92999999999995</v>
      </c>
      <c r="U726">
        <v>0.77</v>
      </c>
      <c r="V726">
        <v>0.76</v>
      </c>
      <c r="W726">
        <v>1.1399999999999999</v>
      </c>
      <c r="X726">
        <v>0.03</v>
      </c>
      <c r="Y726">
        <v>1</v>
      </c>
      <c r="Z726">
        <v>10</v>
      </c>
    </row>
    <row r="727" spans="1:26" x14ac:dyDescent="0.3">
      <c r="A727">
        <v>117</v>
      </c>
      <c r="B727">
        <v>110</v>
      </c>
      <c r="C727" t="s">
        <v>26</v>
      </c>
      <c r="D727">
        <v>10.569599999999999</v>
      </c>
      <c r="E727">
        <v>9.4600000000000009</v>
      </c>
      <c r="F727">
        <v>6.72</v>
      </c>
      <c r="G727">
        <v>134.43</v>
      </c>
      <c r="H727">
        <v>2.04</v>
      </c>
      <c r="I727">
        <v>3</v>
      </c>
      <c r="J727">
        <v>264.23</v>
      </c>
      <c r="K727">
        <v>56.13</v>
      </c>
      <c r="L727">
        <v>30.25</v>
      </c>
      <c r="M727">
        <v>0</v>
      </c>
      <c r="N727">
        <v>67.86</v>
      </c>
      <c r="O727">
        <v>32823.120000000003</v>
      </c>
      <c r="P727">
        <v>83.5</v>
      </c>
      <c r="Q727">
        <v>204.14</v>
      </c>
      <c r="R727">
        <v>22.7</v>
      </c>
      <c r="S727">
        <v>17.37</v>
      </c>
      <c r="T727">
        <v>574.98</v>
      </c>
      <c r="U727">
        <v>0.77</v>
      </c>
      <c r="V727">
        <v>0.76</v>
      </c>
      <c r="W727">
        <v>1.1399999999999999</v>
      </c>
      <c r="X727">
        <v>0.03</v>
      </c>
      <c r="Y727">
        <v>1</v>
      </c>
      <c r="Z727">
        <v>10</v>
      </c>
    </row>
    <row r="728" spans="1:26" x14ac:dyDescent="0.3">
      <c r="A728">
        <v>0</v>
      </c>
      <c r="B728">
        <v>150</v>
      </c>
      <c r="C728" t="s">
        <v>26</v>
      </c>
      <c r="D728">
        <v>5.2610000000000001</v>
      </c>
      <c r="E728">
        <v>19.010000000000002</v>
      </c>
      <c r="F728">
        <v>9.23</v>
      </c>
      <c r="G728">
        <v>4.54</v>
      </c>
      <c r="H728">
        <v>0.06</v>
      </c>
      <c r="I728">
        <v>122</v>
      </c>
      <c r="J728">
        <v>296.64999999999998</v>
      </c>
      <c r="K728">
        <v>61.82</v>
      </c>
      <c r="L728">
        <v>1</v>
      </c>
      <c r="M728">
        <v>120</v>
      </c>
      <c r="N728">
        <v>83.83</v>
      </c>
      <c r="O728">
        <v>36821.519999999997</v>
      </c>
      <c r="P728">
        <v>168.4</v>
      </c>
      <c r="Q728">
        <v>204.29</v>
      </c>
      <c r="R728">
        <v>100.7</v>
      </c>
      <c r="S728">
        <v>17.37</v>
      </c>
      <c r="T728">
        <v>38984.120000000003</v>
      </c>
      <c r="U728">
        <v>0.17</v>
      </c>
      <c r="V728">
        <v>0.55000000000000004</v>
      </c>
      <c r="W728">
        <v>1.35</v>
      </c>
      <c r="X728">
        <v>2.54</v>
      </c>
      <c r="Y728">
        <v>1</v>
      </c>
      <c r="Z728">
        <v>10</v>
      </c>
    </row>
    <row r="729" spans="1:26" x14ac:dyDescent="0.3">
      <c r="A729">
        <v>1</v>
      </c>
      <c r="B729">
        <v>150</v>
      </c>
      <c r="C729" t="s">
        <v>26</v>
      </c>
      <c r="D729">
        <v>6.0567000000000002</v>
      </c>
      <c r="E729">
        <v>16.510000000000002</v>
      </c>
      <c r="F729">
        <v>8.51</v>
      </c>
      <c r="G729">
        <v>5.68</v>
      </c>
      <c r="H729">
        <v>7.0000000000000007E-2</v>
      </c>
      <c r="I729">
        <v>90</v>
      </c>
      <c r="J729">
        <v>297.17</v>
      </c>
      <c r="K729">
        <v>61.82</v>
      </c>
      <c r="L729">
        <v>1.25</v>
      </c>
      <c r="M729">
        <v>88</v>
      </c>
      <c r="N729">
        <v>84.1</v>
      </c>
      <c r="O729">
        <v>36885.699999999997</v>
      </c>
      <c r="P729">
        <v>155.19</v>
      </c>
      <c r="Q729">
        <v>204.25</v>
      </c>
      <c r="R729">
        <v>78.459999999999994</v>
      </c>
      <c r="S729">
        <v>17.37</v>
      </c>
      <c r="T729">
        <v>28023.599999999999</v>
      </c>
      <c r="U729">
        <v>0.22</v>
      </c>
      <c r="V729">
        <v>0.6</v>
      </c>
      <c r="W729">
        <v>1.28</v>
      </c>
      <c r="X729">
        <v>1.82</v>
      </c>
      <c r="Y729">
        <v>1</v>
      </c>
      <c r="Z729">
        <v>10</v>
      </c>
    </row>
    <row r="730" spans="1:26" x14ac:dyDescent="0.3">
      <c r="A730">
        <v>2</v>
      </c>
      <c r="B730">
        <v>150</v>
      </c>
      <c r="C730" t="s">
        <v>26</v>
      </c>
      <c r="D730">
        <v>6.6108000000000002</v>
      </c>
      <c r="E730">
        <v>15.13</v>
      </c>
      <c r="F730">
        <v>8.1300000000000008</v>
      </c>
      <c r="G730">
        <v>6.77</v>
      </c>
      <c r="H730">
        <v>0.09</v>
      </c>
      <c r="I730">
        <v>72</v>
      </c>
      <c r="J730">
        <v>297.7</v>
      </c>
      <c r="K730">
        <v>61.82</v>
      </c>
      <c r="L730">
        <v>1.5</v>
      </c>
      <c r="M730">
        <v>70</v>
      </c>
      <c r="N730">
        <v>84.37</v>
      </c>
      <c r="O730">
        <v>36949.99</v>
      </c>
      <c r="P730">
        <v>148.13999999999999</v>
      </c>
      <c r="Q730">
        <v>204.27</v>
      </c>
      <c r="R730">
        <v>66.510000000000005</v>
      </c>
      <c r="S730">
        <v>17.37</v>
      </c>
      <c r="T730">
        <v>22137.02</v>
      </c>
      <c r="U730">
        <v>0.26</v>
      </c>
      <c r="V730">
        <v>0.63</v>
      </c>
      <c r="W730">
        <v>1.25</v>
      </c>
      <c r="X730">
        <v>1.43</v>
      </c>
      <c r="Y730">
        <v>1</v>
      </c>
      <c r="Z730">
        <v>10</v>
      </c>
    </row>
    <row r="731" spans="1:26" x14ac:dyDescent="0.3">
      <c r="A731">
        <v>3</v>
      </c>
      <c r="B731">
        <v>150</v>
      </c>
      <c r="C731" t="s">
        <v>26</v>
      </c>
      <c r="D731">
        <v>7.0304000000000002</v>
      </c>
      <c r="E731">
        <v>14.22</v>
      </c>
      <c r="F731">
        <v>7.89</v>
      </c>
      <c r="G731">
        <v>7.89</v>
      </c>
      <c r="H731">
        <v>0.1</v>
      </c>
      <c r="I731">
        <v>60</v>
      </c>
      <c r="J731">
        <v>298.22000000000003</v>
      </c>
      <c r="K731">
        <v>61.82</v>
      </c>
      <c r="L731">
        <v>1.75</v>
      </c>
      <c r="M731">
        <v>58</v>
      </c>
      <c r="N731">
        <v>84.65</v>
      </c>
      <c r="O731">
        <v>37014.39</v>
      </c>
      <c r="P731">
        <v>143.75</v>
      </c>
      <c r="Q731">
        <v>204.19</v>
      </c>
      <c r="R731">
        <v>59.66</v>
      </c>
      <c r="S731">
        <v>17.37</v>
      </c>
      <c r="T731">
        <v>18770.330000000002</v>
      </c>
      <c r="U731">
        <v>0.28999999999999998</v>
      </c>
      <c r="V731">
        <v>0.65</v>
      </c>
      <c r="W731">
        <v>1.22</v>
      </c>
      <c r="X731">
        <v>1.2</v>
      </c>
      <c r="Y731">
        <v>1</v>
      </c>
      <c r="Z731">
        <v>10</v>
      </c>
    </row>
    <row r="732" spans="1:26" x14ac:dyDescent="0.3">
      <c r="A732">
        <v>4</v>
      </c>
      <c r="B732">
        <v>150</v>
      </c>
      <c r="C732" t="s">
        <v>26</v>
      </c>
      <c r="D732">
        <v>7.343</v>
      </c>
      <c r="E732">
        <v>13.62</v>
      </c>
      <c r="F732">
        <v>7.73</v>
      </c>
      <c r="G732">
        <v>8.92</v>
      </c>
      <c r="H732">
        <v>0.12</v>
      </c>
      <c r="I732">
        <v>52</v>
      </c>
      <c r="J732">
        <v>298.74</v>
      </c>
      <c r="K732">
        <v>61.82</v>
      </c>
      <c r="L732">
        <v>2</v>
      </c>
      <c r="M732">
        <v>50</v>
      </c>
      <c r="N732">
        <v>84.92</v>
      </c>
      <c r="O732">
        <v>37078.910000000003</v>
      </c>
      <c r="P732">
        <v>140.78</v>
      </c>
      <c r="Q732">
        <v>204.21</v>
      </c>
      <c r="R732">
        <v>54.13</v>
      </c>
      <c r="S732">
        <v>17.37</v>
      </c>
      <c r="T732">
        <v>16045.88</v>
      </c>
      <c r="U732">
        <v>0.32</v>
      </c>
      <c r="V732">
        <v>0.66</v>
      </c>
      <c r="W732">
        <v>1.22</v>
      </c>
      <c r="X732">
        <v>1.04</v>
      </c>
      <c r="Y732">
        <v>1</v>
      </c>
      <c r="Z732">
        <v>10</v>
      </c>
    </row>
    <row r="733" spans="1:26" x14ac:dyDescent="0.3">
      <c r="A733">
        <v>5</v>
      </c>
      <c r="B733">
        <v>150</v>
      </c>
      <c r="C733" t="s">
        <v>26</v>
      </c>
      <c r="D733">
        <v>7.6414999999999997</v>
      </c>
      <c r="E733">
        <v>13.09</v>
      </c>
      <c r="F733">
        <v>7.59</v>
      </c>
      <c r="G733">
        <v>10.119999999999999</v>
      </c>
      <c r="H733">
        <v>0.13</v>
      </c>
      <c r="I733">
        <v>45</v>
      </c>
      <c r="J733">
        <v>299.26</v>
      </c>
      <c r="K733">
        <v>61.82</v>
      </c>
      <c r="L733">
        <v>2.25</v>
      </c>
      <c r="M733">
        <v>43</v>
      </c>
      <c r="N733">
        <v>85.19</v>
      </c>
      <c r="O733">
        <v>37143.54</v>
      </c>
      <c r="P733">
        <v>138.11000000000001</v>
      </c>
      <c r="Q733">
        <v>204.2</v>
      </c>
      <c r="R733">
        <v>49.86</v>
      </c>
      <c r="S733">
        <v>17.37</v>
      </c>
      <c r="T733">
        <v>13948.11</v>
      </c>
      <c r="U733">
        <v>0.35</v>
      </c>
      <c r="V733">
        <v>0.67</v>
      </c>
      <c r="W733">
        <v>1.21</v>
      </c>
      <c r="X733">
        <v>0.9</v>
      </c>
      <c r="Y733">
        <v>1</v>
      </c>
      <c r="Z733">
        <v>10</v>
      </c>
    </row>
    <row r="734" spans="1:26" x14ac:dyDescent="0.3">
      <c r="A734">
        <v>6</v>
      </c>
      <c r="B734">
        <v>150</v>
      </c>
      <c r="C734" t="s">
        <v>26</v>
      </c>
      <c r="D734">
        <v>7.8777999999999997</v>
      </c>
      <c r="E734">
        <v>12.69</v>
      </c>
      <c r="F734">
        <v>7.47</v>
      </c>
      <c r="G734">
        <v>11.21</v>
      </c>
      <c r="H734">
        <v>0.15</v>
      </c>
      <c r="I734">
        <v>40</v>
      </c>
      <c r="J734">
        <v>299.79000000000002</v>
      </c>
      <c r="K734">
        <v>61.82</v>
      </c>
      <c r="L734">
        <v>2.5</v>
      </c>
      <c r="M734">
        <v>38</v>
      </c>
      <c r="N734">
        <v>85.47</v>
      </c>
      <c r="O734">
        <v>37208.42</v>
      </c>
      <c r="P734">
        <v>135.94</v>
      </c>
      <c r="Q734">
        <v>204.19</v>
      </c>
      <c r="R734">
        <v>46.52</v>
      </c>
      <c r="S734">
        <v>17.37</v>
      </c>
      <c r="T734">
        <v>12301.13</v>
      </c>
      <c r="U734">
        <v>0.37</v>
      </c>
      <c r="V734">
        <v>0.68</v>
      </c>
      <c r="W734">
        <v>1.19</v>
      </c>
      <c r="X734">
        <v>0.78</v>
      </c>
      <c r="Y734">
        <v>1</v>
      </c>
      <c r="Z734">
        <v>10</v>
      </c>
    </row>
    <row r="735" spans="1:26" x14ac:dyDescent="0.3">
      <c r="A735">
        <v>7</v>
      </c>
      <c r="B735">
        <v>150</v>
      </c>
      <c r="C735" t="s">
        <v>26</v>
      </c>
      <c r="D735">
        <v>8.0124999999999993</v>
      </c>
      <c r="E735">
        <v>12.48</v>
      </c>
      <c r="F735">
        <v>7.43</v>
      </c>
      <c r="G735">
        <v>12.05</v>
      </c>
      <c r="H735">
        <v>0.16</v>
      </c>
      <c r="I735">
        <v>37</v>
      </c>
      <c r="J735">
        <v>300.32</v>
      </c>
      <c r="K735">
        <v>61.82</v>
      </c>
      <c r="L735">
        <v>2.75</v>
      </c>
      <c r="M735">
        <v>35</v>
      </c>
      <c r="N735">
        <v>85.74</v>
      </c>
      <c r="O735">
        <v>37273.29</v>
      </c>
      <c r="P735">
        <v>135.08000000000001</v>
      </c>
      <c r="Q735">
        <v>204.23</v>
      </c>
      <c r="R735">
        <v>44.71</v>
      </c>
      <c r="S735">
        <v>17.37</v>
      </c>
      <c r="T735">
        <v>11409.98</v>
      </c>
      <c r="U735">
        <v>0.39</v>
      </c>
      <c r="V735">
        <v>0.69</v>
      </c>
      <c r="W735">
        <v>1.2</v>
      </c>
      <c r="X735">
        <v>0.74</v>
      </c>
      <c r="Y735">
        <v>1</v>
      </c>
      <c r="Z735">
        <v>10</v>
      </c>
    </row>
    <row r="736" spans="1:26" x14ac:dyDescent="0.3">
      <c r="A736">
        <v>8</v>
      </c>
      <c r="B736">
        <v>150</v>
      </c>
      <c r="C736" t="s">
        <v>26</v>
      </c>
      <c r="D736">
        <v>8.2239000000000004</v>
      </c>
      <c r="E736">
        <v>12.16</v>
      </c>
      <c r="F736">
        <v>7.33</v>
      </c>
      <c r="G736">
        <v>13.33</v>
      </c>
      <c r="H736">
        <v>0.18</v>
      </c>
      <c r="I736">
        <v>33</v>
      </c>
      <c r="J736">
        <v>300.83999999999997</v>
      </c>
      <c r="K736">
        <v>61.82</v>
      </c>
      <c r="L736">
        <v>3</v>
      </c>
      <c r="M736">
        <v>31</v>
      </c>
      <c r="N736">
        <v>86.02</v>
      </c>
      <c r="O736">
        <v>37338.269999999997</v>
      </c>
      <c r="P736">
        <v>133.22999999999999</v>
      </c>
      <c r="Q736">
        <v>204.15</v>
      </c>
      <c r="R736">
        <v>41.46</v>
      </c>
      <c r="S736">
        <v>17.37</v>
      </c>
      <c r="T736">
        <v>9808.98</v>
      </c>
      <c r="U736">
        <v>0.42</v>
      </c>
      <c r="V736">
        <v>0.7</v>
      </c>
      <c r="W736">
        <v>1.19</v>
      </c>
      <c r="X736">
        <v>0.64</v>
      </c>
      <c r="Y736">
        <v>1</v>
      </c>
      <c r="Z736">
        <v>10</v>
      </c>
    </row>
    <row r="737" spans="1:26" x14ac:dyDescent="0.3">
      <c r="A737">
        <v>9</v>
      </c>
      <c r="B737">
        <v>150</v>
      </c>
      <c r="C737" t="s">
        <v>26</v>
      </c>
      <c r="D737">
        <v>8.3237000000000005</v>
      </c>
      <c r="E737">
        <v>12.01</v>
      </c>
      <c r="F737">
        <v>7.29</v>
      </c>
      <c r="G737">
        <v>14.12</v>
      </c>
      <c r="H737">
        <v>0.19</v>
      </c>
      <c r="I737">
        <v>31</v>
      </c>
      <c r="J737">
        <v>301.37</v>
      </c>
      <c r="K737">
        <v>61.82</v>
      </c>
      <c r="L737">
        <v>3.25</v>
      </c>
      <c r="M737">
        <v>29</v>
      </c>
      <c r="N737">
        <v>86.3</v>
      </c>
      <c r="O737">
        <v>37403.379999999997</v>
      </c>
      <c r="P737">
        <v>132.53</v>
      </c>
      <c r="Q737">
        <v>204.19</v>
      </c>
      <c r="R737">
        <v>40.58</v>
      </c>
      <c r="S737">
        <v>17.37</v>
      </c>
      <c r="T737">
        <v>9377.26</v>
      </c>
      <c r="U737">
        <v>0.43</v>
      </c>
      <c r="V737">
        <v>0.7</v>
      </c>
      <c r="W737">
        <v>1.19</v>
      </c>
      <c r="X737">
        <v>0.6</v>
      </c>
      <c r="Y737">
        <v>1</v>
      </c>
      <c r="Z737">
        <v>10</v>
      </c>
    </row>
    <row r="738" spans="1:26" x14ac:dyDescent="0.3">
      <c r="A738">
        <v>10</v>
      </c>
      <c r="B738">
        <v>150</v>
      </c>
      <c r="C738" t="s">
        <v>26</v>
      </c>
      <c r="D738">
        <v>8.4906000000000006</v>
      </c>
      <c r="E738">
        <v>11.78</v>
      </c>
      <c r="F738">
        <v>7.22</v>
      </c>
      <c r="G738">
        <v>15.48</v>
      </c>
      <c r="H738">
        <v>0.21</v>
      </c>
      <c r="I738">
        <v>28</v>
      </c>
      <c r="J738">
        <v>301.89999999999998</v>
      </c>
      <c r="K738">
        <v>61.82</v>
      </c>
      <c r="L738">
        <v>3.5</v>
      </c>
      <c r="M738">
        <v>26</v>
      </c>
      <c r="N738">
        <v>86.58</v>
      </c>
      <c r="O738">
        <v>37468.6</v>
      </c>
      <c r="P738">
        <v>131.19999999999999</v>
      </c>
      <c r="Q738">
        <v>204.14</v>
      </c>
      <c r="R738">
        <v>38.71</v>
      </c>
      <c r="S738">
        <v>17.37</v>
      </c>
      <c r="T738">
        <v>8458.61</v>
      </c>
      <c r="U738">
        <v>0.45</v>
      </c>
      <c r="V738">
        <v>0.71</v>
      </c>
      <c r="W738">
        <v>1.17</v>
      </c>
      <c r="X738">
        <v>0.53</v>
      </c>
      <c r="Y738">
        <v>1</v>
      </c>
      <c r="Z738">
        <v>10</v>
      </c>
    </row>
    <row r="739" spans="1:26" x14ac:dyDescent="0.3">
      <c r="A739">
        <v>11</v>
      </c>
      <c r="B739">
        <v>150</v>
      </c>
      <c r="C739" t="s">
        <v>26</v>
      </c>
      <c r="D739">
        <v>8.5955999999999992</v>
      </c>
      <c r="E739">
        <v>11.63</v>
      </c>
      <c r="F739">
        <v>7.19</v>
      </c>
      <c r="G739">
        <v>16.600000000000001</v>
      </c>
      <c r="H739">
        <v>0.22</v>
      </c>
      <c r="I739">
        <v>26</v>
      </c>
      <c r="J739">
        <v>302.43</v>
      </c>
      <c r="K739">
        <v>61.82</v>
      </c>
      <c r="L739">
        <v>3.75</v>
      </c>
      <c r="M739">
        <v>24</v>
      </c>
      <c r="N739">
        <v>86.86</v>
      </c>
      <c r="O739">
        <v>37533.94</v>
      </c>
      <c r="P739">
        <v>130.63</v>
      </c>
      <c r="Q739">
        <v>204.15</v>
      </c>
      <c r="R739">
        <v>37.340000000000003</v>
      </c>
      <c r="S739">
        <v>17.37</v>
      </c>
      <c r="T739">
        <v>7782.54</v>
      </c>
      <c r="U739">
        <v>0.47</v>
      </c>
      <c r="V739">
        <v>0.71</v>
      </c>
      <c r="W739">
        <v>1.18</v>
      </c>
      <c r="X739">
        <v>0.5</v>
      </c>
      <c r="Y739">
        <v>1</v>
      </c>
      <c r="Z739">
        <v>10</v>
      </c>
    </row>
    <row r="740" spans="1:26" x14ac:dyDescent="0.3">
      <c r="A740">
        <v>12</v>
      </c>
      <c r="B740">
        <v>150</v>
      </c>
      <c r="C740" t="s">
        <v>26</v>
      </c>
      <c r="D740">
        <v>8.6555</v>
      </c>
      <c r="E740">
        <v>11.55</v>
      </c>
      <c r="F740">
        <v>7.17</v>
      </c>
      <c r="G740">
        <v>17.2</v>
      </c>
      <c r="H740">
        <v>0.24</v>
      </c>
      <c r="I740">
        <v>25</v>
      </c>
      <c r="J740">
        <v>302.95999999999998</v>
      </c>
      <c r="K740">
        <v>61.82</v>
      </c>
      <c r="L740">
        <v>4</v>
      </c>
      <c r="M740">
        <v>23</v>
      </c>
      <c r="N740">
        <v>87.14</v>
      </c>
      <c r="O740">
        <v>37599.4</v>
      </c>
      <c r="P740">
        <v>130.09</v>
      </c>
      <c r="Q740">
        <v>204.2</v>
      </c>
      <c r="R740">
        <v>36.69</v>
      </c>
      <c r="S740">
        <v>17.37</v>
      </c>
      <c r="T740">
        <v>7463.32</v>
      </c>
      <c r="U740">
        <v>0.47</v>
      </c>
      <c r="V740">
        <v>0.71</v>
      </c>
      <c r="W740">
        <v>1.17</v>
      </c>
      <c r="X740">
        <v>0.47</v>
      </c>
      <c r="Y740">
        <v>1</v>
      </c>
      <c r="Z740">
        <v>10</v>
      </c>
    </row>
    <row r="741" spans="1:26" x14ac:dyDescent="0.3">
      <c r="A741">
        <v>13</v>
      </c>
      <c r="B741">
        <v>150</v>
      </c>
      <c r="C741" t="s">
        <v>26</v>
      </c>
      <c r="D741">
        <v>8.7666000000000004</v>
      </c>
      <c r="E741">
        <v>11.41</v>
      </c>
      <c r="F741">
        <v>7.13</v>
      </c>
      <c r="G741">
        <v>18.61</v>
      </c>
      <c r="H741">
        <v>0.25</v>
      </c>
      <c r="I741">
        <v>23</v>
      </c>
      <c r="J741">
        <v>303.49</v>
      </c>
      <c r="K741">
        <v>61.82</v>
      </c>
      <c r="L741">
        <v>4.25</v>
      </c>
      <c r="M741">
        <v>21</v>
      </c>
      <c r="N741">
        <v>87.42</v>
      </c>
      <c r="O741">
        <v>37664.980000000003</v>
      </c>
      <c r="P741">
        <v>129.38999999999999</v>
      </c>
      <c r="Q741">
        <v>204.14</v>
      </c>
      <c r="R741">
        <v>35.76</v>
      </c>
      <c r="S741">
        <v>17.37</v>
      </c>
      <c r="T741">
        <v>7005.93</v>
      </c>
      <c r="U741">
        <v>0.49</v>
      </c>
      <c r="V741">
        <v>0.72</v>
      </c>
      <c r="W741">
        <v>1.17</v>
      </c>
      <c r="X741">
        <v>0.44</v>
      </c>
      <c r="Y741">
        <v>1</v>
      </c>
      <c r="Z741">
        <v>10</v>
      </c>
    </row>
    <row r="742" spans="1:26" x14ac:dyDescent="0.3">
      <c r="A742">
        <v>14</v>
      </c>
      <c r="B742">
        <v>150</v>
      </c>
      <c r="C742" t="s">
        <v>26</v>
      </c>
      <c r="D742">
        <v>8.8254999999999999</v>
      </c>
      <c r="E742">
        <v>11.33</v>
      </c>
      <c r="F742">
        <v>7.11</v>
      </c>
      <c r="G742">
        <v>19.39</v>
      </c>
      <c r="H742">
        <v>0.26</v>
      </c>
      <c r="I742">
        <v>22</v>
      </c>
      <c r="J742">
        <v>304.02999999999997</v>
      </c>
      <c r="K742">
        <v>61.82</v>
      </c>
      <c r="L742">
        <v>4.5</v>
      </c>
      <c r="M742">
        <v>20</v>
      </c>
      <c r="N742">
        <v>87.7</v>
      </c>
      <c r="O742">
        <v>37730.68</v>
      </c>
      <c r="P742">
        <v>129.01</v>
      </c>
      <c r="Q742">
        <v>204.17</v>
      </c>
      <c r="R742">
        <v>34.869999999999997</v>
      </c>
      <c r="S742">
        <v>17.37</v>
      </c>
      <c r="T742">
        <v>6567.73</v>
      </c>
      <c r="U742">
        <v>0.5</v>
      </c>
      <c r="V742">
        <v>0.72</v>
      </c>
      <c r="W742">
        <v>1.17</v>
      </c>
      <c r="X742">
        <v>0.42</v>
      </c>
      <c r="Y742">
        <v>1</v>
      </c>
      <c r="Z742">
        <v>10</v>
      </c>
    </row>
    <row r="743" spans="1:26" x14ac:dyDescent="0.3">
      <c r="A743">
        <v>15</v>
      </c>
      <c r="B743">
        <v>150</v>
      </c>
      <c r="C743" t="s">
        <v>26</v>
      </c>
      <c r="D743">
        <v>8.8943999999999992</v>
      </c>
      <c r="E743">
        <v>11.24</v>
      </c>
      <c r="F743">
        <v>7.08</v>
      </c>
      <c r="G743">
        <v>20.23</v>
      </c>
      <c r="H743">
        <v>0.28000000000000003</v>
      </c>
      <c r="I743">
        <v>21</v>
      </c>
      <c r="J743">
        <v>304.56</v>
      </c>
      <c r="K743">
        <v>61.82</v>
      </c>
      <c r="L743">
        <v>4.75</v>
      </c>
      <c r="M743">
        <v>19</v>
      </c>
      <c r="N743">
        <v>87.99</v>
      </c>
      <c r="O743">
        <v>37796.51</v>
      </c>
      <c r="P743">
        <v>128.28</v>
      </c>
      <c r="Q743">
        <v>204.16</v>
      </c>
      <c r="R743">
        <v>34</v>
      </c>
      <c r="S743">
        <v>17.37</v>
      </c>
      <c r="T743">
        <v>6135.26</v>
      </c>
      <c r="U743">
        <v>0.51</v>
      </c>
      <c r="V743">
        <v>0.72</v>
      </c>
      <c r="W743">
        <v>1.17</v>
      </c>
      <c r="X743">
        <v>0.39</v>
      </c>
      <c r="Y743">
        <v>1</v>
      </c>
      <c r="Z743">
        <v>10</v>
      </c>
    </row>
    <row r="744" spans="1:26" x14ac:dyDescent="0.3">
      <c r="A744">
        <v>16</v>
      </c>
      <c r="B744">
        <v>150</v>
      </c>
      <c r="C744" t="s">
        <v>26</v>
      </c>
      <c r="D744">
        <v>8.9400999999999993</v>
      </c>
      <c r="E744">
        <v>11.19</v>
      </c>
      <c r="F744">
        <v>7.08</v>
      </c>
      <c r="G744">
        <v>21.23</v>
      </c>
      <c r="H744">
        <v>0.28999999999999998</v>
      </c>
      <c r="I744">
        <v>20</v>
      </c>
      <c r="J744">
        <v>305.08999999999997</v>
      </c>
      <c r="K744">
        <v>61.82</v>
      </c>
      <c r="L744">
        <v>5</v>
      </c>
      <c r="M744">
        <v>18</v>
      </c>
      <c r="N744">
        <v>88.27</v>
      </c>
      <c r="O744">
        <v>37862.449999999997</v>
      </c>
      <c r="P744">
        <v>128.22999999999999</v>
      </c>
      <c r="Q744">
        <v>204.15</v>
      </c>
      <c r="R744">
        <v>33.71</v>
      </c>
      <c r="S744">
        <v>17.37</v>
      </c>
      <c r="T744">
        <v>5996.54</v>
      </c>
      <c r="U744">
        <v>0.52</v>
      </c>
      <c r="V744">
        <v>0.72</v>
      </c>
      <c r="W744">
        <v>1.17</v>
      </c>
      <c r="X744">
        <v>0.39</v>
      </c>
      <c r="Y744">
        <v>1</v>
      </c>
      <c r="Z744">
        <v>10</v>
      </c>
    </row>
    <row r="745" spans="1:26" x14ac:dyDescent="0.3">
      <c r="A745">
        <v>17</v>
      </c>
      <c r="B745">
        <v>150</v>
      </c>
      <c r="C745" t="s">
        <v>26</v>
      </c>
      <c r="D745">
        <v>9.0020000000000007</v>
      </c>
      <c r="E745">
        <v>11.11</v>
      </c>
      <c r="F745">
        <v>7.06</v>
      </c>
      <c r="G745">
        <v>22.28</v>
      </c>
      <c r="H745">
        <v>0.31</v>
      </c>
      <c r="I745">
        <v>19</v>
      </c>
      <c r="J745">
        <v>305.63</v>
      </c>
      <c r="K745">
        <v>61.82</v>
      </c>
      <c r="L745">
        <v>5.25</v>
      </c>
      <c r="M745">
        <v>17</v>
      </c>
      <c r="N745">
        <v>88.56</v>
      </c>
      <c r="O745">
        <v>37928.519999999997</v>
      </c>
      <c r="P745">
        <v>127.83</v>
      </c>
      <c r="Q745">
        <v>204.14</v>
      </c>
      <c r="R745">
        <v>33.26</v>
      </c>
      <c r="S745">
        <v>17.37</v>
      </c>
      <c r="T745">
        <v>5778.63</v>
      </c>
      <c r="U745">
        <v>0.52</v>
      </c>
      <c r="V745">
        <v>0.72</v>
      </c>
      <c r="W745">
        <v>1.17</v>
      </c>
      <c r="X745">
        <v>0.36</v>
      </c>
      <c r="Y745">
        <v>1</v>
      </c>
      <c r="Z745">
        <v>10</v>
      </c>
    </row>
    <row r="746" spans="1:26" x14ac:dyDescent="0.3">
      <c r="A746">
        <v>18</v>
      </c>
      <c r="B746">
        <v>150</v>
      </c>
      <c r="C746" t="s">
        <v>26</v>
      </c>
      <c r="D746">
        <v>9.0771999999999995</v>
      </c>
      <c r="E746">
        <v>11.02</v>
      </c>
      <c r="F746">
        <v>7.02</v>
      </c>
      <c r="G746">
        <v>23.4</v>
      </c>
      <c r="H746">
        <v>0.32</v>
      </c>
      <c r="I746">
        <v>18</v>
      </c>
      <c r="J746">
        <v>306.17</v>
      </c>
      <c r="K746">
        <v>61.82</v>
      </c>
      <c r="L746">
        <v>5.5</v>
      </c>
      <c r="M746">
        <v>16</v>
      </c>
      <c r="N746">
        <v>88.84</v>
      </c>
      <c r="O746">
        <v>37994.720000000001</v>
      </c>
      <c r="P746">
        <v>127.14</v>
      </c>
      <c r="Q746">
        <v>204.16</v>
      </c>
      <c r="R746">
        <v>31.89</v>
      </c>
      <c r="S746">
        <v>17.37</v>
      </c>
      <c r="T746">
        <v>5098.6000000000004</v>
      </c>
      <c r="U746">
        <v>0.54</v>
      </c>
      <c r="V746">
        <v>0.73</v>
      </c>
      <c r="W746">
        <v>1.17</v>
      </c>
      <c r="X746">
        <v>0.33</v>
      </c>
      <c r="Y746">
        <v>1</v>
      </c>
      <c r="Z746">
        <v>10</v>
      </c>
    </row>
    <row r="747" spans="1:26" x14ac:dyDescent="0.3">
      <c r="A747">
        <v>19</v>
      </c>
      <c r="B747">
        <v>150</v>
      </c>
      <c r="C747" t="s">
        <v>26</v>
      </c>
      <c r="D747">
        <v>9.1271000000000004</v>
      </c>
      <c r="E747">
        <v>10.96</v>
      </c>
      <c r="F747">
        <v>7.01</v>
      </c>
      <c r="G747">
        <v>24.76</v>
      </c>
      <c r="H747">
        <v>0.33</v>
      </c>
      <c r="I747">
        <v>17</v>
      </c>
      <c r="J747">
        <v>306.7</v>
      </c>
      <c r="K747">
        <v>61.82</v>
      </c>
      <c r="L747">
        <v>5.75</v>
      </c>
      <c r="M747">
        <v>15</v>
      </c>
      <c r="N747">
        <v>89.13</v>
      </c>
      <c r="O747">
        <v>38061.040000000001</v>
      </c>
      <c r="P747">
        <v>126.92</v>
      </c>
      <c r="Q747">
        <v>204.16</v>
      </c>
      <c r="R747">
        <v>31.8</v>
      </c>
      <c r="S747">
        <v>17.37</v>
      </c>
      <c r="T747">
        <v>5059.32</v>
      </c>
      <c r="U747">
        <v>0.55000000000000004</v>
      </c>
      <c r="V747">
        <v>0.73</v>
      </c>
      <c r="W747">
        <v>1.17</v>
      </c>
      <c r="X747">
        <v>0.32</v>
      </c>
      <c r="Y747">
        <v>1</v>
      </c>
      <c r="Z747">
        <v>10</v>
      </c>
    </row>
    <row r="748" spans="1:26" x14ac:dyDescent="0.3">
      <c r="A748">
        <v>20</v>
      </c>
      <c r="B748">
        <v>150</v>
      </c>
      <c r="C748" t="s">
        <v>26</v>
      </c>
      <c r="D748">
        <v>9.1273</v>
      </c>
      <c r="E748">
        <v>10.96</v>
      </c>
      <c r="F748">
        <v>7.01</v>
      </c>
      <c r="G748">
        <v>24.76</v>
      </c>
      <c r="H748">
        <v>0.35</v>
      </c>
      <c r="I748">
        <v>17</v>
      </c>
      <c r="J748">
        <v>307.24</v>
      </c>
      <c r="K748">
        <v>61.82</v>
      </c>
      <c r="L748">
        <v>6</v>
      </c>
      <c r="M748">
        <v>15</v>
      </c>
      <c r="N748">
        <v>89.42</v>
      </c>
      <c r="O748">
        <v>38127.480000000003</v>
      </c>
      <c r="P748">
        <v>126.96</v>
      </c>
      <c r="Q748">
        <v>204.16</v>
      </c>
      <c r="R748">
        <v>31.9</v>
      </c>
      <c r="S748">
        <v>17.37</v>
      </c>
      <c r="T748">
        <v>5108</v>
      </c>
      <c r="U748">
        <v>0.54</v>
      </c>
      <c r="V748">
        <v>0.73</v>
      </c>
      <c r="W748">
        <v>1.1599999999999999</v>
      </c>
      <c r="X748">
        <v>0.32</v>
      </c>
      <c r="Y748">
        <v>1</v>
      </c>
      <c r="Z748">
        <v>10</v>
      </c>
    </row>
    <row r="749" spans="1:26" x14ac:dyDescent="0.3">
      <c r="A749">
        <v>21</v>
      </c>
      <c r="B749">
        <v>150</v>
      </c>
      <c r="C749" t="s">
        <v>26</v>
      </c>
      <c r="D749">
        <v>9.1797000000000004</v>
      </c>
      <c r="E749">
        <v>10.89</v>
      </c>
      <c r="F749">
        <v>7.01</v>
      </c>
      <c r="G749">
        <v>26.28</v>
      </c>
      <c r="H749">
        <v>0.36</v>
      </c>
      <c r="I749">
        <v>16</v>
      </c>
      <c r="J749">
        <v>307.77999999999997</v>
      </c>
      <c r="K749">
        <v>61.82</v>
      </c>
      <c r="L749">
        <v>6.25</v>
      </c>
      <c r="M749">
        <v>14</v>
      </c>
      <c r="N749">
        <v>89.71</v>
      </c>
      <c r="O749">
        <v>38194.050000000003</v>
      </c>
      <c r="P749">
        <v>126.74</v>
      </c>
      <c r="Q749">
        <v>204.14</v>
      </c>
      <c r="R749">
        <v>31.51</v>
      </c>
      <c r="S749">
        <v>17.37</v>
      </c>
      <c r="T749">
        <v>4916.03</v>
      </c>
      <c r="U749">
        <v>0.55000000000000004</v>
      </c>
      <c r="V749">
        <v>0.73</v>
      </c>
      <c r="W749">
        <v>1.17</v>
      </c>
      <c r="X749">
        <v>0.32</v>
      </c>
      <c r="Y749">
        <v>1</v>
      </c>
      <c r="Z749">
        <v>10</v>
      </c>
    </row>
    <row r="750" spans="1:26" x14ac:dyDescent="0.3">
      <c r="A750">
        <v>22</v>
      </c>
      <c r="B750">
        <v>150</v>
      </c>
      <c r="C750" t="s">
        <v>26</v>
      </c>
      <c r="D750">
        <v>9.2459000000000007</v>
      </c>
      <c r="E750">
        <v>10.82</v>
      </c>
      <c r="F750">
        <v>6.99</v>
      </c>
      <c r="G750">
        <v>27.94</v>
      </c>
      <c r="H750">
        <v>0.38</v>
      </c>
      <c r="I750">
        <v>15</v>
      </c>
      <c r="J750">
        <v>308.32</v>
      </c>
      <c r="K750">
        <v>61.82</v>
      </c>
      <c r="L750">
        <v>6.5</v>
      </c>
      <c r="M750">
        <v>13</v>
      </c>
      <c r="N750">
        <v>90</v>
      </c>
      <c r="O750">
        <v>38260.74</v>
      </c>
      <c r="P750">
        <v>126.28</v>
      </c>
      <c r="Q750">
        <v>204.15</v>
      </c>
      <c r="R750">
        <v>31.18</v>
      </c>
      <c r="S750">
        <v>17.37</v>
      </c>
      <c r="T750">
        <v>4758.21</v>
      </c>
      <c r="U750">
        <v>0.56000000000000005</v>
      </c>
      <c r="V750">
        <v>0.73</v>
      </c>
      <c r="W750">
        <v>1.1599999999999999</v>
      </c>
      <c r="X750">
        <v>0.28999999999999998</v>
      </c>
      <c r="Y750">
        <v>1</v>
      </c>
      <c r="Z750">
        <v>10</v>
      </c>
    </row>
    <row r="751" spans="1:26" x14ac:dyDescent="0.3">
      <c r="A751">
        <v>23</v>
      </c>
      <c r="B751">
        <v>150</v>
      </c>
      <c r="C751" t="s">
        <v>26</v>
      </c>
      <c r="D751">
        <v>9.2670999999999992</v>
      </c>
      <c r="E751">
        <v>10.79</v>
      </c>
      <c r="F751">
        <v>6.96</v>
      </c>
      <c r="G751">
        <v>27.84</v>
      </c>
      <c r="H751">
        <v>0.39</v>
      </c>
      <c r="I751">
        <v>15</v>
      </c>
      <c r="J751">
        <v>308.86</v>
      </c>
      <c r="K751">
        <v>61.82</v>
      </c>
      <c r="L751">
        <v>6.75</v>
      </c>
      <c r="M751">
        <v>13</v>
      </c>
      <c r="N751">
        <v>90.29</v>
      </c>
      <c r="O751">
        <v>38327.57</v>
      </c>
      <c r="P751">
        <v>125.82</v>
      </c>
      <c r="Q751">
        <v>204.18</v>
      </c>
      <c r="R751">
        <v>30.25</v>
      </c>
      <c r="S751">
        <v>17.37</v>
      </c>
      <c r="T751">
        <v>4292.38</v>
      </c>
      <c r="U751">
        <v>0.56999999999999995</v>
      </c>
      <c r="V751">
        <v>0.73</v>
      </c>
      <c r="W751">
        <v>1.1599999999999999</v>
      </c>
      <c r="X751">
        <v>0.27</v>
      </c>
      <c r="Y751">
        <v>1</v>
      </c>
      <c r="Z751">
        <v>10</v>
      </c>
    </row>
    <row r="752" spans="1:26" x14ac:dyDescent="0.3">
      <c r="A752">
        <v>24</v>
      </c>
      <c r="B752">
        <v>150</v>
      </c>
      <c r="C752" t="s">
        <v>26</v>
      </c>
      <c r="D752">
        <v>9.3209</v>
      </c>
      <c r="E752">
        <v>10.73</v>
      </c>
      <c r="F752">
        <v>6.95</v>
      </c>
      <c r="G752">
        <v>29.8</v>
      </c>
      <c r="H752">
        <v>0.4</v>
      </c>
      <c r="I752">
        <v>14</v>
      </c>
      <c r="J752">
        <v>309.41000000000003</v>
      </c>
      <c r="K752">
        <v>61.82</v>
      </c>
      <c r="L752">
        <v>7</v>
      </c>
      <c r="M752">
        <v>12</v>
      </c>
      <c r="N752">
        <v>90.59</v>
      </c>
      <c r="O752">
        <v>38394.519999999997</v>
      </c>
      <c r="P752">
        <v>125.61</v>
      </c>
      <c r="Q752">
        <v>204.15</v>
      </c>
      <c r="R752">
        <v>30.12</v>
      </c>
      <c r="S752">
        <v>17.37</v>
      </c>
      <c r="T752">
        <v>4232.1499999999996</v>
      </c>
      <c r="U752">
        <v>0.57999999999999996</v>
      </c>
      <c r="V752">
        <v>0.73</v>
      </c>
      <c r="W752">
        <v>1.1599999999999999</v>
      </c>
      <c r="X752">
        <v>0.26</v>
      </c>
      <c r="Y752">
        <v>1</v>
      </c>
      <c r="Z752">
        <v>10</v>
      </c>
    </row>
    <row r="753" spans="1:26" x14ac:dyDescent="0.3">
      <c r="A753">
        <v>25</v>
      </c>
      <c r="B753">
        <v>150</v>
      </c>
      <c r="C753" t="s">
        <v>26</v>
      </c>
      <c r="D753">
        <v>9.3295999999999992</v>
      </c>
      <c r="E753">
        <v>10.72</v>
      </c>
      <c r="F753">
        <v>6.94</v>
      </c>
      <c r="G753">
        <v>29.76</v>
      </c>
      <c r="H753">
        <v>0.42</v>
      </c>
      <c r="I753">
        <v>14</v>
      </c>
      <c r="J753">
        <v>309.95</v>
      </c>
      <c r="K753">
        <v>61.82</v>
      </c>
      <c r="L753">
        <v>7.25</v>
      </c>
      <c r="M753">
        <v>12</v>
      </c>
      <c r="N753">
        <v>90.88</v>
      </c>
      <c r="O753">
        <v>38461.599999999999</v>
      </c>
      <c r="P753">
        <v>125.48</v>
      </c>
      <c r="Q753">
        <v>204.16</v>
      </c>
      <c r="R753">
        <v>29.73</v>
      </c>
      <c r="S753">
        <v>17.37</v>
      </c>
      <c r="T753">
        <v>4035.07</v>
      </c>
      <c r="U753">
        <v>0.57999999999999996</v>
      </c>
      <c r="V753">
        <v>0.74</v>
      </c>
      <c r="W753">
        <v>1.1599999999999999</v>
      </c>
      <c r="X753">
        <v>0.25</v>
      </c>
      <c r="Y753">
        <v>1</v>
      </c>
      <c r="Z753">
        <v>10</v>
      </c>
    </row>
    <row r="754" spans="1:26" x14ac:dyDescent="0.3">
      <c r="A754">
        <v>26</v>
      </c>
      <c r="B754">
        <v>150</v>
      </c>
      <c r="C754" t="s">
        <v>26</v>
      </c>
      <c r="D754">
        <v>9.3920999999999992</v>
      </c>
      <c r="E754">
        <v>10.65</v>
      </c>
      <c r="F754">
        <v>6.93</v>
      </c>
      <c r="G754">
        <v>31.97</v>
      </c>
      <c r="H754">
        <v>0.43</v>
      </c>
      <c r="I754">
        <v>13</v>
      </c>
      <c r="J754">
        <v>310.5</v>
      </c>
      <c r="K754">
        <v>61.82</v>
      </c>
      <c r="L754">
        <v>7.5</v>
      </c>
      <c r="M754">
        <v>11</v>
      </c>
      <c r="N754">
        <v>91.18</v>
      </c>
      <c r="O754">
        <v>38528.81</v>
      </c>
      <c r="P754">
        <v>125.03</v>
      </c>
      <c r="Q754">
        <v>204.22</v>
      </c>
      <c r="R754">
        <v>29.2</v>
      </c>
      <c r="S754">
        <v>17.37</v>
      </c>
      <c r="T754">
        <v>3777.07</v>
      </c>
      <c r="U754">
        <v>0.59</v>
      </c>
      <c r="V754">
        <v>0.74</v>
      </c>
      <c r="W754">
        <v>1.1599999999999999</v>
      </c>
      <c r="X754">
        <v>0.24</v>
      </c>
      <c r="Y754">
        <v>1</v>
      </c>
      <c r="Z754">
        <v>10</v>
      </c>
    </row>
    <row r="755" spans="1:26" x14ac:dyDescent="0.3">
      <c r="A755">
        <v>27</v>
      </c>
      <c r="B755">
        <v>150</v>
      </c>
      <c r="C755" t="s">
        <v>26</v>
      </c>
      <c r="D755">
        <v>9.3884000000000007</v>
      </c>
      <c r="E755">
        <v>10.65</v>
      </c>
      <c r="F755">
        <v>6.93</v>
      </c>
      <c r="G755">
        <v>31.99</v>
      </c>
      <c r="H755">
        <v>0.44</v>
      </c>
      <c r="I755">
        <v>13</v>
      </c>
      <c r="J755">
        <v>311.04000000000002</v>
      </c>
      <c r="K755">
        <v>61.82</v>
      </c>
      <c r="L755">
        <v>7.75</v>
      </c>
      <c r="M755">
        <v>11</v>
      </c>
      <c r="N755">
        <v>91.47</v>
      </c>
      <c r="O755">
        <v>38596.15</v>
      </c>
      <c r="P755">
        <v>125.18</v>
      </c>
      <c r="Q755">
        <v>204.17</v>
      </c>
      <c r="R755">
        <v>29.34</v>
      </c>
      <c r="S755">
        <v>17.37</v>
      </c>
      <c r="T755">
        <v>3849.11</v>
      </c>
      <c r="U755">
        <v>0.59</v>
      </c>
      <c r="V755">
        <v>0.74</v>
      </c>
      <c r="W755">
        <v>1.1599999999999999</v>
      </c>
      <c r="X755">
        <v>0.24</v>
      </c>
      <c r="Y755">
        <v>1</v>
      </c>
      <c r="Z755">
        <v>10</v>
      </c>
    </row>
    <row r="756" spans="1:26" x14ac:dyDescent="0.3">
      <c r="A756">
        <v>28</v>
      </c>
      <c r="B756">
        <v>150</v>
      </c>
      <c r="C756" t="s">
        <v>26</v>
      </c>
      <c r="D756">
        <v>9.3870000000000005</v>
      </c>
      <c r="E756">
        <v>10.65</v>
      </c>
      <c r="F756">
        <v>6.93</v>
      </c>
      <c r="G756">
        <v>32</v>
      </c>
      <c r="H756">
        <v>0.46</v>
      </c>
      <c r="I756">
        <v>13</v>
      </c>
      <c r="J756">
        <v>311.58999999999997</v>
      </c>
      <c r="K756">
        <v>61.82</v>
      </c>
      <c r="L756">
        <v>8</v>
      </c>
      <c r="M756">
        <v>11</v>
      </c>
      <c r="N756">
        <v>91.77</v>
      </c>
      <c r="O756">
        <v>38663.620000000003</v>
      </c>
      <c r="P756">
        <v>125.08</v>
      </c>
      <c r="Q756">
        <v>204.14</v>
      </c>
      <c r="R756">
        <v>29.47</v>
      </c>
      <c r="S756">
        <v>17.37</v>
      </c>
      <c r="T756">
        <v>3910.59</v>
      </c>
      <c r="U756">
        <v>0.59</v>
      </c>
      <c r="V756">
        <v>0.74</v>
      </c>
      <c r="W756">
        <v>1.1599999999999999</v>
      </c>
      <c r="X756">
        <v>0.24</v>
      </c>
      <c r="Y756">
        <v>1</v>
      </c>
      <c r="Z756">
        <v>10</v>
      </c>
    </row>
    <row r="757" spans="1:26" x14ac:dyDescent="0.3">
      <c r="A757">
        <v>29</v>
      </c>
      <c r="B757">
        <v>150</v>
      </c>
      <c r="C757" t="s">
        <v>26</v>
      </c>
      <c r="D757">
        <v>9.452</v>
      </c>
      <c r="E757">
        <v>10.58</v>
      </c>
      <c r="F757">
        <v>6.92</v>
      </c>
      <c r="G757">
        <v>34.58</v>
      </c>
      <c r="H757">
        <v>0.47</v>
      </c>
      <c r="I757">
        <v>12</v>
      </c>
      <c r="J757">
        <v>312.14</v>
      </c>
      <c r="K757">
        <v>61.82</v>
      </c>
      <c r="L757">
        <v>8.25</v>
      </c>
      <c r="M757">
        <v>10</v>
      </c>
      <c r="N757">
        <v>92.07</v>
      </c>
      <c r="O757">
        <v>38731.35</v>
      </c>
      <c r="P757">
        <v>124.78</v>
      </c>
      <c r="Q757">
        <v>204.15</v>
      </c>
      <c r="R757">
        <v>28.95</v>
      </c>
      <c r="S757">
        <v>17.37</v>
      </c>
      <c r="T757">
        <v>3656.73</v>
      </c>
      <c r="U757">
        <v>0.6</v>
      </c>
      <c r="V757">
        <v>0.74</v>
      </c>
      <c r="W757">
        <v>1.1499999999999999</v>
      </c>
      <c r="X757">
        <v>0.22</v>
      </c>
      <c r="Y757">
        <v>1</v>
      </c>
      <c r="Z757">
        <v>10</v>
      </c>
    </row>
    <row r="758" spans="1:26" x14ac:dyDescent="0.3">
      <c r="A758">
        <v>30</v>
      </c>
      <c r="B758">
        <v>150</v>
      </c>
      <c r="C758" t="s">
        <v>26</v>
      </c>
      <c r="D758">
        <v>9.4533000000000005</v>
      </c>
      <c r="E758">
        <v>10.58</v>
      </c>
      <c r="F758">
        <v>6.91</v>
      </c>
      <c r="G758">
        <v>34.57</v>
      </c>
      <c r="H758">
        <v>0.48</v>
      </c>
      <c r="I758">
        <v>12</v>
      </c>
      <c r="J758">
        <v>312.69</v>
      </c>
      <c r="K758">
        <v>61.82</v>
      </c>
      <c r="L758">
        <v>8.5</v>
      </c>
      <c r="M758">
        <v>10</v>
      </c>
      <c r="N758">
        <v>92.37</v>
      </c>
      <c r="O758">
        <v>38799.089999999997</v>
      </c>
      <c r="P758">
        <v>124.77</v>
      </c>
      <c r="Q758">
        <v>204.14</v>
      </c>
      <c r="R758">
        <v>28.75</v>
      </c>
      <c r="S758">
        <v>17.37</v>
      </c>
      <c r="T758">
        <v>3558.33</v>
      </c>
      <c r="U758">
        <v>0.6</v>
      </c>
      <c r="V758">
        <v>0.74</v>
      </c>
      <c r="W758">
        <v>1.1599999999999999</v>
      </c>
      <c r="X758">
        <v>0.22</v>
      </c>
      <c r="Y758">
        <v>1</v>
      </c>
      <c r="Z758">
        <v>10</v>
      </c>
    </row>
    <row r="759" spans="1:26" x14ac:dyDescent="0.3">
      <c r="A759">
        <v>31</v>
      </c>
      <c r="B759">
        <v>150</v>
      </c>
      <c r="C759" t="s">
        <v>26</v>
      </c>
      <c r="D759">
        <v>9.4507999999999992</v>
      </c>
      <c r="E759">
        <v>10.58</v>
      </c>
      <c r="F759">
        <v>6.92</v>
      </c>
      <c r="G759">
        <v>34.590000000000003</v>
      </c>
      <c r="H759">
        <v>0.5</v>
      </c>
      <c r="I759">
        <v>12</v>
      </c>
      <c r="J759">
        <v>313.24</v>
      </c>
      <c r="K759">
        <v>61.82</v>
      </c>
      <c r="L759">
        <v>8.75</v>
      </c>
      <c r="M759">
        <v>10</v>
      </c>
      <c r="N759">
        <v>92.67</v>
      </c>
      <c r="O759">
        <v>38866.959999999999</v>
      </c>
      <c r="P759">
        <v>124.7</v>
      </c>
      <c r="Q759">
        <v>204.16</v>
      </c>
      <c r="R759">
        <v>28.77</v>
      </c>
      <c r="S759">
        <v>17.37</v>
      </c>
      <c r="T759">
        <v>3567.41</v>
      </c>
      <c r="U759">
        <v>0.6</v>
      </c>
      <c r="V759">
        <v>0.74</v>
      </c>
      <c r="W759">
        <v>1.1599999999999999</v>
      </c>
      <c r="X759">
        <v>0.23</v>
      </c>
      <c r="Y759">
        <v>1</v>
      </c>
      <c r="Z759">
        <v>10</v>
      </c>
    </row>
    <row r="760" spans="1:26" x14ac:dyDescent="0.3">
      <c r="A760">
        <v>32</v>
      </c>
      <c r="B760">
        <v>150</v>
      </c>
      <c r="C760" t="s">
        <v>26</v>
      </c>
      <c r="D760">
        <v>9.5328999999999997</v>
      </c>
      <c r="E760">
        <v>10.49</v>
      </c>
      <c r="F760">
        <v>6.88</v>
      </c>
      <c r="G760">
        <v>37.54</v>
      </c>
      <c r="H760">
        <v>0.51</v>
      </c>
      <c r="I760">
        <v>11</v>
      </c>
      <c r="J760">
        <v>313.79000000000002</v>
      </c>
      <c r="K760">
        <v>61.82</v>
      </c>
      <c r="L760">
        <v>9</v>
      </c>
      <c r="M760">
        <v>9</v>
      </c>
      <c r="N760">
        <v>92.97</v>
      </c>
      <c r="O760">
        <v>38934.97</v>
      </c>
      <c r="P760">
        <v>123.92</v>
      </c>
      <c r="Q760">
        <v>204.14</v>
      </c>
      <c r="R760">
        <v>27.6</v>
      </c>
      <c r="S760">
        <v>17.37</v>
      </c>
      <c r="T760">
        <v>2989.15</v>
      </c>
      <c r="U760">
        <v>0.63</v>
      </c>
      <c r="V760">
        <v>0.74</v>
      </c>
      <c r="W760">
        <v>1.1599999999999999</v>
      </c>
      <c r="X760">
        <v>0.19</v>
      </c>
      <c r="Y760">
        <v>1</v>
      </c>
      <c r="Z760">
        <v>10</v>
      </c>
    </row>
    <row r="761" spans="1:26" x14ac:dyDescent="0.3">
      <c r="A761">
        <v>33</v>
      </c>
      <c r="B761">
        <v>150</v>
      </c>
      <c r="C761" t="s">
        <v>26</v>
      </c>
      <c r="D761">
        <v>9.5334000000000003</v>
      </c>
      <c r="E761">
        <v>10.49</v>
      </c>
      <c r="F761">
        <v>6.88</v>
      </c>
      <c r="G761">
        <v>37.53</v>
      </c>
      <c r="H761">
        <v>0.52</v>
      </c>
      <c r="I761">
        <v>11</v>
      </c>
      <c r="J761">
        <v>314.33999999999997</v>
      </c>
      <c r="K761">
        <v>61.82</v>
      </c>
      <c r="L761">
        <v>9.25</v>
      </c>
      <c r="M761">
        <v>9</v>
      </c>
      <c r="N761">
        <v>93.27</v>
      </c>
      <c r="O761">
        <v>39003.11</v>
      </c>
      <c r="P761">
        <v>123.92</v>
      </c>
      <c r="Q761">
        <v>204.15</v>
      </c>
      <c r="R761">
        <v>27.71</v>
      </c>
      <c r="S761">
        <v>17.37</v>
      </c>
      <c r="T761">
        <v>3043.56</v>
      </c>
      <c r="U761">
        <v>0.63</v>
      </c>
      <c r="V761">
        <v>0.74</v>
      </c>
      <c r="W761">
        <v>1.1499999999999999</v>
      </c>
      <c r="X761">
        <v>0.19</v>
      </c>
      <c r="Y761">
        <v>1</v>
      </c>
      <c r="Z761">
        <v>10</v>
      </c>
    </row>
    <row r="762" spans="1:26" x14ac:dyDescent="0.3">
      <c r="A762">
        <v>34</v>
      </c>
      <c r="B762">
        <v>150</v>
      </c>
      <c r="C762" t="s">
        <v>26</v>
      </c>
      <c r="D762">
        <v>9.5277999999999992</v>
      </c>
      <c r="E762">
        <v>10.5</v>
      </c>
      <c r="F762">
        <v>6.89</v>
      </c>
      <c r="G762">
        <v>37.57</v>
      </c>
      <c r="H762">
        <v>0.54</v>
      </c>
      <c r="I762">
        <v>11</v>
      </c>
      <c r="J762">
        <v>314.89999999999998</v>
      </c>
      <c r="K762">
        <v>61.82</v>
      </c>
      <c r="L762">
        <v>9.5</v>
      </c>
      <c r="M762">
        <v>9</v>
      </c>
      <c r="N762">
        <v>93.57</v>
      </c>
      <c r="O762">
        <v>39071.379999999997</v>
      </c>
      <c r="P762">
        <v>124.03</v>
      </c>
      <c r="Q762">
        <v>204.16</v>
      </c>
      <c r="R762">
        <v>28.14</v>
      </c>
      <c r="S762">
        <v>17.37</v>
      </c>
      <c r="T762">
        <v>3255.8</v>
      </c>
      <c r="U762">
        <v>0.62</v>
      </c>
      <c r="V762">
        <v>0.74</v>
      </c>
      <c r="W762">
        <v>1.1499999999999999</v>
      </c>
      <c r="X762">
        <v>0.2</v>
      </c>
      <c r="Y762">
        <v>1</v>
      </c>
      <c r="Z762">
        <v>10</v>
      </c>
    </row>
    <row r="763" spans="1:26" x14ac:dyDescent="0.3">
      <c r="A763">
        <v>35</v>
      </c>
      <c r="B763">
        <v>150</v>
      </c>
      <c r="C763" t="s">
        <v>26</v>
      </c>
      <c r="D763">
        <v>9.5263000000000009</v>
      </c>
      <c r="E763">
        <v>10.5</v>
      </c>
      <c r="F763">
        <v>6.89</v>
      </c>
      <c r="G763">
        <v>37.58</v>
      </c>
      <c r="H763">
        <v>0.55000000000000004</v>
      </c>
      <c r="I763">
        <v>11</v>
      </c>
      <c r="J763">
        <v>315.45</v>
      </c>
      <c r="K763">
        <v>61.82</v>
      </c>
      <c r="L763">
        <v>9.75</v>
      </c>
      <c r="M763">
        <v>9</v>
      </c>
      <c r="N763">
        <v>93.88</v>
      </c>
      <c r="O763">
        <v>39139.800000000003</v>
      </c>
      <c r="P763">
        <v>123.9</v>
      </c>
      <c r="Q763">
        <v>204.15</v>
      </c>
      <c r="R763">
        <v>27.93</v>
      </c>
      <c r="S763">
        <v>17.37</v>
      </c>
      <c r="T763">
        <v>3152.39</v>
      </c>
      <c r="U763">
        <v>0.62</v>
      </c>
      <c r="V763">
        <v>0.74</v>
      </c>
      <c r="W763">
        <v>1.1599999999999999</v>
      </c>
      <c r="X763">
        <v>0.2</v>
      </c>
      <c r="Y763">
        <v>1</v>
      </c>
      <c r="Z763">
        <v>10</v>
      </c>
    </row>
    <row r="764" spans="1:26" x14ac:dyDescent="0.3">
      <c r="A764">
        <v>36</v>
      </c>
      <c r="B764">
        <v>150</v>
      </c>
      <c r="C764" t="s">
        <v>26</v>
      </c>
      <c r="D764">
        <v>9.5959000000000003</v>
      </c>
      <c r="E764">
        <v>10.42</v>
      </c>
      <c r="F764">
        <v>6.87</v>
      </c>
      <c r="G764">
        <v>41.21</v>
      </c>
      <c r="H764">
        <v>0.56000000000000005</v>
      </c>
      <c r="I764">
        <v>10</v>
      </c>
      <c r="J764">
        <v>316.01</v>
      </c>
      <c r="K764">
        <v>61.82</v>
      </c>
      <c r="L764">
        <v>10</v>
      </c>
      <c r="M764">
        <v>8</v>
      </c>
      <c r="N764">
        <v>94.18</v>
      </c>
      <c r="O764">
        <v>39208.35</v>
      </c>
      <c r="P764">
        <v>123.45</v>
      </c>
      <c r="Q764">
        <v>204.15</v>
      </c>
      <c r="R764">
        <v>27.28</v>
      </c>
      <c r="S764">
        <v>17.37</v>
      </c>
      <c r="T764">
        <v>2830.18</v>
      </c>
      <c r="U764">
        <v>0.64</v>
      </c>
      <c r="V764">
        <v>0.74</v>
      </c>
      <c r="W764">
        <v>1.1499999999999999</v>
      </c>
      <c r="X764">
        <v>0.18</v>
      </c>
      <c r="Y764">
        <v>1</v>
      </c>
      <c r="Z764">
        <v>10</v>
      </c>
    </row>
    <row r="765" spans="1:26" x14ac:dyDescent="0.3">
      <c r="A765">
        <v>37</v>
      </c>
      <c r="B765">
        <v>150</v>
      </c>
      <c r="C765" t="s">
        <v>26</v>
      </c>
      <c r="D765">
        <v>9.5930999999999997</v>
      </c>
      <c r="E765">
        <v>10.42</v>
      </c>
      <c r="F765">
        <v>6.87</v>
      </c>
      <c r="G765">
        <v>41.23</v>
      </c>
      <c r="H765">
        <v>0.57999999999999996</v>
      </c>
      <c r="I765">
        <v>10</v>
      </c>
      <c r="J765">
        <v>316.56</v>
      </c>
      <c r="K765">
        <v>61.82</v>
      </c>
      <c r="L765">
        <v>10.25</v>
      </c>
      <c r="M765">
        <v>8</v>
      </c>
      <c r="N765">
        <v>94.49</v>
      </c>
      <c r="O765">
        <v>39277.040000000001</v>
      </c>
      <c r="P765">
        <v>123.52</v>
      </c>
      <c r="Q765">
        <v>204.15</v>
      </c>
      <c r="R765">
        <v>27.45</v>
      </c>
      <c r="S765">
        <v>17.37</v>
      </c>
      <c r="T765">
        <v>2915.9</v>
      </c>
      <c r="U765">
        <v>0.63</v>
      </c>
      <c r="V765">
        <v>0.74</v>
      </c>
      <c r="W765">
        <v>1.1499999999999999</v>
      </c>
      <c r="X765">
        <v>0.18</v>
      </c>
      <c r="Y765">
        <v>1</v>
      </c>
      <c r="Z765">
        <v>10</v>
      </c>
    </row>
    <row r="766" spans="1:26" x14ac:dyDescent="0.3">
      <c r="A766">
        <v>38</v>
      </c>
      <c r="B766">
        <v>150</v>
      </c>
      <c r="C766" t="s">
        <v>26</v>
      </c>
      <c r="D766">
        <v>9.5982000000000003</v>
      </c>
      <c r="E766">
        <v>10.42</v>
      </c>
      <c r="F766">
        <v>6.87</v>
      </c>
      <c r="G766">
        <v>41.2</v>
      </c>
      <c r="H766">
        <v>0.59</v>
      </c>
      <c r="I766">
        <v>10</v>
      </c>
      <c r="J766">
        <v>317.12</v>
      </c>
      <c r="K766">
        <v>61.82</v>
      </c>
      <c r="L766">
        <v>10.5</v>
      </c>
      <c r="M766">
        <v>8</v>
      </c>
      <c r="N766">
        <v>94.8</v>
      </c>
      <c r="O766">
        <v>39345.870000000003</v>
      </c>
      <c r="P766">
        <v>123.42</v>
      </c>
      <c r="Q766">
        <v>204.14</v>
      </c>
      <c r="R766">
        <v>27.36</v>
      </c>
      <c r="S766">
        <v>17.37</v>
      </c>
      <c r="T766">
        <v>2872.89</v>
      </c>
      <c r="U766">
        <v>0.63</v>
      </c>
      <c r="V766">
        <v>0.74</v>
      </c>
      <c r="W766">
        <v>1.1499999999999999</v>
      </c>
      <c r="X766">
        <v>0.17</v>
      </c>
      <c r="Y766">
        <v>1</v>
      </c>
      <c r="Z766">
        <v>10</v>
      </c>
    </row>
    <row r="767" spans="1:26" x14ac:dyDescent="0.3">
      <c r="A767">
        <v>39</v>
      </c>
      <c r="B767">
        <v>150</v>
      </c>
      <c r="C767" t="s">
        <v>26</v>
      </c>
      <c r="D767">
        <v>9.6041000000000007</v>
      </c>
      <c r="E767">
        <v>10.41</v>
      </c>
      <c r="F767">
        <v>6.86</v>
      </c>
      <c r="G767">
        <v>41.16</v>
      </c>
      <c r="H767">
        <v>0.6</v>
      </c>
      <c r="I767">
        <v>10</v>
      </c>
      <c r="J767">
        <v>317.68</v>
      </c>
      <c r="K767">
        <v>61.82</v>
      </c>
      <c r="L767">
        <v>10.75</v>
      </c>
      <c r="M767">
        <v>8</v>
      </c>
      <c r="N767">
        <v>95.11</v>
      </c>
      <c r="O767">
        <v>39414.839999999997</v>
      </c>
      <c r="P767">
        <v>123.4</v>
      </c>
      <c r="Q767">
        <v>204.18</v>
      </c>
      <c r="R767">
        <v>27.06</v>
      </c>
      <c r="S767">
        <v>17.37</v>
      </c>
      <c r="T767">
        <v>2720.86</v>
      </c>
      <c r="U767">
        <v>0.64</v>
      </c>
      <c r="V767">
        <v>0.74</v>
      </c>
      <c r="W767">
        <v>1.1499999999999999</v>
      </c>
      <c r="X767">
        <v>0.17</v>
      </c>
      <c r="Y767">
        <v>1</v>
      </c>
      <c r="Z767">
        <v>10</v>
      </c>
    </row>
    <row r="768" spans="1:26" x14ac:dyDescent="0.3">
      <c r="A768">
        <v>40</v>
      </c>
      <c r="B768">
        <v>150</v>
      </c>
      <c r="C768" t="s">
        <v>26</v>
      </c>
      <c r="D768">
        <v>9.6738</v>
      </c>
      <c r="E768">
        <v>10.34</v>
      </c>
      <c r="F768">
        <v>6.84</v>
      </c>
      <c r="G768">
        <v>45.6</v>
      </c>
      <c r="H768">
        <v>0.62</v>
      </c>
      <c r="I768">
        <v>9</v>
      </c>
      <c r="J768">
        <v>318.24</v>
      </c>
      <c r="K768">
        <v>61.82</v>
      </c>
      <c r="L768">
        <v>11</v>
      </c>
      <c r="M768">
        <v>7</v>
      </c>
      <c r="N768">
        <v>95.42</v>
      </c>
      <c r="O768">
        <v>39483.949999999997</v>
      </c>
      <c r="P768">
        <v>122.7</v>
      </c>
      <c r="Q768">
        <v>204.14</v>
      </c>
      <c r="R768">
        <v>26.54</v>
      </c>
      <c r="S768">
        <v>17.37</v>
      </c>
      <c r="T768">
        <v>2464.96</v>
      </c>
      <c r="U768">
        <v>0.65</v>
      </c>
      <c r="V768">
        <v>0.75</v>
      </c>
      <c r="W768">
        <v>1.1499999999999999</v>
      </c>
      <c r="X768">
        <v>0.15</v>
      </c>
      <c r="Y768">
        <v>1</v>
      </c>
      <c r="Z768">
        <v>10</v>
      </c>
    </row>
    <row r="769" spans="1:26" x14ac:dyDescent="0.3">
      <c r="A769">
        <v>41</v>
      </c>
      <c r="B769">
        <v>150</v>
      </c>
      <c r="C769" t="s">
        <v>26</v>
      </c>
      <c r="D769">
        <v>9.6592000000000002</v>
      </c>
      <c r="E769">
        <v>10.35</v>
      </c>
      <c r="F769">
        <v>6.86</v>
      </c>
      <c r="G769">
        <v>45.7</v>
      </c>
      <c r="H769">
        <v>0.63</v>
      </c>
      <c r="I769">
        <v>9</v>
      </c>
      <c r="J769">
        <v>318.8</v>
      </c>
      <c r="K769">
        <v>61.82</v>
      </c>
      <c r="L769">
        <v>11.25</v>
      </c>
      <c r="M769">
        <v>7</v>
      </c>
      <c r="N769">
        <v>95.73</v>
      </c>
      <c r="O769">
        <v>39553.199999999997</v>
      </c>
      <c r="P769">
        <v>123.22</v>
      </c>
      <c r="Q769">
        <v>204.15</v>
      </c>
      <c r="R769">
        <v>26.92</v>
      </c>
      <c r="S769">
        <v>17.37</v>
      </c>
      <c r="T769">
        <v>2658.33</v>
      </c>
      <c r="U769">
        <v>0.65</v>
      </c>
      <c r="V769">
        <v>0.74</v>
      </c>
      <c r="W769">
        <v>1.1499999999999999</v>
      </c>
      <c r="X769">
        <v>0.16</v>
      </c>
      <c r="Y769">
        <v>1</v>
      </c>
      <c r="Z769">
        <v>10</v>
      </c>
    </row>
    <row r="770" spans="1:26" x14ac:dyDescent="0.3">
      <c r="A770">
        <v>42</v>
      </c>
      <c r="B770">
        <v>150</v>
      </c>
      <c r="C770" t="s">
        <v>26</v>
      </c>
      <c r="D770">
        <v>9.6534999999999993</v>
      </c>
      <c r="E770">
        <v>10.36</v>
      </c>
      <c r="F770">
        <v>6.86</v>
      </c>
      <c r="G770">
        <v>45.74</v>
      </c>
      <c r="H770">
        <v>0.64</v>
      </c>
      <c r="I770">
        <v>9</v>
      </c>
      <c r="J770">
        <v>319.36</v>
      </c>
      <c r="K770">
        <v>61.82</v>
      </c>
      <c r="L770">
        <v>11.5</v>
      </c>
      <c r="M770">
        <v>7</v>
      </c>
      <c r="N770">
        <v>96.04</v>
      </c>
      <c r="O770">
        <v>39622.589999999997</v>
      </c>
      <c r="P770">
        <v>123.48</v>
      </c>
      <c r="Q770">
        <v>204.16</v>
      </c>
      <c r="R770">
        <v>27.14</v>
      </c>
      <c r="S770">
        <v>17.37</v>
      </c>
      <c r="T770">
        <v>2766.07</v>
      </c>
      <c r="U770">
        <v>0.64</v>
      </c>
      <c r="V770">
        <v>0.74</v>
      </c>
      <c r="W770">
        <v>1.1499999999999999</v>
      </c>
      <c r="X770">
        <v>0.17</v>
      </c>
      <c r="Y770">
        <v>1</v>
      </c>
      <c r="Z770">
        <v>10</v>
      </c>
    </row>
    <row r="771" spans="1:26" x14ac:dyDescent="0.3">
      <c r="A771">
        <v>43</v>
      </c>
      <c r="B771">
        <v>150</v>
      </c>
      <c r="C771" t="s">
        <v>26</v>
      </c>
      <c r="D771">
        <v>9.6602999999999994</v>
      </c>
      <c r="E771">
        <v>10.35</v>
      </c>
      <c r="F771">
        <v>6.85</v>
      </c>
      <c r="G771">
        <v>45.7</v>
      </c>
      <c r="H771">
        <v>0.65</v>
      </c>
      <c r="I771">
        <v>9</v>
      </c>
      <c r="J771">
        <v>319.93</v>
      </c>
      <c r="K771">
        <v>61.82</v>
      </c>
      <c r="L771">
        <v>11.75</v>
      </c>
      <c r="M771">
        <v>7</v>
      </c>
      <c r="N771">
        <v>96.36</v>
      </c>
      <c r="O771">
        <v>39692.129999999997</v>
      </c>
      <c r="P771">
        <v>123.35</v>
      </c>
      <c r="Q771">
        <v>204.14</v>
      </c>
      <c r="R771">
        <v>26.96</v>
      </c>
      <c r="S771">
        <v>17.37</v>
      </c>
      <c r="T771">
        <v>2675.9</v>
      </c>
      <c r="U771">
        <v>0.64</v>
      </c>
      <c r="V771">
        <v>0.75</v>
      </c>
      <c r="W771">
        <v>1.1499999999999999</v>
      </c>
      <c r="X771">
        <v>0.16</v>
      </c>
      <c r="Y771">
        <v>1</v>
      </c>
      <c r="Z771">
        <v>10</v>
      </c>
    </row>
    <row r="772" spans="1:26" x14ac:dyDescent="0.3">
      <c r="A772">
        <v>44</v>
      </c>
      <c r="B772">
        <v>150</v>
      </c>
      <c r="C772" t="s">
        <v>26</v>
      </c>
      <c r="D772">
        <v>9.6608000000000001</v>
      </c>
      <c r="E772">
        <v>10.35</v>
      </c>
      <c r="F772">
        <v>6.85</v>
      </c>
      <c r="G772">
        <v>45.69</v>
      </c>
      <c r="H772">
        <v>0.67</v>
      </c>
      <c r="I772">
        <v>9</v>
      </c>
      <c r="J772">
        <v>320.49</v>
      </c>
      <c r="K772">
        <v>61.82</v>
      </c>
      <c r="L772">
        <v>12</v>
      </c>
      <c r="M772">
        <v>7</v>
      </c>
      <c r="N772">
        <v>96.67</v>
      </c>
      <c r="O772">
        <v>39761.81</v>
      </c>
      <c r="P772">
        <v>123.21</v>
      </c>
      <c r="Q772">
        <v>204.14</v>
      </c>
      <c r="R772">
        <v>27.01</v>
      </c>
      <c r="S772">
        <v>17.37</v>
      </c>
      <c r="T772">
        <v>2702.26</v>
      </c>
      <c r="U772">
        <v>0.64</v>
      </c>
      <c r="V772">
        <v>0.75</v>
      </c>
      <c r="W772">
        <v>1.1499999999999999</v>
      </c>
      <c r="X772">
        <v>0.16</v>
      </c>
      <c r="Y772">
        <v>1</v>
      </c>
      <c r="Z772">
        <v>10</v>
      </c>
    </row>
    <row r="773" spans="1:26" x14ac:dyDescent="0.3">
      <c r="A773">
        <v>45</v>
      </c>
      <c r="B773">
        <v>150</v>
      </c>
      <c r="C773" t="s">
        <v>26</v>
      </c>
      <c r="D773">
        <v>9.6592000000000002</v>
      </c>
      <c r="E773">
        <v>10.35</v>
      </c>
      <c r="F773">
        <v>6.86</v>
      </c>
      <c r="G773">
        <v>45.7</v>
      </c>
      <c r="H773">
        <v>0.68</v>
      </c>
      <c r="I773">
        <v>9</v>
      </c>
      <c r="J773">
        <v>321.06</v>
      </c>
      <c r="K773">
        <v>61.82</v>
      </c>
      <c r="L773">
        <v>12.25</v>
      </c>
      <c r="M773">
        <v>7</v>
      </c>
      <c r="N773">
        <v>96.99</v>
      </c>
      <c r="O773">
        <v>39831.64</v>
      </c>
      <c r="P773">
        <v>123.13</v>
      </c>
      <c r="Q773">
        <v>204.14</v>
      </c>
      <c r="R773">
        <v>26.98</v>
      </c>
      <c r="S773">
        <v>17.37</v>
      </c>
      <c r="T773">
        <v>2689.22</v>
      </c>
      <c r="U773">
        <v>0.64</v>
      </c>
      <c r="V773">
        <v>0.74</v>
      </c>
      <c r="W773">
        <v>1.1499999999999999</v>
      </c>
      <c r="X773">
        <v>0.16</v>
      </c>
      <c r="Y773">
        <v>1</v>
      </c>
      <c r="Z773">
        <v>10</v>
      </c>
    </row>
    <row r="774" spans="1:26" x14ac:dyDescent="0.3">
      <c r="A774">
        <v>46</v>
      </c>
      <c r="B774">
        <v>150</v>
      </c>
      <c r="C774" t="s">
        <v>26</v>
      </c>
      <c r="D774">
        <v>9.6625999999999994</v>
      </c>
      <c r="E774">
        <v>10.35</v>
      </c>
      <c r="F774">
        <v>6.85</v>
      </c>
      <c r="G774">
        <v>45.68</v>
      </c>
      <c r="H774">
        <v>0.69</v>
      </c>
      <c r="I774">
        <v>9</v>
      </c>
      <c r="J774">
        <v>321.63</v>
      </c>
      <c r="K774">
        <v>61.82</v>
      </c>
      <c r="L774">
        <v>12.5</v>
      </c>
      <c r="M774">
        <v>7</v>
      </c>
      <c r="N774">
        <v>97.31</v>
      </c>
      <c r="O774">
        <v>39901.61</v>
      </c>
      <c r="P774">
        <v>122.84</v>
      </c>
      <c r="Q774">
        <v>204.14</v>
      </c>
      <c r="R774">
        <v>26.83</v>
      </c>
      <c r="S774">
        <v>17.37</v>
      </c>
      <c r="T774">
        <v>2612.4299999999998</v>
      </c>
      <c r="U774">
        <v>0.65</v>
      </c>
      <c r="V774">
        <v>0.75</v>
      </c>
      <c r="W774">
        <v>1.1499999999999999</v>
      </c>
      <c r="X774">
        <v>0.16</v>
      </c>
      <c r="Y774">
        <v>1</v>
      </c>
      <c r="Z774">
        <v>10</v>
      </c>
    </row>
    <row r="775" spans="1:26" x14ac:dyDescent="0.3">
      <c r="A775">
        <v>47</v>
      </c>
      <c r="B775">
        <v>150</v>
      </c>
      <c r="C775" t="s">
        <v>26</v>
      </c>
      <c r="D775">
        <v>9.7429000000000006</v>
      </c>
      <c r="E775">
        <v>10.26</v>
      </c>
      <c r="F775">
        <v>6.82</v>
      </c>
      <c r="G775">
        <v>51.17</v>
      </c>
      <c r="H775">
        <v>0.71</v>
      </c>
      <c r="I775">
        <v>8</v>
      </c>
      <c r="J775">
        <v>322.2</v>
      </c>
      <c r="K775">
        <v>61.82</v>
      </c>
      <c r="L775">
        <v>12.75</v>
      </c>
      <c r="M775">
        <v>6</v>
      </c>
      <c r="N775">
        <v>97.62</v>
      </c>
      <c r="O775">
        <v>39971.730000000003</v>
      </c>
      <c r="P775">
        <v>122.39</v>
      </c>
      <c r="Q775">
        <v>204.14</v>
      </c>
      <c r="R775">
        <v>26</v>
      </c>
      <c r="S775">
        <v>17.37</v>
      </c>
      <c r="T775">
        <v>2199.94</v>
      </c>
      <c r="U775">
        <v>0.67</v>
      </c>
      <c r="V775">
        <v>0.75</v>
      </c>
      <c r="W775">
        <v>1.1499999999999999</v>
      </c>
      <c r="X775">
        <v>0.13</v>
      </c>
      <c r="Y775">
        <v>1</v>
      </c>
      <c r="Z775">
        <v>10</v>
      </c>
    </row>
    <row r="776" spans="1:26" x14ac:dyDescent="0.3">
      <c r="A776">
        <v>48</v>
      </c>
      <c r="B776">
        <v>150</v>
      </c>
      <c r="C776" t="s">
        <v>26</v>
      </c>
      <c r="D776">
        <v>9.7439999999999998</v>
      </c>
      <c r="E776">
        <v>10.26</v>
      </c>
      <c r="F776">
        <v>6.82</v>
      </c>
      <c r="G776">
        <v>51.16</v>
      </c>
      <c r="H776">
        <v>0.72</v>
      </c>
      <c r="I776">
        <v>8</v>
      </c>
      <c r="J776">
        <v>322.77</v>
      </c>
      <c r="K776">
        <v>61.82</v>
      </c>
      <c r="L776">
        <v>13</v>
      </c>
      <c r="M776">
        <v>6</v>
      </c>
      <c r="N776">
        <v>97.94</v>
      </c>
      <c r="O776">
        <v>40042</v>
      </c>
      <c r="P776">
        <v>122.31</v>
      </c>
      <c r="Q776">
        <v>204.15</v>
      </c>
      <c r="R776">
        <v>25.82</v>
      </c>
      <c r="S776">
        <v>17.37</v>
      </c>
      <c r="T776">
        <v>2112.1</v>
      </c>
      <c r="U776">
        <v>0.67</v>
      </c>
      <c r="V776">
        <v>0.75</v>
      </c>
      <c r="W776">
        <v>1.1499999999999999</v>
      </c>
      <c r="X776">
        <v>0.13</v>
      </c>
      <c r="Y776">
        <v>1</v>
      </c>
      <c r="Z776">
        <v>10</v>
      </c>
    </row>
    <row r="777" spans="1:26" x14ac:dyDescent="0.3">
      <c r="A777">
        <v>49</v>
      </c>
      <c r="B777">
        <v>150</v>
      </c>
      <c r="C777" t="s">
        <v>26</v>
      </c>
      <c r="D777">
        <v>9.7392000000000003</v>
      </c>
      <c r="E777">
        <v>10.27</v>
      </c>
      <c r="F777">
        <v>6.83</v>
      </c>
      <c r="G777">
        <v>51.2</v>
      </c>
      <c r="H777">
        <v>0.73</v>
      </c>
      <c r="I777">
        <v>8</v>
      </c>
      <c r="J777">
        <v>323.33999999999997</v>
      </c>
      <c r="K777">
        <v>61.82</v>
      </c>
      <c r="L777">
        <v>13.25</v>
      </c>
      <c r="M777">
        <v>6</v>
      </c>
      <c r="N777">
        <v>98.27</v>
      </c>
      <c r="O777">
        <v>40112.54</v>
      </c>
      <c r="P777">
        <v>122.35</v>
      </c>
      <c r="Q777">
        <v>204.14</v>
      </c>
      <c r="R777">
        <v>25.92</v>
      </c>
      <c r="S777">
        <v>17.37</v>
      </c>
      <c r="T777">
        <v>2160</v>
      </c>
      <c r="U777">
        <v>0.67</v>
      </c>
      <c r="V777">
        <v>0.75</v>
      </c>
      <c r="W777">
        <v>1.1499999999999999</v>
      </c>
      <c r="X777">
        <v>0.14000000000000001</v>
      </c>
      <c r="Y777">
        <v>1</v>
      </c>
      <c r="Z777">
        <v>10</v>
      </c>
    </row>
    <row r="778" spans="1:26" x14ac:dyDescent="0.3">
      <c r="A778">
        <v>50</v>
      </c>
      <c r="B778">
        <v>150</v>
      </c>
      <c r="C778" t="s">
        <v>26</v>
      </c>
      <c r="D778">
        <v>9.7349999999999994</v>
      </c>
      <c r="E778">
        <v>10.27</v>
      </c>
      <c r="F778">
        <v>6.83</v>
      </c>
      <c r="G778">
        <v>51.23</v>
      </c>
      <c r="H778">
        <v>0.74</v>
      </c>
      <c r="I778">
        <v>8</v>
      </c>
      <c r="J778">
        <v>323.91000000000003</v>
      </c>
      <c r="K778">
        <v>61.82</v>
      </c>
      <c r="L778">
        <v>13.5</v>
      </c>
      <c r="M778">
        <v>6</v>
      </c>
      <c r="N778">
        <v>98.59</v>
      </c>
      <c r="O778">
        <v>40183.11</v>
      </c>
      <c r="P778">
        <v>122.32</v>
      </c>
      <c r="Q778">
        <v>204.14</v>
      </c>
      <c r="R778">
        <v>26.31</v>
      </c>
      <c r="S778">
        <v>17.37</v>
      </c>
      <c r="T778">
        <v>2355.5700000000002</v>
      </c>
      <c r="U778">
        <v>0.66</v>
      </c>
      <c r="V778">
        <v>0.75</v>
      </c>
      <c r="W778">
        <v>1.1499999999999999</v>
      </c>
      <c r="X778">
        <v>0.14000000000000001</v>
      </c>
      <c r="Y778">
        <v>1</v>
      </c>
      <c r="Z778">
        <v>10</v>
      </c>
    </row>
    <row r="779" spans="1:26" x14ac:dyDescent="0.3">
      <c r="A779">
        <v>51</v>
      </c>
      <c r="B779">
        <v>150</v>
      </c>
      <c r="C779" t="s">
        <v>26</v>
      </c>
      <c r="D779">
        <v>9.7329000000000008</v>
      </c>
      <c r="E779">
        <v>10.27</v>
      </c>
      <c r="F779">
        <v>6.83</v>
      </c>
      <c r="G779">
        <v>51.25</v>
      </c>
      <c r="H779">
        <v>0.76</v>
      </c>
      <c r="I779">
        <v>8</v>
      </c>
      <c r="J779">
        <v>324.48</v>
      </c>
      <c r="K779">
        <v>61.82</v>
      </c>
      <c r="L779">
        <v>13.75</v>
      </c>
      <c r="M779">
        <v>6</v>
      </c>
      <c r="N779">
        <v>98.91</v>
      </c>
      <c r="O779">
        <v>40253.839999999997</v>
      </c>
      <c r="P779">
        <v>122.33</v>
      </c>
      <c r="Q779">
        <v>204.14</v>
      </c>
      <c r="R779">
        <v>26.19</v>
      </c>
      <c r="S779">
        <v>17.37</v>
      </c>
      <c r="T779">
        <v>2295.6</v>
      </c>
      <c r="U779">
        <v>0.66</v>
      </c>
      <c r="V779">
        <v>0.75</v>
      </c>
      <c r="W779">
        <v>1.1499999999999999</v>
      </c>
      <c r="X779">
        <v>0.14000000000000001</v>
      </c>
      <c r="Y779">
        <v>1</v>
      </c>
      <c r="Z779">
        <v>10</v>
      </c>
    </row>
    <row r="780" spans="1:26" x14ac:dyDescent="0.3">
      <c r="A780">
        <v>52</v>
      </c>
      <c r="B780">
        <v>150</v>
      </c>
      <c r="C780" t="s">
        <v>26</v>
      </c>
      <c r="D780">
        <v>9.7402999999999995</v>
      </c>
      <c r="E780">
        <v>10.27</v>
      </c>
      <c r="F780">
        <v>6.83</v>
      </c>
      <c r="G780">
        <v>51.19</v>
      </c>
      <c r="H780">
        <v>0.77</v>
      </c>
      <c r="I780">
        <v>8</v>
      </c>
      <c r="J780">
        <v>325.06</v>
      </c>
      <c r="K780">
        <v>61.82</v>
      </c>
      <c r="L780">
        <v>14</v>
      </c>
      <c r="M780">
        <v>6</v>
      </c>
      <c r="N780">
        <v>99.24</v>
      </c>
      <c r="O780">
        <v>40324.71</v>
      </c>
      <c r="P780">
        <v>122.25</v>
      </c>
      <c r="Q780">
        <v>204.16</v>
      </c>
      <c r="R780">
        <v>25.97</v>
      </c>
      <c r="S780">
        <v>17.37</v>
      </c>
      <c r="T780">
        <v>2186.88</v>
      </c>
      <c r="U780">
        <v>0.67</v>
      </c>
      <c r="V780">
        <v>0.75</v>
      </c>
      <c r="W780">
        <v>1.1499999999999999</v>
      </c>
      <c r="X780">
        <v>0.13</v>
      </c>
      <c r="Y780">
        <v>1</v>
      </c>
      <c r="Z780">
        <v>10</v>
      </c>
    </row>
    <row r="781" spans="1:26" x14ac:dyDescent="0.3">
      <c r="A781">
        <v>53</v>
      </c>
      <c r="B781">
        <v>150</v>
      </c>
      <c r="C781" t="s">
        <v>26</v>
      </c>
      <c r="D781">
        <v>9.7308000000000003</v>
      </c>
      <c r="E781">
        <v>10.28</v>
      </c>
      <c r="F781">
        <v>6.83</v>
      </c>
      <c r="G781">
        <v>51.26</v>
      </c>
      <c r="H781">
        <v>0.78</v>
      </c>
      <c r="I781">
        <v>8</v>
      </c>
      <c r="J781">
        <v>325.63</v>
      </c>
      <c r="K781">
        <v>61.82</v>
      </c>
      <c r="L781">
        <v>14.25</v>
      </c>
      <c r="M781">
        <v>6</v>
      </c>
      <c r="N781">
        <v>99.56</v>
      </c>
      <c r="O781">
        <v>40395.74</v>
      </c>
      <c r="P781">
        <v>122.25</v>
      </c>
      <c r="Q781">
        <v>204.17</v>
      </c>
      <c r="R781">
        <v>26.22</v>
      </c>
      <c r="S781">
        <v>17.37</v>
      </c>
      <c r="T781">
        <v>2310.13</v>
      </c>
      <c r="U781">
        <v>0.66</v>
      </c>
      <c r="V781">
        <v>0.75</v>
      </c>
      <c r="W781">
        <v>1.1499999999999999</v>
      </c>
      <c r="X781">
        <v>0.14000000000000001</v>
      </c>
      <c r="Y781">
        <v>1</v>
      </c>
      <c r="Z781">
        <v>10</v>
      </c>
    </row>
    <row r="782" spans="1:26" x14ac:dyDescent="0.3">
      <c r="A782">
        <v>54</v>
      </c>
      <c r="B782">
        <v>150</v>
      </c>
      <c r="C782" t="s">
        <v>26</v>
      </c>
      <c r="D782">
        <v>9.8170000000000002</v>
      </c>
      <c r="E782">
        <v>10.19</v>
      </c>
      <c r="F782">
        <v>6.8</v>
      </c>
      <c r="G782">
        <v>58.29</v>
      </c>
      <c r="H782">
        <v>0.79</v>
      </c>
      <c r="I782">
        <v>7</v>
      </c>
      <c r="J782">
        <v>326.20999999999998</v>
      </c>
      <c r="K782">
        <v>61.82</v>
      </c>
      <c r="L782">
        <v>14.5</v>
      </c>
      <c r="M782">
        <v>5</v>
      </c>
      <c r="N782">
        <v>99.89</v>
      </c>
      <c r="O782">
        <v>40466.92</v>
      </c>
      <c r="P782">
        <v>121.4</v>
      </c>
      <c r="Q782">
        <v>204.16</v>
      </c>
      <c r="R782">
        <v>25.26</v>
      </c>
      <c r="S782">
        <v>17.37</v>
      </c>
      <c r="T782">
        <v>1836.82</v>
      </c>
      <c r="U782">
        <v>0.69</v>
      </c>
      <c r="V782">
        <v>0.75</v>
      </c>
      <c r="W782">
        <v>1.1499999999999999</v>
      </c>
      <c r="X782">
        <v>0.11</v>
      </c>
      <c r="Y782">
        <v>1</v>
      </c>
      <c r="Z782">
        <v>10</v>
      </c>
    </row>
    <row r="783" spans="1:26" x14ac:dyDescent="0.3">
      <c r="A783">
        <v>55</v>
      </c>
      <c r="B783">
        <v>150</v>
      </c>
      <c r="C783" t="s">
        <v>26</v>
      </c>
      <c r="D783">
        <v>9.8134999999999994</v>
      </c>
      <c r="E783">
        <v>10.19</v>
      </c>
      <c r="F783">
        <v>6.8</v>
      </c>
      <c r="G783">
        <v>58.32</v>
      </c>
      <c r="H783">
        <v>0.8</v>
      </c>
      <c r="I783">
        <v>7</v>
      </c>
      <c r="J783">
        <v>326.79000000000002</v>
      </c>
      <c r="K783">
        <v>61.82</v>
      </c>
      <c r="L783">
        <v>14.75</v>
      </c>
      <c r="M783">
        <v>5</v>
      </c>
      <c r="N783">
        <v>100.22</v>
      </c>
      <c r="O783">
        <v>40538.25</v>
      </c>
      <c r="P783">
        <v>121.69</v>
      </c>
      <c r="Q783">
        <v>204.19</v>
      </c>
      <c r="R783">
        <v>25.3</v>
      </c>
      <c r="S783">
        <v>17.37</v>
      </c>
      <c r="T783">
        <v>1855.65</v>
      </c>
      <c r="U783">
        <v>0.69</v>
      </c>
      <c r="V783">
        <v>0.75</v>
      </c>
      <c r="W783">
        <v>1.1499999999999999</v>
      </c>
      <c r="X783">
        <v>0.11</v>
      </c>
      <c r="Y783">
        <v>1</v>
      </c>
      <c r="Z783">
        <v>10</v>
      </c>
    </row>
    <row r="784" spans="1:26" x14ac:dyDescent="0.3">
      <c r="A784">
        <v>56</v>
      </c>
      <c r="B784">
        <v>150</v>
      </c>
      <c r="C784" t="s">
        <v>26</v>
      </c>
      <c r="D784">
        <v>9.8097999999999992</v>
      </c>
      <c r="E784">
        <v>10.19</v>
      </c>
      <c r="F784">
        <v>6.81</v>
      </c>
      <c r="G784">
        <v>58.35</v>
      </c>
      <c r="H784">
        <v>0.82</v>
      </c>
      <c r="I784">
        <v>7</v>
      </c>
      <c r="J784">
        <v>327.37</v>
      </c>
      <c r="K784">
        <v>61.82</v>
      </c>
      <c r="L784">
        <v>15</v>
      </c>
      <c r="M784">
        <v>5</v>
      </c>
      <c r="N784">
        <v>100.55</v>
      </c>
      <c r="O784">
        <v>40609.74</v>
      </c>
      <c r="P784">
        <v>121.88</v>
      </c>
      <c r="Q784">
        <v>204.14</v>
      </c>
      <c r="R784">
        <v>25.47</v>
      </c>
      <c r="S784">
        <v>17.37</v>
      </c>
      <c r="T784">
        <v>1942.05</v>
      </c>
      <c r="U784">
        <v>0.68</v>
      </c>
      <c r="V784">
        <v>0.75</v>
      </c>
      <c r="W784">
        <v>1.1499999999999999</v>
      </c>
      <c r="X784">
        <v>0.12</v>
      </c>
      <c r="Y784">
        <v>1</v>
      </c>
      <c r="Z784">
        <v>10</v>
      </c>
    </row>
    <row r="785" spans="1:26" x14ac:dyDescent="0.3">
      <c r="A785">
        <v>57</v>
      </c>
      <c r="B785">
        <v>150</v>
      </c>
      <c r="C785" t="s">
        <v>26</v>
      </c>
      <c r="D785">
        <v>9.8148999999999997</v>
      </c>
      <c r="E785">
        <v>10.19</v>
      </c>
      <c r="F785">
        <v>6.8</v>
      </c>
      <c r="G785">
        <v>58.31</v>
      </c>
      <c r="H785">
        <v>0.83</v>
      </c>
      <c r="I785">
        <v>7</v>
      </c>
      <c r="J785">
        <v>327.95</v>
      </c>
      <c r="K785">
        <v>61.82</v>
      </c>
      <c r="L785">
        <v>15.25</v>
      </c>
      <c r="M785">
        <v>5</v>
      </c>
      <c r="N785">
        <v>100.88</v>
      </c>
      <c r="O785">
        <v>40681.39</v>
      </c>
      <c r="P785">
        <v>121.98</v>
      </c>
      <c r="Q785">
        <v>204.14</v>
      </c>
      <c r="R785">
        <v>25.29</v>
      </c>
      <c r="S785">
        <v>17.37</v>
      </c>
      <c r="T785">
        <v>1854.65</v>
      </c>
      <c r="U785">
        <v>0.69</v>
      </c>
      <c r="V785">
        <v>0.75</v>
      </c>
      <c r="W785">
        <v>1.1499999999999999</v>
      </c>
      <c r="X785">
        <v>0.11</v>
      </c>
      <c r="Y785">
        <v>1</v>
      </c>
      <c r="Z785">
        <v>10</v>
      </c>
    </row>
    <row r="786" spans="1:26" x14ac:dyDescent="0.3">
      <c r="A786">
        <v>58</v>
      </c>
      <c r="B786">
        <v>150</v>
      </c>
      <c r="C786" t="s">
        <v>26</v>
      </c>
      <c r="D786">
        <v>9.8079000000000001</v>
      </c>
      <c r="E786">
        <v>10.199999999999999</v>
      </c>
      <c r="F786">
        <v>6.81</v>
      </c>
      <c r="G786">
        <v>58.37</v>
      </c>
      <c r="H786">
        <v>0.84</v>
      </c>
      <c r="I786">
        <v>7</v>
      </c>
      <c r="J786">
        <v>328.53</v>
      </c>
      <c r="K786">
        <v>61.82</v>
      </c>
      <c r="L786">
        <v>15.5</v>
      </c>
      <c r="M786">
        <v>5</v>
      </c>
      <c r="N786">
        <v>101.21</v>
      </c>
      <c r="O786">
        <v>40753.199999999997</v>
      </c>
      <c r="P786">
        <v>122.09</v>
      </c>
      <c r="Q786">
        <v>204.15</v>
      </c>
      <c r="R786">
        <v>25.53</v>
      </c>
      <c r="S786">
        <v>17.37</v>
      </c>
      <c r="T786">
        <v>1973.02</v>
      </c>
      <c r="U786">
        <v>0.68</v>
      </c>
      <c r="V786">
        <v>0.75</v>
      </c>
      <c r="W786">
        <v>1.1499999999999999</v>
      </c>
      <c r="X786">
        <v>0.12</v>
      </c>
      <c r="Y786">
        <v>1</v>
      </c>
      <c r="Z786">
        <v>10</v>
      </c>
    </row>
    <row r="787" spans="1:26" x14ac:dyDescent="0.3">
      <c r="A787">
        <v>59</v>
      </c>
      <c r="B787">
        <v>150</v>
      </c>
      <c r="C787" t="s">
        <v>26</v>
      </c>
      <c r="D787">
        <v>9.8036999999999992</v>
      </c>
      <c r="E787">
        <v>10.199999999999999</v>
      </c>
      <c r="F787">
        <v>6.81</v>
      </c>
      <c r="G787">
        <v>58.41</v>
      </c>
      <c r="H787">
        <v>0.85</v>
      </c>
      <c r="I787">
        <v>7</v>
      </c>
      <c r="J787">
        <v>329.12</v>
      </c>
      <c r="K787">
        <v>61.82</v>
      </c>
      <c r="L787">
        <v>15.75</v>
      </c>
      <c r="M787">
        <v>5</v>
      </c>
      <c r="N787">
        <v>101.54</v>
      </c>
      <c r="O787">
        <v>40825.160000000003</v>
      </c>
      <c r="P787">
        <v>122.18</v>
      </c>
      <c r="Q787">
        <v>204.14</v>
      </c>
      <c r="R787">
        <v>25.59</v>
      </c>
      <c r="S787">
        <v>17.37</v>
      </c>
      <c r="T787">
        <v>2001.31</v>
      </c>
      <c r="U787">
        <v>0.68</v>
      </c>
      <c r="V787">
        <v>0.75</v>
      </c>
      <c r="W787">
        <v>1.1499999999999999</v>
      </c>
      <c r="X787">
        <v>0.12</v>
      </c>
      <c r="Y787">
        <v>1</v>
      </c>
      <c r="Z787">
        <v>10</v>
      </c>
    </row>
    <row r="788" spans="1:26" x14ac:dyDescent="0.3">
      <c r="A788">
        <v>60</v>
      </c>
      <c r="B788">
        <v>150</v>
      </c>
      <c r="C788" t="s">
        <v>26</v>
      </c>
      <c r="D788">
        <v>9.8093000000000004</v>
      </c>
      <c r="E788">
        <v>10.19</v>
      </c>
      <c r="F788">
        <v>6.81</v>
      </c>
      <c r="G788">
        <v>58.36</v>
      </c>
      <c r="H788">
        <v>0.86</v>
      </c>
      <c r="I788">
        <v>7</v>
      </c>
      <c r="J788">
        <v>329.7</v>
      </c>
      <c r="K788">
        <v>61.82</v>
      </c>
      <c r="L788">
        <v>16</v>
      </c>
      <c r="M788">
        <v>5</v>
      </c>
      <c r="N788">
        <v>101.88</v>
      </c>
      <c r="O788">
        <v>40897.29</v>
      </c>
      <c r="P788">
        <v>122.05</v>
      </c>
      <c r="Q788">
        <v>204.14</v>
      </c>
      <c r="R788">
        <v>25.59</v>
      </c>
      <c r="S788">
        <v>17.37</v>
      </c>
      <c r="T788">
        <v>2001.83</v>
      </c>
      <c r="U788">
        <v>0.68</v>
      </c>
      <c r="V788">
        <v>0.75</v>
      </c>
      <c r="W788">
        <v>1.1399999999999999</v>
      </c>
      <c r="X788">
        <v>0.12</v>
      </c>
      <c r="Y788">
        <v>1</v>
      </c>
      <c r="Z788">
        <v>10</v>
      </c>
    </row>
    <row r="789" spans="1:26" x14ac:dyDescent="0.3">
      <c r="A789">
        <v>61</v>
      </c>
      <c r="B789">
        <v>150</v>
      </c>
      <c r="C789" t="s">
        <v>26</v>
      </c>
      <c r="D789">
        <v>9.8049999999999997</v>
      </c>
      <c r="E789">
        <v>10.199999999999999</v>
      </c>
      <c r="F789">
        <v>6.81</v>
      </c>
      <c r="G789">
        <v>58.4</v>
      </c>
      <c r="H789">
        <v>0.88</v>
      </c>
      <c r="I789">
        <v>7</v>
      </c>
      <c r="J789">
        <v>330.29</v>
      </c>
      <c r="K789">
        <v>61.82</v>
      </c>
      <c r="L789">
        <v>16.25</v>
      </c>
      <c r="M789">
        <v>5</v>
      </c>
      <c r="N789">
        <v>102.21</v>
      </c>
      <c r="O789">
        <v>40969.57</v>
      </c>
      <c r="P789">
        <v>121.98</v>
      </c>
      <c r="Q789">
        <v>204.14</v>
      </c>
      <c r="R789">
        <v>25.67</v>
      </c>
      <c r="S789">
        <v>17.37</v>
      </c>
      <c r="T789">
        <v>2040.7</v>
      </c>
      <c r="U789">
        <v>0.68</v>
      </c>
      <c r="V789">
        <v>0.75</v>
      </c>
      <c r="W789">
        <v>1.1499999999999999</v>
      </c>
      <c r="X789">
        <v>0.12</v>
      </c>
      <c r="Y789">
        <v>1</v>
      </c>
      <c r="Z789">
        <v>10</v>
      </c>
    </row>
    <row r="790" spans="1:26" x14ac:dyDescent="0.3">
      <c r="A790">
        <v>62</v>
      </c>
      <c r="B790">
        <v>150</v>
      </c>
      <c r="C790" t="s">
        <v>26</v>
      </c>
      <c r="D790">
        <v>9.8049999999999997</v>
      </c>
      <c r="E790">
        <v>10.199999999999999</v>
      </c>
      <c r="F790">
        <v>6.81</v>
      </c>
      <c r="G790">
        <v>58.4</v>
      </c>
      <c r="H790">
        <v>0.89</v>
      </c>
      <c r="I790">
        <v>7</v>
      </c>
      <c r="J790">
        <v>330.87</v>
      </c>
      <c r="K790">
        <v>61.82</v>
      </c>
      <c r="L790">
        <v>16.5</v>
      </c>
      <c r="M790">
        <v>5</v>
      </c>
      <c r="N790">
        <v>102.55</v>
      </c>
      <c r="O790">
        <v>41042.019999999997</v>
      </c>
      <c r="P790">
        <v>121.88</v>
      </c>
      <c r="Q790">
        <v>204.14</v>
      </c>
      <c r="R790">
        <v>25.69</v>
      </c>
      <c r="S790">
        <v>17.37</v>
      </c>
      <c r="T790">
        <v>2053.87</v>
      </c>
      <c r="U790">
        <v>0.68</v>
      </c>
      <c r="V790">
        <v>0.75</v>
      </c>
      <c r="W790">
        <v>1.1499999999999999</v>
      </c>
      <c r="X790">
        <v>0.12</v>
      </c>
      <c r="Y790">
        <v>1</v>
      </c>
      <c r="Z790">
        <v>10</v>
      </c>
    </row>
    <row r="791" spans="1:26" x14ac:dyDescent="0.3">
      <c r="A791">
        <v>63</v>
      </c>
      <c r="B791">
        <v>150</v>
      </c>
      <c r="C791" t="s">
        <v>26</v>
      </c>
      <c r="D791">
        <v>9.8010000000000002</v>
      </c>
      <c r="E791">
        <v>10.199999999999999</v>
      </c>
      <c r="F791">
        <v>6.82</v>
      </c>
      <c r="G791">
        <v>58.43</v>
      </c>
      <c r="H791">
        <v>0.9</v>
      </c>
      <c r="I791">
        <v>7</v>
      </c>
      <c r="J791">
        <v>331.46</v>
      </c>
      <c r="K791">
        <v>61.82</v>
      </c>
      <c r="L791">
        <v>16.75</v>
      </c>
      <c r="M791">
        <v>5</v>
      </c>
      <c r="N791">
        <v>102.89</v>
      </c>
      <c r="O791">
        <v>41114.629999999997</v>
      </c>
      <c r="P791">
        <v>121.86</v>
      </c>
      <c r="Q791">
        <v>204.15</v>
      </c>
      <c r="R791">
        <v>25.8</v>
      </c>
      <c r="S791">
        <v>17.37</v>
      </c>
      <c r="T791">
        <v>2108.88</v>
      </c>
      <c r="U791">
        <v>0.67</v>
      </c>
      <c r="V791">
        <v>0.75</v>
      </c>
      <c r="W791">
        <v>1.1499999999999999</v>
      </c>
      <c r="X791">
        <v>0.13</v>
      </c>
      <c r="Y791">
        <v>1</v>
      </c>
      <c r="Z791">
        <v>10</v>
      </c>
    </row>
    <row r="792" spans="1:26" x14ac:dyDescent="0.3">
      <c r="A792">
        <v>64</v>
      </c>
      <c r="B792">
        <v>150</v>
      </c>
      <c r="C792" t="s">
        <v>26</v>
      </c>
      <c r="D792">
        <v>9.8049999999999997</v>
      </c>
      <c r="E792">
        <v>10.199999999999999</v>
      </c>
      <c r="F792">
        <v>6.81</v>
      </c>
      <c r="G792">
        <v>58.4</v>
      </c>
      <c r="H792">
        <v>0.91</v>
      </c>
      <c r="I792">
        <v>7</v>
      </c>
      <c r="J792">
        <v>332.05</v>
      </c>
      <c r="K792">
        <v>61.82</v>
      </c>
      <c r="L792">
        <v>17</v>
      </c>
      <c r="M792">
        <v>5</v>
      </c>
      <c r="N792">
        <v>103.23</v>
      </c>
      <c r="O792">
        <v>41187.410000000003</v>
      </c>
      <c r="P792">
        <v>121.67</v>
      </c>
      <c r="Q792">
        <v>204.15</v>
      </c>
      <c r="R792">
        <v>25.68</v>
      </c>
      <c r="S792">
        <v>17.37</v>
      </c>
      <c r="T792">
        <v>2047.25</v>
      </c>
      <c r="U792">
        <v>0.68</v>
      </c>
      <c r="V792">
        <v>0.75</v>
      </c>
      <c r="W792">
        <v>1.1499999999999999</v>
      </c>
      <c r="X792">
        <v>0.12</v>
      </c>
      <c r="Y792">
        <v>1</v>
      </c>
      <c r="Z792">
        <v>10</v>
      </c>
    </row>
    <row r="793" spans="1:26" x14ac:dyDescent="0.3">
      <c r="A793">
        <v>65</v>
      </c>
      <c r="B793">
        <v>150</v>
      </c>
      <c r="C793" t="s">
        <v>26</v>
      </c>
      <c r="D793">
        <v>9.8102999999999998</v>
      </c>
      <c r="E793">
        <v>10.19</v>
      </c>
      <c r="F793">
        <v>6.81</v>
      </c>
      <c r="G793">
        <v>58.35</v>
      </c>
      <c r="H793">
        <v>0.92</v>
      </c>
      <c r="I793">
        <v>7</v>
      </c>
      <c r="J793">
        <v>332.64</v>
      </c>
      <c r="K793">
        <v>61.82</v>
      </c>
      <c r="L793">
        <v>17.25</v>
      </c>
      <c r="M793">
        <v>5</v>
      </c>
      <c r="N793">
        <v>103.57</v>
      </c>
      <c r="O793">
        <v>41260.35</v>
      </c>
      <c r="P793">
        <v>121.39</v>
      </c>
      <c r="Q793">
        <v>204.15</v>
      </c>
      <c r="R793">
        <v>25.43</v>
      </c>
      <c r="S793">
        <v>17.37</v>
      </c>
      <c r="T793">
        <v>1919.9</v>
      </c>
      <c r="U793">
        <v>0.68</v>
      </c>
      <c r="V793">
        <v>0.75</v>
      </c>
      <c r="W793">
        <v>1.1499999999999999</v>
      </c>
      <c r="X793">
        <v>0.12</v>
      </c>
      <c r="Y793">
        <v>1</v>
      </c>
      <c r="Z793">
        <v>10</v>
      </c>
    </row>
    <row r="794" spans="1:26" x14ac:dyDescent="0.3">
      <c r="A794">
        <v>66</v>
      </c>
      <c r="B794">
        <v>150</v>
      </c>
      <c r="C794" t="s">
        <v>26</v>
      </c>
      <c r="D794">
        <v>9.8843999999999994</v>
      </c>
      <c r="E794">
        <v>10.119999999999999</v>
      </c>
      <c r="F794">
        <v>6.79</v>
      </c>
      <c r="G794">
        <v>67.86</v>
      </c>
      <c r="H794">
        <v>0.94</v>
      </c>
      <c r="I794">
        <v>6</v>
      </c>
      <c r="J794">
        <v>333.24</v>
      </c>
      <c r="K794">
        <v>61.82</v>
      </c>
      <c r="L794">
        <v>17.5</v>
      </c>
      <c r="M794">
        <v>4</v>
      </c>
      <c r="N794">
        <v>103.92</v>
      </c>
      <c r="O794">
        <v>41333.46</v>
      </c>
      <c r="P794">
        <v>121</v>
      </c>
      <c r="Q794">
        <v>204.15</v>
      </c>
      <c r="R794">
        <v>24.73</v>
      </c>
      <c r="S794">
        <v>17.37</v>
      </c>
      <c r="T794">
        <v>1575.18</v>
      </c>
      <c r="U794">
        <v>0.7</v>
      </c>
      <c r="V794">
        <v>0.75</v>
      </c>
      <c r="W794">
        <v>1.1499999999999999</v>
      </c>
      <c r="X794">
        <v>0.1</v>
      </c>
      <c r="Y794">
        <v>1</v>
      </c>
      <c r="Z794">
        <v>10</v>
      </c>
    </row>
    <row r="795" spans="1:26" x14ac:dyDescent="0.3">
      <c r="A795">
        <v>67</v>
      </c>
      <c r="B795">
        <v>150</v>
      </c>
      <c r="C795" t="s">
        <v>26</v>
      </c>
      <c r="D795">
        <v>9.8849999999999998</v>
      </c>
      <c r="E795">
        <v>10.119999999999999</v>
      </c>
      <c r="F795">
        <v>6.79</v>
      </c>
      <c r="G795">
        <v>67.86</v>
      </c>
      <c r="H795">
        <v>0.95</v>
      </c>
      <c r="I795">
        <v>6</v>
      </c>
      <c r="J795">
        <v>333.83</v>
      </c>
      <c r="K795">
        <v>61.82</v>
      </c>
      <c r="L795">
        <v>17.75</v>
      </c>
      <c r="M795">
        <v>4</v>
      </c>
      <c r="N795">
        <v>104.26</v>
      </c>
      <c r="O795">
        <v>41406.86</v>
      </c>
      <c r="P795">
        <v>121.12</v>
      </c>
      <c r="Q795">
        <v>204.14</v>
      </c>
      <c r="R795">
        <v>24.73</v>
      </c>
      <c r="S795">
        <v>17.37</v>
      </c>
      <c r="T795">
        <v>1577.64</v>
      </c>
      <c r="U795">
        <v>0.7</v>
      </c>
      <c r="V795">
        <v>0.75</v>
      </c>
      <c r="W795">
        <v>1.1499999999999999</v>
      </c>
      <c r="X795">
        <v>0.09</v>
      </c>
      <c r="Y795">
        <v>1</v>
      </c>
      <c r="Z795">
        <v>10</v>
      </c>
    </row>
    <row r="796" spans="1:26" x14ac:dyDescent="0.3">
      <c r="A796">
        <v>68</v>
      </c>
      <c r="B796">
        <v>150</v>
      </c>
      <c r="C796" t="s">
        <v>26</v>
      </c>
      <c r="D796">
        <v>9.8813999999999993</v>
      </c>
      <c r="E796">
        <v>10.119999999999999</v>
      </c>
      <c r="F796">
        <v>6.79</v>
      </c>
      <c r="G796">
        <v>67.89</v>
      </c>
      <c r="H796">
        <v>0.96</v>
      </c>
      <c r="I796">
        <v>6</v>
      </c>
      <c r="J796">
        <v>334.43</v>
      </c>
      <c r="K796">
        <v>61.82</v>
      </c>
      <c r="L796">
        <v>18</v>
      </c>
      <c r="M796">
        <v>4</v>
      </c>
      <c r="N796">
        <v>104.61</v>
      </c>
      <c r="O796">
        <v>41480.31</v>
      </c>
      <c r="P796">
        <v>121.17</v>
      </c>
      <c r="Q796">
        <v>204.14</v>
      </c>
      <c r="R796">
        <v>24.85</v>
      </c>
      <c r="S796">
        <v>17.37</v>
      </c>
      <c r="T796">
        <v>1639.29</v>
      </c>
      <c r="U796">
        <v>0.7</v>
      </c>
      <c r="V796">
        <v>0.75</v>
      </c>
      <c r="W796">
        <v>1.1499999999999999</v>
      </c>
      <c r="X796">
        <v>0.1</v>
      </c>
      <c r="Y796">
        <v>1</v>
      </c>
      <c r="Z796">
        <v>10</v>
      </c>
    </row>
    <row r="797" spans="1:26" x14ac:dyDescent="0.3">
      <c r="A797">
        <v>69</v>
      </c>
      <c r="B797">
        <v>150</v>
      </c>
      <c r="C797" t="s">
        <v>26</v>
      </c>
      <c r="D797">
        <v>9.8847000000000005</v>
      </c>
      <c r="E797">
        <v>10.119999999999999</v>
      </c>
      <c r="F797">
        <v>6.79</v>
      </c>
      <c r="G797">
        <v>67.86</v>
      </c>
      <c r="H797">
        <v>0.97</v>
      </c>
      <c r="I797">
        <v>6</v>
      </c>
      <c r="J797">
        <v>335.02</v>
      </c>
      <c r="K797">
        <v>61.82</v>
      </c>
      <c r="L797">
        <v>18.25</v>
      </c>
      <c r="M797">
        <v>4</v>
      </c>
      <c r="N797">
        <v>104.95</v>
      </c>
      <c r="O797">
        <v>41553.93</v>
      </c>
      <c r="P797">
        <v>121.26</v>
      </c>
      <c r="Q797">
        <v>204.19</v>
      </c>
      <c r="R797">
        <v>24.74</v>
      </c>
      <c r="S797">
        <v>17.37</v>
      </c>
      <c r="T797">
        <v>1580.67</v>
      </c>
      <c r="U797">
        <v>0.7</v>
      </c>
      <c r="V797">
        <v>0.75</v>
      </c>
      <c r="W797">
        <v>1.1499999999999999</v>
      </c>
      <c r="X797">
        <v>0.09</v>
      </c>
      <c r="Y797">
        <v>1</v>
      </c>
      <c r="Z797">
        <v>10</v>
      </c>
    </row>
    <row r="798" spans="1:26" x14ac:dyDescent="0.3">
      <c r="A798">
        <v>70</v>
      </c>
      <c r="B798">
        <v>150</v>
      </c>
      <c r="C798" t="s">
        <v>26</v>
      </c>
      <c r="D798">
        <v>9.8825000000000003</v>
      </c>
      <c r="E798">
        <v>10.119999999999999</v>
      </c>
      <c r="F798">
        <v>6.79</v>
      </c>
      <c r="G798">
        <v>67.88</v>
      </c>
      <c r="H798">
        <v>0.98</v>
      </c>
      <c r="I798">
        <v>6</v>
      </c>
      <c r="J798">
        <v>335.62</v>
      </c>
      <c r="K798">
        <v>61.82</v>
      </c>
      <c r="L798">
        <v>18.5</v>
      </c>
      <c r="M798">
        <v>4</v>
      </c>
      <c r="N798">
        <v>105.3</v>
      </c>
      <c r="O798">
        <v>41627.72</v>
      </c>
      <c r="P798">
        <v>121.41</v>
      </c>
      <c r="Q798">
        <v>204.14</v>
      </c>
      <c r="R798">
        <v>24.93</v>
      </c>
      <c r="S798">
        <v>17.37</v>
      </c>
      <c r="T798">
        <v>1676.94</v>
      </c>
      <c r="U798">
        <v>0.7</v>
      </c>
      <c r="V798">
        <v>0.75</v>
      </c>
      <c r="W798">
        <v>1.1399999999999999</v>
      </c>
      <c r="X798">
        <v>0.1</v>
      </c>
      <c r="Y798">
        <v>1</v>
      </c>
      <c r="Z798">
        <v>10</v>
      </c>
    </row>
    <row r="799" spans="1:26" x14ac:dyDescent="0.3">
      <c r="A799">
        <v>71</v>
      </c>
      <c r="B799">
        <v>150</v>
      </c>
      <c r="C799" t="s">
        <v>26</v>
      </c>
      <c r="D799">
        <v>9.8821999999999992</v>
      </c>
      <c r="E799">
        <v>10.119999999999999</v>
      </c>
      <c r="F799">
        <v>6.79</v>
      </c>
      <c r="G799">
        <v>67.89</v>
      </c>
      <c r="H799">
        <v>0.99</v>
      </c>
      <c r="I799">
        <v>6</v>
      </c>
      <c r="J799">
        <v>336.22</v>
      </c>
      <c r="K799">
        <v>61.82</v>
      </c>
      <c r="L799">
        <v>18.75</v>
      </c>
      <c r="M799">
        <v>4</v>
      </c>
      <c r="N799">
        <v>105.65</v>
      </c>
      <c r="O799">
        <v>41701.68</v>
      </c>
      <c r="P799">
        <v>121.49</v>
      </c>
      <c r="Q799">
        <v>204.14</v>
      </c>
      <c r="R799">
        <v>24.94</v>
      </c>
      <c r="S799">
        <v>17.37</v>
      </c>
      <c r="T799">
        <v>1681.47</v>
      </c>
      <c r="U799">
        <v>0.7</v>
      </c>
      <c r="V799">
        <v>0.75</v>
      </c>
      <c r="W799">
        <v>1.1399999999999999</v>
      </c>
      <c r="X799">
        <v>0.1</v>
      </c>
      <c r="Y799">
        <v>1</v>
      </c>
      <c r="Z799">
        <v>10</v>
      </c>
    </row>
    <row r="800" spans="1:26" x14ac:dyDescent="0.3">
      <c r="A800">
        <v>72</v>
      </c>
      <c r="B800">
        <v>150</v>
      </c>
      <c r="C800" t="s">
        <v>26</v>
      </c>
      <c r="D800">
        <v>9.8879000000000001</v>
      </c>
      <c r="E800">
        <v>10.11</v>
      </c>
      <c r="F800">
        <v>6.78</v>
      </c>
      <c r="G800">
        <v>67.83</v>
      </c>
      <c r="H800">
        <v>1.01</v>
      </c>
      <c r="I800">
        <v>6</v>
      </c>
      <c r="J800">
        <v>336.82</v>
      </c>
      <c r="K800">
        <v>61.82</v>
      </c>
      <c r="L800">
        <v>19</v>
      </c>
      <c r="M800">
        <v>4</v>
      </c>
      <c r="N800">
        <v>106</v>
      </c>
      <c r="O800">
        <v>41775.82</v>
      </c>
      <c r="P800">
        <v>121.38</v>
      </c>
      <c r="Q800">
        <v>204.15</v>
      </c>
      <c r="R800">
        <v>24.66</v>
      </c>
      <c r="S800">
        <v>17.37</v>
      </c>
      <c r="T800">
        <v>1541.56</v>
      </c>
      <c r="U800">
        <v>0.7</v>
      </c>
      <c r="V800">
        <v>0.75</v>
      </c>
      <c r="W800">
        <v>1.1499999999999999</v>
      </c>
      <c r="X800">
        <v>0.09</v>
      </c>
      <c r="Y800">
        <v>1</v>
      </c>
      <c r="Z800">
        <v>10</v>
      </c>
    </row>
    <row r="801" spans="1:26" x14ac:dyDescent="0.3">
      <c r="A801">
        <v>73</v>
      </c>
      <c r="B801">
        <v>150</v>
      </c>
      <c r="C801" t="s">
        <v>26</v>
      </c>
      <c r="D801">
        <v>9.8885000000000005</v>
      </c>
      <c r="E801">
        <v>10.11</v>
      </c>
      <c r="F801">
        <v>6.78</v>
      </c>
      <c r="G801">
        <v>67.819999999999993</v>
      </c>
      <c r="H801">
        <v>1.02</v>
      </c>
      <c r="I801">
        <v>6</v>
      </c>
      <c r="J801">
        <v>337.43</v>
      </c>
      <c r="K801">
        <v>61.82</v>
      </c>
      <c r="L801">
        <v>19.25</v>
      </c>
      <c r="M801">
        <v>4</v>
      </c>
      <c r="N801">
        <v>106.35</v>
      </c>
      <c r="O801">
        <v>41850.129999999997</v>
      </c>
      <c r="P801">
        <v>121.26</v>
      </c>
      <c r="Q801">
        <v>204.14</v>
      </c>
      <c r="R801">
        <v>24.65</v>
      </c>
      <c r="S801">
        <v>17.37</v>
      </c>
      <c r="T801">
        <v>1535.12</v>
      </c>
      <c r="U801">
        <v>0.7</v>
      </c>
      <c r="V801">
        <v>0.75</v>
      </c>
      <c r="W801">
        <v>1.1499999999999999</v>
      </c>
      <c r="X801">
        <v>0.09</v>
      </c>
      <c r="Y801">
        <v>1</v>
      </c>
      <c r="Z801">
        <v>10</v>
      </c>
    </row>
    <row r="802" spans="1:26" x14ac:dyDescent="0.3">
      <c r="A802">
        <v>74</v>
      </c>
      <c r="B802">
        <v>150</v>
      </c>
      <c r="C802" t="s">
        <v>26</v>
      </c>
      <c r="D802">
        <v>9.8811999999999998</v>
      </c>
      <c r="E802">
        <v>10.119999999999999</v>
      </c>
      <c r="F802">
        <v>6.79</v>
      </c>
      <c r="G802">
        <v>67.900000000000006</v>
      </c>
      <c r="H802">
        <v>1.03</v>
      </c>
      <c r="I802">
        <v>6</v>
      </c>
      <c r="J802">
        <v>338.03</v>
      </c>
      <c r="K802">
        <v>61.82</v>
      </c>
      <c r="L802">
        <v>19.5</v>
      </c>
      <c r="M802">
        <v>4</v>
      </c>
      <c r="N802">
        <v>106.71</v>
      </c>
      <c r="O802">
        <v>41924.620000000003</v>
      </c>
      <c r="P802">
        <v>121.32</v>
      </c>
      <c r="Q802">
        <v>204.14</v>
      </c>
      <c r="R802">
        <v>24.8</v>
      </c>
      <c r="S802">
        <v>17.37</v>
      </c>
      <c r="T802">
        <v>1610.59</v>
      </c>
      <c r="U802">
        <v>0.7</v>
      </c>
      <c r="V802">
        <v>0.75</v>
      </c>
      <c r="W802">
        <v>1.1499999999999999</v>
      </c>
      <c r="X802">
        <v>0.1</v>
      </c>
      <c r="Y802">
        <v>1</v>
      </c>
      <c r="Z802">
        <v>10</v>
      </c>
    </row>
    <row r="803" spans="1:26" x14ac:dyDescent="0.3">
      <c r="A803">
        <v>75</v>
      </c>
      <c r="B803">
        <v>150</v>
      </c>
      <c r="C803" t="s">
        <v>26</v>
      </c>
      <c r="D803">
        <v>9.8859999999999992</v>
      </c>
      <c r="E803">
        <v>10.119999999999999</v>
      </c>
      <c r="F803">
        <v>6.78</v>
      </c>
      <c r="G803">
        <v>67.849999999999994</v>
      </c>
      <c r="H803">
        <v>1.04</v>
      </c>
      <c r="I803">
        <v>6</v>
      </c>
      <c r="J803">
        <v>338.63</v>
      </c>
      <c r="K803">
        <v>61.82</v>
      </c>
      <c r="L803">
        <v>19.75</v>
      </c>
      <c r="M803">
        <v>4</v>
      </c>
      <c r="N803">
        <v>107.06</v>
      </c>
      <c r="O803">
        <v>41999.28</v>
      </c>
      <c r="P803">
        <v>121.14</v>
      </c>
      <c r="Q803">
        <v>204.18</v>
      </c>
      <c r="R803">
        <v>24.84</v>
      </c>
      <c r="S803">
        <v>17.37</v>
      </c>
      <c r="T803">
        <v>1632.36</v>
      </c>
      <c r="U803">
        <v>0.7</v>
      </c>
      <c r="V803">
        <v>0.75</v>
      </c>
      <c r="W803">
        <v>1.1399999999999999</v>
      </c>
      <c r="X803">
        <v>0.09</v>
      </c>
      <c r="Y803">
        <v>1</v>
      </c>
      <c r="Z803">
        <v>10</v>
      </c>
    </row>
    <row r="804" spans="1:26" x14ac:dyDescent="0.3">
      <c r="A804">
        <v>76</v>
      </c>
      <c r="B804">
        <v>150</v>
      </c>
      <c r="C804" t="s">
        <v>26</v>
      </c>
      <c r="D804">
        <v>9.8759999999999994</v>
      </c>
      <c r="E804">
        <v>10.130000000000001</v>
      </c>
      <c r="F804">
        <v>6.79</v>
      </c>
      <c r="G804">
        <v>67.95</v>
      </c>
      <c r="H804">
        <v>1.05</v>
      </c>
      <c r="I804">
        <v>6</v>
      </c>
      <c r="J804">
        <v>339.24</v>
      </c>
      <c r="K804">
        <v>61.82</v>
      </c>
      <c r="L804">
        <v>20</v>
      </c>
      <c r="M804">
        <v>4</v>
      </c>
      <c r="N804">
        <v>107.42</v>
      </c>
      <c r="O804">
        <v>42074.12</v>
      </c>
      <c r="P804">
        <v>121.32</v>
      </c>
      <c r="Q804">
        <v>204.15</v>
      </c>
      <c r="R804">
        <v>25.07</v>
      </c>
      <c r="S804">
        <v>17.37</v>
      </c>
      <c r="T804">
        <v>1749.07</v>
      </c>
      <c r="U804">
        <v>0.69</v>
      </c>
      <c r="V804">
        <v>0.75</v>
      </c>
      <c r="W804">
        <v>1.1499999999999999</v>
      </c>
      <c r="X804">
        <v>0.1</v>
      </c>
      <c r="Y804">
        <v>1</v>
      </c>
      <c r="Z804">
        <v>10</v>
      </c>
    </row>
    <row r="805" spans="1:26" x14ac:dyDescent="0.3">
      <c r="A805">
        <v>77</v>
      </c>
      <c r="B805">
        <v>150</v>
      </c>
      <c r="C805" t="s">
        <v>26</v>
      </c>
      <c r="D805">
        <v>9.8821999999999992</v>
      </c>
      <c r="E805">
        <v>10.119999999999999</v>
      </c>
      <c r="F805">
        <v>6.79</v>
      </c>
      <c r="G805">
        <v>67.89</v>
      </c>
      <c r="H805">
        <v>1.06</v>
      </c>
      <c r="I805">
        <v>6</v>
      </c>
      <c r="J805">
        <v>339.85</v>
      </c>
      <c r="K805">
        <v>61.82</v>
      </c>
      <c r="L805">
        <v>20.25</v>
      </c>
      <c r="M805">
        <v>4</v>
      </c>
      <c r="N805">
        <v>107.78</v>
      </c>
      <c r="O805">
        <v>42149.15</v>
      </c>
      <c r="P805">
        <v>121.09</v>
      </c>
      <c r="Q805">
        <v>204.15</v>
      </c>
      <c r="R805">
        <v>24.79</v>
      </c>
      <c r="S805">
        <v>17.37</v>
      </c>
      <c r="T805">
        <v>1608.28</v>
      </c>
      <c r="U805">
        <v>0.7</v>
      </c>
      <c r="V805">
        <v>0.75</v>
      </c>
      <c r="W805">
        <v>1.1499999999999999</v>
      </c>
      <c r="X805">
        <v>0.1</v>
      </c>
      <c r="Y805">
        <v>1</v>
      </c>
      <c r="Z805">
        <v>10</v>
      </c>
    </row>
    <row r="806" spans="1:26" x14ac:dyDescent="0.3">
      <c r="A806">
        <v>78</v>
      </c>
      <c r="B806">
        <v>150</v>
      </c>
      <c r="C806" t="s">
        <v>26</v>
      </c>
      <c r="D806">
        <v>9.8797999999999995</v>
      </c>
      <c r="E806">
        <v>10.119999999999999</v>
      </c>
      <c r="F806">
        <v>6.79</v>
      </c>
      <c r="G806">
        <v>67.91</v>
      </c>
      <c r="H806">
        <v>1.07</v>
      </c>
      <c r="I806">
        <v>6</v>
      </c>
      <c r="J806">
        <v>340.46</v>
      </c>
      <c r="K806">
        <v>61.82</v>
      </c>
      <c r="L806">
        <v>20.5</v>
      </c>
      <c r="M806">
        <v>4</v>
      </c>
      <c r="N806">
        <v>108.14</v>
      </c>
      <c r="O806">
        <v>42224.35</v>
      </c>
      <c r="P806">
        <v>121.08</v>
      </c>
      <c r="Q806">
        <v>204.15</v>
      </c>
      <c r="R806">
        <v>24.94</v>
      </c>
      <c r="S806">
        <v>17.37</v>
      </c>
      <c r="T806">
        <v>1681.26</v>
      </c>
      <c r="U806">
        <v>0.7</v>
      </c>
      <c r="V806">
        <v>0.75</v>
      </c>
      <c r="W806">
        <v>1.1499999999999999</v>
      </c>
      <c r="X806">
        <v>0.1</v>
      </c>
      <c r="Y806">
        <v>1</v>
      </c>
      <c r="Z806">
        <v>10</v>
      </c>
    </row>
    <row r="807" spans="1:26" x14ac:dyDescent="0.3">
      <c r="A807">
        <v>79</v>
      </c>
      <c r="B807">
        <v>150</v>
      </c>
      <c r="C807" t="s">
        <v>26</v>
      </c>
      <c r="D807">
        <v>9.8817000000000004</v>
      </c>
      <c r="E807">
        <v>10.119999999999999</v>
      </c>
      <c r="F807">
        <v>6.79</v>
      </c>
      <c r="G807">
        <v>67.89</v>
      </c>
      <c r="H807">
        <v>1.08</v>
      </c>
      <c r="I807">
        <v>6</v>
      </c>
      <c r="J807">
        <v>341.07</v>
      </c>
      <c r="K807">
        <v>61.82</v>
      </c>
      <c r="L807">
        <v>20.75</v>
      </c>
      <c r="M807">
        <v>4</v>
      </c>
      <c r="N807">
        <v>108.5</v>
      </c>
      <c r="O807">
        <v>42299.74</v>
      </c>
      <c r="P807">
        <v>121.08</v>
      </c>
      <c r="Q807">
        <v>204.19</v>
      </c>
      <c r="R807">
        <v>24.82</v>
      </c>
      <c r="S807">
        <v>17.37</v>
      </c>
      <c r="T807">
        <v>1621.18</v>
      </c>
      <c r="U807">
        <v>0.7</v>
      </c>
      <c r="V807">
        <v>0.75</v>
      </c>
      <c r="W807">
        <v>1.1499999999999999</v>
      </c>
      <c r="X807">
        <v>0.1</v>
      </c>
      <c r="Y807">
        <v>1</v>
      </c>
      <c r="Z807">
        <v>10</v>
      </c>
    </row>
    <row r="808" spans="1:26" x14ac:dyDescent="0.3">
      <c r="A808">
        <v>80</v>
      </c>
      <c r="B808">
        <v>150</v>
      </c>
      <c r="C808" t="s">
        <v>26</v>
      </c>
      <c r="D808">
        <v>9.8865999999999996</v>
      </c>
      <c r="E808">
        <v>10.11</v>
      </c>
      <c r="F808">
        <v>6.78</v>
      </c>
      <c r="G808">
        <v>67.84</v>
      </c>
      <c r="H808">
        <v>1.1000000000000001</v>
      </c>
      <c r="I808">
        <v>6</v>
      </c>
      <c r="J808">
        <v>341.68</v>
      </c>
      <c r="K808">
        <v>61.82</v>
      </c>
      <c r="L808">
        <v>21</v>
      </c>
      <c r="M808">
        <v>4</v>
      </c>
      <c r="N808">
        <v>108.86</v>
      </c>
      <c r="O808">
        <v>42375.31</v>
      </c>
      <c r="P808">
        <v>120.89</v>
      </c>
      <c r="Q808">
        <v>204.14</v>
      </c>
      <c r="R808">
        <v>24.78</v>
      </c>
      <c r="S808">
        <v>17.37</v>
      </c>
      <c r="T808">
        <v>1602.44</v>
      </c>
      <c r="U808">
        <v>0.7</v>
      </c>
      <c r="V808">
        <v>0.75</v>
      </c>
      <c r="W808">
        <v>1.1399999999999999</v>
      </c>
      <c r="X808">
        <v>0.09</v>
      </c>
      <c r="Y808">
        <v>1</v>
      </c>
      <c r="Z808">
        <v>10</v>
      </c>
    </row>
    <row r="809" spans="1:26" x14ac:dyDescent="0.3">
      <c r="A809">
        <v>81</v>
      </c>
      <c r="B809">
        <v>150</v>
      </c>
      <c r="C809" t="s">
        <v>26</v>
      </c>
      <c r="D809">
        <v>9.8771000000000004</v>
      </c>
      <c r="E809">
        <v>10.119999999999999</v>
      </c>
      <c r="F809">
        <v>6.79</v>
      </c>
      <c r="G809">
        <v>67.94</v>
      </c>
      <c r="H809">
        <v>1.1100000000000001</v>
      </c>
      <c r="I809">
        <v>6</v>
      </c>
      <c r="J809">
        <v>342.3</v>
      </c>
      <c r="K809">
        <v>61.82</v>
      </c>
      <c r="L809">
        <v>21.25</v>
      </c>
      <c r="M809">
        <v>4</v>
      </c>
      <c r="N809">
        <v>109.23</v>
      </c>
      <c r="O809">
        <v>42451.07</v>
      </c>
      <c r="P809">
        <v>120.85</v>
      </c>
      <c r="Q809">
        <v>204.14</v>
      </c>
      <c r="R809">
        <v>25.04</v>
      </c>
      <c r="S809">
        <v>17.37</v>
      </c>
      <c r="T809">
        <v>1734.72</v>
      </c>
      <c r="U809">
        <v>0.69</v>
      </c>
      <c r="V809">
        <v>0.75</v>
      </c>
      <c r="W809">
        <v>1.1499999999999999</v>
      </c>
      <c r="X809">
        <v>0.1</v>
      </c>
      <c r="Y809">
        <v>1</v>
      </c>
      <c r="Z809">
        <v>10</v>
      </c>
    </row>
    <row r="810" spans="1:26" x14ac:dyDescent="0.3">
      <c r="A810">
        <v>82</v>
      </c>
      <c r="B810">
        <v>150</v>
      </c>
      <c r="C810" t="s">
        <v>26</v>
      </c>
      <c r="D810">
        <v>9.9565999999999999</v>
      </c>
      <c r="E810">
        <v>10.039999999999999</v>
      </c>
      <c r="F810">
        <v>6.77</v>
      </c>
      <c r="G810">
        <v>81.22</v>
      </c>
      <c r="H810">
        <v>1.1200000000000001</v>
      </c>
      <c r="I810">
        <v>5</v>
      </c>
      <c r="J810">
        <v>342.91</v>
      </c>
      <c r="K810">
        <v>61.82</v>
      </c>
      <c r="L810">
        <v>21.5</v>
      </c>
      <c r="M810">
        <v>3</v>
      </c>
      <c r="N810">
        <v>109.59</v>
      </c>
      <c r="O810">
        <v>42527.02</v>
      </c>
      <c r="P810">
        <v>120.1</v>
      </c>
      <c r="Q810">
        <v>204.14</v>
      </c>
      <c r="R810">
        <v>24.33</v>
      </c>
      <c r="S810">
        <v>17.37</v>
      </c>
      <c r="T810">
        <v>1381.1</v>
      </c>
      <c r="U810">
        <v>0.71</v>
      </c>
      <c r="V810">
        <v>0.75</v>
      </c>
      <c r="W810">
        <v>1.1399999999999999</v>
      </c>
      <c r="X810">
        <v>0.08</v>
      </c>
      <c r="Y810">
        <v>1</v>
      </c>
      <c r="Z810">
        <v>10</v>
      </c>
    </row>
    <row r="811" spans="1:26" x14ac:dyDescent="0.3">
      <c r="A811">
        <v>83</v>
      </c>
      <c r="B811">
        <v>150</v>
      </c>
      <c r="C811" t="s">
        <v>26</v>
      </c>
      <c r="D811">
        <v>9.9529999999999994</v>
      </c>
      <c r="E811">
        <v>10.050000000000001</v>
      </c>
      <c r="F811">
        <v>6.77</v>
      </c>
      <c r="G811">
        <v>81.27</v>
      </c>
      <c r="H811">
        <v>1.1299999999999999</v>
      </c>
      <c r="I811">
        <v>5</v>
      </c>
      <c r="J811">
        <v>343.53</v>
      </c>
      <c r="K811">
        <v>61.82</v>
      </c>
      <c r="L811">
        <v>21.75</v>
      </c>
      <c r="M811">
        <v>3</v>
      </c>
      <c r="N811">
        <v>109.96</v>
      </c>
      <c r="O811">
        <v>42603.15</v>
      </c>
      <c r="P811">
        <v>120.25</v>
      </c>
      <c r="Q811">
        <v>204.14</v>
      </c>
      <c r="R811">
        <v>24.37</v>
      </c>
      <c r="S811">
        <v>17.37</v>
      </c>
      <c r="T811">
        <v>1400.98</v>
      </c>
      <c r="U811">
        <v>0.71</v>
      </c>
      <c r="V811">
        <v>0.75</v>
      </c>
      <c r="W811">
        <v>1.1399999999999999</v>
      </c>
      <c r="X811">
        <v>0.08</v>
      </c>
      <c r="Y811">
        <v>1</v>
      </c>
      <c r="Z811">
        <v>10</v>
      </c>
    </row>
    <row r="812" spans="1:26" x14ac:dyDescent="0.3">
      <c r="A812">
        <v>84</v>
      </c>
      <c r="B812">
        <v>150</v>
      </c>
      <c r="C812" t="s">
        <v>26</v>
      </c>
      <c r="D812">
        <v>9.9511000000000003</v>
      </c>
      <c r="E812">
        <v>10.050000000000001</v>
      </c>
      <c r="F812">
        <v>6.77</v>
      </c>
      <c r="G812">
        <v>81.290000000000006</v>
      </c>
      <c r="H812">
        <v>1.1399999999999999</v>
      </c>
      <c r="I812">
        <v>5</v>
      </c>
      <c r="J812">
        <v>344.15</v>
      </c>
      <c r="K812">
        <v>61.82</v>
      </c>
      <c r="L812">
        <v>22</v>
      </c>
      <c r="M812">
        <v>3</v>
      </c>
      <c r="N812">
        <v>110.33</v>
      </c>
      <c r="O812">
        <v>42679.6</v>
      </c>
      <c r="P812">
        <v>120.57</v>
      </c>
      <c r="Q812">
        <v>204.14</v>
      </c>
      <c r="R812">
        <v>24.4</v>
      </c>
      <c r="S812">
        <v>17.37</v>
      </c>
      <c r="T812">
        <v>1415.57</v>
      </c>
      <c r="U812">
        <v>0.71</v>
      </c>
      <c r="V812">
        <v>0.75</v>
      </c>
      <c r="W812">
        <v>1.1499999999999999</v>
      </c>
      <c r="X812">
        <v>0.08</v>
      </c>
      <c r="Y812">
        <v>1</v>
      </c>
      <c r="Z812">
        <v>10</v>
      </c>
    </row>
    <row r="813" spans="1:26" x14ac:dyDescent="0.3">
      <c r="A813">
        <v>85</v>
      </c>
      <c r="B813">
        <v>150</v>
      </c>
      <c r="C813" t="s">
        <v>26</v>
      </c>
      <c r="D813">
        <v>9.9490999999999996</v>
      </c>
      <c r="E813">
        <v>10.050000000000001</v>
      </c>
      <c r="F813">
        <v>6.78</v>
      </c>
      <c r="G813">
        <v>81.31</v>
      </c>
      <c r="H813">
        <v>1.1499999999999999</v>
      </c>
      <c r="I813">
        <v>5</v>
      </c>
      <c r="J813">
        <v>344.77</v>
      </c>
      <c r="K813">
        <v>61.82</v>
      </c>
      <c r="L813">
        <v>22.25</v>
      </c>
      <c r="M813">
        <v>3</v>
      </c>
      <c r="N813">
        <v>110.7</v>
      </c>
      <c r="O813">
        <v>42756.12</v>
      </c>
      <c r="P813">
        <v>120.78</v>
      </c>
      <c r="Q813">
        <v>204.14</v>
      </c>
      <c r="R813">
        <v>24.57</v>
      </c>
      <c r="S813">
        <v>17.37</v>
      </c>
      <c r="T813">
        <v>1504.7</v>
      </c>
      <c r="U813">
        <v>0.71</v>
      </c>
      <c r="V813">
        <v>0.75</v>
      </c>
      <c r="W813">
        <v>1.1399999999999999</v>
      </c>
      <c r="X813">
        <v>0.09</v>
      </c>
      <c r="Y813">
        <v>1</v>
      </c>
      <c r="Z813">
        <v>10</v>
      </c>
    </row>
    <row r="814" spans="1:26" x14ac:dyDescent="0.3">
      <c r="A814">
        <v>86</v>
      </c>
      <c r="B814">
        <v>150</v>
      </c>
      <c r="C814" t="s">
        <v>26</v>
      </c>
      <c r="D814">
        <v>9.9529999999999994</v>
      </c>
      <c r="E814">
        <v>10.050000000000001</v>
      </c>
      <c r="F814">
        <v>6.77</v>
      </c>
      <c r="G814">
        <v>81.27</v>
      </c>
      <c r="H814">
        <v>1.1599999999999999</v>
      </c>
      <c r="I814">
        <v>5</v>
      </c>
      <c r="J814">
        <v>345.39</v>
      </c>
      <c r="K814">
        <v>61.82</v>
      </c>
      <c r="L814">
        <v>22.5</v>
      </c>
      <c r="M814">
        <v>3</v>
      </c>
      <c r="N814">
        <v>111.07</v>
      </c>
      <c r="O814">
        <v>42832.82</v>
      </c>
      <c r="P814">
        <v>120.82</v>
      </c>
      <c r="Q814">
        <v>204.14</v>
      </c>
      <c r="R814">
        <v>24.37</v>
      </c>
      <c r="S814">
        <v>17.37</v>
      </c>
      <c r="T814">
        <v>1403.74</v>
      </c>
      <c r="U814">
        <v>0.71</v>
      </c>
      <c r="V814">
        <v>0.75</v>
      </c>
      <c r="W814">
        <v>1.1399999999999999</v>
      </c>
      <c r="X814">
        <v>0.08</v>
      </c>
      <c r="Y814">
        <v>1</v>
      </c>
      <c r="Z814">
        <v>10</v>
      </c>
    </row>
    <row r="815" spans="1:26" x14ac:dyDescent="0.3">
      <c r="A815">
        <v>87</v>
      </c>
      <c r="B815">
        <v>150</v>
      </c>
      <c r="C815" t="s">
        <v>26</v>
      </c>
      <c r="D815">
        <v>9.9541000000000004</v>
      </c>
      <c r="E815">
        <v>10.050000000000001</v>
      </c>
      <c r="F815">
        <v>6.77</v>
      </c>
      <c r="G815">
        <v>81.25</v>
      </c>
      <c r="H815">
        <v>1.17</v>
      </c>
      <c r="I815">
        <v>5</v>
      </c>
      <c r="J815">
        <v>346.02</v>
      </c>
      <c r="K815">
        <v>61.82</v>
      </c>
      <c r="L815">
        <v>22.75</v>
      </c>
      <c r="M815">
        <v>3</v>
      </c>
      <c r="N815">
        <v>111.45</v>
      </c>
      <c r="O815">
        <v>42909.73</v>
      </c>
      <c r="P815">
        <v>121.03</v>
      </c>
      <c r="Q815">
        <v>204.14</v>
      </c>
      <c r="R815">
        <v>24.35</v>
      </c>
      <c r="S815">
        <v>17.37</v>
      </c>
      <c r="T815">
        <v>1393.48</v>
      </c>
      <c r="U815">
        <v>0.71</v>
      </c>
      <c r="V815">
        <v>0.75</v>
      </c>
      <c r="W815">
        <v>1.1399999999999999</v>
      </c>
      <c r="X815">
        <v>0.08</v>
      </c>
      <c r="Y815">
        <v>1</v>
      </c>
      <c r="Z815">
        <v>10</v>
      </c>
    </row>
    <row r="816" spans="1:26" x14ac:dyDescent="0.3">
      <c r="A816">
        <v>88</v>
      </c>
      <c r="B816">
        <v>150</v>
      </c>
      <c r="C816" t="s">
        <v>26</v>
      </c>
      <c r="D816">
        <v>9.9494000000000007</v>
      </c>
      <c r="E816">
        <v>10.050000000000001</v>
      </c>
      <c r="F816">
        <v>6.78</v>
      </c>
      <c r="G816">
        <v>81.31</v>
      </c>
      <c r="H816">
        <v>1.18</v>
      </c>
      <c r="I816">
        <v>5</v>
      </c>
      <c r="J816">
        <v>346.64</v>
      </c>
      <c r="K816">
        <v>61.82</v>
      </c>
      <c r="L816">
        <v>23</v>
      </c>
      <c r="M816">
        <v>3</v>
      </c>
      <c r="N816">
        <v>111.82</v>
      </c>
      <c r="O816">
        <v>42986.83</v>
      </c>
      <c r="P816">
        <v>121.21</v>
      </c>
      <c r="Q816">
        <v>204.14</v>
      </c>
      <c r="R816">
        <v>24.49</v>
      </c>
      <c r="S816">
        <v>17.37</v>
      </c>
      <c r="T816">
        <v>1464.3</v>
      </c>
      <c r="U816">
        <v>0.71</v>
      </c>
      <c r="V816">
        <v>0.75</v>
      </c>
      <c r="W816">
        <v>1.1399999999999999</v>
      </c>
      <c r="X816">
        <v>0.08</v>
      </c>
      <c r="Y816">
        <v>1</v>
      </c>
      <c r="Z816">
        <v>10</v>
      </c>
    </row>
    <row r="817" spans="1:26" x14ac:dyDescent="0.3">
      <c r="A817">
        <v>89</v>
      </c>
      <c r="B817">
        <v>150</v>
      </c>
      <c r="C817" t="s">
        <v>26</v>
      </c>
      <c r="D817">
        <v>9.9502000000000006</v>
      </c>
      <c r="E817">
        <v>10.050000000000001</v>
      </c>
      <c r="F817">
        <v>6.78</v>
      </c>
      <c r="G817">
        <v>81.3</v>
      </c>
      <c r="H817">
        <v>1.19</v>
      </c>
      <c r="I817">
        <v>5</v>
      </c>
      <c r="J817">
        <v>347.27</v>
      </c>
      <c r="K817">
        <v>61.82</v>
      </c>
      <c r="L817">
        <v>23.25</v>
      </c>
      <c r="M817">
        <v>3</v>
      </c>
      <c r="N817">
        <v>112.2</v>
      </c>
      <c r="O817">
        <v>43064.12</v>
      </c>
      <c r="P817">
        <v>121.13</v>
      </c>
      <c r="Q817">
        <v>204.14</v>
      </c>
      <c r="R817">
        <v>24.5</v>
      </c>
      <c r="S817">
        <v>17.37</v>
      </c>
      <c r="T817">
        <v>1464.84</v>
      </c>
      <c r="U817">
        <v>0.71</v>
      </c>
      <c r="V817">
        <v>0.75</v>
      </c>
      <c r="W817">
        <v>1.1399999999999999</v>
      </c>
      <c r="X817">
        <v>0.08</v>
      </c>
      <c r="Y817">
        <v>1</v>
      </c>
      <c r="Z817">
        <v>10</v>
      </c>
    </row>
    <row r="818" spans="1:26" x14ac:dyDescent="0.3">
      <c r="A818">
        <v>90</v>
      </c>
      <c r="B818">
        <v>150</v>
      </c>
      <c r="C818" t="s">
        <v>26</v>
      </c>
      <c r="D818">
        <v>9.9537999999999993</v>
      </c>
      <c r="E818">
        <v>10.050000000000001</v>
      </c>
      <c r="F818">
        <v>6.77</v>
      </c>
      <c r="G818">
        <v>81.260000000000005</v>
      </c>
      <c r="H818">
        <v>1.2</v>
      </c>
      <c r="I818">
        <v>5</v>
      </c>
      <c r="J818">
        <v>347.9</v>
      </c>
      <c r="K818">
        <v>61.82</v>
      </c>
      <c r="L818">
        <v>23.5</v>
      </c>
      <c r="M818">
        <v>3</v>
      </c>
      <c r="N818">
        <v>112.58</v>
      </c>
      <c r="O818">
        <v>43141.62</v>
      </c>
      <c r="P818">
        <v>121.08</v>
      </c>
      <c r="Q818">
        <v>204.14</v>
      </c>
      <c r="R818">
        <v>24.37</v>
      </c>
      <c r="S818">
        <v>17.37</v>
      </c>
      <c r="T818">
        <v>1403.21</v>
      </c>
      <c r="U818">
        <v>0.71</v>
      </c>
      <c r="V818">
        <v>0.75</v>
      </c>
      <c r="W818">
        <v>1.1399999999999999</v>
      </c>
      <c r="X818">
        <v>0.08</v>
      </c>
      <c r="Y818">
        <v>1</v>
      </c>
      <c r="Z818">
        <v>10</v>
      </c>
    </row>
    <row r="819" spans="1:26" x14ac:dyDescent="0.3">
      <c r="A819">
        <v>91</v>
      </c>
      <c r="B819">
        <v>150</v>
      </c>
      <c r="C819" t="s">
        <v>26</v>
      </c>
      <c r="D819">
        <v>9.9499999999999993</v>
      </c>
      <c r="E819">
        <v>10.050000000000001</v>
      </c>
      <c r="F819">
        <v>6.78</v>
      </c>
      <c r="G819">
        <v>81.3</v>
      </c>
      <c r="H819">
        <v>1.21</v>
      </c>
      <c r="I819">
        <v>5</v>
      </c>
      <c r="J819">
        <v>348.53</v>
      </c>
      <c r="K819">
        <v>61.82</v>
      </c>
      <c r="L819">
        <v>23.75</v>
      </c>
      <c r="M819">
        <v>3</v>
      </c>
      <c r="N819">
        <v>112.96</v>
      </c>
      <c r="O819">
        <v>43219.31</v>
      </c>
      <c r="P819">
        <v>121.18</v>
      </c>
      <c r="Q819">
        <v>204.14</v>
      </c>
      <c r="R819">
        <v>24.5</v>
      </c>
      <c r="S819">
        <v>17.37</v>
      </c>
      <c r="T819">
        <v>1468.73</v>
      </c>
      <c r="U819">
        <v>0.71</v>
      </c>
      <c r="V819">
        <v>0.75</v>
      </c>
      <c r="W819">
        <v>1.1399999999999999</v>
      </c>
      <c r="X819">
        <v>0.08</v>
      </c>
      <c r="Y819">
        <v>1</v>
      </c>
      <c r="Z819">
        <v>10</v>
      </c>
    </row>
    <row r="820" spans="1:26" x14ac:dyDescent="0.3">
      <c r="A820">
        <v>92</v>
      </c>
      <c r="B820">
        <v>150</v>
      </c>
      <c r="C820" t="s">
        <v>26</v>
      </c>
      <c r="D820">
        <v>9.9502000000000006</v>
      </c>
      <c r="E820">
        <v>10.050000000000001</v>
      </c>
      <c r="F820">
        <v>6.78</v>
      </c>
      <c r="G820">
        <v>81.3</v>
      </c>
      <c r="H820">
        <v>1.23</v>
      </c>
      <c r="I820">
        <v>5</v>
      </c>
      <c r="J820">
        <v>349.16</v>
      </c>
      <c r="K820">
        <v>61.82</v>
      </c>
      <c r="L820">
        <v>24</v>
      </c>
      <c r="M820">
        <v>3</v>
      </c>
      <c r="N820">
        <v>113.34</v>
      </c>
      <c r="O820">
        <v>43297.21</v>
      </c>
      <c r="P820">
        <v>121.16</v>
      </c>
      <c r="Q820">
        <v>204.14</v>
      </c>
      <c r="R820">
        <v>24.47</v>
      </c>
      <c r="S820">
        <v>17.37</v>
      </c>
      <c r="T820">
        <v>1450.07</v>
      </c>
      <c r="U820">
        <v>0.71</v>
      </c>
      <c r="V820">
        <v>0.75</v>
      </c>
      <c r="W820">
        <v>1.1399999999999999</v>
      </c>
      <c r="X820">
        <v>0.08</v>
      </c>
      <c r="Y820">
        <v>1</v>
      </c>
      <c r="Z820">
        <v>10</v>
      </c>
    </row>
    <row r="821" spans="1:26" x14ac:dyDescent="0.3">
      <c r="A821">
        <v>93</v>
      </c>
      <c r="B821">
        <v>150</v>
      </c>
      <c r="C821" t="s">
        <v>26</v>
      </c>
      <c r="D821">
        <v>9.9497</v>
      </c>
      <c r="E821">
        <v>10.050000000000001</v>
      </c>
      <c r="F821">
        <v>6.78</v>
      </c>
      <c r="G821">
        <v>81.31</v>
      </c>
      <c r="H821">
        <v>1.24</v>
      </c>
      <c r="I821">
        <v>5</v>
      </c>
      <c r="J821">
        <v>349.79</v>
      </c>
      <c r="K821">
        <v>61.82</v>
      </c>
      <c r="L821">
        <v>24.25</v>
      </c>
      <c r="M821">
        <v>3</v>
      </c>
      <c r="N821">
        <v>113.72</v>
      </c>
      <c r="O821">
        <v>43375.3</v>
      </c>
      <c r="P821">
        <v>121.22</v>
      </c>
      <c r="Q821">
        <v>204.14</v>
      </c>
      <c r="R821">
        <v>24.52</v>
      </c>
      <c r="S821">
        <v>17.37</v>
      </c>
      <c r="T821">
        <v>1476.25</v>
      </c>
      <c r="U821">
        <v>0.71</v>
      </c>
      <c r="V821">
        <v>0.75</v>
      </c>
      <c r="W821">
        <v>1.1399999999999999</v>
      </c>
      <c r="X821">
        <v>0.08</v>
      </c>
      <c r="Y821">
        <v>1</v>
      </c>
      <c r="Z821">
        <v>10</v>
      </c>
    </row>
    <row r="822" spans="1:26" x14ac:dyDescent="0.3">
      <c r="A822">
        <v>94</v>
      </c>
      <c r="B822">
        <v>150</v>
      </c>
      <c r="C822" t="s">
        <v>26</v>
      </c>
      <c r="D822">
        <v>9.9543999999999997</v>
      </c>
      <c r="E822">
        <v>10.050000000000001</v>
      </c>
      <c r="F822">
        <v>6.77</v>
      </c>
      <c r="G822">
        <v>81.25</v>
      </c>
      <c r="H822">
        <v>1.25</v>
      </c>
      <c r="I822">
        <v>5</v>
      </c>
      <c r="J822">
        <v>350.43</v>
      </c>
      <c r="K822">
        <v>61.82</v>
      </c>
      <c r="L822">
        <v>24.5</v>
      </c>
      <c r="M822">
        <v>3</v>
      </c>
      <c r="N822">
        <v>114.11</v>
      </c>
      <c r="O822">
        <v>43453.61</v>
      </c>
      <c r="P822">
        <v>121.03</v>
      </c>
      <c r="Q822">
        <v>204.14</v>
      </c>
      <c r="R822">
        <v>24.33</v>
      </c>
      <c r="S822">
        <v>17.37</v>
      </c>
      <c r="T822">
        <v>1381.92</v>
      </c>
      <c r="U822">
        <v>0.71</v>
      </c>
      <c r="V822">
        <v>0.75</v>
      </c>
      <c r="W822">
        <v>1.1399999999999999</v>
      </c>
      <c r="X822">
        <v>0.08</v>
      </c>
      <c r="Y822">
        <v>1</v>
      </c>
      <c r="Z822">
        <v>10</v>
      </c>
    </row>
    <row r="823" spans="1:26" x14ac:dyDescent="0.3">
      <c r="A823">
        <v>95</v>
      </c>
      <c r="B823">
        <v>150</v>
      </c>
      <c r="C823" t="s">
        <v>26</v>
      </c>
      <c r="D823">
        <v>9.9529999999999994</v>
      </c>
      <c r="E823">
        <v>10.050000000000001</v>
      </c>
      <c r="F823">
        <v>6.77</v>
      </c>
      <c r="G823">
        <v>81.27</v>
      </c>
      <c r="H823">
        <v>1.26</v>
      </c>
      <c r="I823">
        <v>5</v>
      </c>
      <c r="J823">
        <v>351.06</v>
      </c>
      <c r="K823">
        <v>61.82</v>
      </c>
      <c r="L823">
        <v>24.75</v>
      </c>
      <c r="M823">
        <v>3</v>
      </c>
      <c r="N823">
        <v>114.49</v>
      </c>
      <c r="O823">
        <v>43532.12</v>
      </c>
      <c r="P823">
        <v>121.08</v>
      </c>
      <c r="Q823">
        <v>204.15</v>
      </c>
      <c r="R823">
        <v>24.45</v>
      </c>
      <c r="S823">
        <v>17.37</v>
      </c>
      <c r="T823">
        <v>1442.3</v>
      </c>
      <c r="U823">
        <v>0.71</v>
      </c>
      <c r="V823">
        <v>0.75</v>
      </c>
      <c r="W823">
        <v>1.1399999999999999</v>
      </c>
      <c r="X823">
        <v>0.08</v>
      </c>
      <c r="Y823">
        <v>1</v>
      </c>
      <c r="Z823">
        <v>10</v>
      </c>
    </row>
    <row r="824" spans="1:26" x14ac:dyDescent="0.3">
      <c r="A824">
        <v>96</v>
      </c>
      <c r="B824">
        <v>150</v>
      </c>
      <c r="C824" t="s">
        <v>26</v>
      </c>
      <c r="D824">
        <v>9.9580000000000002</v>
      </c>
      <c r="E824">
        <v>10.039999999999999</v>
      </c>
      <c r="F824">
        <v>6.77</v>
      </c>
      <c r="G824">
        <v>81.209999999999994</v>
      </c>
      <c r="H824">
        <v>1.27</v>
      </c>
      <c r="I824">
        <v>5</v>
      </c>
      <c r="J824">
        <v>351.7</v>
      </c>
      <c r="K824">
        <v>61.82</v>
      </c>
      <c r="L824">
        <v>25</v>
      </c>
      <c r="M824">
        <v>3</v>
      </c>
      <c r="N824">
        <v>114.88</v>
      </c>
      <c r="O824">
        <v>43610.83</v>
      </c>
      <c r="P824">
        <v>120.97</v>
      </c>
      <c r="Q824">
        <v>204.14</v>
      </c>
      <c r="R824">
        <v>24.25</v>
      </c>
      <c r="S824">
        <v>17.37</v>
      </c>
      <c r="T824">
        <v>1340.6</v>
      </c>
      <c r="U824">
        <v>0.72</v>
      </c>
      <c r="V824">
        <v>0.75</v>
      </c>
      <c r="W824">
        <v>1.1399999999999999</v>
      </c>
      <c r="X824">
        <v>0.08</v>
      </c>
      <c r="Y824">
        <v>1</v>
      </c>
      <c r="Z824">
        <v>10</v>
      </c>
    </row>
    <row r="825" spans="1:26" x14ac:dyDescent="0.3">
      <c r="A825">
        <v>97</v>
      </c>
      <c r="B825">
        <v>150</v>
      </c>
      <c r="C825" t="s">
        <v>26</v>
      </c>
      <c r="D825">
        <v>9.9580000000000002</v>
      </c>
      <c r="E825">
        <v>10.039999999999999</v>
      </c>
      <c r="F825">
        <v>6.77</v>
      </c>
      <c r="G825">
        <v>81.209999999999994</v>
      </c>
      <c r="H825">
        <v>1.28</v>
      </c>
      <c r="I825">
        <v>5</v>
      </c>
      <c r="J825">
        <v>352.34</v>
      </c>
      <c r="K825">
        <v>61.82</v>
      </c>
      <c r="L825">
        <v>25.25</v>
      </c>
      <c r="M825">
        <v>3</v>
      </c>
      <c r="N825">
        <v>115.27</v>
      </c>
      <c r="O825">
        <v>43689.760000000002</v>
      </c>
      <c r="P825">
        <v>120.87</v>
      </c>
      <c r="Q825">
        <v>204.14</v>
      </c>
      <c r="R825">
        <v>24.18</v>
      </c>
      <c r="S825">
        <v>17.37</v>
      </c>
      <c r="T825">
        <v>1307.26</v>
      </c>
      <c r="U825">
        <v>0.72</v>
      </c>
      <c r="V825">
        <v>0.75</v>
      </c>
      <c r="W825">
        <v>1.1499999999999999</v>
      </c>
      <c r="X825">
        <v>0.08</v>
      </c>
      <c r="Y825">
        <v>1</v>
      </c>
      <c r="Z825">
        <v>10</v>
      </c>
    </row>
    <row r="826" spans="1:26" x14ac:dyDescent="0.3">
      <c r="A826">
        <v>98</v>
      </c>
      <c r="B826">
        <v>150</v>
      </c>
      <c r="C826" t="s">
        <v>26</v>
      </c>
      <c r="D826">
        <v>9.9603999999999999</v>
      </c>
      <c r="E826">
        <v>10.039999999999999</v>
      </c>
      <c r="F826">
        <v>6.76</v>
      </c>
      <c r="G826">
        <v>81.180000000000007</v>
      </c>
      <c r="H826">
        <v>1.29</v>
      </c>
      <c r="I826">
        <v>5</v>
      </c>
      <c r="J826">
        <v>352.98</v>
      </c>
      <c r="K826">
        <v>61.82</v>
      </c>
      <c r="L826">
        <v>25.5</v>
      </c>
      <c r="M826">
        <v>3</v>
      </c>
      <c r="N826">
        <v>115.66</v>
      </c>
      <c r="O826">
        <v>43769.02</v>
      </c>
      <c r="P826">
        <v>120.67</v>
      </c>
      <c r="Q826">
        <v>204.14</v>
      </c>
      <c r="R826">
        <v>24.14</v>
      </c>
      <c r="S826">
        <v>17.37</v>
      </c>
      <c r="T826">
        <v>1284.9100000000001</v>
      </c>
      <c r="U826">
        <v>0.72</v>
      </c>
      <c r="V826">
        <v>0.75</v>
      </c>
      <c r="W826">
        <v>1.1399999999999999</v>
      </c>
      <c r="X826">
        <v>7.0000000000000007E-2</v>
      </c>
      <c r="Y826">
        <v>1</v>
      </c>
      <c r="Z826">
        <v>10</v>
      </c>
    </row>
    <row r="827" spans="1:26" x14ac:dyDescent="0.3">
      <c r="A827">
        <v>99</v>
      </c>
      <c r="B827">
        <v>150</v>
      </c>
      <c r="C827" t="s">
        <v>26</v>
      </c>
      <c r="D827">
        <v>9.9614999999999991</v>
      </c>
      <c r="E827">
        <v>10.039999999999999</v>
      </c>
      <c r="F827">
        <v>6.76</v>
      </c>
      <c r="G827">
        <v>81.16</v>
      </c>
      <c r="H827">
        <v>1.3</v>
      </c>
      <c r="I827">
        <v>5</v>
      </c>
      <c r="J827">
        <v>353.63</v>
      </c>
      <c r="K827">
        <v>61.82</v>
      </c>
      <c r="L827">
        <v>25.75</v>
      </c>
      <c r="M827">
        <v>3</v>
      </c>
      <c r="N827">
        <v>116.06</v>
      </c>
      <c r="O827">
        <v>43848.38</v>
      </c>
      <c r="P827">
        <v>120.48</v>
      </c>
      <c r="Q827">
        <v>204.14</v>
      </c>
      <c r="R827">
        <v>24.05</v>
      </c>
      <c r="S827">
        <v>17.37</v>
      </c>
      <c r="T827">
        <v>1241.48</v>
      </c>
      <c r="U827">
        <v>0.72</v>
      </c>
      <c r="V827">
        <v>0.76</v>
      </c>
      <c r="W827">
        <v>1.1399999999999999</v>
      </c>
      <c r="X827">
        <v>7.0000000000000007E-2</v>
      </c>
      <c r="Y827">
        <v>1</v>
      </c>
      <c r="Z827">
        <v>10</v>
      </c>
    </row>
    <row r="828" spans="1:26" x14ac:dyDescent="0.3">
      <c r="A828">
        <v>100</v>
      </c>
      <c r="B828">
        <v>150</v>
      </c>
      <c r="C828" t="s">
        <v>26</v>
      </c>
      <c r="D828">
        <v>9.9610000000000003</v>
      </c>
      <c r="E828">
        <v>10.039999999999999</v>
      </c>
      <c r="F828">
        <v>6.76</v>
      </c>
      <c r="G828">
        <v>81.17</v>
      </c>
      <c r="H828">
        <v>1.31</v>
      </c>
      <c r="I828">
        <v>5</v>
      </c>
      <c r="J828">
        <v>354.27</v>
      </c>
      <c r="K828">
        <v>61.82</v>
      </c>
      <c r="L828">
        <v>26</v>
      </c>
      <c r="M828">
        <v>3</v>
      </c>
      <c r="N828">
        <v>116.45</v>
      </c>
      <c r="O828">
        <v>43927.95</v>
      </c>
      <c r="P828">
        <v>120.38</v>
      </c>
      <c r="Q828">
        <v>204.14</v>
      </c>
      <c r="R828">
        <v>24.02</v>
      </c>
      <c r="S828">
        <v>17.37</v>
      </c>
      <c r="T828">
        <v>1227.05</v>
      </c>
      <c r="U828">
        <v>0.72</v>
      </c>
      <c r="V828">
        <v>0.75</v>
      </c>
      <c r="W828">
        <v>1.1499999999999999</v>
      </c>
      <c r="X828">
        <v>7.0000000000000007E-2</v>
      </c>
      <c r="Y828">
        <v>1</v>
      </c>
      <c r="Z828">
        <v>10</v>
      </c>
    </row>
    <row r="829" spans="1:26" x14ac:dyDescent="0.3">
      <c r="A829">
        <v>101</v>
      </c>
      <c r="B829">
        <v>150</v>
      </c>
      <c r="C829" t="s">
        <v>26</v>
      </c>
      <c r="D829">
        <v>9.9573999999999998</v>
      </c>
      <c r="E829">
        <v>10.039999999999999</v>
      </c>
      <c r="F829">
        <v>6.77</v>
      </c>
      <c r="G829">
        <v>81.209999999999994</v>
      </c>
      <c r="H829">
        <v>1.32</v>
      </c>
      <c r="I829">
        <v>5</v>
      </c>
      <c r="J829">
        <v>354.92</v>
      </c>
      <c r="K829">
        <v>61.82</v>
      </c>
      <c r="L829">
        <v>26.25</v>
      </c>
      <c r="M829">
        <v>3</v>
      </c>
      <c r="N829">
        <v>116.85</v>
      </c>
      <c r="O829">
        <v>44007.74</v>
      </c>
      <c r="P829">
        <v>120.26</v>
      </c>
      <c r="Q829">
        <v>204.14</v>
      </c>
      <c r="R829">
        <v>24.14</v>
      </c>
      <c r="S829">
        <v>17.37</v>
      </c>
      <c r="T829">
        <v>1288.6300000000001</v>
      </c>
      <c r="U829">
        <v>0.72</v>
      </c>
      <c r="V829">
        <v>0.75</v>
      </c>
      <c r="W829">
        <v>1.1499999999999999</v>
      </c>
      <c r="X829">
        <v>0.08</v>
      </c>
      <c r="Y829">
        <v>1</v>
      </c>
      <c r="Z829">
        <v>10</v>
      </c>
    </row>
    <row r="830" spans="1:26" x14ac:dyDescent="0.3">
      <c r="A830">
        <v>102</v>
      </c>
      <c r="B830">
        <v>150</v>
      </c>
      <c r="C830" t="s">
        <v>26</v>
      </c>
      <c r="D830">
        <v>9.9610000000000003</v>
      </c>
      <c r="E830">
        <v>10.039999999999999</v>
      </c>
      <c r="F830">
        <v>6.76</v>
      </c>
      <c r="G830">
        <v>81.17</v>
      </c>
      <c r="H830">
        <v>1.33</v>
      </c>
      <c r="I830">
        <v>5</v>
      </c>
      <c r="J830">
        <v>355.57</v>
      </c>
      <c r="K830">
        <v>61.82</v>
      </c>
      <c r="L830">
        <v>26.5</v>
      </c>
      <c r="M830">
        <v>3</v>
      </c>
      <c r="N830">
        <v>117.25</v>
      </c>
      <c r="O830">
        <v>44087.74</v>
      </c>
      <c r="P830">
        <v>120.02</v>
      </c>
      <c r="Q830">
        <v>204.14</v>
      </c>
      <c r="R830">
        <v>24.2</v>
      </c>
      <c r="S830">
        <v>17.37</v>
      </c>
      <c r="T830">
        <v>1318.55</v>
      </c>
      <c r="U830">
        <v>0.72</v>
      </c>
      <c r="V830">
        <v>0.75</v>
      </c>
      <c r="W830">
        <v>1.1399999999999999</v>
      </c>
      <c r="X830">
        <v>7.0000000000000007E-2</v>
      </c>
      <c r="Y830">
        <v>1</v>
      </c>
      <c r="Z830">
        <v>10</v>
      </c>
    </row>
    <row r="831" spans="1:26" x14ac:dyDescent="0.3">
      <c r="A831">
        <v>103</v>
      </c>
      <c r="B831">
        <v>150</v>
      </c>
      <c r="C831" t="s">
        <v>26</v>
      </c>
      <c r="D831">
        <v>9.9610000000000003</v>
      </c>
      <c r="E831">
        <v>10.039999999999999</v>
      </c>
      <c r="F831">
        <v>6.76</v>
      </c>
      <c r="G831">
        <v>81.17</v>
      </c>
      <c r="H831">
        <v>1.34</v>
      </c>
      <c r="I831">
        <v>5</v>
      </c>
      <c r="J831">
        <v>356.22</v>
      </c>
      <c r="K831">
        <v>61.82</v>
      </c>
      <c r="L831">
        <v>26.75</v>
      </c>
      <c r="M831">
        <v>3</v>
      </c>
      <c r="N831">
        <v>117.65</v>
      </c>
      <c r="O831">
        <v>44167.96</v>
      </c>
      <c r="P831">
        <v>119.97</v>
      </c>
      <c r="Q831">
        <v>204.14</v>
      </c>
      <c r="R831">
        <v>24.15</v>
      </c>
      <c r="S831">
        <v>17.37</v>
      </c>
      <c r="T831">
        <v>1293.31</v>
      </c>
      <c r="U831">
        <v>0.72</v>
      </c>
      <c r="V831">
        <v>0.75</v>
      </c>
      <c r="W831">
        <v>1.1399999999999999</v>
      </c>
      <c r="X831">
        <v>7.0000000000000007E-2</v>
      </c>
      <c r="Y831">
        <v>1</v>
      </c>
      <c r="Z831">
        <v>10</v>
      </c>
    </row>
    <row r="832" spans="1:26" x14ac:dyDescent="0.3">
      <c r="A832">
        <v>104</v>
      </c>
      <c r="B832">
        <v>150</v>
      </c>
      <c r="C832" t="s">
        <v>26</v>
      </c>
      <c r="D832">
        <v>9.9537999999999993</v>
      </c>
      <c r="E832">
        <v>10.050000000000001</v>
      </c>
      <c r="F832">
        <v>6.77</v>
      </c>
      <c r="G832">
        <v>81.260000000000005</v>
      </c>
      <c r="H832">
        <v>1.35</v>
      </c>
      <c r="I832">
        <v>5</v>
      </c>
      <c r="J832">
        <v>356.87</v>
      </c>
      <c r="K832">
        <v>61.82</v>
      </c>
      <c r="L832">
        <v>27</v>
      </c>
      <c r="M832">
        <v>3</v>
      </c>
      <c r="N832">
        <v>118.05</v>
      </c>
      <c r="O832">
        <v>44248.41</v>
      </c>
      <c r="P832">
        <v>120.05</v>
      </c>
      <c r="Q832">
        <v>204.17</v>
      </c>
      <c r="R832">
        <v>24.26</v>
      </c>
      <c r="S832">
        <v>17.37</v>
      </c>
      <c r="T832">
        <v>1345.9</v>
      </c>
      <c r="U832">
        <v>0.72</v>
      </c>
      <c r="V832">
        <v>0.75</v>
      </c>
      <c r="W832">
        <v>1.1499999999999999</v>
      </c>
      <c r="X832">
        <v>0.08</v>
      </c>
      <c r="Y832">
        <v>1</v>
      </c>
      <c r="Z832">
        <v>10</v>
      </c>
    </row>
    <row r="833" spans="1:26" x14ac:dyDescent="0.3">
      <c r="A833">
        <v>105</v>
      </c>
      <c r="B833">
        <v>150</v>
      </c>
      <c r="C833" t="s">
        <v>26</v>
      </c>
      <c r="D833">
        <v>9.9563000000000006</v>
      </c>
      <c r="E833">
        <v>10.039999999999999</v>
      </c>
      <c r="F833">
        <v>6.77</v>
      </c>
      <c r="G833">
        <v>81.23</v>
      </c>
      <c r="H833">
        <v>1.36</v>
      </c>
      <c r="I833">
        <v>5</v>
      </c>
      <c r="J833">
        <v>357.52</v>
      </c>
      <c r="K833">
        <v>61.82</v>
      </c>
      <c r="L833">
        <v>27.25</v>
      </c>
      <c r="M833">
        <v>3</v>
      </c>
      <c r="N833">
        <v>118.45</v>
      </c>
      <c r="O833">
        <v>44329.08</v>
      </c>
      <c r="P833">
        <v>120.03</v>
      </c>
      <c r="Q833">
        <v>204.14</v>
      </c>
      <c r="R833">
        <v>24.28</v>
      </c>
      <c r="S833">
        <v>17.37</v>
      </c>
      <c r="T833">
        <v>1356.79</v>
      </c>
      <c r="U833">
        <v>0.72</v>
      </c>
      <c r="V833">
        <v>0.75</v>
      </c>
      <c r="W833">
        <v>1.1399999999999999</v>
      </c>
      <c r="X833">
        <v>0.08</v>
      </c>
      <c r="Y833">
        <v>1</v>
      </c>
      <c r="Z833">
        <v>10</v>
      </c>
    </row>
    <row r="834" spans="1:26" x14ac:dyDescent="0.3">
      <c r="A834">
        <v>106</v>
      </c>
      <c r="B834">
        <v>150</v>
      </c>
      <c r="C834" t="s">
        <v>26</v>
      </c>
      <c r="D834">
        <v>9.9541000000000004</v>
      </c>
      <c r="E834">
        <v>10.050000000000001</v>
      </c>
      <c r="F834">
        <v>6.77</v>
      </c>
      <c r="G834">
        <v>81.25</v>
      </c>
      <c r="H834">
        <v>1.37</v>
      </c>
      <c r="I834">
        <v>5</v>
      </c>
      <c r="J834">
        <v>358.18</v>
      </c>
      <c r="K834">
        <v>61.82</v>
      </c>
      <c r="L834">
        <v>27.5</v>
      </c>
      <c r="M834">
        <v>3</v>
      </c>
      <c r="N834">
        <v>118.86</v>
      </c>
      <c r="O834">
        <v>44409.98</v>
      </c>
      <c r="P834">
        <v>119.96</v>
      </c>
      <c r="Q834">
        <v>204.14</v>
      </c>
      <c r="R834">
        <v>24.37</v>
      </c>
      <c r="S834">
        <v>17.37</v>
      </c>
      <c r="T834">
        <v>1400.62</v>
      </c>
      <c r="U834">
        <v>0.71</v>
      </c>
      <c r="V834">
        <v>0.75</v>
      </c>
      <c r="W834">
        <v>1.1399999999999999</v>
      </c>
      <c r="X834">
        <v>0.08</v>
      </c>
      <c r="Y834">
        <v>1</v>
      </c>
      <c r="Z834">
        <v>10</v>
      </c>
    </row>
    <row r="835" spans="1:26" x14ac:dyDescent="0.3">
      <c r="A835">
        <v>107</v>
      </c>
      <c r="B835">
        <v>150</v>
      </c>
      <c r="C835" t="s">
        <v>26</v>
      </c>
      <c r="D835">
        <v>9.9512999999999998</v>
      </c>
      <c r="E835">
        <v>10.050000000000001</v>
      </c>
      <c r="F835">
        <v>6.77</v>
      </c>
      <c r="G835">
        <v>81.290000000000006</v>
      </c>
      <c r="H835">
        <v>1.38</v>
      </c>
      <c r="I835">
        <v>5</v>
      </c>
      <c r="J835">
        <v>358.84</v>
      </c>
      <c r="K835">
        <v>61.82</v>
      </c>
      <c r="L835">
        <v>27.75</v>
      </c>
      <c r="M835">
        <v>3</v>
      </c>
      <c r="N835">
        <v>119.27</v>
      </c>
      <c r="O835">
        <v>44491.1</v>
      </c>
      <c r="P835">
        <v>119.98</v>
      </c>
      <c r="Q835">
        <v>204.14</v>
      </c>
      <c r="R835">
        <v>24.39</v>
      </c>
      <c r="S835">
        <v>17.37</v>
      </c>
      <c r="T835">
        <v>1414.54</v>
      </c>
      <c r="U835">
        <v>0.71</v>
      </c>
      <c r="V835">
        <v>0.75</v>
      </c>
      <c r="W835">
        <v>1.1499999999999999</v>
      </c>
      <c r="X835">
        <v>0.08</v>
      </c>
      <c r="Y835">
        <v>1</v>
      </c>
      <c r="Z835">
        <v>10</v>
      </c>
    </row>
    <row r="836" spans="1:26" x14ac:dyDescent="0.3">
      <c r="A836">
        <v>108</v>
      </c>
      <c r="B836">
        <v>150</v>
      </c>
      <c r="C836" t="s">
        <v>26</v>
      </c>
      <c r="D836">
        <v>9.9571000000000005</v>
      </c>
      <c r="E836">
        <v>10.039999999999999</v>
      </c>
      <c r="F836">
        <v>6.77</v>
      </c>
      <c r="G836">
        <v>81.22</v>
      </c>
      <c r="H836">
        <v>1.39</v>
      </c>
      <c r="I836">
        <v>5</v>
      </c>
      <c r="J836">
        <v>359.5</v>
      </c>
      <c r="K836">
        <v>61.82</v>
      </c>
      <c r="L836">
        <v>28</v>
      </c>
      <c r="M836">
        <v>3</v>
      </c>
      <c r="N836">
        <v>119.68</v>
      </c>
      <c r="O836">
        <v>44572.45</v>
      </c>
      <c r="P836">
        <v>119.66</v>
      </c>
      <c r="Q836">
        <v>204.14</v>
      </c>
      <c r="R836">
        <v>24.25</v>
      </c>
      <c r="S836">
        <v>17.37</v>
      </c>
      <c r="T836">
        <v>1343.86</v>
      </c>
      <c r="U836">
        <v>0.72</v>
      </c>
      <c r="V836">
        <v>0.75</v>
      </c>
      <c r="W836">
        <v>1.1399999999999999</v>
      </c>
      <c r="X836">
        <v>0.08</v>
      </c>
      <c r="Y836">
        <v>1</v>
      </c>
      <c r="Z836">
        <v>10</v>
      </c>
    </row>
    <row r="837" spans="1:26" x14ac:dyDescent="0.3">
      <c r="A837">
        <v>109</v>
      </c>
      <c r="B837">
        <v>150</v>
      </c>
      <c r="C837" t="s">
        <v>26</v>
      </c>
      <c r="D837">
        <v>9.9563000000000006</v>
      </c>
      <c r="E837">
        <v>10.039999999999999</v>
      </c>
      <c r="F837">
        <v>6.77</v>
      </c>
      <c r="G837">
        <v>81.23</v>
      </c>
      <c r="H837">
        <v>1.4</v>
      </c>
      <c r="I837">
        <v>5</v>
      </c>
      <c r="J837">
        <v>360.16</v>
      </c>
      <c r="K837">
        <v>61.82</v>
      </c>
      <c r="L837">
        <v>28.25</v>
      </c>
      <c r="M837">
        <v>3</v>
      </c>
      <c r="N837">
        <v>120.09</v>
      </c>
      <c r="O837">
        <v>44654.04</v>
      </c>
      <c r="P837">
        <v>119.55</v>
      </c>
      <c r="Q837">
        <v>204.19</v>
      </c>
      <c r="R837">
        <v>24.2</v>
      </c>
      <c r="S837">
        <v>17.37</v>
      </c>
      <c r="T837">
        <v>1316.08</v>
      </c>
      <c r="U837">
        <v>0.72</v>
      </c>
      <c r="V837">
        <v>0.75</v>
      </c>
      <c r="W837">
        <v>1.1499999999999999</v>
      </c>
      <c r="X837">
        <v>0.08</v>
      </c>
      <c r="Y837">
        <v>1</v>
      </c>
      <c r="Z837">
        <v>10</v>
      </c>
    </row>
    <row r="838" spans="1:26" x14ac:dyDescent="0.3">
      <c r="A838">
        <v>110</v>
      </c>
      <c r="B838">
        <v>150</v>
      </c>
      <c r="C838" t="s">
        <v>26</v>
      </c>
      <c r="D838">
        <v>10.039300000000001</v>
      </c>
      <c r="E838">
        <v>9.9600000000000009</v>
      </c>
      <c r="F838">
        <v>6.74</v>
      </c>
      <c r="G838">
        <v>101.12</v>
      </c>
      <c r="H838">
        <v>1.41</v>
      </c>
      <c r="I838">
        <v>4</v>
      </c>
      <c r="J838">
        <v>360.82</v>
      </c>
      <c r="K838">
        <v>61.82</v>
      </c>
      <c r="L838">
        <v>28.5</v>
      </c>
      <c r="M838">
        <v>2</v>
      </c>
      <c r="N838">
        <v>120.5</v>
      </c>
      <c r="O838">
        <v>44735.86</v>
      </c>
      <c r="P838">
        <v>118.96</v>
      </c>
      <c r="Q838">
        <v>204.14</v>
      </c>
      <c r="R838">
        <v>23.47</v>
      </c>
      <c r="S838">
        <v>17.37</v>
      </c>
      <c r="T838">
        <v>956.56</v>
      </c>
      <c r="U838">
        <v>0.74</v>
      </c>
      <c r="V838">
        <v>0.76</v>
      </c>
      <c r="W838">
        <v>1.1399999999999999</v>
      </c>
      <c r="X838">
        <v>0.05</v>
      </c>
      <c r="Y838">
        <v>1</v>
      </c>
      <c r="Z838">
        <v>10</v>
      </c>
    </row>
    <row r="839" spans="1:26" x14ac:dyDescent="0.3">
      <c r="A839">
        <v>111</v>
      </c>
      <c r="B839">
        <v>150</v>
      </c>
      <c r="C839" t="s">
        <v>26</v>
      </c>
      <c r="D839">
        <v>10.037100000000001</v>
      </c>
      <c r="E839">
        <v>9.9600000000000009</v>
      </c>
      <c r="F839">
        <v>6.74</v>
      </c>
      <c r="G839">
        <v>101.15</v>
      </c>
      <c r="H839">
        <v>1.42</v>
      </c>
      <c r="I839">
        <v>4</v>
      </c>
      <c r="J839">
        <v>361.49</v>
      </c>
      <c r="K839">
        <v>61.82</v>
      </c>
      <c r="L839">
        <v>28.75</v>
      </c>
      <c r="M839">
        <v>2</v>
      </c>
      <c r="N839">
        <v>120.92</v>
      </c>
      <c r="O839">
        <v>44817.91</v>
      </c>
      <c r="P839">
        <v>119.02</v>
      </c>
      <c r="Q839">
        <v>204.14</v>
      </c>
      <c r="R839">
        <v>23.45</v>
      </c>
      <c r="S839">
        <v>17.37</v>
      </c>
      <c r="T839">
        <v>948.79</v>
      </c>
      <c r="U839">
        <v>0.74</v>
      </c>
      <c r="V839">
        <v>0.76</v>
      </c>
      <c r="W839">
        <v>1.1399999999999999</v>
      </c>
      <c r="X839">
        <v>0.05</v>
      </c>
      <c r="Y839">
        <v>1</v>
      </c>
      <c r="Z839">
        <v>10</v>
      </c>
    </row>
    <row r="840" spans="1:26" x14ac:dyDescent="0.3">
      <c r="A840">
        <v>112</v>
      </c>
      <c r="B840">
        <v>150</v>
      </c>
      <c r="C840" t="s">
        <v>26</v>
      </c>
      <c r="D840">
        <v>10.0334</v>
      </c>
      <c r="E840">
        <v>9.9700000000000006</v>
      </c>
      <c r="F840">
        <v>6.75</v>
      </c>
      <c r="G840">
        <v>101.21</v>
      </c>
      <c r="H840">
        <v>1.43</v>
      </c>
      <c r="I840">
        <v>4</v>
      </c>
      <c r="J840">
        <v>362.16</v>
      </c>
      <c r="K840">
        <v>61.82</v>
      </c>
      <c r="L840">
        <v>29</v>
      </c>
      <c r="M840">
        <v>2</v>
      </c>
      <c r="N840">
        <v>121.34</v>
      </c>
      <c r="O840">
        <v>44900.33</v>
      </c>
      <c r="P840">
        <v>119.29</v>
      </c>
      <c r="Q840">
        <v>204.14</v>
      </c>
      <c r="R840">
        <v>23.49</v>
      </c>
      <c r="S840">
        <v>17.37</v>
      </c>
      <c r="T840">
        <v>965.76</v>
      </c>
      <c r="U840">
        <v>0.74</v>
      </c>
      <c r="V840">
        <v>0.76</v>
      </c>
      <c r="W840">
        <v>1.1499999999999999</v>
      </c>
      <c r="X840">
        <v>0.06</v>
      </c>
      <c r="Y840">
        <v>1</v>
      </c>
      <c r="Z840">
        <v>10</v>
      </c>
    </row>
    <row r="841" spans="1:26" x14ac:dyDescent="0.3">
      <c r="A841">
        <v>113</v>
      </c>
      <c r="B841">
        <v>150</v>
      </c>
      <c r="C841" t="s">
        <v>26</v>
      </c>
      <c r="D841">
        <v>10.034800000000001</v>
      </c>
      <c r="E841">
        <v>9.9700000000000006</v>
      </c>
      <c r="F841">
        <v>6.75</v>
      </c>
      <c r="G841">
        <v>101.19</v>
      </c>
      <c r="H841">
        <v>1.44</v>
      </c>
      <c r="I841">
        <v>4</v>
      </c>
      <c r="J841">
        <v>362.83</v>
      </c>
      <c r="K841">
        <v>61.82</v>
      </c>
      <c r="L841">
        <v>29.25</v>
      </c>
      <c r="M841">
        <v>2</v>
      </c>
      <c r="N841">
        <v>121.75</v>
      </c>
      <c r="O841">
        <v>44982.86</v>
      </c>
      <c r="P841">
        <v>119.34</v>
      </c>
      <c r="Q841">
        <v>204.14</v>
      </c>
      <c r="R841">
        <v>23.51</v>
      </c>
      <c r="S841">
        <v>17.37</v>
      </c>
      <c r="T841">
        <v>978.99</v>
      </c>
      <c r="U841">
        <v>0.74</v>
      </c>
      <c r="V841">
        <v>0.76</v>
      </c>
      <c r="W841">
        <v>1.1399999999999999</v>
      </c>
      <c r="X841">
        <v>0.05</v>
      </c>
      <c r="Y841">
        <v>1</v>
      </c>
      <c r="Z841">
        <v>10</v>
      </c>
    </row>
    <row r="842" spans="1:26" x14ac:dyDescent="0.3">
      <c r="A842">
        <v>114</v>
      </c>
      <c r="B842">
        <v>150</v>
      </c>
      <c r="C842" t="s">
        <v>26</v>
      </c>
      <c r="D842">
        <v>10.030900000000001</v>
      </c>
      <c r="E842">
        <v>9.9700000000000006</v>
      </c>
      <c r="F842">
        <v>6.75</v>
      </c>
      <c r="G842">
        <v>101.25</v>
      </c>
      <c r="H842">
        <v>1.45</v>
      </c>
      <c r="I842">
        <v>4</v>
      </c>
      <c r="J842">
        <v>363.5</v>
      </c>
      <c r="K842">
        <v>61.82</v>
      </c>
      <c r="L842">
        <v>29.5</v>
      </c>
      <c r="M842">
        <v>2</v>
      </c>
      <c r="N842">
        <v>122.18</v>
      </c>
      <c r="O842">
        <v>45065.64</v>
      </c>
      <c r="P842">
        <v>119.65</v>
      </c>
      <c r="Q842">
        <v>204.14</v>
      </c>
      <c r="R842">
        <v>23.65</v>
      </c>
      <c r="S842">
        <v>17.37</v>
      </c>
      <c r="T842">
        <v>1048.94</v>
      </c>
      <c r="U842">
        <v>0.73</v>
      </c>
      <c r="V842">
        <v>0.76</v>
      </c>
      <c r="W842">
        <v>1.1399999999999999</v>
      </c>
      <c r="X842">
        <v>0.06</v>
      </c>
      <c r="Y842">
        <v>1</v>
      </c>
      <c r="Z842">
        <v>10</v>
      </c>
    </row>
    <row r="843" spans="1:26" x14ac:dyDescent="0.3">
      <c r="A843">
        <v>115</v>
      </c>
      <c r="B843">
        <v>150</v>
      </c>
      <c r="C843" t="s">
        <v>26</v>
      </c>
      <c r="D843">
        <v>10.033200000000001</v>
      </c>
      <c r="E843">
        <v>9.9700000000000006</v>
      </c>
      <c r="F843">
        <v>6.75</v>
      </c>
      <c r="G843">
        <v>101.21</v>
      </c>
      <c r="H843">
        <v>1.46</v>
      </c>
      <c r="I843">
        <v>4</v>
      </c>
      <c r="J843">
        <v>364.17</v>
      </c>
      <c r="K843">
        <v>61.82</v>
      </c>
      <c r="L843">
        <v>29.75</v>
      </c>
      <c r="M843">
        <v>2</v>
      </c>
      <c r="N843">
        <v>122.6</v>
      </c>
      <c r="O843">
        <v>45148.66</v>
      </c>
      <c r="P843">
        <v>119.79</v>
      </c>
      <c r="Q843">
        <v>204.14</v>
      </c>
      <c r="R843">
        <v>23.6</v>
      </c>
      <c r="S843">
        <v>17.37</v>
      </c>
      <c r="T843">
        <v>1024.78</v>
      </c>
      <c r="U843">
        <v>0.74</v>
      </c>
      <c r="V843">
        <v>0.76</v>
      </c>
      <c r="W843">
        <v>1.1399999999999999</v>
      </c>
      <c r="X843">
        <v>0.06</v>
      </c>
      <c r="Y843">
        <v>1</v>
      </c>
      <c r="Z843">
        <v>10</v>
      </c>
    </row>
    <row r="844" spans="1:26" x14ac:dyDescent="0.3">
      <c r="A844">
        <v>116</v>
      </c>
      <c r="B844">
        <v>150</v>
      </c>
      <c r="C844" t="s">
        <v>26</v>
      </c>
      <c r="D844">
        <v>10.030900000000001</v>
      </c>
      <c r="E844">
        <v>9.9700000000000006</v>
      </c>
      <c r="F844">
        <v>6.75</v>
      </c>
      <c r="G844">
        <v>101.25</v>
      </c>
      <c r="H844">
        <v>1.47</v>
      </c>
      <c r="I844">
        <v>4</v>
      </c>
      <c r="J844">
        <v>364.85</v>
      </c>
      <c r="K844">
        <v>61.82</v>
      </c>
      <c r="L844">
        <v>30</v>
      </c>
      <c r="M844">
        <v>2</v>
      </c>
      <c r="N844">
        <v>123.02</v>
      </c>
      <c r="O844">
        <v>45231.92</v>
      </c>
      <c r="P844">
        <v>119.98</v>
      </c>
      <c r="Q844">
        <v>204.14</v>
      </c>
      <c r="R844">
        <v>23.64</v>
      </c>
      <c r="S844">
        <v>17.37</v>
      </c>
      <c r="T844">
        <v>1042.3</v>
      </c>
      <c r="U844">
        <v>0.73</v>
      </c>
      <c r="V844">
        <v>0.76</v>
      </c>
      <c r="W844">
        <v>1.1399999999999999</v>
      </c>
      <c r="X844">
        <v>0.06</v>
      </c>
      <c r="Y844">
        <v>1</v>
      </c>
      <c r="Z844">
        <v>10</v>
      </c>
    </row>
    <row r="845" spans="1:26" x14ac:dyDescent="0.3">
      <c r="A845">
        <v>117</v>
      </c>
      <c r="B845">
        <v>150</v>
      </c>
      <c r="C845" t="s">
        <v>26</v>
      </c>
      <c r="D845">
        <v>10.032</v>
      </c>
      <c r="E845">
        <v>9.9700000000000006</v>
      </c>
      <c r="F845">
        <v>6.75</v>
      </c>
      <c r="G845">
        <v>101.23</v>
      </c>
      <c r="H845">
        <v>1.48</v>
      </c>
      <c r="I845">
        <v>4</v>
      </c>
      <c r="J845">
        <v>365.52</v>
      </c>
      <c r="K845">
        <v>61.82</v>
      </c>
      <c r="L845">
        <v>30.25</v>
      </c>
      <c r="M845">
        <v>2</v>
      </c>
      <c r="N845">
        <v>123.45</v>
      </c>
      <c r="O845">
        <v>45315.43</v>
      </c>
      <c r="P845">
        <v>120.01</v>
      </c>
      <c r="Q845">
        <v>204.14</v>
      </c>
      <c r="R845">
        <v>23.7</v>
      </c>
      <c r="S845">
        <v>17.37</v>
      </c>
      <c r="T845">
        <v>1072.21</v>
      </c>
      <c r="U845">
        <v>0.73</v>
      </c>
      <c r="V845">
        <v>0.76</v>
      </c>
      <c r="W845">
        <v>1.1399999999999999</v>
      </c>
      <c r="X845">
        <v>0.06</v>
      </c>
      <c r="Y845">
        <v>1</v>
      </c>
      <c r="Z845">
        <v>10</v>
      </c>
    </row>
    <row r="846" spans="1:26" x14ac:dyDescent="0.3">
      <c r="A846">
        <v>118</v>
      </c>
      <c r="B846">
        <v>150</v>
      </c>
      <c r="C846" t="s">
        <v>26</v>
      </c>
      <c r="D846">
        <v>10.030900000000001</v>
      </c>
      <c r="E846">
        <v>9.9700000000000006</v>
      </c>
      <c r="F846">
        <v>6.75</v>
      </c>
      <c r="G846">
        <v>101.25</v>
      </c>
      <c r="H846">
        <v>1.49</v>
      </c>
      <c r="I846">
        <v>4</v>
      </c>
      <c r="J846">
        <v>366.2</v>
      </c>
      <c r="K846">
        <v>61.82</v>
      </c>
      <c r="L846">
        <v>30.5</v>
      </c>
      <c r="M846">
        <v>2</v>
      </c>
      <c r="N846">
        <v>123.88</v>
      </c>
      <c r="O846">
        <v>45399.199999999997</v>
      </c>
      <c r="P846">
        <v>120.24</v>
      </c>
      <c r="Q846">
        <v>204.14</v>
      </c>
      <c r="R846">
        <v>23.69</v>
      </c>
      <c r="S846">
        <v>17.37</v>
      </c>
      <c r="T846">
        <v>1067.6099999999999</v>
      </c>
      <c r="U846">
        <v>0.73</v>
      </c>
      <c r="V846">
        <v>0.76</v>
      </c>
      <c r="W846">
        <v>1.1399999999999999</v>
      </c>
      <c r="X846">
        <v>0.06</v>
      </c>
      <c r="Y846">
        <v>1</v>
      </c>
      <c r="Z846">
        <v>10</v>
      </c>
    </row>
    <row r="847" spans="1:26" x14ac:dyDescent="0.3">
      <c r="A847">
        <v>119</v>
      </c>
      <c r="B847">
        <v>150</v>
      </c>
      <c r="C847" t="s">
        <v>26</v>
      </c>
      <c r="D847">
        <v>10.0343</v>
      </c>
      <c r="E847">
        <v>9.9700000000000006</v>
      </c>
      <c r="F847">
        <v>6.75</v>
      </c>
      <c r="G847">
        <v>101.2</v>
      </c>
      <c r="H847">
        <v>1.49</v>
      </c>
      <c r="I847">
        <v>4</v>
      </c>
      <c r="J847">
        <v>366.88</v>
      </c>
      <c r="K847">
        <v>61.82</v>
      </c>
      <c r="L847">
        <v>30.75</v>
      </c>
      <c r="M847">
        <v>2</v>
      </c>
      <c r="N847">
        <v>124.31</v>
      </c>
      <c r="O847">
        <v>45483.22</v>
      </c>
      <c r="P847">
        <v>120.37</v>
      </c>
      <c r="Q847">
        <v>204.14</v>
      </c>
      <c r="R847">
        <v>23.6</v>
      </c>
      <c r="S847">
        <v>17.37</v>
      </c>
      <c r="T847">
        <v>1021.43</v>
      </c>
      <c r="U847">
        <v>0.74</v>
      </c>
      <c r="V847">
        <v>0.76</v>
      </c>
      <c r="W847">
        <v>1.1399999999999999</v>
      </c>
      <c r="X847">
        <v>0.06</v>
      </c>
      <c r="Y847">
        <v>1</v>
      </c>
      <c r="Z847">
        <v>10</v>
      </c>
    </row>
    <row r="848" spans="1:26" x14ac:dyDescent="0.3">
      <c r="A848">
        <v>120</v>
      </c>
      <c r="B848">
        <v>150</v>
      </c>
      <c r="C848" t="s">
        <v>26</v>
      </c>
      <c r="D848">
        <v>10.036</v>
      </c>
      <c r="E848">
        <v>9.9600000000000009</v>
      </c>
      <c r="F848">
        <v>6.74</v>
      </c>
      <c r="G848">
        <v>101.17</v>
      </c>
      <c r="H848">
        <v>1.5</v>
      </c>
      <c r="I848">
        <v>4</v>
      </c>
      <c r="J848">
        <v>367.57</v>
      </c>
      <c r="K848">
        <v>61.82</v>
      </c>
      <c r="L848">
        <v>31</v>
      </c>
      <c r="M848">
        <v>2</v>
      </c>
      <c r="N848">
        <v>124.74</v>
      </c>
      <c r="O848">
        <v>45567.49</v>
      </c>
      <c r="P848">
        <v>120.42</v>
      </c>
      <c r="Q848">
        <v>204.14</v>
      </c>
      <c r="R848">
        <v>23.53</v>
      </c>
      <c r="S848">
        <v>17.37</v>
      </c>
      <c r="T848">
        <v>989.42</v>
      </c>
      <c r="U848">
        <v>0.74</v>
      </c>
      <c r="V848">
        <v>0.76</v>
      </c>
      <c r="W848">
        <v>1.1399999999999999</v>
      </c>
      <c r="X848">
        <v>0.05</v>
      </c>
      <c r="Y848">
        <v>1</v>
      </c>
      <c r="Z848">
        <v>10</v>
      </c>
    </row>
    <row r="849" spans="1:26" x14ac:dyDescent="0.3">
      <c r="A849">
        <v>121</v>
      </c>
      <c r="B849">
        <v>150</v>
      </c>
      <c r="C849" t="s">
        <v>26</v>
      </c>
      <c r="D849">
        <v>10.039300000000001</v>
      </c>
      <c r="E849">
        <v>9.9600000000000009</v>
      </c>
      <c r="F849">
        <v>6.74</v>
      </c>
      <c r="G849">
        <v>101.12</v>
      </c>
      <c r="H849">
        <v>1.51</v>
      </c>
      <c r="I849">
        <v>4</v>
      </c>
      <c r="J849">
        <v>368.25</v>
      </c>
      <c r="K849">
        <v>61.82</v>
      </c>
      <c r="L849">
        <v>31.25</v>
      </c>
      <c r="M849">
        <v>2</v>
      </c>
      <c r="N849">
        <v>125.18</v>
      </c>
      <c r="O849">
        <v>45652.02</v>
      </c>
      <c r="P849">
        <v>120.42</v>
      </c>
      <c r="Q849">
        <v>204.14</v>
      </c>
      <c r="R849">
        <v>23.43</v>
      </c>
      <c r="S849">
        <v>17.37</v>
      </c>
      <c r="T849">
        <v>937.14</v>
      </c>
      <c r="U849">
        <v>0.74</v>
      </c>
      <c r="V849">
        <v>0.76</v>
      </c>
      <c r="W849">
        <v>1.1399999999999999</v>
      </c>
      <c r="X849">
        <v>0.05</v>
      </c>
      <c r="Y849">
        <v>1</v>
      </c>
      <c r="Z849">
        <v>10</v>
      </c>
    </row>
    <row r="850" spans="1:26" x14ac:dyDescent="0.3">
      <c r="A850">
        <v>122</v>
      </c>
      <c r="B850">
        <v>150</v>
      </c>
      <c r="C850" t="s">
        <v>26</v>
      </c>
      <c r="D850">
        <v>10.037100000000001</v>
      </c>
      <c r="E850">
        <v>9.9600000000000009</v>
      </c>
      <c r="F850">
        <v>6.74</v>
      </c>
      <c r="G850">
        <v>101.15</v>
      </c>
      <c r="H850">
        <v>1.52</v>
      </c>
      <c r="I850">
        <v>4</v>
      </c>
      <c r="J850">
        <v>368.94</v>
      </c>
      <c r="K850">
        <v>61.82</v>
      </c>
      <c r="L850">
        <v>31.5</v>
      </c>
      <c r="M850">
        <v>2</v>
      </c>
      <c r="N850">
        <v>125.62</v>
      </c>
      <c r="O850">
        <v>45736.800000000003</v>
      </c>
      <c r="P850">
        <v>120.57</v>
      </c>
      <c r="Q850">
        <v>204.14</v>
      </c>
      <c r="R850">
        <v>23.5</v>
      </c>
      <c r="S850">
        <v>17.37</v>
      </c>
      <c r="T850">
        <v>973.41</v>
      </c>
      <c r="U850">
        <v>0.74</v>
      </c>
      <c r="V850">
        <v>0.76</v>
      </c>
      <c r="W850">
        <v>1.1399999999999999</v>
      </c>
      <c r="X850">
        <v>0.05</v>
      </c>
      <c r="Y850">
        <v>1</v>
      </c>
      <c r="Z850">
        <v>10</v>
      </c>
    </row>
    <row r="851" spans="1:26" x14ac:dyDescent="0.3">
      <c r="A851">
        <v>123</v>
      </c>
      <c r="B851">
        <v>150</v>
      </c>
      <c r="C851" t="s">
        <v>26</v>
      </c>
      <c r="D851">
        <v>10.0343</v>
      </c>
      <c r="E851">
        <v>9.9700000000000006</v>
      </c>
      <c r="F851">
        <v>6.75</v>
      </c>
      <c r="G851">
        <v>101.2</v>
      </c>
      <c r="H851">
        <v>1.53</v>
      </c>
      <c r="I851">
        <v>4</v>
      </c>
      <c r="J851">
        <v>369.63</v>
      </c>
      <c r="K851">
        <v>61.82</v>
      </c>
      <c r="L851">
        <v>31.75</v>
      </c>
      <c r="M851">
        <v>2</v>
      </c>
      <c r="N851">
        <v>126.06</v>
      </c>
      <c r="O851">
        <v>45821.85</v>
      </c>
      <c r="P851">
        <v>120.72</v>
      </c>
      <c r="Q851">
        <v>204.14</v>
      </c>
      <c r="R851">
        <v>23.49</v>
      </c>
      <c r="S851">
        <v>17.37</v>
      </c>
      <c r="T851">
        <v>968.3</v>
      </c>
      <c r="U851">
        <v>0.74</v>
      </c>
      <c r="V851">
        <v>0.76</v>
      </c>
      <c r="W851">
        <v>1.1399999999999999</v>
      </c>
      <c r="X851">
        <v>0.06</v>
      </c>
      <c r="Y851">
        <v>1</v>
      </c>
      <c r="Z851">
        <v>10</v>
      </c>
    </row>
    <row r="852" spans="1:26" x14ac:dyDescent="0.3">
      <c r="A852">
        <v>124</v>
      </c>
      <c r="B852">
        <v>150</v>
      </c>
      <c r="C852" t="s">
        <v>26</v>
      </c>
      <c r="D852">
        <v>10.0357</v>
      </c>
      <c r="E852">
        <v>9.9600000000000009</v>
      </c>
      <c r="F852">
        <v>6.75</v>
      </c>
      <c r="G852">
        <v>101.17</v>
      </c>
      <c r="H852">
        <v>1.54</v>
      </c>
      <c r="I852">
        <v>4</v>
      </c>
      <c r="J852">
        <v>370.32</v>
      </c>
      <c r="K852">
        <v>61.82</v>
      </c>
      <c r="L852">
        <v>32</v>
      </c>
      <c r="M852">
        <v>2</v>
      </c>
      <c r="N852">
        <v>126.5</v>
      </c>
      <c r="O852">
        <v>45907.3</v>
      </c>
      <c r="P852">
        <v>120.76</v>
      </c>
      <c r="Q852">
        <v>204.14</v>
      </c>
      <c r="R852">
        <v>23.55</v>
      </c>
      <c r="S852">
        <v>17.37</v>
      </c>
      <c r="T852">
        <v>994.95</v>
      </c>
      <c r="U852">
        <v>0.74</v>
      </c>
      <c r="V852">
        <v>0.76</v>
      </c>
      <c r="W852">
        <v>1.1399999999999999</v>
      </c>
      <c r="X852">
        <v>0.05</v>
      </c>
      <c r="Y852">
        <v>1</v>
      </c>
      <c r="Z852">
        <v>10</v>
      </c>
    </row>
    <row r="853" spans="1:26" x14ac:dyDescent="0.3">
      <c r="A853">
        <v>125</v>
      </c>
      <c r="B853">
        <v>150</v>
      </c>
      <c r="C853" t="s">
        <v>26</v>
      </c>
      <c r="D853">
        <v>10.029500000000001</v>
      </c>
      <c r="E853">
        <v>9.9700000000000006</v>
      </c>
      <c r="F853">
        <v>6.75</v>
      </c>
      <c r="G853">
        <v>101.27</v>
      </c>
      <c r="H853">
        <v>1.55</v>
      </c>
      <c r="I853">
        <v>4</v>
      </c>
      <c r="J853">
        <v>371.02</v>
      </c>
      <c r="K853">
        <v>61.82</v>
      </c>
      <c r="L853">
        <v>32.25</v>
      </c>
      <c r="M853">
        <v>2</v>
      </c>
      <c r="N853">
        <v>126.94</v>
      </c>
      <c r="O853">
        <v>45992.88</v>
      </c>
      <c r="P853">
        <v>120.93</v>
      </c>
      <c r="Q853">
        <v>204.14</v>
      </c>
      <c r="R853">
        <v>23.7</v>
      </c>
      <c r="S853">
        <v>17.37</v>
      </c>
      <c r="T853">
        <v>1072.51</v>
      </c>
      <c r="U853">
        <v>0.73</v>
      </c>
      <c r="V853">
        <v>0.76</v>
      </c>
      <c r="W853">
        <v>1.1399999999999999</v>
      </c>
      <c r="X853">
        <v>0.06</v>
      </c>
      <c r="Y853">
        <v>1</v>
      </c>
      <c r="Z853">
        <v>10</v>
      </c>
    </row>
    <row r="854" spans="1:26" x14ac:dyDescent="0.3">
      <c r="A854">
        <v>126</v>
      </c>
      <c r="B854">
        <v>150</v>
      </c>
      <c r="C854" t="s">
        <v>26</v>
      </c>
      <c r="D854">
        <v>10.0281</v>
      </c>
      <c r="E854">
        <v>9.9700000000000006</v>
      </c>
      <c r="F854">
        <v>6.75</v>
      </c>
      <c r="G854">
        <v>101.29</v>
      </c>
      <c r="H854">
        <v>1.56</v>
      </c>
      <c r="I854">
        <v>4</v>
      </c>
      <c r="J854">
        <v>371.71</v>
      </c>
      <c r="K854">
        <v>61.82</v>
      </c>
      <c r="L854">
        <v>32.5</v>
      </c>
      <c r="M854">
        <v>2</v>
      </c>
      <c r="N854">
        <v>127.39</v>
      </c>
      <c r="O854">
        <v>46078.74</v>
      </c>
      <c r="P854">
        <v>121.04</v>
      </c>
      <c r="Q854">
        <v>204.15</v>
      </c>
      <c r="R854">
        <v>23.72</v>
      </c>
      <c r="S854">
        <v>17.37</v>
      </c>
      <c r="T854">
        <v>1082.78</v>
      </c>
      <c r="U854">
        <v>0.73</v>
      </c>
      <c r="V854">
        <v>0.76</v>
      </c>
      <c r="W854">
        <v>1.1399999999999999</v>
      </c>
      <c r="X854">
        <v>0.06</v>
      </c>
      <c r="Y854">
        <v>1</v>
      </c>
      <c r="Z854">
        <v>10</v>
      </c>
    </row>
    <row r="855" spans="1:26" x14ac:dyDescent="0.3">
      <c r="A855">
        <v>127</v>
      </c>
      <c r="B855">
        <v>150</v>
      </c>
      <c r="C855" t="s">
        <v>26</v>
      </c>
      <c r="D855">
        <v>10.0312</v>
      </c>
      <c r="E855">
        <v>9.9700000000000006</v>
      </c>
      <c r="F855">
        <v>6.75</v>
      </c>
      <c r="G855">
        <v>101.24</v>
      </c>
      <c r="H855">
        <v>1.57</v>
      </c>
      <c r="I855">
        <v>4</v>
      </c>
      <c r="J855">
        <v>372.41</v>
      </c>
      <c r="K855">
        <v>61.82</v>
      </c>
      <c r="L855">
        <v>32.75</v>
      </c>
      <c r="M855">
        <v>2</v>
      </c>
      <c r="N855">
        <v>127.84</v>
      </c>
      <c r="O855">
        <v>46164.87</v>
      </c>
      <c r="P855">
        <v>121.02</v>
      </c>
      <c r="Q855">
        <v>204.14</v>
      </c>
      <c r="R855">
        <v>23.7</v>
      </c>
      <c r="S855">
        <v>17.37</v>
      </c>
      <c r="T855">
        <v>1073.6300000000001</v>
      </c>
      <c r="U855">
        <v>0.73</v>
      </c>
      <c r="V855">
        <v>0.76</v>
      </c>
      <c r="W855">
        <v>1.1399999999999999</v>
      </c>
      <c r="X855">
        <v>0.06</v>
      </c>
      <c r="Y855">
        <v>1</v>
      </c>
      <c r="Z855">
        <v>10</v>
      </c>
    </row>
    <row r="856" spans="1:26" x14ac:dyDescent="0.3">
      <c r="A856">
        <v>128</v>
      </c>
      <c r="B856">
        <v>150</v>
      </c>
      <c r="C856" t="s">
        <v>26</v>
      </c>
      <c r="D856">
        <v>10.0273</v>
      </c>
      <c r="E856">
        <v>9.9700000000000006</v>
      </c>
      <c r="F856">
        <v>6.75</v>
      </c>
      <c r="G856">
        <v>101.3</v>
      </c>
      <c r="H856">
        <v>1.58</v>
      </c>
      <c r="I856">
        <v>4</v>
      </c>
      <c r="J856">
        <v>373.11</v>
      </c>
      <c r="K856">
        <v>61.82</v>
      </c>
      <c r="L856">
        <v>33</v>
      </c>
      <c r="M856">
        <v>2</v>
      </c>
      <c r="N856">
        <v>128.29</v>
      </c>
      <c r="O856">
        <v>46251.27</v>
      </c>
      <c r="P856">
        <v>121.17</v>
      </c>
      <c r="Q856">
        <v>204.14</v>
      </c>
      <c r="R856">
        <v>23.76</v>
      </c>
      <c r="S856">
        <v>17.37</v>
      </c>
      <c r="T856">
        <v>1101.53</v>
      </c>
      <c r="U856">
        <v>0.73</v>
      </c>
      <c r="V856">
        <v>0.76</v>
      </c>
      <c r="W856">
        <v>1.1399999999999999</v>
      </c>
      <c r="X856">
        <v>0.06</v>
      </c>
      <c r="Y856">
        <v>1</v>
      </c>
      <c r="Z856">
        <v>10</v>
      </c>
    </row>
    <row r="857" spans="1:26" x14ac:dyDescent="0.3">
      <c r="A857">
        <v>129</v>
      </c>
      <c r="B857">
        <v>150</v>
      </c>
      <c r="C857" t="s">
        <v>26</v>
      </c>
      <c r="D857">
        <v>10.0343</v>
      </c>
      <c r="E857">
        <v>9.9700000000000006</v>
      </c>
      <c r="F857">
        <v>6.75</v>
      </c>
      <c r="G857">
        <v>101.2</v>
      </c>
      <c r="H857">
        <v>1.59</v>
      </c>
      <c r="I857">
        <v>4</v>
      </c>
      <c r="J857">
        <v>373.81</v>
      </c>
      <c r="K857">
        <v>61.82</v>
      </c>
      <c r="L857">
        <v>33.25</v>
      </c>
      <c r="M857">
        <v>2</v>
      </c>
      <c r="N857">
        <v>128.74</v>
      </c>
      <c r="O857">
        <v>46337.95</v>
      </c>
      <c r="P857">
        <v>121.05</v>
      </c>
      <c r="Q857">
        <v>204.14</v>
      </c>
      <c r="R857">
        <v>23.63</v>
      </c>
      <c r="S857">
        <v>17.37</v>
      </c>
      <c r="T857">
        <v>1037.27</v>
      </c>
      <c r="U857">
        <v>0.74</v>
      </c>
      <c r="V857">
        <v>0.76</v>
      </c>
      <c r="W857">
        <v>1.1399999999999999</v>
      </c>
      <c r="X857">
        <v>0.06</v>
      </c>
      <c r="Y857">
        <v>1</v>
      </c>
      <c r="Z857">
        <v>10</v>
      </c>
    </row>
    <row r="858" spans="1:26" x14ac:dyDescent="0.3">
      <c r="A858">
        <v>130</v>
      </c>
      <c r="B858">
        <v>150</v>
      </c>
      <c r="C858" t="s">
        <v>26</v>
      </c>
      <c r="D858">
        <v>10.032</v>
      </c>
      <c r="E858">
        <v>9.9700000000000006</v>
      </c>
      <c r="F858">
        <v>6.75</v>
      </c>
      <c r="G858">
        <v>101.23</v>
      </c>
      <c r="H858">
        <v>1.6</v>
      </c>
      <c r="I858">
        <v>4</v>
      </c>
      <c r="J858">
        <v>374.52</v>
      </c>
      <c r="K858">
        <v>61.82</v>
      </c>
      <c r="L858">
        <v>33.5</v>
      </c>
      <c r="M858">
        <v>2</v>
      </c>
      <c r="N858">
        <v>129.19999999999999</v>
      </c>
      <c r="O858">
        <v>46424.91</v>
      </c>
      <c r="P858">
        <v>121.07</v>
      </c>
      <c r="Q858">
        <v>204.14</v>
      </c>
      <c r="R858">
        <v>23.57</v>
      </c>
      <c r="S858">
        <v>17.37</v>
      </c>
      <c r="T858">
        <v>1008.3</v>
      </c>
      <c r="U858">
        <v>0.74</v>
      </c>
      <c r="V858">
        <v>0.76</v>
      </c>
      <c r="W858">
        <v>1.1399999999999999</v>
      </c>
      <c r="X858">
        <v>0.06</v>
      </c>
      <c r="Y858">
        <v>1</v>
      </c>
      <c r="Z858">
        <v>10</v>
      </c>
    </row>
    <row r="859" spans="1:26" x14ac:dyDescent="0.3">
      <c r="A859">
        <v>131</v>
      </c>
      <c r="B859">
        <v>150</v>
      </c>
      <c r="C859" t="s">
        <v>26</v>
      </c>
      <c r="D859">
        <v>10.0318</v>
      </c>
      <c r="E859">
        <v>9.9700000000000006</v>
      </c>
      <c r="F859">
        <v>6.75</v>
      </c>
      <c r="G859">
        <v>101.23</v>
      </c>
      <c r="H859">
        <v>1.6</v>
      </c>
      <c r="I859">
        <v>4</v>
      </c>
      <c r="J859">
        <v>375.23</v>
      </c>
      <c r="K859">
        <v>61.82</v>
      </c>
      <c r="L859">
        <v>33.75</v>
      </c>
      <c r="M859">
        <v>2</v>
      </c>
      <c r="N859">
        <v>129.65</v>
      </c>
      <c r="O859">
        <v>46512.15</v>
      </c>
      <c r="P859">
        <v>121.16</v>
      </c>
      <c r="Q859">
        <v>204.14</v>
      </c>
      <c r="R859">
        <v>23.61</v>
      </c>
      <c r="S859">
        <v>17.37</v>
      </c>
      <c r="T859">
        <v>1026.6099999999999</v>
      </c>
      <c r="U859">
        <v>0.74</v>
      </c>
      <c r="V859">
        <v>0.76</v>
      </c>
      <c r="W859">
        <v>1.1399999999999999</v>
      </c>
      <c r="X859">
        <v>0.06</v>
      </c>
      <c r="Y859">
        <v>1</v>
      </c>
      <c r="Z859">
        <v>10</v>
      </c>
    </row>
    <row r="860" spans="1:26" x14ac:dyDescent="0.3">
      <c r="A860">
        <v>132</v>
      </c>
      <c r="B860">
        <v>150</v>
      </c>
      <c r="C860" t="s">
        <v>26</v>
      </c>
      <c r="D860">
        <v>10.034599999999999</v>
      </c>
      <c r="E860">
        <v>9.9700000000000006</v>
      </c>
      <c r="F860">
        <v>6.75</v>
      </c>
      <c r="G860">
        <v>101.19</v>
      </c>
      <c r="H860">
        <v>1.61</v>
      </c>
      <c r="I860">
        <v>4</v>
      </c>
      <c r="J860">
        <v>375.93</v>
      </c>
      <c r="K860">
        <v>61.82</v>
      </c>
      <c r="L860">
        <v>34</v>
      </c>
      <c r="M860">
        <v>2</v>
      </c>
      <c r="N860">
        <v>130.11000000000001</v>
      </c>
      <c r="O860">
        <v>46599.68</v>
      </c>
      <c r="P860">
        <v>121.14</v>
      </c>
      <c r="Q860">
        <v>204.14</v>
      </c>
      <c r="R860">
        <v>23.56</v>
      </c>
      <c r="S860">
        <v>17.37</v>
      </c>
      <c r="T860">
        <v>1004.11</v>
      </c>
      <c r="U860">
        <v>0.74</v>
      </c>
      <c r="V860">
        <v>0.76</v>
      </c>
      <c r="W860">
        <v>1.1399999999999999</v>
      </c>
      <c r="X860">
        <v>0.06</v>
      </c>
      <c r="Y860">
        <v>1</v>
      </c>
      <c r="Z860">
        <v>10</v>
      </c>
    </row>
    <row r="861" spans="1:26" x14ac:dyDescent="0.3">
      <c r="A861">
        <v>133</v>
      </c>
      <c r="B861">
        <v>150</v>
      </c>
      <c r="C861" t="s">
        <v>26</v>
      </c>
      <c r="D861">
        <v>10.0374</v>
      </c>
      <c r="E861">
        <v>9.9600000000000009</v>
      </c>
      <c r="F861">
        <v>6.74</v>
      </c>
      <c r="G861">
        <v>101.15</v>
      </c>
      <c r="H861">
        <v>1.62</v>
      </c>
      <c r="I861">
        <v>4</v>
      </c>
      <c r="J861">
        <v>376.65</v>
      </c>
      <c r="K861">
        <v>61.82</v>
      </c>
      <c r="L861">
        <v>34.25</v>
      </c>
      <c r="M861">
        <v>2</v>
      </c>
      <c r="N861">
        <v>130.58000000000001</v>
      </c>
      <c r="O861">
        <v>46687.5</v>
      </c>
      <c r="P861">
        <v>121.05</v>
      </c>
      <c r="Q861">
        <v>204.14</v>
      </c>
      <c r="R861">
        <v>23.46</v>
      </c>
      <c r="S861">
        <v>17.37</v>
      </c>
      <c r="T861">
        <v>951.09</v>
      </c>
      <c r="U861">
        <v>0.74</v>
      </c>
      <c r="V861">
        <v>0.76</v>
      </c>
      <c r="W861">
        <v>1.1399999999999999</v>
      </c>
      <c r="X861">
        <v>0.05</v>
      </c>
      <c r="Y861">
        <v>1</v>
      </c>
      <c r="Z861">
        <v>10</v>
      </c>
    </row>
    <row r="862" spans="1:26" x14ac:dyDescent="0.3">
      <c r="A862">
        <v>134</v>
      </c>
      <c r="B862">
        <v>150</v>
      </c>
      <c r="C862" t="s">
        <v>26</v>
      </c>
      <c r="D862">
        <v>10.039300000000001</v>
      </c>
      <c r="E862">
        <v>9.9600000000000009</v>
      </c>
      <c r="F862">
        <v>6.74</v>
      </c>
      <c r="G862">
        <v>101.12</v>
      </c>
      <c r="H862">
        <v>1.63</v>
      </c>
      <c r="I862">
        <v>4</v>
      </c>
      <c r="J862">
        <v>377.36</v>
      </c>
      <c r="K862">
        <v>61.82</v>
      </c>
      <c r="L862">
        <v>34.5</v>
      </c>
      <c r="M862">
        <v>2</v>
      </c>
      <c r="N862">
        <v>131.04</v>
      </c>
      <c r="O862">
        <v>46775.73</v>
      </c>
      <c r="P862">
        <v>121.07</v>
      </c>
      <c r="Q862">
        <v>204.14</v>
      </c>
      <c r="R862">
        <v>23.36</v>
      </c>
      <c r="S862">
        <v>17.37</v>
      </c>
      <c r="T862">
        <v>904.77</v>
      </c>
      <c r="U862">
        <v>0.74</v>
      </c>
      <c r="V862">
        <v>0.76</v>
      </c>
      <c r="W862">
        <v>1.1399999999999999</v>
      </c>
      <c r="X862">
        <v>0.05</v>
      </c>
      <c r="Y862">
        <v>1</v>
      </c>
      <c r="Z862">
        <v>10</v>
      </c>
    </row>
    <row r="863" spans="1:26" x14ac:dyDescent="0.3">
      <c r="A863">
        <v>135</v>
      </c>
      <c r="B863">
        <v>150</v>
      </c>
      <c r="C863" t="s">
        <v>26</v>
      </c>
      <c r="D863">
        <v>10.0379</v>
      </c>
      <c r="E863">
        <v>9.9600000000000009</v>
      </c>
      <c r="F863">
        <v>6.74</v>
      </c>
      <c r="G863">
        <v>101.14</v>
      </c>
      <c r="H863">
        <v>1.64</v>
      </c>
      <c r="I863">
        <v>4</v>
      </c>
      <c r="J863">
        <v>378.08</v>
      </c>
      <c r="K863">
        <v>61.82</v>
      </c>
      <c r="L863">
        <v>34.75</v>
      </c>
      <c r="M863">
        <v>2</v>
      </c>
      <c r="N863">
        <v>131.51</v>
      </c>
      <c r="O863">
        <v>46864.14</v>
      </c>
      <c r="P863">
        <v>121.04</v>
      </c>
      <c r="Q863">
        <v>204.14</v>
      </c>
      <c r="R863">
        <v>23.42</v>
      </c>
      <c r="S863">
        <v>17.37</v>
      </c>
      <c r="T863">
        <v>930.56</v>
      </c>
      <c r="U863">
        <v>0.74</v>
      </c>
      <c r="V863">
        <v>0.76</v>
      </c>
      <c r="W863">
        <v>1.1399999999999999</v>
      </c>
      <c r="X863">
        <v>0.05</v>
      </c>
      <c r="Y863">
        <v>1</v>
      </c>
      <c r="Z863">
        <v>10</v>
      </c>
    </row>
    <row r="864" spans="1:26" x14ac:dyDescent="0.3">
      <c r="A864">
        <v>136</v>
      </c>
      <c r="B864">
        <v>150</v>
      </c>
      <c r="C864" t="s">
        <v>26</v>
      </c>
      <c r="D864">
        <v>10.0388</v>
      </c>
      <c r="E864">
        <v>9.9600000000000009</v>
      </c>
      <c r="F864">
        <v>6.74</v>
      </c>
      <c r="G864">
        <v>101.13</v>
      </c>
      <c r="H864">
        <v>1.65</v>
      </c>
      <c r="I864">
        <v>4</v>
      </c>
      <c r="J864">
        <v>378.8</v>
      </c>
      <c r="K864">
        <v>61.82</v>
      </c>
      <c r="L864">
        <v>35</v>
      </c>
      <c r="M864">
        <v>2</v>
      </c>
      <c r="N864">
        <v>131.97999999999999</v>
      </c>
      <c r="O864">
        <v>46952.84</v>
      </c>
      <c r="P864">
        <v>121.02</v>
      </c>
      <c r="Q864">
        <v>204.14</v>
      </c>
      <c r="R864">
        <v>23.44</v>
      </c>
      <c r="S864">
        <v>17.37</v>
      </c>
      <c r="T864">
        <v>941.82</v>
      </c>
      <c r="U864">
        <v>0.74</v>
      </c>
      <c r="V864">
        <v>0.76</v>
      </c>
      <c r="W864">
        <v>1.1399999999999999</v>
      </c>
      <c r="X864">
        <v>0.05</v>
      </c>
      <c r="Y864">
        <v>1</v>
      </c>
      <c r="Z864">
        <v>10</v>
      </c>
    </row>
    <row r="865" spans="1:26" x14ac:dyDescent="0.3">
      <c r="A865">
        <v>137</v>
      </c>
      <c r="B865">
        <v>150</v>
      </c>
      <c r="C865" t="s">
        <v>26</v>
      </c>
      <c r="D865">
        <v>10.038500000000001</v>
      </c>
      <c r="E865">
        <v>9.9600000000000009</v>
      </c>
      <c r="F865">
        <v>6.74</v>
      </c>
      <c r="G865">
        <v>101.13</v>
      </c>
      <c r="H865">
        <v>1.66</v>
      </c>
      <c r="I865">
        <v>4</v>
      </c>
      <c r="J865">
        <v>379.52</v>
      </c>
      <c r="K865">
        <v>61.82</v>
      </c>
      <c r="L865">
        <v>35.25</v>
      </c>
      <c r="M865">
        <v>2</v>
      </c>
      <c r="N865">
        <v>132.44999999999999</v>
      </c>
      <c r="O865">
        <v>47041.84</v>
      </c>
      <c r="P865">
        <v>120.98</v>
      </c>
      <c r="Q865">
        <v>204.14</v>
      </c>
      <c r="R865">
        <v>23.48</v>
      </c>
      <c r="S865">
        <v>17.37</v>
      </c>
      <c r="T865">
        <v>961.21</v>
      </c>
      <c r="U865">
        <v>0.74</v>
      </c>
      <c r="V865">
        <v>0.76</v>
      </c>
      <c r="W865">
        <v>1.1399999999999999</v>
      </c>
      <c r="X865">
        <v>0.05</v>
      </c>
      <c r="Y865">
        <v>1</v>
      </c>
      <c r="Z865">
        <v>10</v>
      </c>
    </row>
    <row r="866" spans="1:26" x14ac:dyDescent="0.3">
      <c r="A866">
        <v>138</v>
      </c>
      <c r="B866">
        <v>150</v>
      </c>
      <c r="C866" t="s">
        <v>26</v>
      </c>
      <c r="D866">
        <v>10.039300000000001</v>
      </c>
      <c r="E866">
        <v>9.9600000000000009</v>
      </c>
      <c r="F866">
        <v>6.74</v>
      </c>
      <c r="G866">
        <v>101.12</v>
      </c>
      <c r="H866">
        <v>1.67</v>
      </c>
      <c r="I866">
        <v>4</v>
      </c>
      <c r="J866">
        <v>380.24</v>
      </c>
      <c r="K866">
        <v>61.82</v>
      </c>
      <c r="L866">
        <v>35.5</v>
      </c>
      <c r="M866">
        <v>2</v>
      </c>
      <c r="N866">
        <v>132.91999999999999</v>
      </c>
      <c r="O866">
        <v>47131.15</v>
      </c>
      <c r="P866">
        <v>120.95</v>
      </c>
      <c r="Q866">
        <v>204.15</v>
      </c>
      <c r="R866">
        <v>23.38</v>
      </c>
      <c r="S866">
        <v>17.37</v>
      </c>
      <c r="T866">
        <v>914.67</v>
      </c>
      <c r="U866">
        <v>0.74</v>
      </c>
      <c r="V866">
        <v>0.76</v>
      </c>
      <c r="W866">
        <v>1.1399999999999999</v>
      </c>
      <c r="X866">
        <v>0.05</v>
      </c>
      <c r="Y866">
        <v>1</v>
      </c>
      <c r="Z866">
        <v>10</v>
      </c>
    </row>
    <row r="867" spans="1:26" x14ac:dyDescent="0.3">
      <c r="A867">
        <v>139</v>
      </c>
      <c r="B867">
        <v>150</v>
      </c>
      <c r="C867" t="s">
        <v>26</v>
      </c>
      <c r="D867">
        <v>10.0382</v>
      </c>
      <c r="E867">
        <v>9.9600000000000009</v>
      </c>
      <c r="F867">
        <v>6.74</v>
      </c>
      <c r="G867">
        <v>101.14</v>
      </c>
      <c r="H867">
        <v>1.67</v>
      </c>
      <c r="I867">
        <v>4</v>
      </c>
      <c r="J867">
        <v>380.97</v>
      </c>
      <c r="K867">
        <v>61.82</v>
      </c>
      <c r="L867">
        <v>35.75</v>
      </c>
      <c r="M867">
        <v>2</v>
      </c>
      <c r="N867">
        <v>133.4</v>
      </c>
      <c r="O867">
        <v>47220.77</v>
      </c>
      <c r="P867">
        <v>120.99</v>
      </c>
      <c r="Q867">
        <v>204.14</v>
      </c>
      <c r="R867">
        <v>23.37</v>
      </c>
      <c r="S867">
        <v>17.37</v>
      </c>
      <c r="T867">
        <v>904.94</v>
      </c>
      <c r="U867">
        <v>0.74</v>
      </c>
      <c r="V867">
        <v>0.76</v>
      </c>
      <c r="W867">
        <v>1.1399999999999999</v>
      </c>
      <c r="X867">
        <v>0.05</v>
      </c>
      <c r="Y867">
        <v>1</v>
      </c>
      <c r="Z867">
        <v>10</v>
      </c>
    </row>
    <row r="868" spans="1:26" x14ac:dyDescent="0.3">
      <c r="A868">
        <v>140</v>
      </c>
      <c r="B868">
        <v>150</v>
      </c>
      <c r="C868" t="s">
        <v>26</v>
      </c>
      <c r="D868">
        <v>10.0396</v>
      </c>
      <c r="E868">
        <v>9.9600000000000009</v>
      </c>
      <c r="F868">
        <v>6.74</v>
      </c>
      <c r="G868">
        <v>101.12</v>
      </c>
      <c r="H868">
        <v>1.68</v>
      </c>
      <c r="I868">
        <v>4</v>
      </c>
      <c r="J868">
        <v>381.7</v>
      </c>
      <c r="K868">
        <v>61.82</v>
      </c>
      <c r="L868">
        <v>36</v>
      </c>
      <c r="M868">
        <v>2</v>
      </c>
      <c r="N868">
        <v>133.88</v>
      </c>
      <c r="O868">
        <v>47310.69</v>
      </c>
      <c r="P868">
        <v>120.88</v>
      </c>
      <c r="Q868">
        <v>204.14</v>
      </c>
      <c r="R868">
        <v>23.39</v>
      </c>
      <c r="S868">
        <v>17.37</v>
      </c>
      <c r="T868">
        <v>916.58</v>
      </c>
      <c r="U868">
        <v>0.74</v>
      </c>
      <c r="V868">
        <v>0.76</v>
      </c>
      <c r="W868">
        <v>1.1399999999999999</v>
      </c>
      <c r="X868">
        <v>0.05</v>
      </c>
      <c r="Y868">
        <v>1</v>
      </c>
      <c r="Z868">
        <v>10</v>
      </c>
    </row>
    <row r="869" spans="1:26" x14ac:dyDescent="0.3">
      <c r="A869">
        <v>141</v>
      </c>
      <c r="B869">
        <v>150</v>
      </c>
      <c r="C869" t="s">
        <v>26</v>
      </c>
      <c r="D869">
        <v>10.039</v>
      </c>
      <c r="E869">
        <v>9.9600000000000009</v>
      </c>
      <c r="F869">
        <v>6.74</v>
      </c>
      <c r="G869">
        <v>101.12</v>
      </c>
      <c r="H869">
        <v>1.69</v>
      </c>
      <c r="I869">
        <v>4</v>
      </c>
      <c r="J869">
        <v>382.43</v>
      </c>
      <c r="K869">
        <v>61.82</v>
      </c>
      <c r="L869">
        <v>36.25</v>
      </c>
      <c r="M869">
        <v>2</v>
      </c>
      <c r="N869">
        <v>134.36000000000001</v>
      </c>
      <c r="O869">
        <v>47400.92</v>
      </c>
      <c r="P869">
        <v>120.83</v>
      </c>
      <c r="Q869">
        <v>204.14</v>
      </c>
      <c r="R869">
        <v>23.4</v>
      </c>
      <c r="S869">
        <v>17.37</v>
      </c>
      <c r="T869">
        <v>921.17</v>
      </c>
      <c r="U869">
        <v>0.74</v>
      </c>
      <c r="V869">
        <v>0.76</v>
      </c>
      <c r="W869">
        <v>1.1399999999999999</v>
      </c>
      <c r="X869">
        <v>0.05</v>
      </c>
      <c r="Y869">
        <v>1</v>
      </c>
      <c r="Z869">
        <v>10</v>
      </c>
    </row>
    <row r="870" spans="1:26" x14ac:dyDescent="0.3">
      <c r="A870">
        <v>142</v>
      </c>
      <c r="B870">
        <v>150</v>
      </c>
      <c r="C870" t="s">
        <v>26</v>
      </c>
      <c r="D870">
        <v>10.0374</v>
      </c>
      <c r="E870">
        <v>9.9600000000000009</v>
      </c>
      <c r="F870">
        <v>6.74</v>
      </c>
      <c r="G870">
        <v>101.15</v>
      </c>
      <c r="H870">
        <v>1.7</v>
      </c>
      <c r="I870">
        <v>4</v>
      </c>
      <c r="J870">
        <v>383.17</v>
      </c>
      <c r="K870">
        <v>61.82</v>
      </c>
      <c r="L870">
        <v>36.5</v>
      </c>
      <c r="M870">
        <v>2</v>
      </c>
      <c r="N870">
        <v>134.84</v>
      </c>
      <c r="O870">
        <v>47491.48</v>
      </c>
      <c r="P870">
        <v>120.81</v>
      </c>
      <c r="Q870">
        <v>204.14</v>
      </c>
      <c r="R870">
        <v>23.43</v>
      </c>
      <c r="S870">
        <v>17.37</v>
      </c>
      <c r="T870">
        <v>938.75</v>
      </c>
      <c r="U870">
        <v>0.74</v>
      </c>
      <c r="V870">
        <v>0.76</v>
      </c>
      <c r="W870">
        <v>1.1399999999999999</v>
      </c>
      <c r="X870">
        <v>0.05</v>
      </c>
      <c r="Y870">
        <v>1</v>
      </c>
      <c r="Z870">
        <v>10</v>
      </c>
    </row>
    <row r="871" spans="1:26" x14ac:dyDescent="0.3">
      <c r="A871">
        <v>143</v>
      </c>
      <c r="B871">
        <v>150</v>
      </c>
      <c r="C871" t="s">
        <v>26</v>
      </c>
      <c r="D871">
        <v>10.044600000000001</v>
      </c>
      <c r="E871">
        <v>9.9600000000000009</v>
      </c>
      <c r="F871">
        <v>6.74</v>
      </c>
      <c r="G871">
        <v>101.04</v>
      </c>
      <c r="H871">
        <v>1.71</v>
      </c>
      <c r="I871">
        <v>4</v>
      </c>
      <c r="J871">
        <v>383.9</v>
      </c>
      <c r="K871">
        <v>61.82</v>
      </c>
      <c r="L871">
        <v>36.75</v>
      </c>
      <c r="M871">
        <v>2</v>
      </c>
      <c r="N871">
        <v>135.33000000000001</v>
      </c>
      <c r="O871">
        <v>47582.35</v>
      </c>
      <c r="P871">
        <v>120.69</v>
      </c>
      <c r="Q871">
        <v>204.14</v>
      </c>
      <c r="R871">
        <v>23.2</v>
      </c>
      <c r="S871">
        <v>17.37</v>
      </c>
      <c r="T871">
        <v>822.36</v>
      </c>
      <c r="U871">
        <v>0.75</v>
      </c>
      <c r="V871">
        <v>0.76</v>
      </c>
      <c r="W871">
        <v>1.1399999999999999</v>
      </c>
      <c r="X871">
        <v>0.04</v>
      </c>
      <c r="Y871">
        <v>1</v>
      </c>
      <c r="Z871">
        <v>10</v>
      </c>
    </row>
    <row r="872" spans="1:26" x14ac:dyDescent="0.3">
      <c r="A872">
        <v>144</v>
      </c>
      <c r="B872">
        <v>150</v>
      </c>
      <c r="C872" t="s">
        <v>26</v>
      </c>
      <c r="D872">
        <v>10.045500000000001</v>
      </c>
      <c r="E872">
        <v>9.9499999999999993</v>
      </c>
      <c r="F872">
        <v>6.74</v>
      </c>
      <c r="G872">
        <v>101.03</v>
      </c>
      <c r="H872">
        <v>1.72</v>
      </c>
      <c r="I872">
        <v>4</v>
      </c>
      <c r="J872">
        <v>384.64</v>
      </c>
      <c r="K872">
        <v>61.82</v>
      </c>
      <c r="L872">
        <v>37</v>
      </c>
      <c r="M872">
        <v>2</v>
      </c>
      <c r="N872">
        <v>135.82</v>
      </c>
      <c r="O872">
        <v>47673.67</v>
      </c>
      <c r="P872">
        <v>120.56</v>
      </c>
      <c r="Q872">
        <v>204.15</v>
      </c>
      <c r="R872">
        <v>23.16</v>
      </c>
      <c r="S872">
        <v>17.37</v>
      </c>
      <c r="T872">
        <v>800.58</v>
      </c>
      <c r="U872">
        <v>0.75</v>
      </c>
      <c r="V872">
        <v>0.76</v>
      </c>
      <c r="W872">
        <v>1.1399999999999999</v>
      </c>
      <c r="X872">
        <v>0.04</v>
      </c>
      <c r="Y872">
        <v>1</v>
      </c>
      <c r="Z872">
        <v>10</v>
      </c>
    </row>
    <row r="873" spans="1:26" x14ac:dyDescent="0.3">
      <c r="A873">
        <v>145</v>
      </c>
      <c r="B873">
        <v>150</v>
      </c>
      <c r="C873" t="s">
        <v>26</v>
      </c>
      <c r="D873">
        <v>10.046900000000001</v>
      </c>
      <c r="E873">
        <v>9.9499999999999993</v>
      </c>
      <c r="F873">
        <v>6.73</v>
      </c>
      <c r="G873">
        <v>101.01</v>
      </c>
      <c r="H873">
        <v>1.72</v>
      </c>
      <c r="I873">
        <v>4</v>
      </c>
      <c r="J873">
        <v>385.38</v>
      </c>
      <c r="K873">
        <v>61.82</v>
      </c>
      <c r="L873">
        <v>37.25</v>
      </c>
      <c r="M873">
        <v>2</v>
      </c>
      <c r="N873">
        <v>136.31</v>
      </c>
      <c r="O873">
        <v>47765.19</v>
      </c>
      <c r="P873">
        <v>120.54</v>
      </c>
      <c r="Q873">
        <v>204.15</v>
      </c>
      <c r="R873">
        <v>23.11</v>
      </c>
      <c r="S873">
        <v>17.37</v>
      </c>
      <c r="T873">
        <v>776.31</v>
      </c>
      <c r="U873">
        <v>0.75</v>
      </c>
      <c r="V873">
        <v>0.76</v>
      </c>
      <c r="W873">
        <v>1.1399999999999999</v>
      </c>
      <c r="X873">
        <v>0.04</v>
      </c>
      <c r="Y873">
        <v>1</v>
      </c>
      <c r="Z873">
        <v>10</v>
      </c>
    </row>
    <row r="874" spans="1:26" x14ac:dyDescent="0.3">
      <c r="A874">
        <v>146</v>
      </c>
      <c r="B874">
        <v>150</v>
      </c>
      <c r="C874" t="s">
        <v>26</v>
      </c>
      <c r="D874">
        <v>10.045500000000001</v>
      </c>
      <c r="E874">
        <v>9.9499999999999993</v>
      </c>
      <c r="F874">
        <v>6.74</v>
      </c>
      <c r="G874">
        <v>101.03</v>
      </c>
      <c r="H874">
        <v>1.73</v>
      </c>
      <c r="I874">
        <v>4</v>
      </c>
      <c r="J874">
        <v>386.13</v>
      </c>
      <c r="K874">
        <v>61.82</v>
      </c>
      <c r="L874">
        <v>37.5</v>
      </c>
      <c r="M874">
        <v>2</v>
      </c>
      <c r="N874">
        <v>136.81</v>
      </c>
      <c r="O874">
        <v>47857.05</v>
      </c>
      <c r="P874">
        <v>120.52</v>
      </c>
      <c r="Q874">
        <v>204.14</v>
      </c>
      <c r="R874">
        <v>23.11</v>
      </c>
      <c r="S874">
        <v>17.37</v>
      </c>
      <c r="T874">
        <v>775.75</v>
      </c>
      <c r="U874">
        <v>0.75</v>
      </c>
      <c r="V874">
        <v>0.76</v>
      </c>
      <c r="W874">
        <v>1.1399999999999999</v>
      </c>
      <c r="X874">
        <v>0.04</v>
      </c>
      <c r="Y874">
        <v>1</v>
      </c>
      <c r="Z874">
        <v>10</v>
      </c>
    </row>
    <row r="875" spans="1:26" x14ac:dyDescent="0.3">
      <c r="A875">
        <v>147</v>
      </c>
      <c r="B875">
        <v>150</v>
      </c>
      <c r="C875" t="s">
        <v>26</v>
      </c>
      <c r="D875">
        <v>10.044600000000001</v>
      </c>
      <c r="E875">
        <v>9.9600000000000009</v>
      </c>
      <c r="F875">
        <v>6.74</v>
      </c>
      <c r="G875">
        <v>101.04</v>
      </c>
      <c r="H875">
        <v>1.74</v>
      </c>
      <c r="I875">
        <v>4</v>
      </c>
      <c r="J875">
        <v>386.88</v>
      </c>
      <c r="K875">
        <v>61.82</v>
      </c>
      <c r="L875">
        <v>37.75</v>
      </c>
      <c r="M875">
        <v>2</v>
      </c>
      <c r="N875">
        <v>137.31</v>
      </c>
      <c r="O875">
        <v>47949.23</v>
      </c>
      <c r="P875">
        <v>120.4</v>
      </c>
      <c r="Q875">
        <v>204.14</v>
      </c>
      <c r="R875">
        <v>23.14</v>
      </c>
      <c r="S875">
        <v>17.37</v>
      </c>
      <c r="T875">
        <v>793.88</v>
      </c>
      <c r="U875">
        <v>0.75</v>
      </c>
      <c r="V875">
        <v>0.76</v>
      </c>
      <c r="W875">
        <v>1.1399999999999999</v>
      </c>
      <c r="X875">
        <v>0.04</v>
      </c>
      <c r="Y875">
        <v>1</v>
      </c>
      <c r="Z875">
        <v>10</v>
      </c>
    </row>
    <row r="876" spans="1:26" x14ac:dyDescent="0.3">
      <c r="A876">
        <v>148</v>
      </c>
      <c r="B876">
        <v>150</v>
      </c>
      <c r="C876" t="s">
        <v>26</v>
      </c>
      <c r="D876">
        <v>10.0444</v>
      </c>
      <c r="E876">
        <v>9.9600000000000009</v>
      </c>
      <c r="F876">
        <v>6.74</v>
      </c>
      <c r="G876">
        <v>101.05</v>
      </c>
      <c r="H876">
        <v>1.75</v>
      </c>
      <c r="I876">
        <v>4</v>
      </c>
      <c r="J876">
        <v>387.63</v>
      </c>
      <c r="K876">
        <v>61.82</v>
      </c>
      <c r="L876">
        <v>38</v>
      </c>
      <c r="M876">
        <v>2</v>
      </c>
      <c r="N876">
        <v>137.81</v>
      </c>
      <c r="O876">
        <v>48041.760000000002</v>
      </c>
      <c r="P876">
        <v>120.4</v>
      </c>
      <c r="Q876">
        <v>204.14</v>
      </c>
      <c r="R876">
        <v>23.2</v>
      </c>
      <c r="S876">
        <v>17.37</v>
      </c>
      <c r="T876">
        <v>822.06</v>
      </c>
      <c r="U876">
        <v>0.75</v>
      </c>
      <c r="V876">
        <v>0.76</v>
      </c>
      <c r="W876">
        <v>1.1399999999999999</v>
      </c>
      <c r="X876">
        <v>0.05</v>
      </c>
      <c r="Y876">
        <v>1</v>
      </c>
      <c r="Z876">
        <v>10</v>
      </c>
    </row>
    <row r="877" spans="1:26" x14ac:dyDescent="0.3">
      <c r="A877">
        <v>149</v>
      </c>
      <c r="B877">
        <v>150</v>
      </c>
      <c r="C877" t="s">
        <v>26</v>
      </c>
      <c r="D877">
        <v>10.043200000000001</v>
      </c>
      <c r="E877">
        <v>9.9600000000000009</v>
      </c>
      <c r="F877">
        <v>6.74</v>
      </c>
      <c r="G877">
        <v>101.06</v>
      </c>
      <c r="H877">
        <v>1.76</v>
      </c>
      <c r="I877">
        <v>4</v>
      </c>
      <c r="J877">
        <v>388.38</v>
      </c>
      <c r="K877">
        <v>61.82</v>
      </c>
      <c r="L877">
        <v>38.25</v>
      </c>
      <c r="M877">
        <v>2</v>
      </c>
      <c r="N877">
        <v>138.31</v>
      </c>
      <c r="O877">
        <v>48134.63</v>
      </c>
      <c r="P877">
        <v>120.44</v>
      </c>
      <c r="Q877">
        <v>204.14</v>
      </c>
      <c r="R877">
        <v>23.25</v>
      </c>
      <c r="S877">
        <v>17.37</v>
      </c>
      <c r="T877">
        <v>845.03</v>
      </c>
      <c r="U877">
        <v>0.75</v>
      </c>
      <c r="V877">
        <v>0.76</v>
      </c>
      <c r="W877">
        <v>1.1399999999999999</v>
      </c>
      <c r="X877">
        <v>0.05</v>
      </c>
      <c r="Y877">
        <v>1</v>
      </c>
      <c r="Z877">
        <v>10</v>
      </c>
    </row>
    <row r="878" spans="1:26" x14ac:dyDescent="0.3">
      <c r="A878">
        <v>150</v>
      </c>
      <c r="B878">
        <v>150</v>
      </c>
      <c r="C878" t="s">
        <v>26</v>
      </c>
      <c r="D878">
        <v>10.0449</v>
      </c>
      <c r="E878">
        <v>9.9600000000000009</v>
      </c>
      <c r="F878">
        <v>6.74</v>
      </c>
      <c r="G878">
        <v>101.04</v>
      </c>
      <c r="H878">
        <v>1.76</v>
      </c>
      <c r="I878">
        <v>4</v>
      </c>
      <c r="J878">
        <v>389.14</v>
      </c>
      <c r="K878">
        <v>61.82</v>
      </c>
      <c r="L878">
        <v>38.5</v>
      </c>
      <c r="M878">
        <v>2</v>
      </c>
      <c r="N878">
        <v>138.81</v>
      </c>
      <c r="O878">
        <v>48227.839999999997</v>
      </c>
      <c r="P878">
        <v>120.37</v>
      </c>
      <c r="Q878">
        <v>204.14</v>
      </c>
      <c r="R878">
        <v>23.24</v>
      </c>
      <c r="S878">
        <v>17.37</v>
      </c>
      <c r="T878">
        <v>843.32</v>
      </c>
      <c r="U878">
        <v>0.75</v>
      </c>
      <c r="V878">
        <v>0.76</v>
      </c>
      <c r="W878">
        <v>1.1399999999999999</v>
      </c>
      <c r="X878">
        <v>0.04</v>
      </c>
      <c r="Y878">
        <v>1</v>
      </c>
      <c r="Z878">
        <v>10</v>
      </c>
    </row>
    <row r="879" spans="1:26" x14ac:dyDescent="0.3">
      <c r="A879">
        <v>151</v>
      </c>
      <c r="B879">
        <v>150</v>
      </c>
      <c r="C879" t="s">
        <v>26</v>
      </c>
      <c r="D879">
        <v>10.041600000000001</v>
      </c>
      <c r="E879">
        <v>9.9600000000000009</v>
      </c>
      <c r="F879">
        <v>6.74</v>
      </c>
      <c r="G879">
        <v>101.09</v>
      </c>
      <c r="H879">
        <v>1.77</v>
      </c>
      <c r="I879">
        <v>4</v>
      </c>
      <c r="J879">
        <v>389.89</v>
      </c>
      <c r="K879">
        <v>61.82</v>
      </c>
      <c r="L879">
        <v>38.75</v>
      </c>
      <c r="M879">
        <v>2</v>
      </c>
      <c r="N879">
        <v>139.32</v>
      </c>
      <c r="O879">
        <v>48321.4</v>
      </c>
      <c r="P879">
        <v>120.37</v>
      </c>
      <c r="Q879">
        <v>204.15</v>
      </c>
      <c r="R879">
        <v>23.28</v>
      </c>
      <c r="S879">
        <v>17.37</v>
      </c>
      <c r="T879">
        <v>863.43</v>
      </c>
      <c r="U879">
        <v>0.75</v>
      </c>
      <c r="V879">
        <v>0.76</v>
      </c>
      <c r="W879">
        <v>1.1399999999999999</v>
      </c>
      <c r="X879">
        <v>0.05</v>
      </c>
      <c r="Y879">
        <v>1</v>
      </c>
      <c r="Z879">
        <v>10</v>
      </c>
    </row>
    <row r="880" spans="1:26" x14ac:dyDescent="0.3">
      <c r="A880">
        <v>152</v>
      </c>
      <c r="B880">
        <v>150</v>
      </c>
      <c r="C880" t="s">
        <v>26</v>
      </c>
      <c r="D880">
        <v>10.039300000000001</v>
      </c>
      <c r="E880">
        <v>9.9600000000000009</v>
      </c>
      <c r="F880">
        <v>6.74</v>
      </c>
      <c r="G880">
        <v>101.12</v>
      </c>
      <c r="H880">
        <v>1.78</v>
      </c>
      <c r="I880">
        <v>4</v>
      </c>
      <c r="J880">
        <v>390.66</v>
      </c>
      <c r="K880">
        <v>61.82</v>
      </c>
      <c r="L880">
        <v>39</v>
      </c>
      <c r="M880">
        <v>2</v>
      </c>
      <c r="N880">
        <v>139.83000000000001</v>
      </c>
      <c r="O880">
        <v>48415.31</v>
      </c>
      <c r="P880">
        <v>120.38</v>
      </c>
      <c r="Q880">
        <v>204.14</v>
      </c>
      <c r="R880">
        <v>23.37</v>
      </c>
      <c r="S880">
        <v>17.37</v>
      </c>
      <c r="T880">
        <v>906.03</v>
      </c>
      <c r="U880">
        <v>0.74</v>
      </c>
      <c r="V880">
        <v>0.76</v>
      </c>
      <c r="W880">
        <v>1.1399999999999999</v>
      </c>
      <c r="X880">
        <v>0.05</v>
      </c>
      <c r="Y880">
        <v>1</v>
      </c>
      <c r="Z880">
        <v>10</v>
      </c>
    </row>
    <row r="881" spans="1:26" x14ac:dyDescent="0.3">
      <c r="A881">
        <v>153</v>
      </c>
      <c r="B881">
        <v>150</v>
      </c>
      <c r="C881" t="s">
        <v>26</v>
      </c>
      <c r="D881">
        <v>10.0382</v>
      </c>
      <c r="E881">
        <v>9.9600000000000009</v>
      </c>
      <c r="F881">
        <v>6.74</v>
      </c>
      <c r="G881">
        <v>101.14</v>
      </c>
      <c r="H881">
        <v>1.79</v>
      </c>
      <c r="I881">
        <v>4</v>
      </c>
      <c r="J881">
        <v>391.42</v>
      </c>
      <c r="K881">
        <v>61.82</v>
      </c>
      <c r="L881">
        <v>39.25</v>
      </c>
      <c r="M881">
        <v>2</v>
      </c>
      <c r="N881">
        <v>140.35</v>
      </c>
      <c r="O881">
        <v>48509.7</v>
      </c>
      <c r="P881">
        <v>120.23</v>
      </c>
      <c r="Q881">
        <v>204.14</v>
      </c>
      <c r="R881">
        <v>23.39</v>
      </c>
      <c r="S881">
        <v>17.37</v>
      </c>
      <c r="T881">
        <v>914.87</v>
      </c>
      <c r="U881">
        <v>0.74</v>
      </c>
      <c r="V881">
        <v>0.76</v>
      </c>
      <c r="W881">
        <v>1.1399999999999999</v>
      </c>
      <c r="X881">
        <v>0.05</v>
      </c>
      <c r="Y881">
        <v>1</v>
      </c>
      <c r="Z881">
        <v>10</v>
      </c>
    </row>
    <row r="882" spans="1:26" x14ac:dyDescent="0.3">
      <c r="A882">
        <v>154</v>
      </c>
      <c r="B882">
        <v>150</v>
      </c>
      <c r="C882" t="s">
        <v>26</v>
      </c>
      <c r="D882">
        <v>10.039899999999999</v>
      </c>
      <c r="E882">
        <v>9.9600000000000009</v>
      </c>
      <c r="F882">
        <v>6.74</v>
      </c>
      <c r="G882">
        <v>101.11</v>
      </c>
      <c r="H882">
        <v>1.8</v>
      </c>
      <c r="I882">
        <v>4</v>
      </c>
      <c r="J882">
        <v>392.19</v>
      </c>
      <c r="K882">
        <v>61.82</v>
      </c>
      <c r="L882">
        <v>39.5</v>
      </c>
      <c r="M882">
        <v>2</v>
      </c>
      <c r="N882">
        <v>140.87</v>
      </c>
      <c r="O882">
        <v>48604.33</v>
      </c>
      <c r="P882">
        <v>120.18</v>
      </c>
      <c r="Q882">
        <v>204.14</v>
      </c>
      <c r="R882">
        <v>23.36</v>
      </c>
      <c r="S882">
        <v>17.37</v>
      </c>
      <c r="T882">
        <v>904</v>
      </c>
      <c r="U882">
        <v>0.74</v>
      </c>
      <c r="V882">
        <v>0.76</v>
      </c>
      <c r="W882">
        <v>1.1399999999999999</v>
      </c>
      <c r="X882">
        <v>0.05</v>
      </c>
      <c r="Y882">
        <v>1</v>
      </c>
      <c r="Z882">
        <v>10</v>
      </c>
    </row>
    <row r="883" spans="1:26" x14ac:dyDescent="0.3">
      <c r="A883">
        <v>155</v>
      </c>
      <c r="B883">
        <v>150</v>
      </c>
      <c r="C883" t="s">
        <v>26</v>
      </c>
      <c r="D883">
        <v>10.039899999999999</v>
      </c>
      <c r="E883">
        <v>9.9600000000000009</v>
      </c>
      <c r="F883">
        <v>6.74</v>
      </c>
      <c r="G883">
        <v>101.11</v>
      </c>
      <c r="H883">
        <v>1.8</v>
      </c>
      <c r="I883">
        <v>4</v>
      </c>
      <c r="J883">
        <v>392.96</v>
      </c>
      <c r="K883">
        <v>61.82</v>
      </c>
      <c r="L883">
        <v>39.75</v>
      </c>
      <c r="M883">
        <v>2</v>
      </c>
      <c r="N883">
        <v>141.38999999999999</v>
      </c>
      <c r="O883">
        <v>48699.33</v>
      </c>
      <c r="P883">
        <v>120.11</v>
      </c>
      <c r="Q883">
        <v>204.14</v>
      </c>
      <c r="R883">
        <v>23.31</v>
      </c>
      <c r="S883">
        <v>17.37</v>
      </c>
      <c r="T883">
        <v>877.07</v>
      </c>
      <c r="U883">
        <v>0.75</v>
      </c>
      <c r="V883">
        <v>0.76</v>
      </c>
      <c r="W883">
        <v>1.1399999999999999</v>
      </c>
      <c r="X883">
        <v>0.05</v>
      </c>
      <c r="Y883">
        <v>1</v>
      </c>
      <c r="Z883">
        <v>10</v>
      </c>
    </row>
    <row r="884" spans="1:26" x14ac:dyDescent="0.3">
      <c r="A884">
        <v>156</v>
      </c>
      <c r="B884">
        <v>150</v>
      </c>
      <c r="C884" t="s">
        <v>26</v>
      </c>
      <c r="D884">
        <v>10.042400000000001</v>
      </c>
      <c r="E884">
        <v>9.9600000000000009</v>
      </c>
      <c r="F884">
        <v>6.74</v>
      </c>
      <c r="G884">
        <v>101.08</v>
      </c>
      <c r="H884">
        <v>1.81</v>
      </c>
      <c r="I884">
        <v>4</v>
      </c>
      <c r="J884">
        <v>393.73</v>
      </c>
      <c r="K884">
        <v>61.82</v>
      </c>
      <c r="L884">
        <v>40</v>
      </c>
      <c r="M884">
        <v>2</v>
      </c>
      <c r="N884">
        <v>141.91</v>
      </c>
      <c r="O884">
        <v>48794.7</v>
      </c>
      <c r="P884">
        <v>120.01</v>
      </c>
      <c r="Q884">
        <v>204.14</v>
      </c>
      <c r="R884">
        <v>23.26</v>
      </c>
      <c r="S884">
        <v>17.37</v>
      </c>
      <c r="T884">
        <v>852.15</v>
      </c>
      <c r="U884">
        <v>0.75</v>
      </c>
      <c r="V884">
        <v>0.76</v>
      </c>
      <c r="W884">
        <v>1.1399999999999999</v>
      </c>
      <c r="X884">
        <v>0.05</v>
      </c>
      <c r="Y884">
        <v>1</v>
      </c>
      <c r="Z884">
        <v>10</v>
      </c>
    </row>
    <row r="885" spans="1:26" x14ac:dyDescent="0.3">
      <c r="A885">
        <v>0</v>
      </c>
      <c r="B885">
        <v>10</v>
      </c>
      <c r="C885" t="s">
        <v>26</v>
      </c>
      <c r="D885">
        <v>11.079000000000001</v>
      </c>
      <c r="E885">
        <v>9.0299999999999994</v>
      </c>
      <c r="F885">
        <v>7.13</v>
      </c>
      <c r="G885">
        <v>19.46</v>
      </c>
      <c r="H885">
        <v>0.64</v>
      </c>
      <c r="I885">
        <v>22</v>
      </c>
      <c r="J885">
        <v>26.11</v>
      </c>
      <c r="K885">
        <v>12.1</v>
      </c>
      <c r="L885">
        <v>1</v>
      </c>
      <c r="M885">
        <v>0</v>
      </c>
      <c r="N885">
        <v>3.01</v>
      </c>
      <c r="O885">
        <v>3454.41</v>
      </c>
      <c r="P885">
        <v>20.64</v>
      </c>
      <c r="Q885">
        <v>204.2</v>
      </c>
      <c r="R885">
        <v>34.82</v>
      </c>
      <c r="S885">
        <v>17.37</v>
      </c>
      <c r="T885">
        <v>6541.6</v>
      </c>
      <c r="U885">
        <v>0.5</v>
      </c>
      <c r="V885">
        <v>0.72</v>
      </c>
      <c r="W885">
        <v>1.2</v>
      </c>
      <c r="X885">
        <v>0.44</v>
      </c>
      <c r="Y885">
        <v>1</v>
      </c>
      <c r="Z885">
        <v>10</v>
      </c>
    </row>
    <row r="886" spans="1:26" x14ac:dyDescent="0.3">
      <c r="A886">
        <v>0</v>
      </c>
      <c r="B886">
        <v>45</v>
      </c>
      <c r="C886" t="s">
        <v>26</v>
      </c>
      <c r="D886">
        <v>9.3554999999999993</v>
      </c>
      <c r="E886">
        <v>10.69</v>
      </c>
      <c r="F886">
        <v>7.67</v>
      </c>
      <c r="G886">
        <v>9.2100000000000009</v>
      </c>
      <c r="H886">
        <v>0.18</v>
      </c>
      <c r="I886">
        <v>50</v>
      </c>
      <c r="J886">
        <v>98.71</v>
      </c>
      <c r="K886">
        <v>39.72</v>
      </c>
      <c r="L886">
        <v>1</v>
      </c>
      <c r="M886">
        <v>48</v>
      </c>
      <c r="N886">
        <v>12.99</v>
      </c>
      <c r="O886">
        <v>12407.75</v>
      </c>
      <c r="P886">
        <v>68.06</v>
      </c>
      <c r="Q886">
        <v>204.24</v>
      </c>
      <c r="R886">
        <v>52.35</v>
      </c>
      <c r="S886">
        <v>17.37</v>
      </c>
      <c r="T886">
        <v>15165.68</v>
      </c>
      <c r="U886">
        <v>0.33</v>
      </c>
      <c r="V886">
        <v>0.67</v>
      </c>
      <c r="W886">
        <v>1.22</v>
      </c>
      <c r="X886">
        <v>0.98</v>
      </c>
      <c r="Y886">
        <v>1</v>
      </c>
      <c r="Z886">
        <v>10</v>
      </c>
    </row>
    <row r="887" spans="1:26" x14ac:dyDescent="0.3">
      <c r="A887">
        <v>1</v>
      </c>
      <c r="B887">
        <v>45</v>
      </c>
      <c r="C887" t="s">
        <v>26</v>
      </c>
      <c r="D887">
        <v>9.7382000000000009</v>
      </c>
      <c r="E887">
        <v>10.27</v>
      </c>
      <c r="F887">
        <v>7.48</v>
      </c>
      <c r="G887">
        <v>11.51</v>
      </c>
      <c r="H887">
        <v>0.22</v>
      </c>
      <c r="I887">
        <v>39</v>
      </c>
      <c r="J887">
        <v>99.02</v>
      </c>
      <c r="K887">
        <v>39.72</v>
      </c>
      <c r="L887">
        <v>1.25</v>
      </c>
      <c r="M887">
        <v>37</v>
      </c>
      <c r="N887">
        <v>13.05</v>
      </c>
      <c r="O887">
        <v>12446.14</v>
      </c>
      <c r="P887">
        <v>66</v>
      </c>
      <c r="Q887">
        <v>204.15</v>
      </c>
      <c r="R887">
        <v>46.14</v>
      </c>
      <c r="S887">
        <v>17.37</v>
      </c>
      <c r="T887">
        <v>12118.15</v>
      </c>
      <c r="U887">
        <v>0.38</v>
      </c>
      <c r="V887">
        <v>0.68</v>
      </c>
      <c r="W887">
        <v>1.21</v>
      </c>
      <c r="X887">
        <v>0.79</v>
      </c>
      <c r="Y887">
        <v>1</v>
      </c>
      <c r="Z887">
        <v>10</v>
      </c>
    </row>
    <row r="888" spans="1:26" x14ac:dyDescent="0.3">
      <c r="A888">
        <v>2</v>
      </c>
      <c r="B888">
        <v>45</v>
      </c>
      <c r="C888" t="s">
        <v>26</v>
      </c>
      <c r="D888">
        <v>10.030900000000001</v>
      </c>
      <c r="E888">
        <v>9.9700000000000006</v>
      </c>
      <c r="F888">
        <v>7.32</v>
      </c>
      <c r="G888">
        <v>13.73</v>
      </c>
      <c r="H888">
        <v>0.27</v>
      </c>
      <c r="I888">
        <v>32</v>
      </c>
      <c r="J888">
        <v>99.33</v>
      </c>
      <c r="K888">
        <v>39.72</v>
      </c>
      <c r="L888">
        <v>1.5</v>
      </c>
      <c r="M888">
        <v>30</v>
      </c>
      <c r="N888">
        <v>13.11</v>
      </c>
      <c r="O888">
        <v>12484.55</v>
      </c>
      <c r="P888">
        <v>64.17</v>
      </c>
      <c r="Q888">
        <v>204.19</v>
      </c>
      <c r="R888">
        <v>41.3</v>
      </c>
      <c r="S888">
        <v>17.37</v>
      </c>
      <c r="T888">
        <v>9730.31</v>
      </c>
      <c r="U888">
        <v>0.42</v>
      </c>
      <c r="V888">
        <v>0.7</v>
      </c>
      <c r="W888">
        <v>1.19</v>
      </c>
      <c r="X888">
        <v>0.63</v>
      </c>
      <c r="Y888">
        <v>1</v>
      </c>
      <c r="Z888">
        <v>10</v>
      </c>
    </row>
    <row r="889" spans="1:26" x14ac:dyDescent="0.3">
      <c r="A889">
        <v>3</v>
      </c>
      <c r="B889">
        <v>45</v>
      </c>
      <c r="C889" t="s">
        <v>26</v>
      </c>
      <c r="D889">
        <v>10.2471</v>
      </c>
      <c r="E889">
        <v>9.76</v>
      </c>
      <c r="F889">
        <v>7.22</v>
      </c>
      <c r="G889">
        <v>16.04</v>
      </c>
      <c r="H889">
        <v>0.31</v>
      </c>
      <c r="I889">
        <v>27</v>
      </c>
      <c r="J889">
        <v>99.64</v>
      </c>
      <c r="K889">
        <v>39.72</v>
      </c>
      <c r="L889">
        <v>1.75</v>
      </c>
      <c r="M889">
        <v>25</v>
      </c>
      <c r="N889">
        <v>13.18</v>
      </c>
      <c r="O889">
        <v>12522.99</v>
      </c>
      <c r="P889">
        <v>62.86</v>
      </c>
      <c r="Q889">
        <v>204.16</v>
      </c>
      <c r="R889">
        <v>37.99</v>
      </c>
      <c r="S889">
        <v>17.37</v>
      </c>
      <c r="T889">
        <v>8101.19</v>
      </c>
      <c r="U889">
        <v>0.46</v>
      </c>
      <c r="V889">
        <v>0.71</v>
      </c>
      <c r="W889">
        <v>1.19</v>
      </c>
      <c r="X889">
        <v>0.52</v>
      </c>
      <c r="Y889">
        <v>1</v>
      </c>
      <c r="Z889">
        <v>10</v>
      </c>
    </row>
    <row r="890" spans="1:26" x14ac:dyDescent="0.3">
      <c r="A890">
        <v>4</v>
      </c>
      <c r="B890">
        <v>45</v>
      </c>
      <c r="C890" t="s">
        <v>26</v>
      </c>
      <c r="D890">
        <v>10.3803</v>
      </c>
      <c r="E890">
        <v>9.6300000000000008</v>
      </c>
      <c r="F890">
        <v>7.15</v>
      </c>
      <c r="G890">
        <v>17.88</v>
      </c>
      <c r="H890">
        <v>0.35</v>
      </c>
      <c r="I890">
        <v>24</v>
      </c>
      <c r="J890">
        <v>99.95</v>
      </c>
      <c r="K890">
        <v>39.72</v>
      </c>
      <c r="L890">
        <v>2</v>
      </c>
      <c r="M890">
        <v>22</v>
      </c>
      <c r="N890">
        <v>13.24</v>
      </c>
      <c r="O890">
        <v>12561.45</v>
      </c>
      <c r="P890">
        <v>61.92</v>
      </c>
      <c r="Q890">
        <v>204.19</v>
      </c>
      <c r="R890">
        <v>36.24</v>
      </c>
      <c r="S890">
        <v>17.37</v>
      </c>
      <c r="T890">
        <v>7240.04</v>
      </c>
      <c r="U890">
        <v>0.48</v>
      </c>
      <c r="V890">
        <v>0.71</v>
      </c>
      <c r="W890">
        <v>1.17</v>
      </c>
      <c r="X890">
        <v>0.46</v>
      </c>
      <c r="Y890">
        <v>1</v>
      </c>
      <c r="Z890">
        <v>10</v>
      </c>
    </row>
    <row r="891" spans="1:26" x14ac:dyDescent="0.3">
      <c r="A891">
        <v>5</v>
      </c>
      <c r="B891">
        <v>45</v>
      </c>
      <c r="C891" t="s">
        <v>26</v>
      </c>
      <c r="D891">
        <v>10.520799999999999</v>
      </c>
      <c r="E891">
        <v>9.51</v>
      </c>
      <c r="F891">
        <v>7.09</v>
      </c>
      <c r="G891">
        <v>20.239999999999998</v>
      </c>
      <c r="H891">
        <v>0.39</v>
      </c>
      <c r="I891">
        <v>21</v>
      </c>
      <c r="J891">
        <v>100.27</v>
      </c>
      <c r="K891">
        <v>39.72</v>
      </c>
      <c r="L891">
        <v>2.25</v>
      </c>
      <c r="M891">
        <v>19</v>
      </c>
      <c r="N891">
        <v>13.3</v>
      </c>
      <c r="O891">
        <v>12599.94</v>
      </c>
      <c r="P891">
        <v>60.93</v>
      </c>
      <c r="Q891">
        <v>204.16</v>
      </c>
      <c r="R891">
        <v>34.11</v>
      </c>
      <c r="S891">
        <v>17.37</v>
      </c>
      <c r="T891">
        <v>6192.65</v>
      </c>
      <c r="U891">
        <v>0.51</v>
      </c>
      <c r="V891">
        <v>0.72</v>
      </c>
      <c r="W891">
        <v>1.17</v>
      </c>
      <c r="X891">
        <v>0.39</v>
      </c>
      <c r="Y891">
        <v>1</v>
      </c>
      <c r="Z891">
        <v>10</v>
      </c>
    </row>
    <row r="892" spans="1:26" x14ac:dyDescent="0.3">
      <c r="A892">
        <v>6</v>
      </c>
      <c r="B892">
        <v>45</v>
      </c>
      <c r="C892" t="s">
        <v>26</v>
      </c>
      <c r="D892">
        <v>10.6073</v>
      </c>
      <c r="E892">
        <v>9.43</v>
      </c>
      <c r="F892">
        <v>7.05</v>
      </c>
      <c r="G892">
        <v>22.26</v>
      </c>
      <c r="H892">
        <v>0.44</v>
      </c>
      <c r="I892">
        <v>19</v>
      </c>
      <c r="J892">
        <v>100.58</v>
      </c>
      <c r="K892">
        <v>39.72</v>
      </c>
      <c r="L892">
        <v>2.5</v>
      </c>
      <c r="M892">
        <v>17</v>
      </c>
      <c r="N892">
        <v>13.36</v>
      </c>
      <c r="O892">
        <v>12638.45</v>
      </c>
      <c r="P892">
        <v>60.31</v>
      </c>
      <c r="Q892">
        <v>204.18</v>
      </c>
      <c r="R892">
        <v>32.86</v>
      </c>
      <c r="S892">
        <v>17.37</v>
      </c>
      <c r="T892">
        <v>5575.14</v>
      </c>
      <c r="U892">
        <v>0.53</v>
      </c>
      <c r="V892">
        <v>0.72</v>
      </c>
      <c r="W892">
        <v>1.17</v>
      </c>
      <c r="X892">
        <v>0.36</v>
      </c>
      <c r="Y892">
        <v>1</v>
      </c>
      <c r="Z892">
        <v>10</v>
      </c>
    </row>
    <row r="893" spans="1:26" x14ac:dyDescent="0.3">
      <c r="A893">
        <v>7</v>
      </c>
      <c r="B893">
        <v>45</v>
      </c>
      <c r="C893" t="s">
        <v>26</v>
      </c>
      <c r="D893">
        <v>10.678699999999999</v>
      </c>
      <c r="E893">
        <v>9.36</v>
      </c>
      <c r="F893">
        <v>7.03</v>
      </c>
      <c r="G893">
        <v>24.8</v>
      </c>
      <c r="H893">
        <v>0.48</v>
      </c>
      <c r="I893">
        <v>17</v>
      </c>
      <c r="J893">
        <v>100.89</v>
      </c>
      <c r="K893">
        <v>39.72</v>
      </c>
      <c r="L893">
        <v>2.75</v>
      </c>
      <c r="M893">
        <v>15</v>
      </c>
      <c r="N893">
        <v>13.42</v>
      </c>
      <c r="O893">
        <v>12676.98</v>
      </c>
      <c r="P893">
        <v>59.77</v>
      </c>
      <c r="Q893">
        <v>204.15</v>
      </c>
      <c r="R893">
        <v>32.32</v>
      </c>
      <c r="S893">
        <v>17.37</v>
      </c>
      <c r="T893">
        <v>5315.47</v>
      </c>
      <c r="U893">
        <v>0.54</v>
      </c>
      <c r="V893">
        <v>0.73</v>
      </c>
      <c r="W893">
        <v>1.1599999999999999</v>
      </c>
      <c r="X893">
        <v>0.34</v>
      </c>
      <c r="Y893">
        <v>1</v>
      </c>
      <c r="Z893">
        <v>10</v>
      </c>
    </row>
    <row r="894" spans="1:26" x14ac:dyDescent="0.3">
      <c r="A894">
        <v>8</v>
      </c>
      <c r="B894">
        <v>45</v>
      </c>
      <c r="C894" t="s">
        <v>26</v>
      </c>
      <c r="D894">
        <v>10.722300000000001</v>
      </c>
      <c r="E894">
        <v>9.33</v>
      </c>
      <c r="F894">
        <v>7.01</v>
      </c>
      <c r="G894">
        <v>26.29</v>
      </c>
      <c r="H894">
        <v>0.52</v>
      </c>
      <c r="I894">
        <v>16</v>
      </c>
      <c r="J894">
        <v>101.2</v>
      </c>
      <c r="K894">
        <v>39.72</v>
      </c>
      <c r="L894">
        <v>3</v>
      </c>
      <c r="M894">
        <v>14</v>
      </c>
      <c r="N894">
        <v>13.49</v>
      </c>
      <c r="O894">
        <v>12715.54</v>
      </c>
      <c r="P894">
        <v>59.16</v>
      </c>
      <c r="Q894">
        <v>204.2</v>
      </c>
      <c r="R894">
        <v>31.84</v>
      </c>
      <c r="S894">
        <v>17.37</v>
      </c>
      <c r="T894">
        <v>5081.59</v>
      </c>
      <c r="U894">
        <v>0.55000000000000004</v>
      </c>
      <c r="V894">
        <v>0.73</v>
      </c>
      <c r="W894">
        <v>1.1599999999999999</v>
      </c>
      <c r="X894">
        <v>0.32</v>
      </c>
      <c r="Y894">
        <v>1</v>
      </c>
      <c r="Z894">
        <v>10</v>
      </c>
    </row>
    <row r="895" spans="1:26" x14ac:dyDescent="0.3">
      <c r="A895">
        <v>9</v>
      </c>
      <c r="B895">
        <v>45</v>
      </c>
      <c r="C895" t="s">
        <v>26</v>
      </c>
      <c r="D895">
        <v>10.8375</v>
      </c>
      <c r="E895">
        <v>9.23</v>
      </c>
      <c r="F895">
        <v>6.95</v>
      </c>
      <c r="G895">
        <v>29.79</v>
      </c>
      <c r="H895">
        <v>0.56000000000000005</v>
      </c>
      <c r="I895">
        <v>14</v>
      </c>
      <c r="J895">
        <v>101.52</v>
      </c>
      <c r="K895">
        <v>39.72</v>
      </c>
      <c r="L895">
        <v>3.25</v>
      </c>
      <c r="M895">
        <v>12</v>
      </c>
      <c r="N895">
        <v>13.55</v>
      </c>
      <c r="O895">
        <v>12754.13</v>
      </c>
      <c r="P895">
        <v>58.26</v>
      </c>
      <c r="Q895">
        <v>204.21</v>
      </c>
      <c r="R895">
        <v>29.99</v>
      </c>
      <c r="S895">
        <v>17.37</v>
      </c>
      <c r="T895">
        <v>4168.6099999999997</v>
      </c>
      <c r="U895">
        <v>0.57999999999999996</v>
      </c>
      <c r="V895">
        <v>0.73</v>
      </c>
      <c r="W895">
        <v>1.1599999999999999</v>
      </c>
      <c r="X895">
        <v>0.26</v>
      </c>
      <c r="Y895">
        <v>1</v>
      </c>
      <c r="Z895">
        <v>10</v>
      </c>
    </row>
    <row r="896" spans="1:26" x14ac:dyDescent="0.3">
      <c r="A896">
        <v>10</v>
      </c>
      <c r="B896">
        <v>45</v>
      </c>
      <c r="C896" t="s">
        <v>26</v>
      </c>
      <c r="D896">
        <v>10.888999999999999</v>
      </c>
      <c r="E896">
        <v>9.18</v>
      </c>
      <c r="F896">
        <v>6.93</v>
      </c>
      <c r="G896">
        <v>31.98</v>
      </c>
      <c r="H896">
        <v>0.6</v>
      </c>
      <c r="I896">
        <v>13</v>
      </c>
      <c r="J896">
        <v>101.83</v>
      </c>
      <c r="K896">
        <v>39.72</v>
      </c>
      <c r="L896">
        <v>3.5</v>
      </c>
      <c r="M896">
        <v>11</v>
      </c>
      <c r="N896">
        <v>13.61</v>
      </c>
      <c r="O896">
        <v>12792.74</v>
      </c>
      <c r="P896">
        <v>57.72</v>
      </c>
      <c r="Q896">
        <v>204.14</v>
      </c>
      <c r="R896">
        <v>29.25</v>
      </c>
      <c r="S896">
        <v>17.37</v>
      </c>
      <c r="T896">
        <v>3803.24</v>
      </c>
      <c r="U896">
        <v>0.59</v>
      </c>
      <c r="V896">
        <v>0.74</v>
      </c>
      <c r="W896">
        <v>1.1599999999999999</v>
      </c>
      <c r="X896">
        <v>0.24</v>
      </c>
      <c r="Y896">
        <v>1</v>
      </c>
      <c r="Z896">
        <v>10</v>
      </c>
    </row>
    <row r="897" spans="1:26" x14ac:dyDescent="0.3">
      <c r="A897">
        <v>11</v>
      </c>
      <c r="B897">
        <v>45</v>
      </c>
      <c r="C897" t="s">
        <v>26</v>
      </c>
      <c r="D897">
        <v>10.9373</v>
      </c>
      <c r="E897">
        <v>9.14</v>
      </c>
      <c r="F897">
        <v>6.91</v>
      </c>
      <c r="G897">
        <v>34.54</v>
      </c>
      <c r="H897">
        <v>0.65</v>
      </c>
      <c r="I897">
        <v>12</v>
      </c>
      <c r="J897">
        <v>102.14</v>
      </c>
      <c r="K897">
        <v>39.72</v>
      </c>
      <c r="L897">
        <v>3.75</v>
      </c>
      <c r="M897">
        <v>10</v>
      </c>
      <c r="N897">
        <v>13.68</v>
      </c>
      <c r="O897">
        <v>12831.37</v>
      </c>
      <c r="P897">
        <v>57.17</v>
      </c>
      <c r="Q897">
        <v>204.14</v>
      </c>
      <c r="R897">
        <v>28.75</v>
      </c>
      <c r="S897">
        <v>17.37</v>
      </c>
      <c r="T897">
        <v>3558.02</v>
      </c>
      <c r="U897">
        <v>0.6</v>
      </c>
      <c r="V897">
        <v>0.74</v>
      </c>
      <c r="W897">
        <v>1.1499999999999999</v>
      </c>
      <c r="X897">
        <v>0.22</v>
      </c>
      <c r="Y897">
        <v>1</v>
      </c>
      <c r="Z897">
        <v>10</v>
      </c>
    </row>
    <row r="898" spans="1:26" x14ac:dyDescent="0.3">
      <c r="A898">
        <v>12</v>
      </c>
      <c r="B898">
        <v>45</v>
      </c>
      <c r="C898" t="s">
        <v>26</v>
      </c>
      <c r="D898">
        <v>10.933299999999999</v>
      </c>
      <c r="E898">
        <v>9.15</v>
      </c>
      <c r="F898">
        <v>6.91</v>
      </c>
      <c r="G898">
        <v>34.56</v>
      </c>
      <c r="H898">
        <v>0.69</v>
      </c>
      <c r="I898">
        <v>12</v>
      </c>
      <c r="J898">
        <v>102.45</v>
      </c>
      <c r="K898">
        <v>39.72</v>
      </c>
      <c r="L898">
        <v>4</v>
      </c>
      <c r="M898">
        <v>10</v>
      </c>
      <c r="N898">
        <v>13.74</v>
      </c>
      <c r="O898">
        <v>12870.03</v>
      </c>
      <c r="P898">
        <v>56.7</v>
      </c>
      <c r="Q898">
        <v>204.16</v>
      </c>
      <c r="R898">
        <v>28.58</v>
      </c>
      <c r="S898">
        <v>17.37</v>
      </c>
      <c r="T898">
        <v>3474.38</v>
      </c>
      <c r="U898">
        <v>0.61</v>
      </c>
      <c r="V898">
        <v>0.74</v>
      </c>
      <c r="W898">
        <v>1.1599999999999999</v>
      </c>
      <c r="X898">
        <v>0.22</v>
      </c>
      <c r="Y898">
        <v>1</v>
      </c>
      <c r="Z898">
        <v>10</v>
      </c>
    </row>
    <row r="899" spans="1:26" x14ac:dyDescent="0.3">
      <c r="A899">
        <v>13</v>
      </c>
      <c r="B899">
        <v>45</v>
      </c>
      <c r="C899" t="s">
        <v>26</v>
      </c>
      <c r="D899">
        <v>10.9863</v>
      </c>
      <c r="E899">
        <v>9.1</v>
      </c>
      <c r="F899">
        <v>6.89</v>
      </c>
      <c r="G899">
        <v>37.57</v>
      </c>
      <c r="H899">
        <v>0.73</v>
      </c>
      <c r="I899">
        <v>11</v>
      </c>
      <c r="J899">
        <v>102.77</v>
      </c>
      <c r="K899">
        <v>39.72</v>
      </c>
      <c r="L899">
        <v>4.25</v>
      </c>
      <c r="M899">
        <v>9</v>
      </c>
      <c r="N899">
        <v>13.8</v>
      </c>
      <c r="O899">
        <v>12908.71</v>
      </c>
      <c r="P899">
        <v>56.1</v>
      </c>
      <c r="Q899">
        <v>204.14</v>
      </c>
      <c r="R899">
        <v>28.09</v>
      </c>
      <c r="S899">
        <v>17.37</v>
      </c>
      <c r="T899">
        <v>3234.16</v>
      </c>
      <c r="U899">
        <v>0.62</v>
      </c>
      <c r="V899">
        <v>0.74</v>
      </c>
      <c r="W899">
        <v>1.1499999999999999</v>
      </c>
      <c r="X899">
        <v>0.2</v>
      </c>
      <c r="Y899">
        <v>1</v>
      </c>
      <c r="Z899">
        <v>10</v>
      </c>
    </row>
    <row r="900" spans="1:26" x14ac:dyDescent="0.3">
      <c r="A900">
        <v>14</v>
      </c>
      <c r="B900">
        <v>45</v>
      </c>
      <c r="C900" t="s">
        <v>26</v>
      </c>
      <c r="D900">
        <v>11.0314</v>
      </c>
      <c r="E900">
        <v>9.06</v>
      </c>
      <c r="F900">
        <v>6.87</v>
      </c>
      <c r="G900">
        <v>41.23</v>
      </c>
      <c r="H900">
        <v>0.77</v>
      </c>
      <c r="I900">
        <v>10</v>
      </c>
      <c r="J900">
        <v>103.08</v>
      </c>
      <c r="K900">
        <v>39.72</v>
      </c>
      <c r="L900">
        <v>4.5</v>
      </c>
      <c r="M900">
        <v>8</v>
      </c>
      <c r="N900">
        <v>13.87</v>
      </c>
      <c r="O900">
        <v>12947.42</v>
      </c>
      <c r="P900">
        <v>55.3</v>
      </c>
      <c r="Q900">
        <v>204.15</v>
      </c>
      <c r="R900">
        <v>27.33</v>
      </c>
      <c r="S900">
        <v>17.37</v>
      </c>
      <c r="T900">
        <v>2856.13</v>
      </c>
      <c r="U900">
        <v>0.64</v>
      </c>
      <c r="V900">
        <v>0.74</v>
      </c>
      <c r="W900">
        <v>1.1499999999999999</v>
      </c>
      <c r="X900">
        <v>0.18</v>
      </c>
      <c r="Y900">
        <v>1</v>
      </c>
      <c r="Z900">
        <v>10</v>
      </c>
    </row>
    <row r="901" spans="1:26" x14ac:dyDescent="0.3">
      <c r="A901">
        <v>15</v>
      </c>
      <c r="B901">
        <v>45</v>
      </c>
      <c r="C901" t="s">
        <v>26</v>
      </c>
      <c r="D901">
        <v>11.0426</v>
      </c>
      <c r="E901">
        <v>9.06</v>
      </c>
      <c r="F901">
        <v>6.86</v>
      </c>
      <c r="G901">
        <v>41.17</v>
      </c>
      <c r="H901">
        <v>0.81</v>
      </c>
      <c r="I901">
        <v>10</v>
      </c>
      <c r="J901">
        <v>103.4</v>
      </c>
      <c r="K901">
        <v>39.72</v>
      </c>
      <c r="L901">
        <v>4.75</v>
      </c>
      <c r="M901">
        <v>8</v>
      </c>
      <c r="N901">
        <v>13.93</v>
      </c>
      <c r="O901">
        <v>12986.15</v>
      </c>
      <c r="P901">
        <v>55.15</v>
      </c>
      <c r="Q901">
        <v>204.14</v>
      </c>
      <c r="R901">
        <v>27.15</v>
      </c>
      <c r="S901">
        <v>17.37</v>
      </c>
      <c r="T901">
        <v>2767.93</v>
      </c>
      <c r="U901">
        <v>0.64</v>
      </c>
      <c r="V901">
        <v>0.74</v>
      </c>
      <c r="W901">
        <v>1.1499999999999999</v>
      </c>
      <c r="X901">
        <v>0.17</v>
      </c>
      <c r="Y901">
        <v>1</v>
      </c>
      <c r="Z901">
        <v>10</v>
      </c>
    </row>
    <row r="902" spans="1:26" x14ac:dyDescent="0.3">
      <c r="A902">
        <v>16</v>
      </c>
      <c r="B902">
        <v>45</v>
      </c>
      <c r="C902" t="s">
        <v>26</v>
      </c>
      <c r="D902">
        <v>11.069800000000001</v>
      </c>
      <c r="E902">
        <v>9.0299999999999994</v>
      </c>
      <c r="F902">
        <v>6.86</v>
      </c>
      <c r="G902">
        <v>45.74</v>
      </c>
      <c r="H902">
        <v>0.85</v>
      </c>
      <c r="I902">
        <v>9</v>
      </c>
      <c r="J902">
        <v>103.71</v>
      </c>
      <c r="K902">
        <v>39.72</v>
      </c>
      <c r="L902">
        <v>5</v>
      </c>
      <c r="M902">
        <v>7</v>
      </c>
      <c r="N902">
        <v>14</v>
      </c>
      <c r="O902">
        <v>13024.91</v>
      </c>
      <c r="P902">
        <v>54.76</v>
      </c>
      <c r="Q902">
        <v>204.15</v>
      </c>
      <c r="R902">
        <v>27.05</v>
      </c>
      <c r="S902">
        <v>17.37</v>
      </c>
      <c r="T902">
        <v>2724.02</v>
      </c>
      <c r="U902">
        <v>0.64</v>
      </c>
      <c r="V902">
        <v>0.74</v>
      </c>
      <c r="W902">
        <v>1.1499999999999999</v>
      </c>
      <c r="X902">
        <v>0.17</v>
      </c>
      <c r="Y902">
        <v>1</v>
      </c>
      <c r="Z902">
        <v>10</v>
      </c>
    </row>
    <row r="903" spans="1:26" x14ac:dyDescent="0.3">
      <c r="A903">
        <v>17</v>
      </c>
      <c r="B903">
        <v>45</v>
      </c>
      <c r="C903" t="s">
        <v>26</v>
      </c>
      <c r="D903">
        <v>11.0756</v>
      </c>
      <c r="E903">
        <v>9.0299999999999994</v>
      </c>
      <c r="F903">
        <v>6.86</v>
      </c>
      <c r="G903">
        <v>45.71</v>
      </c>
      <c r="H903">
        <v>0.89</v>
      </c>
      <c r="I903">
        <v>9</v>
      </c>
      <c r="J903">
        <v>104.03</v>
      </c>
      <c r="K903">
        <v>39.72</v>
      </c>
      <c r="L903">
        <v>5.25</v>
      </c>
      <c r="M903">
        <v>7</v>
      </c>
      <c r="N903">
        <v>14.06</v>
      </c>
      <c r="O903">
        <v>13063.69</v>
      </c>
      <c r="P903">
        <v>54.34</v>
      </c>
      <c r="Q903">
        <v>204.17</v>
      </c>
      <c r="R903">
        <v>27.03</v>
      </c>
      <c r="S903">
        <v>17.37</v>
      </c>
      <c r="T903">
        <v>2710.53</v>
      </c>
      <c r="U903">
        <v>0.64</v>
      </c>
      <c r="V903">
        <v>0.74</v>
      </c>
      <c r="W903">
        <v>1.1499999999999999</v>
      </c>
      <c r="X903">
        <v>0.16</v>
      </c>
      <c r="Y903">
        <v>1</v>
      </c>
      <c r="Z903">
        <v>10</v>
      </c>
    </row>
    <row r="904" spans="1:26" x14ac:dyDescent="0.3">
      <c r="A904">
        <v>18</v>
      </c>
      <c r="B904">
        <v>45</v>
      </c>
      <c r="C904" t="s">
        <v>26</v>
      </c>
      <c r="D904">
        <v>11.126200000000001</v>
      </c>
      <c r="E904">
        <v>8.99</v>
      </c>
      <c r="F904">
        <v>6.84</v>
      </c>
      <c r="G904">
        <v>51.26</v>
      </c>
      <c r="H904">
        <v>0.93</v>
      </c>
      <c r="I904">
        <v>8</v>
      </c>
      <c r="J904">
        <v>104.34</v>
      </c>
      <c r="K904">
        <v>39.72</v>
      </c>
      <c r="L904">
        <v>5.5</v>
      </c>
      <c r="M904">
        <v>6</v>
      </c>
      <c r="N904">
        <v>14.12</v>
      </c>
      <c r="O904">
        <v>13102.5</v>
      </c>
      <c r="P904">
        <v>53.52</v>
      </c>
      <c r="Q904">
        <v>204.19</v>
      </c>
      <c r="R904">
        <v>26.29</v>
      </c>
      <c r="S904">
        <v>17.37</v>
      </c>
      <c r="T904">
        <v>2347.39</v>
      </c>
      <c r="U904">
        <v>0.66</v>
      </c>
      <c r="V904">
        <v>0.75</v>
      </c>
      <c r="W904">
        <v>1.1499999999999999</v>
      </c>
      <c r="X904">
        <v>0.14000000000000001</v>
      </c>
      <c r="Y904">
        <v>1</v>
      </c>
      <c r="Z904">
        <v>10</v>
      </c>
    </row>
    <row r="905" spans="1:26" x14ac:dyDescent="0.3">
      <c r="A905">
        <v>19</v>
      </c>
      <c r="B905">
        <v>45</v>
      </c>
      <c r="C905" t="s">
        <v>26</v>
      </c>
      <c r="D905">
        <v>11.126899999999999</v>
      </c>
      <c r="E905">
        <v>8.99</v>
      </c>
      <c r="F905">
        <v>6.83</v>
      </c>
      <c r="G905">
        <v>51.26</v>
      </c>
      <c r="H905">
        <v>0.97</v>
      </c>
      <c r="I905">
        <v>8</v>
      </c>
      <c r="J905">
        <v>104.65</v>
      </c>
      <c r="K905">
        <v>39.72</v>
      </c>
      <c r="L905">
        <v>5.75</v>
      </c>
      <c r="M905">
        <v>6</v>
      </c>
      <c r="N905">
        <v>14.19</v>
      </c>
      <c r="O905">
        <v>13141.33</v>
      </c>
      <c r="P905">
        <v>52.8</v>
      </c>
      <c r="Q905">
        <v>204.14</v>
      </c>
      <c r="R905">
        <v>26.32</v>
      </c>
      <c r="S905">
        <v>17.37</v>
      </c>
      <c r="T905">
        <v>2361.02</v>
      </c>
      <c r="U905">
        <v>0.66</v>
      </c>
      <c r="V905">
        <v>0.75</v>
      </c>
      <c r="W905">
        <v>1.1499999999999999</v>
      </c>
      <c r="X905">
        <v>0.14000000000000001</v>
      </c>
      <c r="Y905">
        <v>1</v>
      </c>
      <c r="Z905">
        <v>10</v>
      </c>
    </row>
    <row r="906" spans="1:26" x14ac:dyDescent="0.3">
      <c r="A906">
        <v>20</v>
      </c>
      <c r="B906">
        <v>45</v>
      </c>
      <c r="C906" t="s">
        <v>26</v>
      </c>
      <c r="D906">
        <v>11.1328</v>
      </c>
      <c r="E906">
        <v>8.98</v>
      </c>
      <c r="F906">
        <v>6.83</v>
      </c>
      <c r="G906">
        <v>51.23</v>
      </c>
      <c r="H906">
        <v>1.01</v>
      </c>
      <c r="I906">
        <v>8</v>
      </c>
      <c r="J906">
        <v>104.97</v>
      </c>
      <c r="K906">
        <v>39.72</v>
      </c>
      <c r="L906">
        <v>6</v>
      </c>
      <c r="M906">
        <v>6</v>
      </c>
      <c r="N906">
        <v>14.25</v>
      </c>
      <c r="O906">
        <v>13180.19</v>
      </c>
      <c r="P906">
        <v>52.46</v>
      </c>
      <c r="Q906">
        <v>204.14</v>
      </c>
      <c r="R906">
        <v>26.17</v>
      </c>
      <c r="S906">
        <v>17.37</v>
      </c>
      <c r="T906">
        <v>2287.54</v>
      </c>
      <c r="U906">
        <v>0.66</v>
      </c>
      <c r="V906">
        <v>0.75</v>
      </c>
      <c r="W906">
        <v>1.1499999999999999</v>
      </c>
      <c r="X906">
        <v>0.14000000000000001</v>
      </c>
      <c r="Y906">
        <v>1</v>
      </c>
      <c r="Z906">
        <v>10</v>
      </c>
    </row>
    <row r="907" spans="1:26" x14ac:dyDescent="0.3">
      <c r="A907">
        <v>21</v>
      </c>
      <c r="B907">
        <v>45</v>
      </c>
      <c r="C907" t="s">
        <v>26</v>
      </c>
      <c r="D907">
        <v>11.1912</v>
      </c>
      <c r="E907">
        <v>8.94</v>
      </c>
      <c r="F907">
        <v>6.8</v>
      </c>
      <c r="G907">
        <v>58.32</v>
      </c>
      <c r="H907">
        <v>1.05</v>
      </c>
      <c r="I907">
        <v>7</v>
      </c>
      <c r="J907">
        <v>105.28</v>
      </c>
      <c r="K907">
        <v>39.72</v>
      </c>
      <c r="L907">
        <v>6.25</v>
      </c>
      <c r="M907">
        <v>5</v>
      </c>
      <c r="N907">
        <v>14.32</v>
      </c>
      <c r="O907">
        <v>13219.07</v>
      </c>
      <c r="P907">
        <v>51.82</v>
      </c>
      <c r="Q907">
        <v>204.2</v>
      </c>
      <c r="R907">
        <v>25.31</v>
      </c>
      <c r="S907">
        <v>17.37</v>
      </c>
      <c r="T907">
        <v>1862.59</v>
      </c>
      <c r="U907">
        <v>0.69</v>
      </c>
      <c r="V907">
        <v>0.75</v>
      </c>
      <c r="W907">
        <v>1.1499999999999999</v>
      </c>
      <c r="X907">
        <v>0.11</v>
      </c>
      <c r="Y907">
        <v>1</v>
      </c>
      <c r="Z907">
        <v>10</v>
      </c>
    </row>
    <row r="908" spans="1:26" x14ac:dyDescent="0.3">
      <c r="A908">
        <v>22</v>
      </c>
      <c r="B908">
        <v>45</v>
      </c>
      <c r="C908" t="s">
        <v>26</v>
      </c>
      <c r="D908">
        <v>11.1829</v>
      </c>
      <c r="E908">
        <v>8.94</v>
      </c>
      <c r="F908">
        <v>6.81</v>
      </c>
      <c r="G908">
        <v>58.37</v>
      </c>
      <c r="H908">
        <v>1.08</v>
      </c>
      <c r="I908">
        <v>7</v>
      </c>
      <c r="J908">
        <v>105.6</v>
      </c>
      <c r="K908">
        <v>39.72</v>
      </c>
      <c r="L908">
        <v>6.5</v>
      </c>
      <c r="M908">
        <v>5</v>
      </c>
      <c r="N908">
        <v>14.39</v>
      </c>
      <c r="O908">
        <v>13257.98</v>
      </c>
      <c r="P908">
        <v>51.8</v>
      </c>
      <c r="Q908">
        <v>204.14</v>
      </c>
      <c r="R908">
        <v>25.58</v>
      </c>
      <c r="S908">
        <v>17.37</v>
      </c>
      <c r="T908">
        <v>1999.57</v>
      </c>
      <c r="U908">
        <v>0.68</v>
      </c>
      <c r="V908">
        <v>0.75</v>
      </c>
      <c r="W908">
        <v>1.1499999999999999</v>
      </c>
      <c r="X908">
        <v>0.12</v>
      </c>
      <c r="Y908">
        <v>1</v>
      </c>
      <c r="Z908">
        <v>10</v>
      </c>
    </row>
    <row r="909" spans="1:26" x14ac:dyDescent="0.3">
      <c r="A909">
        <v>23</v>
      </c>
      <c r="B909">
        <v>45</v>
      </c>
      <c r="C909" t="s">
        <v>26</v>
      </c>
      <c r="D909">
        <v>11.1829</v>
      </c>
      <c r="E909">
        <v>8.94</v>
      </c>
      <c r="F909">
        <v>6.81</v>
      </c>
      <c r="G909">
        <v>58.37</v>
      </c>
      <c r="H909">
        <v>1.1200000000000001</v>
      </c>
      <c r="I909">
        <v>7</v>
      </c>
      <c r="J909">
        <v>105.92</v>
      </c>
      <c r="K909">
        <v>39.72</v>
      </c>
      <c r="L909">
        <v>6.75</v>
      </c>
      <c r="M909">
        <v>5</v>
      </c>
      <c r="N909">
        <v>14.45</v>
      </c>
      <c r="O909">
        <v>13296.91</v>
      </c>
      <c r="P909">
        <v>51.43</v>
      </c>
      <c r="Q909">
        <v>204.16</v>
      </c>
      <c r="R909">
        <v>25.63</v>
      </c>
      <c r="S909">
        <v>17.37</v>
      </c>
      <c r="T909">
        <v>2022.45</v>
      </c>
      <c r="U909">
        <v>0.68</v>
      </c>
      <c r="V909">
        <v>0.75</v>
      </c>
      <c r="W909">
        <v>1.1499999999999999</v>
      </c>
      <c r="X909">
        <v>0.12</v>
      </c>
      <c r="Y909">
        <v>1</v>
      </c>
      <c r="Z909">
        <v>10</v>
      </c>
    </row>
    <row r="910" spans="1:26" x14ac:dyDescent="0.3">
      <c r="A910">
        <v>24</v>
      </c>
      <c r="B910">
        <v>45</v>
      </c>
      <c r="C910" t="s">
        <v>26</v>
      </c>
      <c r="D910">
        <v>11.1798</v>
      </c>
      <c r="E910">
        <v>8.94</v>
      </c>
      <c r="F910">
        <v>6.81</v>
      </c>
      <c r="G910">
        <v>58.4</v>
      </c>
      <c r="H910">
        <v>1.1599999999999999</v>
      </c>
      <c r="I910">
        <v>7</v>
      </c>
      <c r="J910">
        <v>106.23</v>
      </c>
      <c r="K910">
        <v>39.72</v>
      </c>
      <c r="L910">
        <v>7</v>
      </c>
      <c r="M910">
        <v>5</v>
      </c>
      <c r="N910">
        <v>14.52</v>
      </c>
      <c r="O910">
        <v>13335.87</v>
      </c>
      <c r="P910">
        <v>50.62</v>
      </c>
      <c r="Q910">
        <v>204.14</v>
      </c>
      <c r="R910">
        <v>25.62</v>
      </c>
      <c r="S910">
        <v>17.37</v>
      </c>
      <c r="T910">
        <v>2019.23</v>
      </c>
      <c r="U910">
        <v>0.68</v>
      </c>
      <c r="V910">
        <v>0.75</v>
      </c>
      <c r="W910">
        <v>1.1499999999999999</v>
      </c>
      <c r="X910">
        <v>0.12</v>
      </c>
      <c r="Y910">
        <v>1</v>
      </c>
      <c r="Z910">
        <v>10</v>
      </c>
    </row>
    <row r="911" spans="1:26" x14ac:dyDescent="0.3">
      <c r="A911">
        <v>25</v>
      </c>
      <c r="B911">
        <v>45</v>
      </c>
      <c r="C911" t="s">
        <v>26</v>
      </c>
      <c r="D911">
        <v>11.2433</v>
      </c>
      <c r="E911">
        <v>8.89</v>
      </c>
      <c r="F911">
        <v>6.78</v>
      </c>
      <c r="G911">
        <v>67.83</v>
      </c>
      <c r="H911">
        <v>1.2</v>
      </c>
      <c r="I911">
        <v>6</v>
      </c>
      <c r="J911">
        <v>106.55</v>
      </c>
      <c r="K911">
        <v>39.72</v>
      </c>
      <c r="L911">
        <v>7.25</v>
      </c>
      <c r="M911">
        <v>3</v>
      </c>
      <c r="N911">
        <v>14.58</v>
      </c>
      <c r="O911">
        <v>13374.86</v>
      </c>
      <c r="P911">
        <v>49.78</v>
      </c>
      <c r="Q911">
        <v>204.14</v>
      </c>
      <c r="R911">
        <v>24.59</v>
      </c>
      <c r="S911">
        <v>17.37</v>
      </c>
      <c r="T911">
        <v>1508.33</v>
      </c>
      <c r="U911">
        <v>0.71</v>
      </c>
      <c r="V911">
        <v>0.75</v>
      </c>
      <c r="W911">
        <v>1.1499999999999999</v>
      </c>
      <c r="X911">
        <v>0.09</v>
      </c>
      <c r="Y911">
        <v>1</v>
      </c>
      <c r="Z911">
        <v>10</v>
      </c>
    </row>
    <row r="912" spans="1:26" x14ac:dyDescent="0.3">
      <c r="A912">
        <v>26</v>
      </c>
      <c r="B912">
        <v>45</v>
      </c>
      <c r="C912" t="s">
        <v>26</v>
      </c>
      <c r="D912">
        <v>11.236000000000001</v>
      </c>
      <c r="E912">
        <v>8.9</v>
      </c>
      <c r="F912">
        <v>6.79</v>
      </c>
      <c r="G912">
        <v>67.89</v>
      </c>
      <c r="H912">
        <v>1.24</v>
      </c>
      <c r="I912">
        <v>6</v>
      </c>
      <c r="J912">
        <v>106.86</v>
      </c>
      <c r="K912">
        <v>39.72</v>
      </c>
      <c r="L912">
        <v>7.5</v>
      </c>
      <c r="M912">
        <v>3</v>
      </c>
      <c r="N912">
        <v>14.65</v>
      </c>
      <c r="O912">
        <v>13413.87</v>
      </c>
      <c r="P912">
        <v>49.78</v>
      </c>
      <c r="Q912">
        <v>204.15</v>
      </c>
      <c r="R912">
        <v>24.81</v>
      </c>
      <c r="S912">
        <v>17.37</v>
      </c>
      <c r="T912">
        <v>1617.97</v>
      </c>
      <c r="U912">
        <v>0.7</v>
      </c>
      <c r="V912">
        <v>0.75</v>
      </c>
      <c r="W912">
        <v>1.1499999999999999</v>
      </c>
      <c r="X912">
        <v>0.1</v>
      </c>
      <c r="Y912">
        <v>1</v>
      </c>
      <c r="Z912">
        <v>10</v>
      </c>
    </row>
    <row r="913" spans="1:26" x14ac:dyDescent="0.3">
      <c r="A913">
        <v>27</v>
      </c>
      <c r="B913">
        <v>45</v>
      </c>
      <c r="C913" t="s">
        <v>26</v>
      </c>
      <c r="D913">
        <v>11.2346</v>
      </c>
      <c r="E913">
        <v>8.9</v>
      </c>
      <c r="F913">
        <v>6.79</v>
      </c>
      <c r="G913">
        <v>67.900000000000006</v>
      </c>
      <c r="H913">
        <v>1.27</v>
      </c>
      <c r="I913">
        <v>6</v>
      </c>
      <c r="J913">
        <v>107.18</v>
      </c>
      <c r="K913">
        <v>39.72</v>
      </c>
      <c r="L913">
        <v>7.75</v>
      </c>
      <c r="M913">
        <v>0</v>
      </c>
      <c r="N913">
        <v>14.72</v>
      </c>
      <c r="O913">
        <v>13452.9</v>
      </c>
      <c r="P913">
        <v>49.83</v>
      </c>
      <c r="Q913">
        <v>204.14</v>
      </c>
      <c r="R913">
        <v>24.68</v>
      </c>
      <c r="S913">
        <v>17.37</v>
      </c>
      <c r="T913">
        <v>1552.03</v>
      </c>
      <c r="U913">
        <v>0.7</v>
      </c>
      <c r="V913">
        <v>0.75</v>
      </c>
      <c r="W913">
        <v>1.1499999999999999</v>
      </c>
      <c r="X913">
        <v>0.1</v>
      </c>
      <c r="Y913">
        <v>1</v>
      </c>
      <c r="Z913">
        <v>10</v>
      </c>
    </row>
    <row r="914" spans="1:26" x14ac:dyDescent="0.3">
      <c r="A914">
        <v>0</v>
      </c>
      <c r="B914">
        <v>105</v>
      </c>
      <c r="C914" t="s">
        <v>26</v>
      </c>
      <c r="D914">
        <v>6.8075999999999999</v>
      </c>
      <c r="E914">
        <v>14.69</v>
      </c>
      <c r="F914">
        <v>8.52</v>
      </c>
      <c r="G914">
        <v>5.74</v>
      </c>
      <c r="H914">
        <v>0.09</v>
      </c>
      <c r="I914">
        <v>89</v>
      </c>
      <c r="J914">
        <v>204</v>
      </c>
      <c r="K914">
        <v>55.27</v>
      </c>
      <c r="L914">
        <v>1</v>
      </c>
      <c r="M914">
        <v>87</v>
      </c>
      <c r="N914">
        <v>42.72</v>
      </c>
      <c r="O914">
        <v>25393.599999999999</v>
      </c>
      <c r="P914">
        <v>122.61</v>
      </c>
      <c r="Q914">
        <v>204.17</v>
      </c>
      <c r="R914">
        <v>78.27</v>
      </c>
      <c r="S914">
        <v>17.37</v>
      </c>
      <c r="T914">
        <v>27932.44</v>
      </c>
      <c r="U914">
        <v>0.22</v>
      </c>
      <c r="V914">
        <v>0.6</v>
      </c>
      <c r="W914">
        <v>1.3</v>
      </c>
      <c r="X914">
        <v>1.82</v>
      </c>
      <c r="Y914">
        <v>1</v>
      </c>
      <c r="Z914">
        <v>10</v>
      </c>
    </row>
    <row r="915" spans="1:26" x14ac:dyDescent="0.3">
      <c r="A915">
        <v>1</v>
      </c>
      <c r="B915">
        <v>105</v>
      </c>
      <c r="C915" t="s">
        <v>26</v>
      </c>
      <c r="D915">
        <v>7.4703999999999997</v>
      </c>
      <c r="E915">
        <v>13.39</v>
      </c>
      <c r="F915">
        <v>8.06</v>
      </c>
      <c r="G915">
        <v>7.11</v>
      </c>
      <c r="H915">
        <v>0.11</v>
      </c>
      <c r="I915">
        <v>68</v>
      </c>
      <c r="J915">
        <v>204.39</v>
      </c>
      <c r="K915">
        <v>55.27</v>
      </c>
      <c r="L915">
        <v>1.25</v>
      </c>
      <c r="M915">
        <v>66</v>
      </c>
      <c r="N915">
        <v>42.87</v>
      </c>
      <c r="O915">
        <v>25442.42</v>
      </c>
      <c r="P915">
        <v>115.95</v>
      </c>
      <c r="Q915">
        <v>204.15</v>
      </c>
      <c r="R915">
        <v>64.430000000000007</v>
      </c>
      <c r="S915">
        <v>17.37</v>
      </c>
      <c r="T915">
        <v>21115.61</v>
      </c>
      <c r="U915">
        <v>0.27</v>
      </c>
      <c r="V915">
        <v>0.63</v>
      </c>
      <c r="W915">
        <v>1.26</v>
      </c>
      <c r="X915">
        <v>1.37</v>
      </c>
      <c r="Y915">
        <v>1</v>
      </c>
      <c r="Z915">
        <v>10</v>
      </c>
    </row>
    <row r="916" spans="1:26" x14ac:dyDescent="0.3">
      <c r="A916">
        <v>2</v>
      </c>
      <c r="B916">
        <v>105</v>
      </c>
      <c r="C916" t="s">
        <v>26</v>
      </c>
      <c r="D916">
        <v>7.9447000000000001</v>
      </c>
      <c r="E916">
        <v>12.59</v>
      </c>
      <c r="F916">
        <v>7.79</v>
      </c>
      <c r="G916">
        <v>8.5</v>
      </c>
      <c r="H916">
        <v>0.13</v>
      </c>
      <c r="I916">
        <v>55</v>
      </c>
      <c r="J916">
        <v>204.79</v>
      </c>
      <c r="K916">
        <v>55.27</v>
      </c>
      <c r="L916">
        <v>1.5</v>
      </c>
      <c r="M916">
        <v>53</v>
      </c>
      <c r="N916">
        <v>43.02</v>
      </c>
      <c r="O916">
        <v>25491.3</v>
      </c>
      <c r="P916">
        <v>111.88</v>
      </c>
      <c r="Q916">
        <v>204.18</v>
      </c>
      <c r="R916">
        <v>55.89</v>
      </c>
      <c r="S916">
        <v>17.37</v>
      </c>
      <c r="T916">
        <v>16913.48</v>
      </c>
      <c r="U916">
        <v>0.31</v>
      </c>
      <c r="V916">
        <v>0.66</v>
      </c>
      <c r="W916">
        <v>1.23</v>
      </c>
      <c r="X916">
        <v>1.1000000000000001</v>
      </c>
      <c r="Y916">
        <v>1</v>
      </c>
      <c r="Z916">
        <v>10</v>
      </c>
    </row>
    <row r="917" spans="1:26" x14ac:dyDescent="0.3">
      <c r="A917">
        <v>3</v>
      </c>
      <c r="B917">
        <v>105</v>
      </c>
      <c r="C917" t="s">
        <v>26</v>
      </c>
      <c r="D917">
        <v>8.3203999999999994</v>
      </c>
      <c r="E917">
        <v>12.02</v>
      </c>
      <c r="F917">
        <v>7.59</v>
      </c>
      <c r="G917">
        <v>9.9</v>
      </c>
      <c r="H917">
        <v>0.15</v>
      </c>
      <c r="I917">
        <v>46</v>
      </c>
      <c r="J917">
        <v>205.18</v>
      </c>
      <c r="K917">
        <v>55.27</v>
      </c>
      <c r="L917">
        <v>1.75</v>
      </c>
      <c r="M917">
        <v>44</v>
      </c>
      <c r="N917">
        <v>43.16</v>
      </c>
      <c r="O917">
        <v>25540.22</v>
      </c>
      <c r="P917">
        <v>108.82</v>
      </c>
      <c r="Q917">
        <v>204.19</v>
      </c>
      <c r="R917">
        <v>49.75</v>
      </c>
      <c r="S917">
        <v>17.37</v>
      </c>
      <c r="T917">
        <v>13889.27</v>
      </c>
      <c r="U917">
        <v>0.35</v>
      </c>
      <c r="V917">
        <v>0.67</v>
      </c>
      <c r="W917">
        <v>1.21</v>
      </c>
      <c r="X917">
        <v>0.9</v>
      </c>
      <c r="Y917">
        <v>1</v>
      </c>
      <c r="Z917">
        <v>10</v>
      </c>
    </row>
    <row r="918" spans="1:26" x14ac:dyDescent="0.3">
      <c r="A918">
        <v>4</v>
      </c>
      <c r="B918">
        <v>105</v>
      </c>
      <c r="C918" t="s">
        <v>26</v>
      </c>
      <c r="D918">
        <v>8.5759000000000007</v>
      </c>
      <c r="E918">
        <v>11.66</v>
      </c>
      <c r="F918">
        <v>7.47</v>
      </c>
      <c r="G918">
        <v>11.21</v>
      </c>
      <c r="H918">
        <v>0.17</v>
      </c>
      <c r="I918">
        <v>40</v>
      </c>
      <c r="J918">
        <v>205.58</v>
      </c>
      <c r="K918">
        <v>55.27</v>
      </c>
      <c r="L918">
        <v>2</v>
      </c>
      <c r="M918">
        <v>38</v>
      </c>
      <c r="N918">
        <v>43.31</v>
      </c>
      <c r="O918">
        <v>25589.200000000001</v>
      </c>
      <c r="P918">
        <v>107</v>
      </c>
      <c r="Q918">
        <v>204.14</v>
      </c>
      <c r="R918">
        <v>46.21</v>
      </c>
      <c r="S918">
        <v>17.37</v>
      </c>
      <c r="T918">
        <v>12149.48</v>
      </c>
      <c r="U918">
        <v>0.38</v>
      </c>
      <c r="V918">
        <v>0.68</v>
      </c>
      <c r="W918">
        <v>1.2</v>
      </c>
      <c r="X918">
        <v>0.78</v>
      </c>
      <c r="Y918">
        <v>1</v>
      </c>
      <c r="Z918">
        <v>10</v>
      </c>
    </row>
    <row r="919" spans="1:26" x14ac:dyDescent="0.3">
      <c r="A919">
        <v>5</v>
      </c>
      <c r="B919">
        <v>105</v>
      </c>
      <c r="C919" t="s">
        <v>26</v>
      </c>
      <c r="D919">
        <v>8.7893000000000008</v>
      </c>
      <c r="E919">
        <v>11.38</v>
      </c>
      <c r="F919">
        <v>7.39</v>
      </c>
      <c r="G919">
        <v>12.67</v>
      </c>
      <c r="H919">
        <v>0.19</v>
      </c>
      <c r="I919">
        <v>35</v>
      </c>
      <c r="J919">
        <v>205.98</v>
      </c>
      <c r="K919">
        <v>55.27</v>
      </c>
      <c r="L919">
        <v>2.25</v>
      </c>
      <c r="M919">
        <v>33</v>
      </c>
      <c r="N919">
        <v>43.46</v>
      </c>
      <c r="O919">
        <v>25638.22</v>
      </c>
      <c r="P919">
        <v>105.74</v>
      </c>
      <c r="Q919">
        <v>204.23</v>
      </c>
      <c r="R919">
        <v>43.57</v>
      </c>
      <c r="S919">
        <v>17.37</v>
      </c>
      <c r="T919">
        <v>10853.4</v>
      </c>
      <c r="U919">
        <v>0.4</v>
      </c>
      <c r="V919">
        <v>0.69</v>
      </c>
      <c r="W919">
        <v>1.2</v>
      </c>
      <c r="X919">
        <v>0.7</v>
      </c>
      <c r="Y919">
        <v>1</v>
      </c>
      <c r="Z919">
        <v>10</v>
      </c>
    </row>
    <row r="920" spans="1:26" x14ac:dyDescent="0.3">
      <c r="A920">
        <v>6</v>
      </c>
      <c r="B920">
        <v>105</v>
      </c>
      <c r="C920" t="s">
        <v>26</v>
      </c>
      <c r="D920">
        <v>9.0010999999999992</v>
      </c>
      <c r="E920">
        <v>11.11</v>
      </c>
      <c r="F920">
        <v>7.29</v>
      </c>
      <c r="G920">
        <v>14.11</v>
      </c>
      <c r="H920">
        <v>0.22</v>
      </c>
      <c r="I920">
        <v>31</v>
      </c>
      <c r="J920">
        <v>206.38</v>
      </c>
      <c r="K920">
        <v>55.27</v>
      </c>
      <c r="L920">
        <v>2.5</v>
      </c>
      <c r="M920">
        <v>29</v>
      </c>
      <c r="N920">
        <v>43.6</v>
      </c>
      <c r="O920">
        <v>25687.3</v>
      </c>
      <c r="P920">
        <v>104.07</v>
      </c>
      <c r="Q920">
        <v>204.2</v>
      </c>
      <c r="R920">
        <v>40.14</v>
      </c>
      <c r="S920">
        <v>17.37</v>
      </c>
      <c r="T920">
        <v>9155.81</v>
      </c>
      <c r="U920">
        <v>0.43</v>
      </c>
      <c r="V920">
        <v>0.7</v>
      </c>
      <c r="W920">
        <v>1.19</v>
      </c>
      <c r="X920">
        <v>0.59</v>
      </c>
      <c r="Y920">
        <v>1</v>
      </c>
      <c r="Z920">
        <v>10</v>
      </c>
    </row>
    <row r="921" spans="1:26" x14ac:dyDescent="0.3">
      <c r="A921">
        <v>7</v>
      </c>
      <c r="B921">
        <v>105</v>
      </c>
      <c r="C921" t="s">
        <v>26</v>
      </c>
      <c r="D921">
        <v>9.1494</v>
      </c>
      <c r="E921">
        <v>10.93</v>
      </c>
      <c r="F921">
        <v>7.23</v>
      </c>
      <c r="G921">
        <v>15.49</v>
      </c>
      <c r="H921">
        <v>0.24</v>
      </c>
      <c r="I921">
        <v>28</v>
      </c>
      <c r="J921">
        <v>206.78</v>
      </c>
      <c r="K921">
        <v>55.27</v>
      </c>
      <c r="L921">
        <v>2.75</v>
      </c>
      <c r="M921">
        <v>26</v>
      </c>
      <c r="N921">
        <v>43.75</v>
      </c>
      <c r="O921">
        <v>25736.42</v>
      </c>
      <c r="P921">
        <v>103.05</v>
      </c>
      <c r="Q921">
        <v>204.14</v>
      </c>
      <c r="R921">
        <v>38.74</v>
      </c>
      <c r="S921">
        <v>17.37</v>
      </c>
      <c r="T921">
        <v>8471.93</v>
      </c>
      <c r="U921">
        <v>0.45</v>
      </c>
      <c r="V921">
        <v>0.71</v>
      </c>
      <c r="W921">
        <v>1.18</v>
      </c>
      <c r="X921">
        <v>0.54</v>
      </c>
      <c r="Y921">
        <v>1</v>
      </c>
      <c r="Z921">
        <v>10</v>
      </c>
    </row>
    <row r="922" spans="1:26" x14ac:dyDescent="0.3">
      <c r="A922">
        <v>8</v>
      </c>
      <c r="B922">
        <v>105</v>
      </c>
      <c r="C922" t="s">
        <v>26</v>
      </c>
      <c r="D922">
        <v>9.2497000000000007</v>
      </c>
      <c r="E922">
        <v>10.81</v>
      </c>
      <c r="F922">
        <v>7.19</v>
      </c>
      <c r="G922">
        <v>16.600000000000001</v>
      </c>
      <c r="H922">
        <v>0.26</v>
      </c>
      <c r="I922">
        <v>26</v>
      </c>
      <c r="J922">
        <v>207.17</v>
      </c>
      <c r="K922">
        <v>55.27</v>
      </c>
      <c r="L922">
        <v>3</v>
      </c>
      <c r="M922">
        <v>24</v>
      </c>
      <c r="N922">
        <v>43.9</v>
      </c>
      <c r="O922">
        <v>25785.599999999999</v>
      </c>
      <c r="P922">
        <v>102.41</v>
      </c>
      <c r="Q922">
        <v>204.21</v>
      </c>
      <c r="R922">
        <v>37.65</v>
      </c>
      <c r="S922">
        <v>17.37</v>
      </c>
      <c r="T922">
        <v>7934.84</v>
      </c>
      <c r="U922">
        <v>0.46</v>
      </c>
      <c r="V922">
        <v>0.71</v>
      </c>
      <c r="W922">
        <v>1.17</v>
      </c>
      <c r="X922">
        <v>0.5</v>
      </c>
      <c r="Y922">
        <v>1</v>
      </c>
      <c r="Z922">
        <v>10</v>
      </c>
    </row>
    <row r="923" spans="1:26" x14ac:dyDescent="0.3">
      <c r="A923">
        <v>9</v>
      </c>
      <c r="B923">
        <v>105</v>
      </c>
      <c r="C923" t="s">
        <v>26</v>
      </c>
      <c r="D923">
        <v>9.3370999999999995</v>
      </c>
      <c r="E923">
        <v>10.71</v>
      </c>
      <c r="F923">
        <v>7.17</v>
      </c>
      <c r="G923">
        <v>17.93</v>
      </c>
      <c r="H923">
        <v>0.28000000000000003</v>
      </c>
      <c r="I923">
        <v>24</v>
      </c>
      <c r="J923">
        <v>207.57</v>
      </c>
      <c r="K923">
        <v>55.27</v>
      </c>
      <c r="L923">
        <v>3.25</v>
      </c>
      <c r="M923">
        <v>22</v>
      </c>
      <c r="N923">
        <v>44.05</v>
      </c>
      <c r="O923">
        <v>25834.83</v>
      </c>
      <c r="P923">
        <v>101.97</v>
      </c>
      <c r="Q923">
        <v>204.15</v>
      </c>
      <c r="R923">
        <v>36.78</v>
      </c>
      <c r="S923">
        <v>17.37</v>
      </c>
      <c r="T923">
        <v>7510.61</v>
      </c>
      <c r="U923">
        <v>0.47</v>
      </c>
      <c r="V923">
        <v>0.71</v>
      </c>
      <c r="W923">
        <v>1.18</v>
      </c>
      <c r="X923">
        <v>0.48</v>
      </c>
      <c r="Y923">
        <v>1</v>
      </c>
      <c r="Z923">
        <v>10</v>
      </c>
    </row>
    <row r="924" spans="1:26" x14ac:dyDescent="0.3">
      <c r="A924">
        <v>10</v>
      </c>
      <c r="B924">
        <v>105</v>
      </c>
      <c r="C924" t="s">
        <v>26</v>
      </c>
      <c r="D924">
        <v>9.4664999999999999</v>
      </c>
      <c r="E924">
        <v>10.56</v>
      </c>
      <c r="F924">
        <v>7.11</v>
      </c>
      <c r="G924">
        <v>19.38</v>
      </c>
      <c r="H924">
        <v>0.3</v>
      </c>
      <c r="I924">
        <v>22</v>
      </c>
      <c r="J924">
        <v>207.97</v>
      </c>
      <c r="K924">
        <v>55.27</v>
      </c>
      <c r="L924">
        <v>3.5</v>
      </c>
      <c r="M924">
        <v>20</v>
      </c>
      <c r="N924">
        <v>44.2</v>
      </c>
      <c r="O924">
        <v>25884.1</v>
      </c>
      <c r="P924">
        <v>100.94</v>
      </c>
      <c r="Q924">
        <v>204.18</v>
      </c>
      <c r="R924">
        <v>34.950000000000003</v>
      </c>
      <c r="S924">
        <v>17.37</v>
      </c>
      <c r="T924">
        <v>6605.61</v>
      </c>
      <c r="U924">
        <v>0.5</v>
      </c>
      <c r="V924">
        <v>0.72</v>
      </c>
      <c r="W924">
        <v>1.17</v>
      </c>
      <c r="X924">
        <v>0.41</v>
      </c>
      <c r="Y924">
        <v>1</v>
      </c>
      <c r="Z924">
        <v>10</v>
      </c>
    </row>
    <row r="925" spans="1:26" x14ac:dyDescent="0.3">
      <c r="A925">
        <v>11</v>
      </c>
      <c r="B925">
        <v>105</v>
      </c>
      <c r="C925" t="s">
        <v>26</v>
      </c>
      <c r="D925">
        <v>9.5233000000000008</v>
      </c>
      <c r="E925">
        <v>10.5</v>
      </c>
      <c r="F925">
        <v>7.08</v>
      </c>
      <c r="G925">
        <v>20.239999999999998</v>
      </c>
      <c r="H925">
        <v>0.32</v>
      </c>
      <c r="I925">
        <v>21</v>
      </c>
      <c r="J925">
        <v>208.37</v>
      </c>
      <c r="K925">
        <v>55.27</v>
      </c>
      <c r="L925">
        <v>3.75</v>
      </c>
      <c r="M925">
        <v>19</v>
      </c>
      <c r="N925">
        <v>44.35</v>
      </c>
      <c r="O925">
        <v>25933.43</v>
      </c>
      <c r="P925">
        <v>100.42</v>
      </c>
      <c r="Q925">
        <v>204.18</v>
      </c>
      <c r="R925">
        <v>33.770000000000003</v>
      </c>
      <c r="S925">
        <v>17.37</v>
      </c>
      <c r="T925">
        <v>6021.79</v>
      </c>
      <c r="U925">
        <v>0.51</v>
      </c>
      <c r="V925">
        <v>0.72</v>
      </c>
      <c r="W925">
        <v>1.18</v>
      </c>
      <c r="X925">
        <v>0.39</v>
      </c>
      <c r="Y925">
        <v>1</v>
      </c>
      <c r="Z925">
        <v>10</v>
      </c>
    </row>
    <row r="926" spans="1:26" x14ac:dyDescent="0.3">
      <c r="A926">
        <v>12</v>
      </c>
      <c r="B926">
        <v>105</v>
      </c>
      <c r="C926" t="s">
        <v>26</v>
      </c>
      <c r="D926">
        <v>9.6222999999999992</v>
      </c>
      <c r="E926">
        <v>10.39</v>
      </c>
      <c r="F926">
        <v>7.06</v>
      </c>
      <c r="G926">
        <v>22.29</v>
      </c>
      <c r="H926">
        <v>0.34</v>
      </c>
      <c r="I926">
        <v>19</v>
      </c>
      <c r="J926">
        <v>208.77</v>
      </c>
      <c r="K926">
        <v>55.27</v>
      </c>
      <c r="L926">
        <v>4</v>
      </c>
      <c r="M926">
        <v>17</v>
      </c>
      <c r="N926">
        <v>44.5</v>
      </c>
      <c r="O926">
        <v>25982.82</v>
      </c>
      <c r="P926">
        <v>99.85</v>
      </c>
      <c r="Q926">
        <v>204.17</v>
      </c>
      <c r="R926">
        <v>33.020000000000003</v>
      </c>
      <c r="S926">
        <v>17.37</v>
      </c>
      <c r="T926">
        <v>5658.59</v>
      </c>
      <c r="U926">
        <v>0.53</v>
      </c>
      <c r="V926">
        <v>0.72</v>
      </c>
      <c r="W926">
        <v>1.17</v>
      </c>
      <c r="X926">
        <v>0.37</v>
      </c>
      <c r="Y926">
        <v>1</v>
      </c>
      <c r="Z926">
        <v>10</v>
      </c>
    </row>
    <row r="927" spans="1:26" x14ac:dyDescent="0.3">
      <c r="A927">
        <v>13</v>
      </c>
      <c r="B927">
        <v>105</v>
      </c>
      <c r="C927" t="s">
        <v>26</v>
      </c>
      <c r="D927">
        <v>9.6912000000000003</v>
      </c>
      <c r="E927">
        <v>10.32</v>
      </c>
      <c r="F927">
        <v>7.02</v>
      </c>
      <c r="G927">
        <v>23.41</v>
      </c>
      <c r="H927">
        <v>0.36</v>
      </c>
      <c r="I927">
        <v>18</v>
      </c>
      <c r="J927">
        <v>209.17</v>
      </c>
      <c r="K927">
        <v>55.27</v>
      </c>
      <c r="L927">
        <v>4.25</v>
      </c>
      <c r="M927">
        <v>16</v>
      </c>
      <c r="N927">
        <v>44.65</v>
      </c>
      <c r="O927">
        <v>26032.25</v>
      </c>
      <c r="P927">
        <v>99.35</v>
      </c>
      <c r="Q927">
        <v>204.16</v>
      </c>
      <c r="R927">
        <v>32.11</v>
      </c>
      <c r="S927">
        <v>17.37</v>
      </c>
      <c r="T927">
        <v>5206.51</v>
      </c>
      <c r="U927">
        <v>0.54</v>
      </c>
      <c r="V927">
        <v>0.73</v>
      </c>
      <c r="W927">
        <v>1.17</v>
      </c>
      <c r="X927">
        <v>0.33</v>
      </c>
      <c r="Y927">
        <v>1</v>
      </c>
      <c r="Z927">
        <v>10</v>
      </c>
    </row>
    <row r="928" spans="1:26" x14ac:dyDescent="0.3">
      <c r="A928">
        <v>14</v>
      </c>
      <c r="B928">
        <v>105</v>
      </c>
      <c r="C928" t="s">
        <v>26</v>
      </c>
      <c r="D928">
        <v>9.7357999999999993</v>
      </c>
      <c r="E928">
        <v>10.27</v>
      </c>
      <c r="F928">
        <v>7.02</v>
      </c>
      <c r="G928">
        <v>24.77</v>
      </c>
      <c r="H928">
        <v>0.38</v>
      </c>
      <c r="I928">
        <v>17</v>
      </c>
      <c r="J928">
        <v>209.58</v>
      </c>
      <c r="K928">
        <v>55.27</v>
      </c>
      <c r="L928">
        <v>4.5</v>
      </c>
      <c r="M928">
        <v>15</v>
      </c>
      <c r="N928">
        <v>44.8</v>
      </c>
      <c r="O928">
        <v>26081.73</v>
      </c>
      <c r="P928">
        <v>99.03</v>
      </c>
      <c r="Q928">
        <v>204.17</v>
      </c>
      <c r="R928">
        <v>31.96</v>
      </c>
      <c r="S928">
        <v>17.37</v>
      </c>
      <c r="T928">
        <v>5136.8500000000004</v>
      </c>
      <c r="U928">
        <v>0.54</v>
      </c>
      <c r="V928">
        <v>0.73</v>
      </c>
      <c r="W928">
        <v>1.1599999999999999</v>
      </c>
      <c r="X928">
        <v>0.33</v>
      </c>
      <c r="Y928">
        <v>1</v>
      </c>
      <c r="Z928">
        <v>10</v>
      </c>
    </row>
    <row r="929" spans="1:26" x14ac:dyDescent="0.3">
      <c r="A929">
        <v>15</v>
      </c>
      <c r="B929">
        <v>105</v>
      </c>
      <c r="C929" t="s">
        <v>26</v>
      </c>
      <c r="D929">
        <v>9.8004999999999995</v>
      </c>
      <c r="E929">
        <v>10.199999999999999</v>
      </c>
      <c r="F929">
        <v>6.99</v>
      </c>
      <c r="G929">
        <v>26.21</v>
      </c>
      <c r="H929">
        <v>0.4</v>
      </c>
      <c r="I929">
        <v>16</v>
      </c>
      <c r="J929">
        <v>209.98</v>
      </c>
      <c r="K929">
        <v>55.27</v>
      </c>
      <c r="L929">
        <v>4.75</v>
      </c>
      <c r="M929">
        <v>14</v>
      </c>
      <c r="N929">
        <v>44.95</v>
      </c>
      <c r="O929">
        <v>26131.27</v>
      </c>
      <c r="P929">
        <v>98.57</v>
      </c>
      <c r="Q929">
        <v>204.16</v>
      </c>
      <c r="R929">
        <v>31.21</v>
      </c>
      <c r="S929">
        <v>17.37</v>
      </c>
      <c r="T929">
        <v>4764.8999999999996</v>
      </c>
      <c r="U929">
        <v>0.56000000000000005</v>
      </c>
      <c r="V929">
        <v>0.73</v>
      </c>
      <c r="W929">
        <v>1.1599999999999999</v>
      </c>
      <c r="X929">
        <v>0.3</v>
      </c>
      <c r="Y929">
        <v>1</v>
      </c>
      <c r="Z929">
        <v>10</v>
      </c>
    </row>
    <row r="930" spans="1:26" x14ac:dyDescent="0.3">
      <c r="A930">
        <v>16</v>
      </c>
      <c r="B930">
        <v>105</v>
      </c>
      <c r="C930" t="s">
        <v>26</v>
      </c>
      <c r="D930">
        <v>9.7794000000000008</v>
      </c>
      <c r="E930">
        <v>10.23</v>
      </c>
      <c r="F930">
        <v>7.01</v>
      </c>
      <c r="G930">
        <v>26.29</v>
      </c>
      <c r="H930">
        <v>0.42</v>
      </c>
      <c r="I930">
        <v>16</v>
      </c>
      <c r="J930">
        <v>210.38</v>
      </c>
      <c r="K930">
        <v>55.27</v>
      </c>
      <c r="L930">
        <v>5</v>
      </c>
      <c r="M930">
        <v>14</v>
      </c>
      <c r="N930">
        <v>45.11</v>
      </c>
      <c r="O930">
        <v>26180.86</v>
      </c>
      <c r="P930">
        <v>98.77</v>
      </c>
      <c r="Q930">
        <v>204.2</v>
      </c>
      <c r="R930">
        <v>31.92</v>
      </c>
      <c r="S930">
        <v>17.37</v>
      </c>
      <c r="T930">
        <v>5119.8900000000003</v>
      </c>
      <c r="U930">
        <v>0.54</v>
      </c>
      <c r="V930">
        <v>0.73</v>
      </c>
      <c r="W930">
        <v>1.1599999999999999</v>
      </c>
      <c r="X930">
        <v>0.32</v>
      </c>
      <c r="Y930">
        <v>1</v>
      </c>
      <c r="Z930">
        <v>10</v>
      </c>
    </row>
    <row r="931" spans="1:26" x14ac:dyDescent="0.3">
      <c r="A931">
        <v>17</v>
      </c>
      <c r="B931">
        <v>105</v>
      </c>
      <c r="C931" t="s">
        <v>26</v>
      </c>
      <c r="D931">
        <v>9.8659999999999997</v>
      </c>
      <c r="E931">
        <v>10.14</v>
      </c>
      <c r="F931">
        <v>6.96</v>
      </c>
      <c r="G931">
        <v>27.85</v>
      </c>
      <c r="H931">
        <v>0.44</v>
      </c>
      <c r="I931">
        <v>15</v>
      </c>
      <c r="J931">
        <v>210.78</v>
      </c>
      <c r="K931">
        <v>55.27</v>
      </c>
      <c r="L931">
        <v>5.25</v>
      </c>
      <c r="M931">
        <v>13</v>
      </c>
      <c r="N931">
        <v>45.26</v>
      </c>
      <c r="O931">
        <v>26230.5</v>
      </c>
      <c r="P931">
        <v>97.91</v>
      </c>
      <c r="Q931">
        <v>204.15</v>
      </c>
      <c r="R931">
        <v>30.26</v>
      </c>
      <c r="S931">
        <v>17.37</v>
      </c>
      <c r="T931">
        <v>4296.13</v>
      </c>
      <c r="U931">
        <v>0.56999999999999995</v>
      </c>
      <c r="V931">
        <v>0.73</v>
      </c>
      <c r="W931">
        <v>1.1599999999999999</v>
      </c>
      <c r="X931">
        <v>0.27</v>
      </c>
      <c r="Y931">
        <v>1</v>
      </c>
      <c r="Z931">
        <v>10</v>
      </c>
    </row>
    <row r="932" spans="1:26" x14ac:dyDescent="0.3">
      <c r="A932">
        <v>18</v>
      </c>
      <c r="B932">
        <v>105</v>
      </c>
      <c r="C932" t="s">
        <v>26</v>
      </c>
      <c r="D932">
        <v>9.9212000000000007</v>
      </c>
      <c r="E932">
        <v>10.08</v>
      </c>
      <c r="F932">
        <v>6.95</v>
      </c>
      <c r="G932">
        <v>29.77</v>
      </c>
      <c r="H932">
        <v>0.46</v>
      </c>
      <c r="I932">
        <v>14</v>
      </c>
      <c r="J932">
        <v>211.18</v>
      </c>
      <c r="K932">
        <v>55.27</v>
      </c>
      <c r="L932">
        <v>5.5</v>
      </c>
      <c r="M932">
        <v>12</v>
      </c>
      <c r="N932">
        <v>45.41</v>
      </c>
      <c r="O932">
        <v>26280.2</v>
      </c>
      <c r="P932">
        <v>97.53</v>
      </c>
      <c r="Q932">
        <v>204.15</v>
      </c>
      <c r="R932">
        <v>29.88</v>
      </c>
      <c r="S932">
        <v>17.37</v>
      </c>
      <c r="T932">
        <v>4113.21</v>
      </c>
      <c r="U932">
        <v>0.57999999999999996</v>
      </c>
      <c r="V932">
        <v>0.74</v>
      </c>
      <c r="W932">
        <v>1.1599999999999999</v>
      </c>
      <c r="X932">
        <v>0.26</v>
      </c>
      <c r="Y932">
        <v>1</v>
      </c>
      <c r="Z932">
        <v>10</v>
      </c>
    </row>
    <row r="933" spans="1:26" x14ac:dyDescent="0.3">
      <c r="A933">
        <v>19</v>
      </c>
      <c r="B933">
        <v>105</v>
      </c>
      <c r="C933" t="s">
        <v>26</v>
      </c>
      <c r="D933">
        <v>9.9123999999999999</v>
      </c>
      <c r="E933">
        <v>10.09</v>
      </c>
      <c r="F933">
        <v>6.96</v>
      </c>
      <c r="G933">
        <v>29.81</v>
      </c>
      <c r="H933">
        <v>0.48</v>
      </c>
      <c r="I933">
        <v>14</v>
      </c>
      <c r="J933">
        <v>211.59</v>
      </c>
      <c r="K933">
        <v>55.27</v>
      </c>
      <c r="L933">
        <v>5.75</v>
      </c>
      <c r="M933">
        <v>12</v>
      </c>
      <c r="N933">
        <v>45.57</v>
      </c>
      <c r="O933">
        <v>26329.94</v>
      </c>
      <c r="P933">
        <v>97.53</v>
      </c>
      <c r="Q933">
        <v>204.18</v>
      </c>
      <c r="R933">
        <v>30.04</v>
      </c>
      <c r="S933">
        <v>17.37</v>
      </c>
      <c r="T933">
        <v>4193.8999999999996</v>
      </c>
      <c r="U933">
        <v>0.57999999999999996</v>
      </c>
      <c r="V933">
        <v>0.73</v>
      </c>
      <c r="W933">
        <v>1.1599999999999999</v>
      </c>
      <c r="X933">
        <v>0.26</v>
      </c>
      <c r="Y933">
        <v>1</v>
      </c>
      <c r="Z933">
        <v>10</v>
      </c>
    </row>
    <row r="934" spans="1:26" x14ac:dyDescent="0.3">
      <c r="A934">
        <v>20</v>
      </c>
      <c r="B934">
        <v>105</v>
      </c>
      <c r="C934" t="s">
        <v>26</v>
      </c>
      <c r="D934">
        <v>9.9762000000000004</v>
      </c>
      <c r="E934">
        <v>10.02</v>
      </c>
      <c r="F934">
        <v>6.93</v>
      </c>
      <c r="G934">
        <v>31.99</v>
      </c>
      <c r="H934">
        <v>0.5</v>
      </c>
      <c r="I934">
        <v>13</v>
      </c>
      <c r="J934">
        <v>211.99</v>
      </c>
      <c r="K934">
        <v>55.27</v>
      </c>
      <c r="L934">
        <v>6</v>
      </c>
      <c r="M934">
        <v>11</v>
      </c>
      <c r="N934">
        <v>45.72</v>
      </c>
      <c r="O934">
        <v>26379.74</v>
      </c>
      <c r="P934">
        <v>97.13</v>
      </c>
      <c r="Q934">
        <v>204.15</v>
      </c>
      <c r="R934">
        <v>29.34</v>
      </c>
      <c r="S934">
        <v>17.37</v>
      </c>
      <c r="T934">
        <v>3846.21</v>
      </c>
      <c r="U934">
        <v>0.59</v>
      </c>
      <c r="V934">
        <v>0.74</v>
      </c>
      <c r="W934">
        <v>1.1599999999999999</v>
      </c>
      <c r="X934">
        <v>0.24</v>
      </c>
      <c r="Y934">
        <v>1</v>
      </c>
      <c r="Z934">
        <v>10</v>
      </c>
    </row>
    <row r="935" spans="1:26" x14ac:dyDescent="0.3">
      <c r="A935">
        <v>21</v>
      </c>
      <c r="B935">
        <v>105</v>
      </c>
      <c r="C935" t="s">
        <v>26</v>
      </c>
      <c r="D935">
        <v>9.9711999999999996</v>
      </c>
      <c r="E935">
        <v>10.029999999999999</v>
      </c>
      <c r="F935">
        <v>6.94</v>
      </c>
      <c r="G935">
        <v>32.020000000000003</v>
      </c>
      <c r="H935">
        <v>0.52</v>
      </c>
      <c r="I935">
        <v>13</v>
      </c>
      <c r="J935">
        <v>212.4</v>
      </c>
      <c r="K935">
        <v>55.27</v>
      </c>
      <c r="L935">
        <v>6.25</v>
      </c>
      <c r="M935">
        <v>11</v>
      </c>
      <c r="N935">
        <v>45.87</v>
      </c>
      <c r="O935">
        <v>26429.59</v>
      </c>
      <c r="P935">
        <v>96.96</v>
      </c>
      <c r="Q935">
        <v>204.16</v>
      </c>
      <c r="R935">
        <v>29.4</v>
      </c>
      <c r="S935">
        <v>17.37</v>
      </c>
      <c r="T935">
        <v>3878.79</v>
      </c>
      <c r="U935">
        <v>0.59</v>
      </c>
      <c r="V935">
        <v>0.74</v>
      </c>
      <c r="W935">
        <v>1.1599999999999999</v>
      </c>
      <c r="X935">
        <v>0.24</v>
      </c>
      <c r="Y935">
        <v>1</v>
      </c>
      <c r="Z935">
        <v>10</v>
      </c>
    </row>
    <row r="936" spans="1:26" x14ac:dyDescent="0.3">
      <c r="A936">
        <v>22</v>
      </c>
      <c r="B936">
        <v>105</v>
      </c>
      <c r="C936" t="s">
        <v>26</v>
      </c>
      <c r="D936">
        <v>10.039</v>
      </c>
      <c r="E936">
        <v>9.9600000000000009</v>
      </c>
      <c r="F936">
        <v>6.91</v>
      </c>
      <c r="G936">
        <v>34.549999999999997</v>
      </c>
      <c r="H936">
        <v>0.54</v>
      </c>
      <c r="I936">
        <v>12</v>
      </c>
      <c r="J936">
        <v>212.8</v>
      </c>
      <c r="K936">
        <v>55.27</v>
      </c>
      <c r="L936">
        <v>6.5</v>
      </c>
      <c r="M936">
        <v>10</v>
      </c>
      <c r="N936">
        <v>46.03</v>
      </c>
      <c r="O936">
        <v>26479.5</v>
      </c>
      <c r="P936">
        <v>96.6</v>
      </c>
      <c r="Q936">
        <v>204.14</v>
      </c>
      <c r="R936">
        <v>28.61</v>
      </c>
      <c r="S936">
        <v>17.37</v>
      </c>
      <c r="T936">
        <v>3486.98</v>
      </c>
      <c r="U936">
        <v>0.61</v>
      </c>
      <c r="V936">
        <v>0.74</v>
      </c>
      <c r="W936">
        <v>1.1599999999999999</v>
      </c>
      <c r="X936">
        <v>0.22</v>
      </c>
      <c r="Y936">
        <v>1</v>
      </c>
      <c r="Z936">
        <v>10</v>
      </c>
    </row>
    <row r="937" spans="1:26" x14ac:dyDescent="0.3">
      <c r="A937">
        <v>23</v>
      </c>
      <c r="B937">
        <v>105</v>
      </c>
      <c r="C937" t="s">
        <v>26</v>
      </c>
      <c r="D937">
        <v>10.0334</v>
      </c>
      <c r="E937">
        <v>9.9700000000000006</v>
      </c>
      <c r="F937">
        <v>6.92</v>
      </c>
      <c r="G937">
        <v>34.58</v>
      </c>
      <c r="H937">
        <v>0.56000000000000005</v>
      </c>
      <c r="I937">
        <v>12</v>
      </c>
      <c r="J937">
        <v>213.21</v>
      </c>
      <c r="K937">
        <v>55.27</v>
      </c>
      <c r="L937">
        <v>6.75</v>
      </c>
      <c r="M937">
        <v>10</v>
      </c>
      <c r="N937">
        <v>46.18</v>
      </c>
      <c r="O937">
        <v>26529.46</v>
      </c>
      <c r="P937">
        <v>96.45</v>
      </c>
      <c r="Q937">
        <v>204.15</v>
      </c>
      <c r="R937">
        <v>28.87</v>
      </c>
      <c r="S937">
        <v>17.37</v>
      </c>
      <c r="T937">
        <v>3618.52</v>
      </c>
      <c r="U937">
        <v>0.6</v>
      </c>
      <c r="V937">
        <v>0.74</v>
      </c>
      <c r="W937">
        <v>1.1499999999999999</v>
      </c>
      <c r="X937">
        <v>0.22</v>
      </c>
      <c r="Y937">
        <v>1</v>
      </c>
      <c r="Z937">
        <v>10</v>
      </c>
    </row>
    <row r="938" spans="1:26" x14ac:dyDescent="0.3">
      <c r="A938">
        <v>24</v>
      </c>
      <c r="B938">
        <v>105</v>
      </c>
      <c r="C938" t="s">
        <v>26</v>
      </c>
      <c r="D938">
        <v>10.099299999999999</v>
      </c>
      <c r="E938">
        <v>9.9</v>
      </c>
      <c r="F938">
        <v>6.89</v>
      </c>
      <c r="G938">
        <v>37.590000000000003</v>
      </c>
      <c r="H938">
        <v>0.57999999999999996</v>
      </c>
      <c r="I938">
        <v>11</v>
      </c>
      <c r="J938">
        <v>213.61</v>
      </c>
      <c r="K938">
        <v>55.27</v>
      </c>
      <c r="L938">
        <v>7</v>
      </c>
      <c r="M938">
        <v>9</v>
      </c>
      <c r="N938">
        <v>46.34</v>
      </c>
      <c r="O938">
        <v>26579.47</v>
      </c>
      <c r="P938">
        <v>95.86</v>
      </c>
      <c r="Q938">
        <v>204.14</v>
      </c>
      <c r="R938">
        <v>27.85</v>
      </c>
      <c r="S938">
        <v>17.37</v>
      </c>
      <c r="T938">
        <v>3113.61</v>
      </c>
      <c r="U938">
        <v>0.62</v>
      </c>
      <c r="V938">
        <v>0.74</v>
      </c>
      <c r="W938">
        <v>1.1599999999999999</v>
      </c>
      <c r="X938">
        <v>0.2</v>
      </c>
      <c r="Y938">
        <v>1</v>
      </c>
      <c r="Z938">
        <v>10</v>
      </c>
    </row>
    <row r="939" spans="1:26" x14ac:dyDescent="0.3">
      <c r="A939">
        <v>25</v>
      </c>
      <c r="B939">
        <v>105</v>
      </c>
      <c r="C939" t="s">
        <v>26</v>
      </c>
      <c r="D939">
        <v>10.101599999999999</v>
      </c>
      <c r="E939">
        <v>9.9</v>
      </c>
      <c r="F939">
        <v>6.89</v>
      </c>
      <c r="G939">
        <v>37.57</v>
      </c>
      <c r="H939">
        <v>0.6</v>
      </c>
      <c r="I939">
        <v>11</v>
      </c>
      <c r="J939">
        <v>214.02</v>
      </c>
      <c r="K939">
        <v>55.27</v>
      </c>
      <c r="L939">
        <v>7.25</v>
      </c>
      <c r="M939">
        <v>9</v>
      </c>
      <c r="N939">
        <v>46.49</v>
      </c>
      <c r="O939">
        <v>26629.54</v>
      </c>
      <c r="P939">
        <v>95.83</v>
      </c>
      <c r="Q939">
        <v>204.15</v>
      </c>
      <c r="R939">
        <v>27.95</v>
      </c>
      <c r="S939">
        <v>17.37</v>
      </c>
      <c r="T939">
        <v>3163.33</v>
      </c>
      <c r="U939">
        <v>0.62</v>
      </c>
      <c r="V939">
        <v>0.74</v>
      </c>
      <c r="W939">
        <v>1.1499999999999999</v>
      </c>
      <c r="X939">
        <v>0.2</v>
      </c>
      <c r="Y939">
        <v>1</v>
      </c>
      <c r="Z939">
        <v>10</v>
      </c>
    </row>
    <row r="940" spans="1:26" x14ac:dyDescent="0.3">
      <c r="A940">
        <v>26</v>
      </c>
      <c r="B940">
        <v>105</v>
      </c>
      <c r="C940" t="s">
        <v>26</v>
      </c>
      <c r="D940">
        <v>10.1038</v>
      </c>
      <c r="E940">
        <v>9.9</v>
      </c>
      <c r="F940">
        <v>6.89</v>
      </c>
      <c r="G940">
        <v>37.56</v>
      </c>
      <c r="H940">
        <v>0.62</v>
      </c>
      <c r="I940">
        <v>11</v>
      </c>
      <c r="J940">
        <v>214.42</v>
      </c>
      <c r="K940">
        <v>55.27</v>
      </c>
      <c r="L940">
        <v>7.5</v>
      </c>
      <c r="M940">
        <v>9</v>
      </c>
      <c r="N940">
        <v>46.65</v>
      </c>
      <c r="O940">
        <v>26679.66</v>
      </c>
      <c r="P940">
        <v>95.49</v>
      </c>
      <c r="Q940">
        <v>204.14</v>
      </c>
      <c r="R940">
        <v>27.92</v>
      </c>
      <c r="S940">
        <v>17.37</v>
      </c>
      <c r="T940">
        <v>3146.87</v>
      </c>
      <c r="U940">
        <v>0.62</v>
      </c>
      <c r="V940">
        <v>0.74</v>
      </c>
      <c r="W940">
        <v>1.1499999999999999</v>
      </c>
      <c r="X940">
        <v>0.2</v>
      </c>
      <c r="Y940">
        <v>1</v>
      </c>
      <c r="Z940">
        <v>10</v>
      </c>
    </row>
    <row r="941" spans="1:26" x14ac:dyDescent="0.3">
      <c r="A941">
        <v>27</v>
      </c>
      <c r="B941">
        <v>105</v>
      </c>
      <c r="C941" t="s">
        <v>26</v>
      </c>
      <c r="D941">
        <v>10.165800000000001</v>
      </c>
      <c r="E941">
        <v>9.84</v>
      </c>
      <c r="F941">
        <v>6.87</v>
      </c>
      <c r="G941">
        <v>41.2</v>
      </c>
      <c r="H941">
        <v>0.64</v>
      </c>
      <c r="I941">
        <v>10</v>
      </c>
      <c r="J941">
        <v>214.83</v>
      </c>
      <c r="K941">
        <v>55.27</v>
      </c>
      <c r="L941">
        <v>7.75</v>
      </c>
      <c r="M941">
        <v>8</v>
      </c>
      <c r="N941">
        <v>46.81</v>
      </c>
      <c r="O941">
        <v>26729.83</v>
      </c>
      <c r="P941">
        <v>94.99</v>
      </c>
      <c r="Q941">
        <v>204.14</v>
      </c>
      <c r="R941">
        <v>27.28</v>
      </c>
      <c r="S941">
        <v>17.37</v>
      </c>
      <c r="T941">
        <v>2833.17</v>
      </c>
      <c r="U941">
        <v>0.64</v>
      </c>
      <c r="V941">
        <v>0.74</v>
      </c>
      <c r="W941">
        <v>1.1499999999999999</v>
      </c>
      <c r="X941">
        <v>0.18</v>
      </c>
      <c r="Y941">
        <v>1</v>
      </c>
      <c r="Z941">
        <v>10</v>
      </c>
    </row>
    <row r="942" spans="1:26" x14ac:dyDescent="0.3">
      <c r="A942">
        <v>28</v>
      </c>
      <c r="B942">
        <v>105</v>
      </c>
      <c r="C942" t="s">
        <v>26</v>
      </c>
      <c r="D942">
        <v>10.1629</v>
      </c>
      <c r="E942">
        <v>9.84</v>
      </c>
      <c r="F942">
        <v>6.87</v>
      </c>
      <c r="G942">
        <v>41.22</v>
      </c>
      <c r="H942">
        <v>0.66</v>
      </c>
      <c r="I942">
        <v>10</v>
      </c>
      <c r="J942">
        <v>215.24</v>
      </c>
      <c r="K942">
        <v>55.27</v>
      </c>
      <c r="L942">
        <v>8</v>
      </c>
      <c r="M942">
        <v>8</v>
      </c>
      <c r="N942">
        <v>46.97</v>
      </c>
      <c r="O942">
        <v>26780.06</v>
      </c>
      <c r="P942">
        <v>95.04</v>
      </c>
      <c r="Q942">
        <v>204.15</v>
      </c>
      <c r="R942">
        <v>27.29</v>
      </c>
      <c r="S942">
        <v>17.37</v>
      </c>
      <c r="T942">
        <v>2836.93</v>
      </c>
      <c r="U942">
        <v>0.64</v>
      </c>
      <c r="V942">
        <v>0.74</v>
      </c>
      <c r="W942">
        <v>1.1499999999999999</v>
      </c>
      <c r="X942">
        <v>0.18</v>
      </c>
      <c r="Y942">
        <v>1</v>
      </c>
      <c r="Z942">
        <v>10</v>
      </c>
    </row>
    <row r="943" spans="1:26" x14ac:dyDescent="0.3">
      <c r="A943">
        <v>29</v>
      </c>
      <c r="B943">
        <v>105</v>
      </c>
      <c r="C943" t="s">
        <v>26</v>
      </c>
      <c r="D943">
        <v>10.1732</v>
      </c>
      <c r="E943">
        <v>9.83</v>
      </c>
      <c r="F943">
        <v>6.86</v>
      </c>
      <c r="G943">
        <v>41.16</v>
      </c>
      <c r="H943">
        <v>0.68</v>
      </c>
      <c r="I943">
        <v>10</v>
      </c>
      <c r="J943">
        <v>215.65</v>
      </c>
      <c r="K943">
        <v>55.27</v>
      </c>
      <c r="L943">
        <v>8.25</v>
      </c>
      <c r="M943">
        <v>8</v>
      </c>
      <c r="N943">
        <v>47.12</v>
      </c>
      <c r="O943">
        <v>26830.34</v>
      </c>
      <c r="P943">
        <v>94.89</v>
      </c>
      <c r="Q943">
        <v>204.14</v>
      </c>
      <c r="R943">
        <v>27.04</v>
      </c>
      <c r="S943">
        <v>17.37</v>
      </c>
      <c r="T943">
        <v>2711.08</v>
      </c>
      <c r="U943">
        <v>0.64</v>
      </c>
      <c r="V943">
        <v>0.74</v>
      </c>
      <c r="W943">
        <v>1.1499999999999999</v>
      </c>
      <c r="X943">
        <v>0.17</v>
      </c>
      <c r="Y943">
        <v>1</v>
      </c>
      <c r="Z943">
        <v>10</v>
      </c>
    </row>
    <row r="944" spans="1:26" x14ac:dyDescent="0.3">
      <c r="A944">
        <v>30</v>
      </c>
      <c r="B944">
        <v>105</v>
      </c>
      <c r="C944" t="s">
        <v>26</v>
      </c>
      <c r="D944">
        <v>10.2287</v>
      </c>
      <c r="E944">
        <v>9.7799999999999994</v>
      </c>
      <c r="F944">
        <v>6.85</v>
      </c>
      <c r="G944">
        <v>45.64</v>
      </c>
      <c r="H944">
        <v>0.7</v>
      </c>
      <c r="I944">
        <v>9</v>
      </c>
      <c r="J944">
        <v>216.05</v>
      </c>
      <c r="K944">
        <v>55.27</v>
      </c>
      <c r="L944">
        <v>8.5</v>
      </c>
      <c r="M944">
        <v>7</v>
      </c>
      <c r="N944">
        <v>47.28</v>
      </c>
      <c r="O944">
        <v>26880.68</v>
      </c>
      <c r="P944">
        <v>94.27</v>
      </c>
      <c r="Q944">
        <v>204.14</v>
      </c>
      <c r="R944">
        <v>26.69</v>
      </c>
      <c r="S944">
        <v>17.37</v>
      </c>
      <c r="T944">
        <v>2540.7399999999998</v>
      </c>
      <c r="U944">
        <v>0.65</v>
      </c>
      <c r="V944">
        <v>0.75</v>
      </c>
      <c r="W944">
        <v>1.1499999999999999</v>
      </c>
      <c r="X944">
        <v>0.16</v>
      </c>
      <c r="Y944">
        <v>1</v>
      </c>
      <c r="Z944">
        <v>10</v>
      </c>
    </row>
    <row r="945" spans="1:26" x14ac:dyDescent="0.3">
      <c r="A945">
        <v>31</v>
      </c>
      <c r="B945">
        <v>105</v>
      </c>
      <c r="C945" t="s">
        <v>26</v>
      </c>
      <c r="D945">
        <v>10.213100000000001</v>
      </c>
      <c r="E945">
        <v>9.7899999999999991</v>
      </c>
      <c r="F945">
        <v>6.86</v>
      </c>
      <c r="G945">
        <v>45.74</v>
      </c>
      <c r="H945">
        <v>0.72</v>
      </c>
      <c r="I945">
        <v>9</v>
      </c>
      <c r="J945">
        <v>216.46</v>
      </c>
      <c r="K945">
        <v>55.27</v>
      </c>
      <c r="L945">
        <v>8.75</v>
      </c>
      <c r="M945">
        <v>7</v>
      </c>
      <c r="N945">
        <v>47.44</v>
      </c>
      <c r="O945">
        <v>26931.07</v>
      </c>
      <c r="P945">
        <v>94.82</v>
      </c>
      <c r="Q945">
        <v>204.14</v>
      </c>
      <c r="R945">
        <v>27.17</v>
      </c>
      <c r="S945">
        <v>17.37</v>
      </c>
      <c r="T945">
        <v>2781.84</v>
      </c>
      <c r="U945">
        <v>0.64</v>
      </c>
      <c r="V945">
        <v>0.74</v>
      </c>
      <c r="W945">
        <v>1.1499999999999999</v>
      </c>
      <c r="X945">
        <v>0.17</v>
      </c>
      <c r="Y945">
        <v>1</v>
      </c>
      <c r="Z945">
        <v>10</v>
      </c>
    </row>
    <row r="946" spans="1:26" x14ac:dyDescent="0.3">
      <c r="A946">
        <v>32</v>
      </c>
      <c r="B946">
        <v>105</v>
      </c>
      <c r="C946" t="s">
        <v>26</v>
      </c>
      <c r="D946">
        <v>10.2189</v>
      </c>
      <c r="E946">
        <v>9.7899999999999991</v>
      </c>
      <c r="F946">
        <v>6.86</v>
      </c>
      <c r="G946">
        <v>45.71</v>
      </c>
      <c r="H946">
        <v>0.74</v>
      </c>
      <c r="I946">
        <v>9</v>
      </c>
      <c r="J946">
        <v>216.87</v>
      </c>
      <c r="K946">
        <v>55.27</v>
      </c>
      <c r="L946">
        <v>9</v>
      </c>
      <c r="M946">
        <v>7</v>
      </c>
      <c r="N946">
        <v>47.6</v>
      </c>
      <c r="O946">
        <v>26981.51</v>
      </c>
      <c r="P946">
        <v>94.66</v>
      </c>
      <c r="Q946">
        <v>204.16</v>
      </c>
      <c r="R946">
        <v>26.99</v>
      </c>
      <c r="S946">
        <v>17.37</v>
      </c>
      <c r="T946">
        <v>2690.72</v>
      </c>
      <c r="U946">
        <v>0.64</v>
      </c>
      <c r="V946">
        <v>0.74</v>
      </c>
      <c r="W946">
        <v>1.1499999999999999</v>
      </c>
      <c r="X946">
        <v>0.16</v>
      </c>
      <c r="Y946">
        <v>1</v>
      </c>
      <c r="Z946">
        <v>10</v>
      </c>
    </row>
    <row r="947" spans="1:26" x14ac:dyDescent="0.3">
      <c r="A947">
        <v>33</v>
      </c>
      <c r="B947">
        <v>105</v>
      </c>
      <c r="C947" t="s">
        <v>26</v>
      </c>
      <c r="D947">
        <v>10.2136</v>
      </c>
      <c r="E947">
        <v>9.7899999999999991</v>
      </c>
      <c r="F947">
        <v>6.86</v>
      </c>
      <c r="G947">
        <v>45.74</v>
      </c>
      <c r="H947">
        <v>0.76</v>
      </c>
      <c r="I947">
        <v>9</v>
      </c>
      <c r="J947">
        <v>217.28</v>
      </c>
      <c r="K947">
        <v>55.27</v>
      </c>
      <c r="L947">
        <v>9.25</v>
      </c>
      <c r="M947">
        <v>7</v>
      </c>
      <c r="N947">
        <v>47.76</v>
      </c>
      <c r="O947">
        <v>27032.02</v>
      </c>
      <c r="P947">
        <v>94.39</v>
      </c>
      <c r="Q947">
        <v>204.15</v>
      </c>
      <c r="R947">
        <v>27.13</v>
      </c>
      <c r="S947">
        <v>17.37</v>
      </c>
      <c r="T947">
        <v>2764.61</v>
      </c>
      <c r="U947">
        <v>0.64</v>
      </c>
      <c r="V947">
        <v>0.74</v>
      </c>
      <c r="W947">
        <v>1.1499999999999999</v>
      </c>
      <c r="X947">
        <v>0.17</v>
      </c>
      <c r="Y947">
        <v>1</v>
      </c>
      <c r="Z947">
        <v>10</v>
      </c>
    </row>
    <row r="948" spans="1:26" x14ac:dyDescent="0.3">
      <c r="A948">
        <v>34</v>
      </c>
      <c r="B948">
        <v>105</v>
      </c>
      <c r="C948" t="s">
        <v>26</v>
      </c>
      <c r="D948">
        <v>10.2209</v>
      </c>
      <c r="E948">
        <v>9.7799999999999994</v>
      </c>
      <c r="F948">
        <v>6.85</v>
      </c>
      <c r="G948">
        <v>45.69</v>
      </c>
      <c r="H948">
        <v>0.78</v>
      </c>
      <c r="I948">
        <v>9</v>
      </c>
      <c r="J948">
        <v>217.69</v>
      </c>
      <c r="K948">
        <v>55.27</v>
      </c>
      <c r="L948">
        <v>9.5</v>
      </c>
      <c r="M948">
        <v>7</v>
      </c>
      <c r="N948">
        <v>47.92</v>
      </c>
      <c r="O948">
        <v>27082.57</v>
      </c>
      <c r="P948">
        <v>94.06</v>
      </c>
      <c r="Q948">
        <v>204.2</v>
      </c>
      <c r="R948">
        <v>26.87</v>
      </c>
      <c r="S948">
        <v>17.37</v>
      </c>
      <c r="T948">
        <v>2634.67</v>
      </c>
      <c r="U948">
        <v>0.65</v>
      </c>
      <c r="V948">
        <v>0.75</v>
      </c>
      <c r="W948">
        <v>1.1499999999999999</v>
      </c>
      <c r="X948">
        <v>0.16</v>
      </c>
      <c r="Y948">
        <v>1</v>
      </c>
      <c r="Z948">
        <v>10</v>
      </c>
    </row>
    <row r="949" spans="1:26" x14ac:dyDescent="0.3">
      <c r="A949">
        <v>35</v>
      </c>
      <c r="B949">
        <v>105</v>
      </c>
      <c r="C949" t="s">
        <v>26</v>
      </c>
      <c r="D949">
        <v>10.2963</v>
      </c>
      <c r="E949">
        <v>9.7100000000000009</v>
      </c>
      <c r="F949">
        <v>6.82</v>
      </c>
      <c r="G949">
        <v>51.17</v>
      </c>
      <c r="H949">
        <v>0.79</v>
      </c>
      <c r="I949">
        <v>8</v>
      </c>
      <c r="J949">
        <v>218.1</v>
      </c>
      <c r="K949">
        <v>55.27</v>
      </c>
      <c r="L949">
        <v>9.75</v>
      </c>
      <c r="M949">
        <v>6</v>
      </c>
      <c r="N949">
        <v>48.08</v>
      </c>
      <c r="O949">
        <v>27133.18</v>
      </c>
      <c r="P949">
        <v>93.49</v>
      </c>
      <c r="Q949">
        <v>204.14</v>
      </c>
      <c r="R949">
        <v>25.93</v>
      </c>
      <c r="S949">
        <v>17.37</v>
      </c>
      <c r="T949">
        <v>2167.92</v>
      </c>
      <c r="U949">
        <v>0.67</v>
      </c>
      <c r="V949">
        <v>0.75</v>
      </c>
      <c r="W949">
        <v>1.1499999999999999</v>
      </c>
      <c r="X949">
        <v>0.13</v>
      </c>
      <c r="Y949">
        <v>1</v>
      </c>
      <c r="Z949">
        <v>10</v>
      </c>
    </row>
    <row r="950" spans="1:26" x14ac:dyDescent="0.3">
      <c r="A950">
        <v>36</v>
      </c>
      <c r="B950">
        <v>105</v>
      </c>
      <c r="C950" t="s">
        <v>26</v>
      </c>
      <c r="D950">
        <v>10.299799999999999</v>
      </c>
      <c r="E950">
        <v>9.7100000000000009</v>
      </c>
      <c r="F950">
        <v>6.82</v>
      </c>
      <c r="G950">
        <v>51.15</v>
      </c>
      <c r="H950">
        <v>0.81</v>
      </c>
      <c r="I950">
        <v>8</v>
      </c>
      <c r="J950">
        <v>218.51</v>
      </c>
      <c r="K950">
        <v>55.27</v>
      </c>
      <c r="L950">
        <v>10</v>
      </c>
      <c r="M950">
        <v>6</v>
      </c>
      <c r="N950">
        <v>48.24</v>
      </c>
      <c r="O950">
        <v>27183.85</v>
      </c>
      <c r="P950">
        <v>93.24</v>
      </c>
      <c r="Q950">
        <v>204.14</v>
      </c>
      <c r="R950">
        <v>25.87</v>
      </c>
      <c r="S950">
        <v>17.37</v>
      </c>
      <c r="T950">
        <v>2136.41</v>
      </c>
      <c r="U950">
        <v>0.67</v>
      </c>
      <c r="V950">
        <v>0.75</v>
      </c>
      <c r="W950">
        <v>1.1499999999999999</v>
      </c>
      <c r="X950">
        <v>0.13</v>
      </c>
      <c r="Y950">
        <v>1</v>
      </c>
      <c r="Z950">
        <v>10</v>
      </c>
    </row>
    <row r="951" spans="1:26" x14ac:dyDescent="0.3">
      <c r="A951">
        <v>37</v>
      </c>
      <c r="B951">
        <v>105</v>
      </c>
      <c r="C951" t="s">
        <v>26</v>
      </c>
      <c r="D951">
        <v>10.288399999999999</v>
      </c>
      <c r="E951">
        <v>9.7200000000000006</v>
      </c>
      <c r="F951">
        <v>6.83</v>
      </c>
      <c r="G951">
        <v>51.23</v>
      </c>
      <c r="H951">
        <v>0.83</v>
      </c>
      <c r="I951">
        <v>8</v>
      </c>
      <c r="J951">
        <v>218.92</v>
      </c>
      <c r="K951">
        <v>55.27</v>
      </c>
      <c r="L951">
        <v>10.25</v>
      </c>
      <c r="M951">
        <v>6</v>
      </c>
      <c r="N951">
        <v>48.4</v>
      </c>
      <c r="O951">
        <v>27234.57</v>
      </c>
      <c r="P951">
        <v>93.16</v>
      </c>
      <c r="Q951">
        <v>204.15</v>
      </c>
      <c r="R951">
        <v>26.27</v>
      </c>
      <c r="S951">
        <v>17.37</v>
      </c>
      <c r="T951">
        <v>2335.9499999999998</v>
      </c>
      <c r="U951">
        <v>0.66</v>
      </c>
      <c r="V951">
        <v>0.75</v>
      </c>
      <c r="W951">
        <v>1.1499999999999999</v>
      </c>
      <c r="X951">
        <v>0.14000000000000001</v>
      </c>
      <c r="Y951">
        <v>1</v>
      </c>
      <c r="Z951">
        <v>10</v>
      </c>
    </row>
    <row r="952" spans="1:26" x14ac:dyDescent="0.3">
      <c r="A952">
        <v>38</v>
      </c>
      <c r="B952">
        <v>105</v>
      </c>
      <c r="C952" t="s">
        <v>26</v>
      </c>
      <c r="D952">
        <v>10.2913</v>
      </c>
      <c r="E952">
        <v>9.7200000000000006</v>
      </c>
      <c r="F952">
        <v>6.83</v>
      </c>
      <c r="G952">
        <v>51.21</v>
      </c>
      <c r="H952">
        <v>0.85</v>
      </c>
      <c r="I952">
        <v>8</v>
      </c>
      <c r="J952">
        <v>219.33</v>
      </c>
      <c r="K952">
        <v>55.27</v>
      </c>
      <c r="L952">
        <v>10.5</v>
      </c>
      <c r="M952">
        <v>6</v>
      </c>
      <c r="N952">
        <v>48.56</v>
      </c>
      <c r="O952">
        <v>27285.35</v>
      </c>
      <c r="P952">
        <v>93.09</v>
      </c>
      <c r="Q952">
        <v>204.14</v>
      </c>
      <c r="R952">
        <v>26.12</v>
      </c>
      <c r="S952">
        <v>17.37</v>
      </c>
      <c r="T952">
        <v>2260.65</v>
      </c>
      <c r="U952">
        <v>0.67</v>
      </c>
      <c r="V952">
        <v>0.75</v>
      </c>
      <c r="W952">
        <v>1.1499999999999999</v>
      </c>
      <c r="X952">
        <v>0.14000000000000001</v>
      </c>
      <c r="Y952">
        <v>1</v>
      </c>
      <c r="Z952">
        <v>10</v>
      </c>
    </row>
    <row r="953" spans="1:26" x14ac:dyDescent="0.3">
      <c r="A953">
        <v>39</v>
      </c>
      <c r="B953">
        <v>105</v>
      </c>
      <c r="C953" t="s">
        <v>26</v>
      </c>
      <c r="D953">
        <v>10.290699999999999</v>
      </c>
      <c r="E953">
        <v>9.7200000000000006</v>
      </c>
      <c r="F953">
        <v>6.83</v>
      </c>
      <c r="G953">
        <v>51.21</v>
      </c>
      <c r="H953">
        <v>0.87</v>
      </c>
      <c r="I953">
        <v>8</v>
      </c>
      <c r="J953">
        <v>219.75</v>
      </c>
      <c r="K953">
        <v>55.27</v>
      </c>
      <c r="L953">
        <v>10.75</v>
      </c>
      <c r="M953">
        <v>6</v>
      </c>
      <c r="N953">
        <v>48.72</v>
      </c>
      <c r="O953">
        <v>27336.19</v>
      </c>
      <c r="P953">
        <v>92.88</v>
      </c>
      <c r="Q953">
        <v>204.14</v>
      </c>
      <c r="R953">
        <v>26.09</v>
      </c>
      <c r="S953">
        <v>17.37</v>
      </c>
      <c r="T953">
        <v>2248.84</v>
      </c>
      <c r="U953">
        <v>0.67</v>
      </c>
      <c r="V953">
        <v>0.75</v>
      </c>
      <c r="W953">
        <v>1.1499999999999999</v>
      </c>
      <c r="X953">
        <v>0.14000000000000001</v>
      </c>
      <c r="Y953">
        <v>1</v>
      </c>
      <c r="Z953">
        <v>10</v>
      </c>
    </row>
    <row r="954" spans="1:26" x14ac:dyDescent="0.3">
      <c r="A954">
        <v>40</v>
      </c>
      <c r="B954">
        <v>105</v>
      </c>
      <c r="C954" t="s">
        <v>26</v>
      </c>
      <c r="D954">
        <v>10.363</v>
      </c>
      <c r="E954">
        <v>9.65</v>
      </c>
      <c r="F954">
        <v>6.8</v>
      </c>
      <c r="G954">
        <v>58.3</v>
      </c>
      <c r="H954">
        <v>0.89</v>
      </c>
      <c r="I954">
        <v>7</v>
      </c>
      <c r="J954">
        <v>220.16</v>
      </c>
      <c r="K954">
        <v>55.27</v>
      </c>
      <c r="L954">
        <v>11</v>
      </c>
      <c r="M954">
        <v>5</v>
      </c>
      <c r="N954">
        <v>48.89</v>
      </c>
      <c r="O954">
        <v>27387.08</v>
      </c>
      <c r="P954">
        <v>92.12</v>
      </c>
      <c r="Q954">
        <v>204.16</v>
      </c>
      <c r="R954">
        <v>25.26</v>
      </c>
      <c r="S954">
        <v>17.37</v>
      </c>
      <c r="T954">
        <v>1836.44</v>
      </c>
      <c r="U954">
        <v>0.69</v>
      </c>
      <c r="V954">
        <v>0.75</v>
      </c>
      <c r="W954">
        <v>1.1499999999999999</v>
      </c>
      <c r="X954">
        <v>0.11</v>
      </c>
      <c r="Y954">
        <v>1</v>
      </c>
      <c r="Z954">
        <v>10</v>
      </c>
    </row>
    <row r="955" spans="1:26" x14ac:dyDescent="0.3">
      <c r="A955">
        <v>41</v>
      </c>
      <c r="B955">
        <v>105</v>
      </c>
      <c r="C955" t="s">
        <v>26</v>
      </c>
      <c r="D955">
        <v>10.365399999999999</v>
      </c>
      <c r="E955">
        <v>9.65</v>
      </c>
      <c r="F955">
        <v>6.8</v>
      </c>
      <c r="G955">
        <v>58.28</v>
      </c>
      <c r="H955">
        <v>0.91</v>
      </c>
      <c r="I955">
        <v>7</v>
      </c>
      <c r="J955">
        <v>220.57</v>
      </c>
      <c r="K955">
        <v>55.27</v>
      </c>
      <c r="L955">
        <v>11.25</v>
      </c>
      <c r="M955">
        <v>5</v>
      </c>
      <c r="N955">
        <v>49.05</v>
      </c>
      <c r="O955">
        <v>27438.03</v>
      </c>
      <c r="P955">
        <v>92.31</v>
      </c>
      <c r="Q955">
        <v>204.15</v>
      </c>
      <c r="R955">
        <v>25.26</v>
      </c>
      <c r="S955">
        <v>17.37</v>
      </c>
      <c r="T955">
        <v>1836.68</v>
      </c>
      <c r="U955">
        <v>0.69</v>
      </c>
      <c r="V955">
        <v>0.75</v>
      </c>
      <c r="W955">
        <v>1.1399999999999999</v>
      </c>
      <c r="X955">
        <v>0.11</v>
      </c>
      <c r="Y955">
        <v>1</v>
      </c>
      <c r="Z955">
        <v>10</v>
      </c>
    </row>
    <row r="956" spans="1:26" x14ac:dyDescent="0.3">
      <c r="A956">
        <v>42</v>
      </c>
      <c r="B956">
        <v>105</v>
      </c>
      <c r="C956" t="s">
        <v>26</v>
      </c>
      <c r="D956">
        <v>10.3588</v>
      </c>
      <c r="E956">
        <v>9.65</v>
      </c>
      <c r="F956">
        <v>6.8</v>
      </c>
      <c r="G956">
        <v>58.33</v>
      </c>
      <c r="H956">
        <v>0.92</v>
      </c>
      <c r="I956">
        <v>7</v>
      </c>
      <c r="J956">
        <v>220.99</v>
      </c>
      <c r="K956">
        <v>55.27</v>
      </c>
      <c r="L956">
        <v>11.5</v>
      </c>
      <c r="M956">
        <v>5</v>
      </c>
      <c r="N956">
        <v>49.21</v>
      </c>
      <c r="O956">
        <v>27489.03</v>
      </c>
      <c r="P956">
        <v>92.59</v>
      </c>
      <c r="Q956">
        <v>204.17</v>
      </c>
      <c r="R956">
        <v>25.33</v>
      </c>
      <c r="S956">
        <v>17.37</v>
      </c>
      <c r="T956">
        <v>1873.1</v>
      </c>
      <c r="U956">
        <v>0.69</v>
      </c>
      <c r="V956">
        <v>0.75</v>
      </c>
      <c r="W956">
        <v>1.1499999999999999</v>
      </c>
      <c r="X956">
        <v>0.11</v>
      </c>
      <c r="Y956">
        <v>1</v>
      </c>
      <c r="Z956">
        <v>10</v>
      </c>
    </row>
    <row r="957" spans="1:26" x14ac:dyDescent="0.3">
      <c r="A957">
        <v>43</v>
      </c>
      <c r="B957">
        <v>105</v>
      </c>
      <c r="C957" t="s">
        <v>26</v>
      </c>
      <c r="D957">
        <v>10.351699999999999</v>
      </c>
      <c r="E957">
        <v>9.66</v>
      </c>
      <c r="F957">
        <v>6.81</v>
      </c>
      <c r="G957">
        <v>58.39</v>
      </c>
      <c r="H957">
        <v>0.94</v>
      </c>
      <c r="I957">
        <v>7</v>
      </c>
      <c r="J957">
        <v>221.4</v>
      </c>
      <c r="K957">
        <v>55.27</v>
      </c>
      <c r="L957">
        <v>11.75</v>
      </c>
      <c r="M957">
        <v>5</v>
      </c>
      <c r="N957">
        <v>49.38</v>
      </c>
      <c r="O957">
        <v>27540.09</v>
      </c>
      <c r="P957">
        <v>92.52</v>
      </c>
      <c r="Q957">
        <v>204.14</v>
      </c>
      <c r="R957">
        <v>25.63</v>
      </c>
      <c r="S957">
        <v>17.37</v>
      </c>
      <c r="T957">
        <v>2020.78</v>
      </c>
      <c r="U957">
        <v>0.68</v>
      </c>
      <c r="V957">
        <v>0.75</v>
      </c>
      <c r="W957">
        <v>1.1499999999999999</v>
      </c>
      <c r="X957">
        <v>0.12</v>
      </c>
      <c r="Y957">
        <v>1</v>
      </c>
      <c r="Z957">
        <v>10</v>
      </c>
    </row>
    <row r="958" spans="1:26" x14ac:dyDescent="0.3">
      <c r="A958">
        <v>44</v>
      </c>
      <c r="B958">
        <v>105</v>
      </c>
      <c r="C958" t="s">
        <v>26</v>
      </c>
      <c r="D958">
        <v>10.351699999999999</v>
      </c>
      <c r="E958">
        <v>9.66</v>
      </c>
      <c r="F958">
        <v>6.81</v>
      </c>
      <c r="G958">
        <v>58.39</v>
      </c>
      <c r="H958">
        <v>0.96</v>
      </c>
      <c r="I958">
        <v>7</v>
      </c>
      <c r="J958">
        <v>221.81</v>
      </c>
      <c r="K958">
        <v>55.27</v>
      </c>
      <c r="L958">
        <v>12</v>
      </c>
      <c r="M958">
        <v>5</v>
      </c>
      <c r="N958">
        <v>49.54</v>
      </c>
      <c r="O958">
        <v>27591.21</v>
      </c>
      <c r="P958">
        <v>92.48</v>
      </c>
      <c r="Q958">
        <v>204.14</v>
      </c>
      <c r="R958">
        <v>25.55</v>
      </c>
      <c r="S958">
        <v>17.37</v>
      </c>
      <c r="T958">
        <v>1984.17</v>
      </c>
      <c r="U958">
        <v>0.68</v>
      </c>
      <c r="V958">
        <v>0.75</v>
      </c>
      <c r="W958">
        <v>1.1499999999999999</v>
      </c>
      <c r="X958">
        <v>0.12</v>
      </c>
      <c r="Y958">
        <v>1</v>
      </c>
      <c r="Z958">
        <v>10</v>
      </c>
    </row>
    <row r="959" spans="1:26" x14ac:dyDescent="0.3">
      <c r="A959">
        <v>45</v>
      </c>
      <c r="B959">
        <v>105</v>
      </c>
      <c r="C959" t="s">
        <v>26</v>
      </c>
      <c r="D959">
        <v>10.351699999999999</v>
      </c>
      <c r="E959">
        <v>9.66</v>
      </c>
      <c r="F959">
        <v>6.81</v>
      </c>
      <c r="G959">
        <v>58.39</v>
      </c>
      <c r="H959">
        <v>0.98</v>
      </c>
      <c r="I959">
        <v>7</v>
      </c>
      <c r="J959">
        <v>222.23</v>
      </c>
      <c r="K959">
        <v>55.27</v>
      </c>
      <c r="L959">
        <v>12.25</v>
      </c>
      <c r="M959">
        <v>5</v>
      </c>
      <c r="N959">
        <v>49.71</v>
      </c>
      <c r="O959">
        <v>27642.51</v>
      </c>
      <c r="P959">
        <v>92.21</v>
      </c>
      <c r="Q959">
        <v>204.14</v>
      </c>
      <c r="R959">
        <v>25.66</v>
      </c>
      <c r="S959">
        <v>17.37</v>
      </c>
      <c r="T959">
        <v>2037.23</v>
      </c>
      <c r="U959">
        <v>0.68</v>
      </c>
      <c r="V959">
        <v>0.75</v>
      </c>
      <c r="W959">
        <v>1.1499999999999999</v>
      </c>
      <c r="X959">
        <v>0.12</v>
      </c>
      <c r="Y959">
        <v>1</v>
      </c>
      <c r="Z959">
        <v>10</v>
      </c>
    </row>
    <row r="960" spans="1:26" x14ac:dyDescent="0.3">
      <c r="A960">
        <v>46</v>
      </c>
      <c r="B960">
        <v>105</v>
      </c>
      <c r="C960" t="s">
        <v>26</v>
      </c>
      <c r="D960">
        <v>10.3451</v>
      </c>
      <c r="E960">
        <v>9.67</v>
      </c>
      <c r="F960">
        <v>6.82</v>
      </c>
      <c r="G960">
        <v>58.44</v>
      </c>
      <c r="H960">
        <v>1</v>
      </c>
      <c r="I960">
        <v>7</v>
      </c>
      <c r="J960">
        <v>222.65</v>
      </c>
      <c r="K960">
        <v>55.27</v>
      </c>
      <c r="L960">
        <v>12.5</v>
      </c>
      <c r="M960">
        <v>5</v>
      </c>
      <c r="N960">
        <v>49.87</v>
      </c>
      <c r="O960">
        <v>27693.75</v>
      </c>
      <c r="P960">
        <v>92.01</v>
      </c>
      <c r="Q960">
        <v>204.15</v>
      </c>
      <c r="R960">
        <v>25.81</v>
      </c>
      <c r="S960">
        <v>17.37</v>
      </c>
      <c r="T960">
        <v>2110.02</v>
      </c>
      <c r="U960">
        <v>0.67</v>
      </c>
      <c r="V960">
        <v>0.75</v>
      </c>
      <c r="W960">
        <v>1.1499999999999999</v>
      </c>
      <c r="X960">
        <v>0.13</v>
      </c>
      <c r="Y960">
        <v>1</v>
      </c>
      <c r="Z960">
        <v>10</v>
      </c>
    </row>
    <row r="961" spans="1:26" x14ac:dyDescent="0.3">
      <c r="A961">
        <v>47</v>
      </c>
      <c r="B961">
        <v>105</v>
      </c>
      <c r="C961" t="s">
        <v>26</v>
      </c>
      <c r="D961">
        <v>10.3514</v>
      </c>
      <c r="E961">
        <v>9.66</v>
      </c>
      <c r="F961">
        <v>6.81</v>
      </c>
      <c r="G961">
        <v>58.39</v>
      </c>
      <c r="H961">
        <v>1.02</v>
      </c>
      <c r="I961">
        <v>7</v>
      </c>
      <c r="J961">
        <v>223.06</v>
      </c>
      <c r="K961">
        <v>55.27</v>
      </c>
      <c r="L961">
        <v>12.75</v>
      </c>
      <c r="M961">
        <v>5</v>
      </c>
      <c r="N961">
        <v>50.04</v>
      </c>
      <c r="O961">
        <v>27745.040000000001</v>
      </c>
      <c r="P961">
        <v>91.68</v>
      </c>
      <c r="Q961">
        <v>204.14</v>
      </c>
      <c r="R961">
        <v>25.66</v>
      </c>
      <c r="S961">
        <v>17.37</v>
      </c>
      <c r="T961">
        <v>2036.58</v>
      </c>
      <c r="U961">
        <v>0.68</v>
      </c>
      <c r="V961">
        <v>0.75</v>
      </c>
      <c r="W961">
        <v>1.1499999999999999</v>
      </c>
      <c r="X961">
        <v>0.12</v>
      </c>
      <c r="Y961">
        <v>1</v>
      </c>
      <c r="Z961">
        <v>10</v>
      </c>
    </row>
    <row r="962" spans="1:26" x14ac:dyDescent="0.3">
      <c r="A962">
        <v>48</v>
      </c>
      <c r="B962">
        <v>105</v>
      </c>
      <c r="C962" t="s">
        <v>26</v>
      </c>
      <c r="D962">
        <v>10.355499999999999</v>
      </c>
      <c r="E962">
        <v>9.66</v>
      </c>
      <c r="F962">
        <v>6.81</v>
      </c>
      <c r="G962">
        <v>58.35</v>
      </c>
      <c r="H962">
        <v>1.03</v>
      </c>
      <c r="I962">
        <v>7</v>
      </c>
      <c r="J962">
        <v>223.48</v>
      </c>
      <c r="K962">
        <v>55.27</v>
      </c>
      <c r="L962">
        <v>13</v>
      </c>
      <c r="M962">
        <v>5</v>
      </c>
      <c r="N962">
        <v>50.21</v>
      </c>
      <c r="O962">
        <v>27796.39</v>
      </c>
      <c r="P962">
        <v>91.3</v>
      </c>
      <c r="Q962">
        <v>204.15</v>
      </c>
      <c r="R962">
        <v>25.39</v>
      </c>
      <c r="S962">
        <v>17.37</v>
      </c>
      <c r="T962">
        <v>1902.09</v>
      </c>
      <c r="U962">
        <v>0.68</v>
      </c>
      <c r="V962">
        <v>0.75</v>
      </c>
      <c r="W962">
        <v>1.1499999999999999</v>
      </c>
      <c r="X962">
        <v>0.12</v>
      </c>
      <c r="Y962">
        <v>1</v>
      </c>
      <c r="Z962">
        <v>10</v>
      </c>
    </row>
    <row r="963" spans="1:26" x14ac:dyDescent="0.3">
      <c r="A963">
        <v>49</v>
      </c>
      <c r="B963">
        <v>105</v>
      </c>
      <c r="C963" t="s">
        <v>26</v>
      </c>
      <c r="D963">
        <v>10.4251</v>
      </c>
      <c r="E963">
        <v>9.59</v>
      </c>
      <c r="F963">
        <v>6.78</v>
      </c>
      <c r="G963">
        <v>67.84</v>
      </c>
      <c r="H963">
        <v>1.05</v>
      </c>
      <c r="I963">
        <v>6</v>
      </c>
      <c r="J963">
        <v>223.89</v>
      </c>
      <c r="K963">
        <v>55.27</v>
      </c>
      <c r="L963">
        <v>13.25</v>
      </c>
      <c r="M963">
        <v>4</v>
      </c>
      <c r="N963">
        <v>50.37</v>
      </c>
      <c r="O963">
        <v>27847.8</v>
      </c>
      <c r="P963">
        <v>90.94</v>
      </c>
      <c r="Q963">
        <v>204.14</v>
      </c>
      <c r="R963">
        <v>24.64</v>
      </c>
      <c r="S963">
        <v>17.37</v>
      </c>
      <c r="T963">
        <v>1534.06</v>
      </c>
      <c r="U963">
        <v>0.71</v>
      </c>
      <c r="V963">
        <v>0.75</v>
      </c>
      <c r="W963">
        <v>1.1499999999999999</v>
      </c>
      <c r="X963">
        <v>0.09</v>
      </c>
      <c r="Y963">
        <v>1</v>
      </c>
      <c r="Z963">
        <v>10</v>
      </c>
    </row>
    <row r="964" spans="1:26" x14ac:dyDescent="0.3">
      <c r="A964">
        <v>50</v>
      </c>
      <c r="B964">
        <v>105</v>
      </c>
      <c r="C964" t="s">
        <v>26</v>
      </c>
      <c r="D964">
        <v>10.418799999999999</v>
      </c>
      <c r="E964">
        <v>9.6</v>
      </c>
      <c r="F964">
        <v>6.79</v>
      </c>
      <c r="G964">
        <v>67.900000000000006</v>
      </c>
      <c r="H964">
        <v>1.07</v>
      </c>
      <c r="I964">
        <v>6</v>
      </c>
      <c r="J964">
        <v>224.31</v>
      </c>
      <c r="K964">
        <v>55.27</v>
      </c>
      <c r="L964">
        <v>13.5</v>
      </c>
      <c r="M964">
        <v>4</v>
      </c>
      <c r="N964">
        <v>50.54</v>
      </c>
      <c r="O964">
        <v>27899.27</v>
      </c>
      <c r="P964">
        <v>90.97</v>
      </c>
      <c r="Q964">
        <v>204.14</v>
      </c>
      <c r="R964">
        <v>24.85</v>
      </c>
      <c r="S964">
        <v>17.37</v>
      </c>
      <c r="T964">
        <v>1637.7</v>
      </c>
      <c r="U964">
        <v>0.7</v>
      </c>
      <c r="V964">
        <v>0.75</v>
      </c>
      <c r="W964">
        <v>1.1499999999999999</v>
      </c>
      <c r="X964">
        <v>0.1</v>
      </c>
      <c r="Y964">
        <v>1</v>
      </c>
      <c r="Z964">
        <v>10</v>
      </c>
    </row>
    <row r="965" spans="1:26" x14ac:dyDescent="0.3">
      <c r="A965">
        <v>51</v>
      </c>
      <c r="B965">
        <v>105</v>
      </c>
      <c r="C965" t="s">
        <v>26</v>
      </c>
      <c r="D965">
        <v>10.421200000000001</v>
      </c>
      <c r="E965">
        <v>9.6</v>
      </c>
      <c r="F965">
        <v>6.79</v>
      </c>
      <c r="G965">
        <v>67.88</v>
      </c>
      <c r="H965">
        <v>1.0900000000000001</v>
      </c>
      <c r="I965">
        <v>6</v>
      </c>
      <c r="J965">
        <v>224.73</v>
      </c>
      <c r="K965">
        <v>55.27</v>
      </c>
      <c r="L965">
        <v>13.75</v>
      </c>
      <c r="M965">
        <v>4</v>
      </c>
      <c r="N965">
        <v>50.71</v>
      </c>
      <c r="O965">
        <v>27950.799999999999</v>
      </c>
      <c r="P965">
        <v>91.08</v>
      </c>
      <c r="Q965">
        <v>204.14</v>
      </c>
      <c r="R965">
        <v>24.87</v>
      </c>
      <c r="S965">
        <v>17.37</v>
      </c>
      <c r="T965">
        <v>1647.08</v>
      </c>
      <c r="U965">
        <v>0.7</v>
      </c>
      <c r="V965">
        <v>0.75</v>
      </c>
      <c r="W965">
        <v>1.1499999999999999</v>
      </c>
      <c r="X965">
        <v>0.1</v>
      </c>
      <c r="Y965">
        <v>1</v>
      </c>
      <c r="Z965">
        <v>10</v>
      </c>
    </row>
    <row r="966" spans="1:26" x14ac:dyDescent="0.3">
      <c r="A966">
        <v>52</v>
      </c>
      <c r="B966">
        <v>105</v>
      </c>
      <c r="C966" t="s">
        <v>26</v>
      </c>
      <c r="D966">
        <v>10.420299999999999</v>
      </c>
      <c r="E966">
        <v>9.6</v>
      </c>
      <c r="F966">
        <v>6.79</v>
      </c>
      <c r="G966">
        <v>67.89</v>
      </c>
      <c r="H966">
        <v>1.1100000000000001</v>
      </c>
      <c r="I966">
        <v>6</v>
      </c>
      <c r="J966">
        <v>225.15</v>
      </c>
      <c r="K966">
        <v>55.27</v>
      </c>
      <c r="L966">
        <v>14</v>
      </c>
      <c r="M966">
        <v>4</v>
      </c>
      <c r="N966">
        <v>50.88</v>
      </c>
      <c r="O966">
        <v>28002.38</v>
      </c>
      <c r="P966">
        <v>91.07</v>
      </c>
      <c r="Q966">
        <v>204.14</v>
      </c>
      <c r="R966">
        <v>24.98</v>
      </c>
      <c r="S966">
        <v>17.37</v>
      </c>
      <c r="T966">
        <v>1702.03</v>
      </c>
      <c r="U966">
        <v>0.7</v>
      </c>
      <c r="V966">
        <v>0.75</v>
      </c>
      <c r="W966">
        <v>1.1399999999999999</v>
      </c>
      <c r="X966">
        <v>0.1</v>
      </c>
      <c r="Y966">
        <v>1</v>
      </c>
      <c r="Z966">
        <v>10</v>
      </c>
    </row>
    <row r="967" spans="1:26" x14ac:dyDescent="0.3">
      <c r="A967">
        <v>53</v>
      </c>
      <c r="B967">
        <v>105</v>
      </c>
      <c r="C967" t="s">
        <v>26</v>
      </c>
      <c r="D967">
        <v>10.429600000000001</v>
      </c>
      <c r="E967">
        <v>9.59</v>
      </c>
      <c r="F967">
        <v>6.78</v>
      </c>
      <c r="G967">
        <v>67.8</v>
      </c>
      <c r="H967">
        <v>1.1200000000000001</v>
      </c>
      <c r="I967">
        <v>6</v>
      </c>
      <c r="J967">
        <v>225.57</v>
      </c>
      <c r="K967">
        <v>55.27</v>
      </c>
      <c r="L967">
        <v>14.25</v>
      </c>
      <c r="M967">
        <v>4</v>
      </c>
      <c r="N967">
        <v>51.04</v>
      </c>
      <c r="O967">
        <v>28054.03</v>
      </c>
      <c r="P967">
        <v>90.85</v>
      </c>
      <c r="Q967">
        <v>204.14</v>
      </c>
      <c r="R967">
        <v>24.61</v>
      </c>
      <c r="S967">
        <v>17.37</v>
      </c>
      <c r="T967">
        <v>1518.49</v>
      </c>
      <c r="U967">
        <v>0.71</v>
      </c>
      <c r="V967">
        <v>0.75</v>
      </c>
      <c r="W967">
        <v>1.1399999999999999</v>
      </c>
      <c r="X967">
        <v>0.09</v>
      </c>
      <c r="Y967">
        <v>1</v>
      </c>
      <c r="Z967">
        <v>10</v>
      </c>
    </row>
    <row r="968" spans="1:26" x14ac:dyDescent="0.3">
      <c r="A968">
        <v>54</v>
      </c>
      <c r="B968">
        <v>105</v>
      </c>
      <c r="C968" t="s">
        <v>26</v>
      </c>
      <c r="D968">
        <v>10.424799999999999</v>
      </c>
      <c r="E968">
        <v>9.59</v>
      </c>
      <c r="F968">
        <v>6.78</v>
      </c>
      <c r="G968">
        <v>67.84</v>
      </c>
      <c r="H968">
        <v>1.1399999999999999</v>
      </c>
      <c r="I968">
        <v>6</v>
      </c>
      <c r="J968">
        <v>225.99</v>
      </c>
      <c r="K968">
        <v>55.27</v>
      </c>
      <c r="L968">
        <v>14.5</v>
      </c>
      <c r="M968">
        <v>4</v>
      </c>
      <c r="N968">
        <v>51.21</v>
      </c>
      <c r="O968">
        <v>28105.73</v>
      </c>
      <c r="P968">
        <v>90.6</v>
      </c>
      <c r="Q968">
        <v>204.14</v>
      </c>
      <c r="R968">
        <v>24.75</v>
      </c>
      <c r="S968">
        <v>17.37</v>
      </c>
      <c r="T968">
        <v>1584.99</v>
      </c>
      <c r="U968">
        <v>0.7</v>
      </c>
      <c r="V968">
        <v>0.75</v>
      </c>
      <c r="W968">
        <v>1.1499999999999999</v>
      </c>
      <c r="X968">
        <v>0.09</v>
      </c>
      <c r="Y968">
        <v>1</v>
      </c>
      <c r="Z968">
        <v>10</v>
      </c>
    </row>
    <row r="969" spans="1:26" x14ac:dyDescent="0.3">
      <c r="A969">
        <v>55</v>
      </c>
      <c r="B969">
        <v>105</v>
      </c>
      <c r="C969" t="s">
        <v>26</v>
      </c>
      <c r="D969">
        <v>10.415800000000001</v>
      </c>
      <c r="E969">
        <v>9.6</v>
      </c>
      <c r="F969">
        <v>6.79</v>
      </c>
      <c r="G969">
        <v>67.930000000000007</v>
      </c>
      <c r="H969">
        <v>1.1599999999999999</v>
      </c>
      <c r="I969">
        <v>6</v>
      </c>
      <c r="J969">
        <v>226.41</v>
      </c>
      <c r="K969">
        <v>55.27</v>
      </c>
      <c r="L969">
        <v>14.75</v>
      </c>
      <c r="M969">
        <v>4</v>
      </c>
      <c r="N969">
        <v>51.38</v>
      </c>
      <c r="O969">
        <v>28157.49</v>
      </c>
      <c r="P969">
        <v>90.62</v>
      </c>
      <c r="Q969">
        <v>204.16</v>
      </c>
      <c r="R969">
        <v>24.98</v>
      </c>
      <c r="S969">
        <v>17.37</v>
      </c>
      <c r="T969">
        <v>1700.51</v>
      </c>
      <c r="U969">
        <v>0.7</v>
      </c>
      <c r="V969">
        <v>0.75</v>
      </c>
      <c r="W969">
        <v>1.1499999999999999</v>
      </c>
      <c r="X969">
        <v>0.1</v>
      </c>
      <c r="Y969">
        <v>1</v>
      </c>
      <c r="Z969">
        <v>10</v>
      </c>
    </row>
    <row r="970" spans="1:26" x14ac:dyDescent="0.3">
      <c r="A970">
        <v>56</v>
      </c>
      <c r="B970">
        <v>105</v>
      </c>
      <c r="C970" t="s">
        <v>26</v>
      </c>
      <c r="D970">
        <v>10.4176</v>
      </c>
      <c r="E970">
        <v>9.6</v>
      </c>
      <c r="F970">
        <v>6.79</v>
      </c>
      <c r="G970">
        <v>67.91</v>
      </c>
      <c r="H970">
        <v>1.18</v>
      </c>
      <c r="I970">
        <v>6</v>
      </c>
      <c r="J970">
        <v>226.83</v>
      </c>
      <c r="K970">
        <v>55.27</v>
      </c>
      <c r="L970">
        <v>15</v>
      </c>
      <c r="M970">
        <v>4</v>
      </c>
      <c r="N970">
        <v>51.55</v>
      </c>
      <c r="O970">
        <v>28209.31</v>
      </c>
      <c r="P970">
        <v>90.32</v>
      </c>
      <c r="Q970">
        <v>204.14</v>
      </c>
      <c r="R970">
        <v>24.95</v>
      </c>
      <c r="S970">
        <v>17.37</v>
      </c>
      <c r="T970">
        <v>1685.18</v>
      </c>
      <c r="U970">
        <v>0.7</v>
      </c>
      <c r="V970">
        <v>0.75</v>
      </c>
      <c r="W970">
        <v>1.1499999999999999</v>
      </c>
      <c r="X970">
        <v>0.1</v>
      </c>
      <c r="Y970">
        <v>1</v>
      </c>
      <c r="Z970">
        <v>10</v>
      </c>
    </row>
    <row r="971" spans="1:26" x14ac:dyDescent="0.3">
      <c r="A971">
        <v>57</v>
      </c>
      <c r="B971">
        <v>105</v>
      </c>
      <c r="C971" t="s">
        <v>26</v>
      </c>
      <c r="D971">
        <v>10.418799999999999</v>
      </c>
      <c r="E971">
        <v>9.6</v>
      </c>
      <c r="F971">
        <v>6.79</v>
      </c>
      <c r="G971">
        <v>67.900000000000006</v>
      </c>
      <c r="H971">
        <v>1.19</v>
      </c>
      <c r="I971">
        <v>6</v>
      </c>
      <c r="J971">
        <v>227.25</v>
      </c>
      <c r="K971">
        <v>55.27</v>
      </c>
      <c r="L971">
        <v>15.25</v>
      </c>
      <c r="M971">
        <v>4</v>
      </c>
      <c r="N971">
        <v>51.72</v>
      </c>
      <c r="O971">
        <v>28261.200000000001</v>
      </c>
      <c r="P971">
        <v>90.06</v>
      </c>
      <c r="Q971">
        <v>204.14</v>
      </c>
      <c r="R971">
        <v>24.91</v>
      </c>
      <c r="S971">
        <v>17.37</v>
      </c>
      <c r="T971">
        <v>1666.21</v>
      </c>
      <c r="U971">
        <v>0.7</v>
      </c>
      <c r="V971">
        <v>0.75</v>
      </c>
      <c r="W971">
        <v>1.1499999999999999</v>
      </c>
      <c r="X971">
        <v>0.1</v>
      </c>
      <c r="Y971">
        <v>1</v>
      </c>
      <c r="Z971">
        <v>10</v>
      </c>
    </row>
    <row r="972" spans="1:26" x14ac:dyDescent="0.3">
      <c r="A972">
        <v>58</v>
      </c>
      <c r="B972">
        <v>105</v>
      </c>
      <c r="C972" t="s">
        <v>26</v>
      </c>
      <c r="D972">
        <v>10.4251</v>
      </c>
      <c r="E972">
        <v>9.59</v>
      </c>
      <c r="F972">
        <v>6.78</v>
      </c>
      <c r="G972">
        <v>67.84</v>
      </c>
      <c r="H972">
        <v>1.21</v>
      </c>
      <c r="I972">
        <v>6</v>
      </c>
      <c r="J972">
        <v>227.67</v>
      </c>
      <c r="K972">
        <v>55.27</v>
      </c>
      <c r="L972">
        <v>15.5</v>
      </c>
      <c r="M972">
        <v>4</v>
      </c>
      <c r="N972">
        <v>51.9</v>
      </c>
      <c r="O972">
        <v>28313.14</v>
      </c>
      <c r="P972">
        <v>89.95</v>
      </c>
      <c r="Q972">
        <v>204.14</v>
      </c>
      <c r="R972">
        <v>24.77</v>
      </c>
      <c r="S972">
        <v>17.37</v>
      </c>
      <c r="T972">
        <v>1595.88</v>
      </c>
      <c r="U972">
        <v>0.7</v>
      </c>
      <c r="V972">
        <v>0.75</v>
      </c>
      <c r="W972">
        <v>1.1399999999999999</v>
      </c>
      <c r="X972">
        <v>0.09</v>
      </c>
      <c r="Y972">
        <v>1</v>
      </c>
      <c r="Z972">
        <v>10</v>
      </c>
    </row>
    <row r="973" spans="1:26" x14ac:dyDescent="0.3">
      <c r="A973">
        <v>59</v>
      </c>
      <c r="B973">
        <v>105</v>
      </c>
      <c r="C973" t="s">
        <v>26</v>
      </c>
      <c r="D973">
        <v>10.414899999999999</v>
      </c>
      <c r="E973">
        <v>9.6</v>
      </c>
      <c r="F973">
        <v>6.79</v>
      </c>
      <c r="G973">
        <v>67.94</v>
      </c>
      <c r="H973">
        <v>1.23</v>
      </c>
      <c r="I973">
        <v>6</v>
      </c>
      <c r="J973">
        <v>228.09</v>
      </c>
      <c r="K973">
        <v>55.27</v>
      </c>
      <c r="L973">
        <v>15.75</v>
      </c>
      <c r="M973">
        <v>4</v>
      </c>
      <c r="N973">
        <v>52.07</v>
      </c>
      <c r="O973">
        <v>28365.14</v>
      </c>
      <c r="P973">
        <v>89.62</v>
      </c>
      <c r="Q973">
        <v>204.14</v>
      </c>
      <c r="R973">
        <v>25.09</v>
      </c>
      <c r="S973">
        <v>17.37</v>
      </c>
      <c r="T973">
        <v>1755.84</v>
      </c>
      <c r="U973">
        <v>0.69</v>
      </c>
      <c r="V973">
        <v>0.75</v>
      </c>
      <c r="W973">
        <v>1.1399999999999999</v>
      </c>
      <c r="X973">
        <v>0.1</v>
      </c>
      <c r="Y973">
        <v>1</v>
      </c>
      <c r="Z973">
        <v>10</v>
      </c>
    </row>
    <row r="974" spans="1:26" x14ac:dyDescent="0.3">
      <c r="A974">
        <v>60</v>
      </c>
      <c r="B974">
        <v>105</v>
      </c>
      <c r="C974" t="s">
        <v>26</v>
      </c>
      <c r="D974">
        <v>10.4861</v>
      </c>
      <c r="E974">
        <v>9.5399999999999991</v>
      </c>
      <c r="F974">
        <v>6.77</v>
      </c>
      <c r="G974">
        <v>81.23</v>
      </c>
      <c r="H974">
        <v>1.24</v>
      </c>
      <c r="I974">
        <v>5</v>
      </c>
      <c r="J974">
        <v>228.51</v>
      </c>
      <c r="K974">
        <v>55.27</v>
      </c>
      <c r="L974">
        <v>16</v>
      </c>
      <c r="M974">
        <v>3</v>
      </c>
      <c r="N974">
        <v>52.24</v>
      </c>
      <c r="O974">
        <v>28417.200000000001</v>
      </c>
      <c r="P974">
        <v>88.86</v>
      </c>
      <c r="Q974">
        <v>204.14</v>
      </c>
      <c r="R974">
        <v>24.28</v>
      </c>
      <c r="S974">
        <v>17.37</v>
      </c>
      <c r="T974">
        <v>1357.16</v>
      </c>
      <c r="U974">
        <v>0.72</v>
      </c>
      <c r="V974">
        <v>0.75</v>
      </c>
      <c r="W974">
        <v>1.1399999999999999</v>
      </c>
      <c r="X974">
        <v>0.08</v>
      </c>
      <c r="Y974">
        <v>1</v>
      </c>
      <c r="Z974">
        <v>10</v>
      </c>
    </row>
    <row r="975" spans="1:26" x14ac:dyDescent="0.3">
      <c r="A975">
        <v>61</v>
      </c>
      <c r="B975">
        <v>105</v>
      </c>
      <c r="C975" t="s">
        <v>26</v>
      </c>
      <c r="D975">
        <v>10.480700000000001</v>
      </c>
      <c r="E975">
        <v>9.5399999999999991</v>
      </c>
      <c r="F975">
        <v>6.77</v>
      </c>
      <c r="G975">
        <v>81.290000000000006</v>
      </c>
      <c r="H975">
        <v>1.26</v>
      </c>
      <c r="I975">
        <v>5</v>
      </c>
      <c r="J975">
        <v>228.93</v>
      </c>
      <c r="K975">
        <v>55.27</v>
      </c>
      <c r="L975">
        <v>16.25</v>
      </c>
      <c r="M975">
        <v>3</v>
      </c>
      <c r="N975">
        <v>52.41</v>
      </c>
      <c r="O975">
        <v>28469.32</v>
      </c>
      <c r="P975">
        <v>89.24</v>
      </c>
      <c r="Q975">
        <v>204.14</v>
      </c>
      <c r="R975">
        <v>24.42</v>
      </c>
      <c r="S975">
        <v>17.37</v>
      </c>
      <c r="T975">
        <v>1427.55</v>
      </c>
      <c r="U975">
        <v>0.71</v>
      </c>
      <c r="V975">
        <v>0.75</v>
      </c>
      <c r="W975">
        <v>1.1399999999999999</v>
      </c>
      <c r="X975">
        <v>0.08</v>
      </c>
      <c r="Y975">
        <v>1</v>
      </c>
      <c r="Z975">
        <v>10</v>
      </c>
    </row>
    <row r="976" spans="1:26" x14ac:dyDescent="0.3">
      <c r="A976">
        <v>62</v>
      </c>
      <c r="B976">
        <v>105</v>
      </c>
      <c r="C976" t="s">
        <v>26</v>
      </c>
      <c r="D976">
        <v>10.4816</v>
      </c>
      <c r="E976">
        <v>9.5399999999999991</v>
      </c>
      <c r="F976">
        <v>6.77</v>
      </c>
      <c r="G976">
        <v>81.28</v>
      </c>
      <c r="H976">
        <v>1.28</v>
      </c>
      <c r="I976">
        <v>5</v>
      </c>
      <c r="J976">
        <v>229.36</v>
      </c>
      <c r="K976">
        <v>55.27</v>
      </c>
      <c r="L976">
        <v>16.5</v>
      </c>
      <c r="M976">
        <v>3</v>
      </c>
      <c r="N976">
        <v>52.58</v>
      </c>
      <c r="O976">
        <v>28521.51</v>
      </c>
      <c r="P976">
        <v>89.38</v>
      </c>
      <c r="Q976">
        <v>204.14</v>
      </c>
      <c r="R976">
        <v>24.47</v>
      </c>
      <c r="S976">
        <v>17.37</v>
      </c>
      <c r="T976">
        <v>1452.82</v>
      </c>
      <c r="U976">
        <v>0.71</v>
      </c>
      <c r="V976">
        <v>0.75</v>
      </c>
      <c r="W976">
        <v>1.1399999999999999</v>
      </c>
      <c r="X976">
        <v>0.08</v>
      </c>
      <c r="Y976">
        <v>1</v>
      </c>
      <c r="Z976">
        <v>10</v>
      </c>
    </row>
    <row r="977" spans="1:26" x14ac:dyDescent="0.3">
      <c r="A977">
        <v>63</v>
      </c>
      <c r="B977">
        <v>105</v>
      </c>
      <c r="C977" t="s">
        <v>26</v>
      </c>
      <c r="D977">
        <v>10.484299999999999</v>
      </c>
      <c r="E977">
        <v>9.5399999999999991</v>
      </c>
      <c r="F977">
        <v>6.77</v>
      </c>
      <c r="G977">
        <v>81.25</v>
      </c>
      <c r="H977">
        <v>1.3</v>
      </c>
      <c r="I977">
        <v>5</v>
      </c>
      <c r="J977">
        <v>229.78</v>
      </c>
      <c r="K977">
        <v>55.27</v>
      </c>
      <c r="L977">
        <v>16.75</v>
      </c>
      <c r="M977">
        <v>3</v>
      </c>
      <c r="N977">
        <v>52.76</v>
      </c>
      <c r="O977">
        <v>28573.75</v>
      </c>
      <c r="P977">
        <v>89.48</v>
      </c>
      <c r="Q977">
        <v>204.14</v>
      </c>
      <c r="R977">
        <v>24.36</v>
      </c>
      <c r="S977">
        <v>17.37</v>
      </c>
      <c r="T977">
        <v>1396.86</v>
      </c>
      <c r="U977">
        <v>0.71</v>
      </c>
      <c r="V977">
        <v>0.75</v>
      </c>
      <c r="W977">
        <v>1.1399999999999999</v>
      </c>
      <c r="X977">
        <v>0.08</v>
      </c>
      <c r="Y977">
        <v>1</v>
      </c>
      <c r="Z977">
        <v>10</v>
      </c>
    </row>
    <row r="978" spans="1:26" x14ac:dyDescent="0.3">
      <c r="A978">
        <v>64</v>
      </c>
      <c r="B978">
        <v>105</v>
      </c>
      <c r="C978" t="s">
        <v>26</v>
      </c>
      <c r="D978">
        <v>10.481299999999999</v>
      </c>
      <c r="E978">
        <v>9.5399999999999991</v>
      </c>
      <c r="F978">
        <v>6.77</v>
      </c>
      <c r="G978">
        <v>81.28</v>
      </c>
      <c r="H978">
        <v>1.31</v>
      </c>
      <c r="I978">
        <v>5</v>
      </c>
      <c r="J978">
        <v>230.2</v>
      </c>
      <c r="K978">
        <v>55.27</v>
      </c>
      <c r="L978">
        <v>17</v>
      </c>
      <c r="M978">
        <v>3</v>
      </c>
      <c r="N978">
        <v>52.93</v>
      </c>
      <c r="O978">
        <v>28626.06</v>
      </c>
      <c r="P978">
        <v>89.48</v>
      </c>
      <c r="Q978">
        <v>204.14</v>
      </c>
      <c r="R978">
        <v>24.48</v>
      </c>
      <c r="S978">
        <v>17.37</v>
      </c>
      <c r="T978">
        <v>1459.11</v>
      </c>
      <c r="U978">
        <v>0.71</v>
      </c>
      <c r="V978">
        <v>0.75</v>
      </c>
      <c r="W978">
        <v>1.1399999999999999</v>
      </c>
      <c r="X978">
        <v>0.08</v>
      </c>
      <c r="Y978">
        <v>1</v>
      </c>
      <c r="Z978">
        <v>10</v>
      </c>
    </row>
    <row r="979" spans="1:26" x14ac:dyDescent="0.3">
      <c r="A979">
        <v>65</v>
      </c>
      <c r="B979">
        <v>105</v>
      </c>
      <c r="C979" t="s">
        <v>26</v>
      </c>
      <c r="D979">
        <v>10.4825</v>
      </c>
      <c r="E979">
        <v>9.5399999999999991</v>
      </c>
      <c r="F979">
        <v>6.77</v>
      </c>
      <c r="G979">
        <v>81.27</v>
      </c>
      <c r="H979">
        <v>1.33</v>
      </c>
      <c r="I979">
        <v>5</v>
      </c>
      <c r="J979">
        <v>230.63</v>
      </c>
      <c r="K979">
        <v>55.27</v>
      </c>
      <c r="L979">
        <v>17.25</v>
      </c>
      <c r="M979">
        <v>3</v>
      </c>
      <c r="N979">
        <v>53.11</v>
      </c>
      <c r="O979">
        <v>28678.42</v>
      </c>
      <c r="P979">
        <v>89.32</v>
      </c>
      <c r="Q979">
        <v>204.14</v>
      </c>
      <c r="R979">
        <v>24.39</v>
      </c>
      <c r="S979">
        <v>17.37</v>
      </c>
      <c r="T979">
        <v>1411.78</v>
      </c>
      <c r="U979">
        <v>0.71</v>
      </c>
      <c r="V979">
        <v>0.75</v>
      </c>
      <c r="W979">
        <v>1.1399999999999999</v>
      </c>
      <c r="X979">
        <v>0.08</v>
      </c>
      <c r="Y979">
        <v>1</v>
      </c>
      <c r="Z979">
        <v>10</v>
      </c>
    </row>
    <row r="980" spans="1:26" x14ac:dyDescent="0.3">
      <c r="A980">
        <v>66</v>
      </c>
      <c r="B980">
        <v>105</v>
      </c>
      <c r="C980" t="s">
        <v>26</v>
      </c>
      <c r="D980">
        <v>10.477</v>
      </c>
      <c r="E980">
        <v>9.5399999999999991</v>
      </c>
      <c r="F980">
        <v>6.78</v>
      </c>
      <c r="G980">
        <v>81.33</v>
      </c>
      <c r="H980">
        <v>1.35</v>
      </c>
      <c r="I980">
        <v>5</v>
      </c>
      <c r="J980">
        <v>231.05</v>
      </c>
      <c r="K980">
        <v>55.27</v>
      </c>
      <c r="L980">
        <v>17.5</v>
      </c>
      <c r="M980">
        <v>3</v>
      </c>
      <c r="N980">
        <v>53.28</v>
      </c>
      <c r="O980">
        <v>28730.85</v>
      </c>
      <c r="P980">
        <v>89.25</v>
      </c>
      <c r="Q980">
        <v>204.14</v>
      </c>
      <c r="R980">
        <v>24.52</v>
      </c>
      <c r="S980">
        <v>17.37</v>
      </c>
      <c r="T980">
        <v>1479.35</v>
      </c>
      <c r="U980">
        <v>0.71</v>
      </c>
      <c r="V980">
        <v>0.75</v>
      </c>
      <c r="W980">
        <v>1.1399999999999999</v>
      </c>
      <c r="X980">
        <v>0.09</v>
      </c>
      <c r="Y980">
        <v>1</v>
      </c>
      <c r="Z980">
        <v>10</v>
      </c>
    </row>
    <row r="981" spans="1:26" x14ac:dyDescent="0.3">
      <c r="A981">
        <v>67</v>
      </c>
      <c r="B981">
        <v>105</v>
      </c>
      <c r="C981" t="s">
        <v>26</v>
      </c>
      <c r="D981">
        <v>10.4779</v>
      </c>
      <c r="E981">
        <v>9.5399999999999991</v>
      </c>
      <c r="F981">
        <v>6.78</v>
      </c>
      <c r="G981">
        <v>81.319999999999993</v>
      </c>
      <c r="H981">
        <v>1.36</v>
      </c>
      <c r="I981">
        <v>5</v>
      </c>
      <c r="J981">
        <v>231.48</v>
      </c>
      <c r="K981">
        <v>55.27</v>
      </c>
      <c r="L981">
        <v>17.75</v>
      </c>
      <c r="M981">
        <v>3</v>
      </c>
      <c r="N981">
        <v>53.46</v>
      </c>
      <c r="O981">
        <v>28783.34</v>
      </c>
      <c r="P981">
        <v>89.2</v>
      </c>
      <c r="Q981">
        <v>204.14</v>
      </c>
      <c r="R981">
        <v>24.5</v>
      </c>
      <c r="S981">
        <v>17.37</v>
      </c>
      <c r="T981">
        <v>1468.35</v>
      </c>
      <c r="U981">
        <v>0.71</v>
      </c>
      <c r="V981">
        <v>0.75</v>
      </c>
      <c r="W981">
        <v>1.1499999999999999</v>
      </c>
      <c r="X981">
        <v>0.09</v>
      </c>
      <c r="Y981">
        <v>1</v>
      </c>
      <c r="Z981">
        <v>10</v>
      </c>
    </row>
    <row r="982" spans="1:26" x14ac:dyDescent="0.3">
      <c r="A982">
        <v>68</v>
      </c>
      <c r="B982">
        <v>105</v>
      </c>
      <c r="C982" t="s">
        <v>26</v>
      </c>
      <c r="D982">
        <v>10.480700000000001</v>
      </c>
      <c r="E982">
        <v>9.5399999999999991</v>
      </c>
      <c r="F982">
        <v>6.77</v>
      </c>
      <c r="G982">
        <v>81.290000000000006</v>
      </c>
      <c r="H982">
        <v>1.38</v>
      </c>
      <c r="I982">
        <v>5</v>
      </c>
      <c r="J982">
        <v>231.91</v>
      </c>
      <c r="K982">
        <v>55.27</v>
      </c>
      <c r="L982">
        <v>18</v>
      </c>
      <c r="M982">
        <v>3</v>
      </c>
      <c r="N982">
        <v>53.63</v>
      </c>
      <c r="O982">
        <v>28835.89</v>
      </c>
      <c r="P982">
        <v>88.93</v>
      </c>
      <c r="Q982">
        <v>204.14</v>
      </c>
      <c r="R982">
        <v>24.45</v>
      </c>
      <c r="S982">
        <v>17.37</v>
      </c>
      <c r="T982">
        <v>1443.46</v>
      </c>
      <c r="U982">
        <v>0.71</v>
      </c>
      <c r="V982">
        <v>0.75</v>
      </c>
      <c r="W982">
        <v>1.1399999999999999</v>
      </c>
      <c r="X982">
        <v>0.08</v>
      </c>
      <c r="Y982">
        <v>1</v>
      </c>
      <c r="Z982">
        <v>10</v>
      </c>
    </row>
    <row r="983" spans="1:26" x14ac:dyDescent="0.3">
      <c r="A983">
        <v>69</v>
      </c>
      <c r="B983">
        <v>105</v>
      </c>
      <c r="C983" t="s">
        <v>26</v>
      </c>
      <c r="D983">
        <v>10.486800000000001</v>
      </c>
      <c r="E983">
        <v>9.5399999999999991</v>
      </c>
      <c r="F983">
        <v>6.77</v>
      </c>
      <c r="G983">
        <v>81.22</v>
      </c>
      <c r="H983">
        <v>1.4</v>
      </c>
      <c r="I983">
        <v>5</v>
      </c>
      <c r="J983">
        <v>232.33</v>
      </c>
      <c r="K983">
        <v>55.27</v>
      </c>
      <c r="L983">
        <v>18.25</v>
      </c>
      <c r="M983">
        <v>3</v>
      </c>
      <c r="N983">
        <v>53.81</v>
      </c>
      <c r="O983">
        <v>28888.51</v>
      </c>
      <c r="P983">
        <v>88.63</v>
      </c>
      <c r="Q983">
        <v>204.14</v>
      </c>
      <c r="R983">
        <v>24.23</v>
      </c>
      <c r="S983">
        <v>17.37</v>
      </c>
      <c r="T983">
        <v>1334.8</v>
      </c>
      <c r="U983">
        <v>0.72</v>
      </c>
      <c r="V983">
        <v>0.75</v>
      </c>
      <c r="W983">
        <v>1.1399999999999999</v>
      </c>
      <c r="X983">
        <v>0.08</v>
      </c>
      <c r="Y983">
        <v>1</v>
      </c>
      <c r="Z983">
        <v>10</v>
      </c>
    </row>
    <row r="984" spans="1:26" x14ac:dyDescent="0.3">
      <c r="A984">
        <v>70</v>
      </c>
      <c r="B984">
        <v>105</v>
      </c>
      <c r="C984" t="s">
        <v>26</v>
      </c>
      <c r="D984">
        <v>10.492000000000001</v>
      </c>
      <c r="E984">
        <v>9.5299999999999994</v>
      </c>
      <c r="F984">
        <v>6.76</v>
      </c>
      <c r="G984">
        <v>81.16</v>
      </c>
      <c r="H984">
        <v>1.41</v>
      </c>
      <c r="I984">
        <v>5</v>
      </c>
      <c r="J984">
        <v>232.76</v>
      </c>
      <c r="K984">
        <v>55.27</v>
      </c>
      <c r="L984">
        <v>18.5</v>
      </c>
      <c r="M984">
        <v>3</v>
      </c>
      <c r="N984">
        <v>53.99</v>
      </c>
      <c r="O984">
        <v>28941.18</v>
      </c>
      <c r="P984">
        <v>88.23</v>
      </c>
      <c r="Q984">
        <v>204.14</v>
      </c>
      <c r="R984">
        <v>24.09</v>
      </c>
      <c r="S984">
        <v>17.37</v>
      </c>
      <c r="T984">
        <v>1260.74</v>
      </c>
      <c r="U984">
        <v>0.72</v>
      </c>
      <c r="V984">
        <v>0.76</v>
      </c>
      <c r="W984">
        <v>1.1399999999999999</v>
      </c>
      <c r="X984">
        <v>7.0000000000000007E-2</v>
      </c>
      <c r="Y984">
        <v>1</v>
      </c>
      <c r="Z984">
        <v>10</v>
      </c>
    </row>
    <row r="985" spans="1:26" x14ac:dyDescent="0.3">
      <c r="A985">
        <v>71</v>
      </c>
      <c r="B985">
        <v>105</v>
      </c>
      <c r="C985" t="s">
        <v>26</v>
      </c>
      <c r="D985">
        <v>10.4923</v>
      </c>
      <c r="E985">
        <v>9.5299999999999994</v>
      </c>
      <c r="F985">
        <v>6.76</v>
      </c>
      <c r="G985">
        <v>81.16</v>
      </c>
      <c r="H985">
        <v>1.43</v>
      </c>
      <c r="I985">
        <v>5</v>
      </c>
      <c r="J985">
        <v>233.19</v>
      </c>
      <c r="K985">
        <v>55.27</v>
      </c>
      <c r="L985">
        <v>18.75</v>
      </c>
      <c r="M985">
        <v>3</v>
      </c>
      <c r="N985">
        <v>54.17</v>
      </c>
      <c r="O985">
        <v>28993.919999999998</v>
      </c>
      <c r="P985">
        <v>87.87</v>
      </c>
      <c r="Q985">
        <v>204.14</v>
      </c>
      <c r="R985">
        <v>24.06</v>
      </c>
      <c r="S985">
        <v>17.37</v>
      </c>
      <c r="T985">
        <v>1246.17</v>
      </c>
      <c r="U985">
        <v>0.72</v>
      </c>
      <c r="V985">
        <v>0.76</v>
      </c>
      <c r="W985">
        <v>1.1399999999999999</v>
      </c>
      <c r="X985">
        <v>7.0000000000000007E-2</v>
      </c>
      <c r="Y985">
        <v>1</v>
      </c>
      <c r="Z985">
        <v>10</v>
      </c>
    </row>
    <row r="986" spans="1:26" x14ac:dyDescent="0.3">
      <c r="A986">
        <v>72</v>
      </c>
      <c r="B986">
        <v>105</v>
      </c>
      <c r="C986" t="s">
        <v>26</v>
      </c>
      <c r="D986">
        <v>10.485799999999999</v>
      </c>
      <c r="E986">
        <v>9.5399999999999991</v>
      </c>
      <c r="F986">
        <v>6.77</v>
      </c>
      <c r="G986">
        <v>81.23</v>
      </c>
      <c r="H986">
        <v>1.45</v>
      </c>
      <c r="I986">
        <v>5</v>
      </c>
      <c r="J986">
        <v>233.62</v>
      </c>
      <c r="K986">
        <v>55.27</v>
      </c>
      <c r="L986">
        <v>19</v>
      </c>
      <c r="M986">
        <v>3</v>
      </c>
      <c r="N986">
        <v>54.34</v>
      </c>
      <c r="O986">
        <v>29046.73</v>
      </c>
      <c r="P986">
        <v>87.46</v>
      </c>
      <c r="Q986">
        <v>204.14</v>
      </c>
      <c r="R986">
        <v>24.18</v>
      </c>
      <c r="S986">
        <v>17.37</v>
      </c>
      <c r="T986">
        <v>1309.4000000000001</v>
      </c>
      <c r="U986">
        <v>0.72</v>
      </c>
      <c r="V986">
        <v>0.75</v>
      </c>
      <c r="W986">
        <v>1.1499999999999999</v>
      </c>
      <c r="X986">
        <v>0.08</v>
      </c>
      <c r="Y986">
        <v>1</v>
      </c>
      <c r="Z986">
        <v>10</v>
      </c>
    </row>
    <row r="987" spans="1:26" x14ac:dyDescent="0.3">
      <c r="A987">
        <v>73</v>
      </c>
      <c r="B987">
        <v>105</v>
      </c>
      <c r="C987" t="s">
        <v>26</v>
      </c>
      <c r="D987">
        <v>10.4892</v>
      </c>
      <c r="E987">
        <v>9.5299999999999994</v>
      </c>
      <c r="F987">
        <v>6.77</v>
      </c>
      <c r="G987">
        <v>81.19</v>
      </c>
      <c r="H987">
        <v>1.46</v>
      </c>
      <c r="I987">
        <v>5</v>
      </c>
      <c r="J987">
        <v>234.04</v>
      </c>
      <c r="K987">
        <v>55.27</v>
      </c>
      <c r="L987">
        <v>19.25</v>
      </c>
      <c r="M987">
        <v>3</v>
      </c>
      <c r="N987">
        <v>54.52</v>
      </c>
      <c r="O987">
        <v>29099.59</v>
      </c>
      <c r="P987">
        <v>87.07</v>
      </c>
      <c r="Q987">
        <v>204.14</v>
      </c>
      <c r="R987">
        <v>24.17</v>
      </c>
      <c r="S987">
        <v>17.37</v>
      </c>
      <c r="T987">
        <v>1300.54</v>
      </c>
      <c r="U987">
        <v>0.72</v>
      </c>
      <c r="V987">
        <v>0.75</v>
      </c>
      <c r="W987">
        <v>1.1399999999999999</v>
      </c>
      <c r="X987">
        <v>7.0000000000000007E-2</v>
      </c>
      <c r="Y987">
        <v>1</v>
      </c>
      <c r="Z987">
        <v>10</v>
      </c>
    </row>
    <row r="988" spans="1:26" x14ac:dyDescent="0.3">
      <c r="A988">
        <v>74</v>
      </c>
      <c r="B988">
        <v>105</v>
      </c>
      <c r="C988" t="s">
        <v>26</v>
      </c>
      <c r="D988">
        <v>10.4871</v>
      </c>
      <c r="E988">
        <v>9.5399999999999991</v>
      </c>
      <c r="F988">
        <v>6.77</v>
      </c>
      <c r="G988">
        <v>81.22</v>
      </c>
      <c r="H988">
        <v>1.48</v>
      </c>
      <c r="I988">
        <v>5</v>
      </c>
      <c r="J988">
        <v>234.47</v>
      </c>
      <c r="K988">
        <v>55.27</v>
      </c>
      <c r="L988">
        <v>19.5</v>
      </c>
      <c r="M988">
        <v>3</v>
      </c>
      <c r="N988">
        <v>54.7</v>
      </c>
      <c r="O988">
        <v>29152.52</v>
      </c>
      <c r="P988">
        <v>87.03</v>
      </c>
      <c r="Q988">
        <v>204.14</v>
      </c>
      <c r="R988">
        <v>24.21</v>
      </c>
      <c r="S988">
        <v>17.37</v>
      </c>
      <c r="T988">
        <v>1324.46</v>
      </c>
      <c r="U988">
        <v>0.72</v>
      </c>
      <c r="V988">
        <v>0.75</v>
      </c>
      <c r="W988">
        <v>1.1499999999999999</v>
      </c>
      <c r="X988">
        <v>0.08</v>
      </c>
      <c r="Y988">
        <v>1</v>
      </c>
      <c r="Z988">
        <v>10</v>
      </c>
    </row>
    <row r="989" spans="1:26" x14ac:dyDescent="0.3">
      <c r="A989">
        <v>75</v>
      </c>
      <c r="B989">
        <v>105</v>
      </c>
      <c r="C989" t="s">
        <v>26</v>
      </c>
      <c r="D989">
        <v>10.4849</v>
      </c>
      <c r="E989">
        <v>9.5399999999999991</v>
      </c>
      <c r="F989">
        <v>6.77</v>
      </c>
      <c r="G989">
        <v>81.239999999999995</v>
      </c>
      <c r="H989">
        <v>1.49</v>
      </c>
      <c r="I989">
        <v>5</v>
      </c>
      <c r="J989">
        <v>234.9</v>
      </c>
      <c r="K989">
        <v>55.27</v>
      </c>
      <c r="L989">
        <v>19.75</v>
      </c>
      <c r="M989">
        <v>3</v>
      </c>
      <c r="N989">
        <v>54.88</v>
      </c>
      <c r="O989">
        <v>29205.51</v>
      </c>
      <c r="P989">
        <v>86.83</v>
      </c>
      <c r="Q989">
        <v>204.14</v>
      </c>
      <c r="R989">
        <v>24.32</v>
      </c>
      <c r="S989">
        <v>17.37</v>
      </c>
      <c r="T989">
        <v>1377.24</v>
      </c>
      <c r="U989">
        <v>0.71</v>
      </c>
      <c r="V989">
        <v>0.75</v>
      </c>
      <c r="W989">
        <v>1.1399999999999999</v>
      </c>
      <c r="X989">
        <v>0.08</v>
      </c>
      <c r="Y989">
        <v>1</v>
      </c>
      <c r="Z989">
        <v>10</v>
      </c>
    </row>
    <row r="990" spans="1:26" x14ac:dyDescent="0.3">
      <c r="A990">
        <v>76</v>
      </c>
      <c r="B990">
        <v>105</v>
      </c>
      <c r="C990" t="s">
        <v>26</v>
      </c>
      <c r="D990">
        <v>10.482799999999999</v>
      </c>
      <c r="E990">
        <v>9.5399999999999991</v>
      </c>
      <c r="F990">
        <v>6.77</v>
      </c>
      <c r="G990">
        <v>81.260000000000005</v>
      </c>
      <c r="H990">
        <v>1.51</v>
      </c>
      <c r="I990">
        <v>5</v>
      </c>
      <c r="J990">
        <v>235.33</v>
      </c>
      <c r="K990">
        <v>55.27</v>
      </c>
      <c r="L990">
        <v>20</v>
      </c>
      <c r="M990">
        <v>3</v>
      </c>
      <c r="N990">
        <v>55.06</v>
      </c>
      <c r="O990">
        <v>29258.57</v>
      </c>
      <c r="P990">
        <v>86.6</v>
      </c>
      <c r="Q990">
        <v>204.14</v>
      </c>
      <c r="R990">
        <v>24.31</v>
      </c>
      <c r="S990">
        <v>17.37</v>
      </c>
      <c r="T990">
        <v>1371.16</v>
      </c>
      <c r="U990">
        <v>0.71</v>
      </c>
      <c r="V990">
        <v>0.75</v>
      </c>
      <c r="W990">
        <v>1.1499999999999999</v>
      </c>
      <c r="X990">
        <v>0.08</v>
      </c>
      <c r="Y990">
        <v>1</v>
      </c>
      <c r="Z990">
        <v>10</v>
      </c>
    </row>
    <row r="991" spans="1:26" x14ac:dyDescent="0.3">
      <c r="A991">
        <v>77</v>
      </c>
      <c r="B991">
        <v>105</v>
      </c>
      <c r="C991" t="s">
        <v>26</v>
      </c>
      <c r="D991">
        <v>10.487399999999999</v>
      </c>
      <c r="E991">
        <v>9.5399999999999991</v>
      </c>
      <c r="F991">
        <v>6.77</v>
      </c>
      <c r="G991">
        <v>81.209999999999994</v>
      </c>
      <c r="H991">
        <v>1.53</v>
      </c>
      <c r="I991">
        <v>5</v>
      </c>
      <c r="J991">
        <v>235.76</v>
      </c>
      <c r="K991">
        <v>55.27</v>
      </c>
      <c r="L991">
        <v>20.25</v>
      </c>
      <c r="M991">
        <v>3</v>
      </c>
      <c r="N991">
        <v>55.24</v>
      </c>
      <c r="O991">
        <v>29311.69</v>
      </c>
      <c r="P991">
        <v>86.12</v>
      </c>
      <c r="Q991">
        <v>204.19</v>
      </c>
      <c r="R991">
        <v>24.21</v>
      </c>
      <c r="S991">
        <v>17.37</v>
      </c>
      <c r="T991">
        <v>1321.55</v>
      </c>
      <c r="U991">
        <v>0.72</v>
      </c>
      <c r="V991">
        <v>0.75</v>
      </c>
      <c r="W991">
        <v>1.1399999999999999</v>
      </c>
      <c r="X991">
        <v>0.08</v>
      </c>
      <c r="Y991">
        <v>1</v>
      </c>
      <c r="Z991">
        <v>10</v>
      </c>
    </row>
    <row r="992" spans="1:26" x14ac:dyDescent="0.3">
      <c r="A992">
        <v>78</v>
      </c>
      <c r="B992">
        <v>105</v>
      </c>
      <c r="C992" t="s">
        <v>26</v>
      </c>
      <c r="D992">
        <v>10.558999999999999</v>
      </c>
      <c r="E992">
        <v>9.4700000000000006</v>
      </c>
      <c r="F992">
        <v>6.74</v>
      </c>
      <c r="G992">
        <v>101.15</v>
      </c>
      <c r="H992">
        <v>1.54</v>
      </c>
      <c r="I992">
        <v>4</v>
      </c>
      <c r="J992">
        <v>236.2</v>
      </c>
      <c r="K992">
        <v>55.27</v>
      </c>
      <c r="L992">
        <v>20.5</v>
      </c>
      <c r="M992">
        <v>2</v>
      </c>
      <c r="N992">
        <v>55.42</v>
      </c>
      <c r="O992">
        <v>29364.87</v>
      </c>
      <c r="P992">
        <v>85.42</v>
      </c>
      <c r="Q992">
        <v>204.14</v>
      </c>
      <c r="R992">
        <v>23.44</v>
      </c>
      <c r="S992">
        <v>17.37</v>
      </c>
      <c r="T992">
        <v>943.06</v>
      </c>
      <c r="U992">
        <v>0.74</v>
      </c>
      <c r="V992">
        <v>0.76</v>
      </c>
      <c r="W992">
        <v>1.1399999999999999</v>
      </c>
      <c r="X992">
        <v>0.05</v>
      </c>
      <c r="Y992">
        <v>1</v>
      </c>
      <c r="Z992">
        <v>10</v>
      </c>
    </row>
    <row r="993" spans="1:26" x14ac:dyDescent="0.3">
      <c r="A993">
        <v>79</v>
      </c>
      <c r="B993">
        <v>105</v>
      </c>
      <c r="C993" t="s">
        <v>26</v>
      </c>
      <c r="D993">
        <v>10.559699999999999</v>
      </c>
      <c r="E993">
        <v>9.4700000000000006</v>
      </c>
      <c r="F993">
        <v>6.74</v>
      </c>
      <c r="G993">
        <v>101.15</v>
      </c>
      <c r="H993">
        <v>1.56</v>
      </c>
      <c r="I993">
        <v>4</v>
      </c>
      <c r="J993">
        <v>236.63</v>
      </c>
      <c r="K993">
        <v>55.27</v>
      </c>
      <c r="L993">
        <v>20.75</v>
      </c>
      <c r="M993">
        <v>2</v>
      </c>
      <c r="N993">
        <v>55.6</v>
      </c>
      <c r="O993">
        <v>29418.12</v>
      </c>
      <c r="P993">
        <v>85.51</v>
      </c>
      <c r="Q993">
        <v>204.14</v>
      </c>
      <c r="R993">
        <v>23.44</v>
      </c>
      <c r="S993">
        <v>17.37</v>
      </c>
      <c r="T993">
        <v>944.14</v>
      </c>
      <c r="U993">
        <v>0.74</v>
      </c>
      <c r="V993">
        <v>0.76</v>
      </c>
      <c r="W993">
        <v>1.1399999999999999</v>
      </c>
      <c r="X993">
        <v>0.05</v>
      </c>
      <c r="Y993">
        <v>1</v>
      </c>
      <c r="Z993">
        <v>10</v>
      </c>
    </row>
    <row r="994" spans="1:26" x14ac:dyDescent="0.3">
      <c r="A994">
        <v>80</v>
      </c>
      <c r="B994">
        <v>105</v>
      </c>
      <c r="C994" t="s">
        <v>26</v>
      </c>
      <c r="D994">
        <v>10.552199999999999</v>
      </c>
      <c r="E994">
        <v>9.48</v>
      </c>
      <c r="F994">
        <v>6.75</v>
      </c>
      <c r="G994">
        <v>101.25</v>
      </c>
      <c r="H994">
        <v>1.58</v>
      </c>
      <c r="I994">
        <v>4</v>
      </c>
      <c r="J994">
        <v>237.06</v>
      </c>
      <c r="K994">
        <v>55.27</v>
      </c>
      <c r="L994">
        <v>21</v>
      </c>
      <c r="M994">
        <v>2</v>
      </c>
      <c r="N994">
        <v>55.79</v>
      </c>
      <c r="O994">
        <v>29471.439999999999</v>
      </c>
      <c r="P994">
        <v>85.73</v>
      </c>
      <c r="Q994">
        <v>204.14</v>
      </c>
      <c r="R994">
        <v>23.65</v>
      </c>
      <c r="S994">
        <v>17.37</v>
      </c>
      <c r="T994">
        <v>1047.04</v>
      </c>
      <c r="U994">
        <v>0.73</v>
      </c>
      <c r="V994">
        <v>0.76</v>
      </c>
      <c r="W994">
        <v>1.1399999999999999</v>
      </c>
      <c r="X994">
        <v>0.06</v>
      </c>
      <c r="Y994">
        <v>1</v>
      </c>
      <c r="Z994">
        <v>10</v>
      </c>
    </row>
    <row r="995" spans="1:26" x14ac:dyDescent="0.3">
      <c r="A995">
        <v>81</v>
      </c>
      <c r="B995">
        <v>105</v>
      </c>
      <c r="C995" t="s">
        <v>26</v>
      </c>
      <c r="D995">
        <v>10.5535</v>
      </c>
      <c r="E995">
        <v>9.48</v>
      </c>
      <c r="F995">
        <v>6.75</v>
      </c>
      <c r="G995">
        <v>101.23</v>
      </c>
      <c r="H995">
        <v>1.59</v>
      </c>
      <c r="I995">
        <v>4</v>
      </c>
      <c r="J995">
        <v>237.49</v>
      </c>
      <c r="K995">
        <v>55.27</v>
      </c>
      <c r="L995">
        <v>21.25</v>
      </c>
      <c r="M995">
        <v>2</v>
      </c>
      <c r="N995">
        <v>55.97</v>
      </c>
      <c r="O995">
        <v>29524.81</v>
      </c>
      <c r="P995">
        <v>85.83</v>
      </c>
      <c r="Q995">
        <v>204.14</v>
      </c>
      <c r="R995">
        <v>23.64</v>
      </c>
      <c r="S995">
        <v>17.37</v>
      </c>
      <c r="T995">
        <v>1044.81</v>
      </c>
      <c r="U995">
        <v>0.73</v>
      </c>
      <c r="V995">
        <v>0.76</v>
      </c>
      <c r="W995">
        <v>1.1399999999999999</v>
      </c>
      <c r="X995">
        <v>0.06</v>
      </c>
      <c r="Y995">
        <v>1</v>
      </c>
      <c r="Z995">
        <v>10</v>
      </c>
    </row>
    <row r="996" spans="1:26" x14ac:dyDescent="0.3">
      <c r="A996">
        <v>82</v>
      </c>
      <c r="B996">
        <v>105</v>
      </c>
      <c r="C996" t="s">
        <v>26</v>
      </c>
      <c r="D996">
        <v>10.553800000000001</v>
      </c>
      <c r="E996">
        <v>9.48</v>
      </c>
      <c r="F996">
        <v>6.75</v>
      </c>
      <c r="G996">
        <v>101.22</v>
      </c>
      <c r="H996">
        <v>1.61</v>
      </c>
      <c r="I996">
        <v>4</v>
      </c>
      <c r="J996">
        <v>237.93</v>
      </c>
      <c r="K996">
        <v>55.27</v>
      </c>
      <c r="L996">
        <v>21.5</v>
      </c>
      <c r="M996">
        <v>2</v>
      </c>
      <c r="N996">
        <v>56.15</v>
      </c>
      <c r="O996">
        <v>29578.26</v>
      </c>
      <c r="P996">
        <v>85.84</v>
      </c>
      <c r="Q996">
        <v>204.14</v>
      </c>
      <c r="R996">
        <v>23.7</v>
      </c>
      <c r="S996">
        <v>17.37</v>
      </c>
      <c r="T996">
        <v>1070.99</v>
      </c>
      <c r="U996">
        <v>0.73</v>
      </c>
      <c r="V996">
        <v>0.76</v>
      </c>
      <c r="W996">
        <v>1.1399999999999999</v>
      </c>
      <c r="X996">
        <v>0.06</v>
      </c>
      <c r="Y996">
        <v>1</v>
      </c>
      <c r="Z996">
        <v>10</v>
      </c>
    </row>
    <row r="997" spans="1:26" x14ac:dyDescent="0.3">
      <c r="A997">
        <v>83</v>
      </c>
      <c r="B997">
        <v>105</v>
      </c>
      <c r="C997" t="s">
        <v>26</v>
      </c>
      <c r="D997">
        <v>10.555300000000001</v>
      </c>
      <c r="E997">
        <v>9.4700000000000006</v>
      </c>
      <c r="F997">
        <v>6.75</v>
      </c>
      <c r="G997">
        <v>101.2</v>
      </c>
      <c r="H997">
        <v>1.62</v>
      </c>
      <c r="I997">
        <v>4</v>
      </c>
      <c r="J997">
        <v>238.36</v>
      </c>
      <c r="K997">
        <v>55.27</v>
      </c>
      <c r="L997">
        <v>21.75</v>
      </c>
      <c r="M997">
        <v>2</v>
      </c>
      <c r="N997">
        <v>56.34</v>
      </c>
      <c r="O997">
        <v>29631.77</v>
      </c>
      <c r="P997">
        <v>86.04</v>
      </c>
      <c r="Q997">
        <v>204.14</v>
      </c>
      <c r="R997">
        <v>23.61</v>
      </c>
      <c r="S997">
        <v>17.37</v>
      </c>
      <c r="T997">
        <v>1026.8900000000001</v>
      </c>
      <c r="U997">
        <v>0.74</v>
      </c>
      <c r="V997">
        <v>0.76</v>
      </c>
      <c r="W997">
        <v>1.1399999999999999</v>
      </c>
      <c r="X997">
        <v>0.06</v>
      </c>
      <c r="Y997">
        <v>1</v>
      </c>
      <c r="Z997">
        <v>10</v>
      </c>
    </row>
    <row r="998" spans="1:26" x14ac:dyDescent="0.3">
      <c r="A998">
        <v>84</v>
      </c>
      <c r="B998">
        <v>105</v>
      </c>
      <c r="C998" t="s">
        <v>26</v>
      </c>
      <c r="D998">
        <v>10.558400000000001</v>
      </c>
      <c r="E998">
        <v>9.4700000000000006</v>
      </c>
      <c r="F998">
        <v>6.74</v>
      </c>
      <c r="G998">
        <v>101.16</v>
      </c>
      <c r="H998">
        <v>1.64</v>
      </c>
      <c r="I998">
        <v>4</v>
      </c>
      <c r="J998">
        <v>238.79</v>
      </c>
      <c r="K998">
        <v>55.27</v>
      </c>
      <c r="L998">
        <v>22</v>
      </c>
      <c r="M998">
        <v>2</v>
      </c>
      <c r="N998">
        <v>56.52</v>
      </c>
      <c r="O998">
        <v>29685.34</v>
      </c>
      <c r="P998">
        <v>85.98</v>
      </c>
      <c r="Q998">
        <v>204.22</v>
      </c>
      <c r="R998">
        <v>23.49</v>
      </c>
      <c r="S998">
        <v>17.37</v>
      </c>
      <c r="T998">
        <v>967.67</v>
      </c>
      <c r="U998">
        <v>0.74</v>
      </c>
      <c r="V998">
        <v>0.76</v>
      </c>
      <c r="W998">
        <v>1.1399999999999999</v>
      </c>
      <c r="X998">
        <v>0.05</v>
      </c>
      <c r="Y998">
        <v>1</v>
      </c>
      <c r="Z998">
        <v>10</v>
      </c>
    </row>
    <row r="999" spans="1:26" x14ac:dyDescent="0.3">
      <c r="A999">
        <v>85</v>
      </c>
      <c r="B999">
        <v>105</v>
      </c>
      <c r="C999" t="s">
        <v>26</v>
      </c>
      <c r="D999">
        <v>10.5587</v>
      </c>
      <c r="E999">
        <v>9.4700000000000006</v>
      </c>
      <c r="F999">
        <v>6.74</v>
      </c>
      <c r="G999">
        <v>101.16</v>
      </c>
      <c r="H999">
        <v>1.65</v>
      </c>
      <c r="I999">
        <v>4</v>
      </c>
      <c r="J999">
        <v>239.23</v>
      </c>
      <c r="K999">
        <v>55.27</v>
      </c>
      <c r="L999">
        <v>22.25</v>
      </c>
      <c r="M999">
        <v>2</v>
      </c>
      <c r="N999">
        <v>56.71</v>
      </c>
      <c r="O999">
        <v>29738.98</v>
      </c>
      <c r="P999">
        <v>86.04</v>
      </c>
      <c r="Q999">
        <v>204.14</v>
      </c>
      <c r="R999">
        <v>23.46</v>
      </c>
      <c r="S999">
        <v>17.37</v>
      </c>
      <c r="T999">
        <v>950.3</v>
      </c>
      <c r="U999">
        <v>0.74</v>
      </c>
      <c r="V999">
        <v>0.76</v>
      </c>
      <c r="W999">
        <v>1.1399999999999999</v>
      </c>
      <c r="X999">
        <v>0.05</v>
      </c>
      <c r="Y999">
        <v>1</v>
      </c>
      <c r="Z999">
        <v>10</v>
      </c>
    </row>
    <row r="1000" spans="1:26" x14ac:dyDescent="0.3">
      <c r="A1000">
        <v>86</v>
      </c>
      <c r="B1000">
        <v>105</v>
      </c>
      <c r="C1000" t="s">
        <v>26</v>
      </c>
      <c r="D1000">
        <v>10.556900000000001</v>
      </c>
      <c r="E1000">
        <v>9.4700000000000006</v>
      </c>
      <c r="F1000">
        <v>6.75</v>
      </c>
      <c r="G1000">
        <v>101.18</v>
      </c>
      <c r="H1000">
        <v>1.67</v>
      </c>
      <c r="I1000">
        <v>4</v>
      </c>
      <c r="J1000">
        <v>239.66</v>
      </c>
      <c r="K1000">
        <v>55.27</v>
      </c>
      <c r="L1000">
        <v>22.5</v>
      </c>
      <c r="M1000">
        <v>2</v>
      </c>
      <c r="N1000">
        <v>56.89</v>
      </c>
      <c r="O1000">
        <v>29792.69</v>
      </c>
      <c r="P1000">
        <v>86.06</v>
      </c>
      <c r="Q1000">
        <v>204.14</v>
      </c>
      <c r="R1000">
        <v>23.54</v>
      </c>
      <c r="S1000">
        <v>17.37</v>
      </c>
      <c r="T1000">
        <v>992.43</v>
      </c>
      <c r="U1000">
        <v>0.74</v>
      </c>
      <c r="V1000">
        <v>0.76</v>
      </c>
      <c r="W1000">
        <v>1.1399999999999999</v>
      </c>
      <c r="X1000">
        <v>0.05</v>
      </c>
      <c r="Y1000">
        <v>1</v>
      </c>
      <c r="Z1000">
        <v>10</v>
      </c>
    </row>
    <row r="1001" spans="1:26" x14ac:dyDescent="0.3">
      <c r="A1001">
        <v>87</v>
      </c>
      <c r="B1001">
        <v>105</v>
      </c>
      <c r="C1001" t="s">
        <v>26</v>
      </c>
      <c r="D1001">
        <v>10.5482</v>
      </c>
      <c r="E1001">
        <v>9.48</v>
      </c>
      <c r="F1001">
        <v>6.75</v>
      </c>
      <c r="G1001">
        <v>101.3</v>
      </c>
      <c r="H1001">
        <v>1.69</v>
      </c>
      <c r="I1001">
        <v>4</v>
      </c>
      <c r="J1001">
        <v>240.1</v>
      </c>
      <c r="K1001">
        <v>55.27</v>
      </c>
      <c r="L1001">
        <v>22.75</v>
      </c>
      <c r="M1001">
        <v>2</v>
      </c>
      <c r="N1001">
        <v>57.08</v>
      </c>
      <c r="O1001">
        <v>29846.46</v>
      </c>
      <c r="P1001">
        <v>86.06</v>
      </c>
      <c r="Q1001">
        <v>204.14</v>
      </c>
      <c r="R1001">
        <v>23.74</v>
      </c>
      <c r="S1001">
        <v>17.37</v>
      </c>
      <c r="T1001">
        <v>1094.8</v>
      </c>
      <c r="U1001">
        <v>0.73</v>
      </c>
      <c r="V1001">
        <v>0.76</v>
      </c>
      <c r="W1001">
        <v>1.1399999999999999</v>
      </c>
      <c r="X1001">
        <v>0.06</v>
      </c>
      <c r="Y1001">
        <v>1</v>
      </c>
      <c r="Z1001">
        <v>10</v>
      </c>
    </row>
    <row r="1002" spans="1:26" x14ac:dyDescent="0.3">
      <c r="A1002">
        <v>88</v>
      </c>
      <c r="B1002">
        <v>105</v>
      </c>
      <c r="C1002" t="s">
        <v>26</v>
      </c>
      <c r="D1002">
        <v>10.5501</v>
      </c>
      <c r="E1002">
        <v>9.48</v>
      </c>
      <c r="F1002">
        <v>6.75</v>
      </c>
      <c r="G1002">
        <v>101.28</v>
      </c>
      <c r="H1002">
        <v>1.7</v>
      </c>
      <c r="I1002">
        <v>4</v>
      </c>
      <c r="J1002">
        <v>240.54</v>
      </c>
      <c r="K1002">
        <v>55.27</v>
      </c>
      <c r="L1002">
        <v>23</v>
      </c>
      <c r="M1002">
        <v>2</v>
      </c>
      <c r="N1002">
        <v>57.26</v>
      </c>
      <c r="O1002">
        <v>29900.43</v>
      </c>
      <c r="P1002">
        <v>85.95</v>
      </c>
      <c r="Q1002">
        <v>204.14</v>
      </c>
      <c r="R1002">
        <v>23.72</v>
      </c>
      <c r="S1002">
        <v>17.37</v>
      </c>
      <c r="T1002">
        <v>1083.21</v>
      </c>
      <c r="U1002">
        <v>0.73</v>
      </c>
      <c r="V1002">
        <v>0.76</v>
      </c>
      <c r="W1002">
        <v>1.1399999999999999</v>
      </c>
      <c r="X1002">
        <v>0.06</v>
      </c>
      <c r="Y1002">
        <v>1</v>
      </c>
      <c r="Z1002">
        <v>10</v>
      </c>
    </row>
    <row r="1003" spans="1:26" x14ac:dyDescent="0.3">
      <c r="A1003">
        <v>89</v>
      </c>
      <c r="B1003">
        <v>105</v>
      </c>
      <c r="C1003" t="s">
        <v>26</v>
      </c>
      <c r="D1003">
        <v>10.5532</v>
      </c>
      <c r="E1003">
        <v>9.48</v>
      </c>
      <c r="F1003">
        <v>6.75</v>
      </c>
      <c r="G1003">
        <v>101.23</v>
      </c>
      <c r="H1003">
        <v>1.72</v>
      </c>
      <c r="I1003">
        <v>4</v>
      </c>
      <c r="J1003">
        <v>240.97</v>
      </c>
      <c r="K1003">
        <v>55.27</v>
      </c>
      <c r="L1003">
        <v>23.25</v>
      </c>
      <c r="M1003">
        <v>2</v>
      </c>
      <c r="N1003">
        <v>57.45</v>
      </c>
      <c r="O1003">
        <v>29954.34</v>
      </c>
      <c r="P1003">
        <v>85.86</v>
      </c>
      <c r="Q1003">
        <v>204.14</v>
      </c>
      <c r="R1003">
        <v>23.66</v>
      </c>
      <c r="S1003">
        <v>17.37</v>
      </c>
      <c r="T1003">
        <v>1051.8499999999999</v>
      </c>
      <c r="U1003">
        <v>0.73</v>
      </c>
      <c r="V1003">
        <v>0.76</v>
      </c>
      <c r="W1003">
        <v>1.1399999999999999</v>
      </c>
      <c r="X1003">
        <v>0.06</v>
      </c>
      <c r="Y1003">
        <v>1</v>
      </c>
      <c r="Z1003">
        <v>10</v>
      </c>
    </row>
    <row r="1004" spans="1:26" x14ac:dyDescent="0.3">
      <c r="A1004">
        <v>90</v>
      </c>
      <c r="B1004">
        <v>105</v>
      </c>
      <c r="C1004" t="s">
        <v>26</v>
      </c>
      <c r="D1004">
        <v>10.5556</v>
      </c>
      <c r="E1004">
        <v>9.4700000000000006</v>
      </c>
      <c r="F1004">
        <v>6.75</v>
      </c>
      <c r="G1004">
        <v>101.2</v>
      </c>
      <c r="H1004">
        <v>1.73</v>
      </c>
      <c r="I1004">
        <v>4</v>
      </c>
      <c r="J1004">
        <v>241.41</v>
      </c>
      <c r="K1004">
        <v>55.27</v>
      </c>
      <c r="L1004">
        <v>23.5</v>
      </c>
      <c r="M1004">
        <v>2</v>
      </c>
      <c r="N1004">
        <v>57.64</v>
      </c>
      <c r="O1004">
        <v>30008.32</v>
      </c>
      <c r="P1004">
        <v>85.71</v>
      </c>
      <c r="Q1004">
        <v>204.17</v>
      </c>
      <c r="R1004">
        <v>23.55</v>
      </c>
      <c r="S1004">
        <v>17.37</v>
      </c>
      <c r="T1004">
        <v>999.05</v>
      </c>
      <c r="U1004">
        <v>0.74</v>
      </c>
      <c r="V1004">
        <v>0.76</v>
      </c>
      <c r="W1004">
        <v>1.1399999999999999</v>
      </c>
      <c r="X1004">
        <v>0.06</v>
      </c>
      <c r="Y1004">
        <v>1</v>
      </c>
      <c r="Z1004">
        <v>10</v>
      </c>
    </row>
    <row r="1005" spans="1:26" x14ac:dyDescent="0.3">
      <c r="A1005">
        <v>91</v>
      </c>
      <c r="B1005">
        <v>105</v>
      </c>
      <c r="C1005" t="s">
        <v>26</v>
      </c>
      <c r="D1005">
        <v>10.554399999999999</v>
      </c>
      <c r="E1005">
        <v>9.4700000000000006</v>
      </c>
      <c r="F1005">
        <v>6.75</v>
      </c>
      <c r="G1005">
        <v>101.22</v>
      </c>
      <c r="H1005">
        <v>1.75</v>
      </c>
      <c r="I1005">
        <v>4</v>
      </c>
      <c r="J1005">
        <v>241.85</v>
      </c>
      <c r="K1005">
        <v>55.27</v>
      </c>
      <c r="L1005">
        <v>23.75</v>
      </c>
      <c r="M1005">
        <v>2</v>
      </c>
      <c r="N1005">
        <v>57.83</v>
      </c>
      <c r="O1005">
        <v>30062.36</v>
      </c>
      <c r="P1005">
        <v>85.61</v>
      </c>
      <c r="Q1005">
        <v>204.14</v>
      </c>
      <c r="R1005">
        <v>23.61</v>
      </c>
      <c r="S1005">
        <v>17.37</v>
      </c>
      <c r="T1005">
        <v>1029.04</v>
      </c>
      <c r="U1005">
        <v>0.74</v>
      </c>
      <c r="V1005">
        <v>0.76</v>
      </c>
      <c r="W1005">
        <v>1.1399999999999999</v>
      </c>
      <c r="X1005">
        <v>0.06</v>
      </c>
      <c r="Y1005">
        <v>1</v>
      </c>
      <c r="Z1005">
        <v>10</v>
      </c>
    </row>
    <row r="1006" spans="1:26" x14ac:dyDescent="0.3">
      <c r="A1006">
        <v>92</v>
      </c>
      <c r="B1006">
        <v>105</v>
      </c>
      <c r="C1006" t="s">
        <v>26</v>
      </c>
      <c r="D1006">
        <v>10.5625</v>
      </c>
      <c r="E1006">
        <v>9.4700000000000006</v>
      </c>
      <c r="F1006">
        <v>6.74</v>
      </c>
      <c r="G1006">
        <v>101.11</v>
      </c>
      <c r="H1006">
        <v>1.76</v>
      </c>
      <c r="I1006">
        <v>4</v>
      </c>
      <c r="J1006">
        <v>242.29</v>
      </c>
      <c r="K1006">
        <v>55.27</v>
      </c>
      <c r="L1006">
        <v>24</v>
      </c>
      <c r="M1006">
        <v>2</v>
      </c>
      <c r="N1006">
        <v>58.02</v>
      </c>
      <c r="O1006">
        <v>30116.47</v>
      </c>
      <c r="P1006">
        <v>85.31</v>
      </c>
      <c r="Q1006">
        <v>204.14</v>
      </c>
      <c r="R1006">
        <v>23.35</v>
      </c>
      <c r="S1006">
        <v>17.37</v>
      </c>
      <c r="T1006">
        <v>899.31</v>
      </c>
      <c r="U1006">
        <v>0.74</v>
      </c>
      <c r="V1006">
        <v>0.76</v>
      </c>
      <c r="W1006">
        <v>1.1399999999999999</v>
      </c>
      <c r="X1006">
        <v>0.05</v>
      </c>
      <c r="Y1006">
        <v>1</v>
      </c>
      <c r="Z1006">
        <v>10</v>
      </c>
    </row>
    <row r="1007" spans="1:26" x14ac:dyDescent="0.3">
      <c r="A1007">
        <v>93</v>
      </c>
      <c r="B1007">
        <v>105</v>
      </c>
      <c r="C1007" t="s">
        <v>26</v>
      </c>
      <c r="D1007">
        <v>10.5603</v>
      </c>
      <c r="E1007">
        <v>9.4700000000000006</v>
      </c>
      <c r="F1007">
        <v>6.74</v>
      </c>
      <c r="G1007">
        <v>101.14</v>
      </c>
      <c r="H1007">
        <v>1.78</v>
      </c>
      <c r="I1007">
        <v>4</v>
      </c>
      <c r="J1007">
        <v>242.73</v>
      </c>
      <c r="K1007">
        <v>55.27</v>
      </c>
      <c r="L1007">
        <v>24.25</v>
      </c>
      <c r="M1007">
        <v>2</v>
      </c>
      <c r="N1007">
        <v>58.21</v>
      </c>
      <c r="O1007">
        <v>30170.65</v>
      </c>
      <c r="P1007">
        <v>85.07</v>
      </c>
      <c r="Q1007">
        <v>204.14</v>
      </c>
      <c r="R1007">
        <v>23.44</v>
      </c>
      <c r="S1007">
        <v>17.37</v>
      </c>
      <c r="T1007">
        <v>940.37</v>
      </c>
      <c r="U1007">
        <v>0.74</v>
      </c>
      <c r="V1007">
        <v>0.76</v>
      </c>
      <c r="W1007">
        <v>1.1399999999999999</v>
      </c>
      <c r="X1007">
        <v>0.05</v>
      </c>
      <c r="Y1007">
        <v>1</v>
      </c>
      <c r="Z1007">
        <v>10</v>
      </c>
    </row>
    <row r="1008" spans="1:26" x14ac:dyDescent="0.3">
      <c r="A1008">
        <v>94</v>
      </c>
      <c r="B1008">
        <v>105</v>
      </c>
      <c r="C1008" t="s">
        <v>26</v>
      </c>
      <c r="D1008">
        <v>10.5618</v>
      </c>
      <c r="E1008">
        <v>9.4700000000000006</v>
      </c>
      <c r="F1008">
        <v>6.74</v>
      </c>
      <c r="G1008">
        <v>101.12</v>
      </c>
      <c r="H1008">
        <v>1.79</v>
      </c>
      <c r="I1008">
        <v>4</v>
      </c>
      <c r="J1008">
        <v>243.17</v>
      </c>
      <c r="K1008">
        <v>55.27</v>
      </c>
      <c r="L1008">
        <v>24.5</v>
      </c>
      <c r="M1008">
        <v>2</v>
      </c>
      <c r="N1008">
        <v>58.4</v>
      </c>
      <c r="O1008">
        <v>30224.9</v>
      </c>
      <c r="P1008">
        <v>84.81</v>
      </c>
      <c r="Q1008">
        <v>204.14</v>
      </c>
      <c r="R1008">
        <v>23.42</v>
      </c>
      <c r="S1008">
        <v>17.37</v>
      </c>
      <c r="T1008">
        <v>934.24</v>
      </c>
      <c r="U1008">
        <v>0.74</v>
      </c>
      <c r="V1008">
        <v>0.76</v>
      </c>
      <c r="W1008">
        <v>1.1399999999999999</v>
      </c>
      <c r="X1008">
        <v>0.05</v>
      </c>
      <c r="Y1008">
        <v>1</v>
      </c>
      <c r="Z1008">
        <v>10</v>
      </c>
    </row>
    <row r="1009" spans="1:26" x14ac:dyDescent="0.3">
      <c r="A1009">
        <v>95</v>
      </c>
      <c r="B1009">
        <v>105</v>
      </c>
      <c r="C1009" t="s">
        <v>26</v>
      </c>
      <c r="D1009">
        <v>10.5587</v>
      </c>
      <c r="E1009">
        <v>9.4700000000000006</v>
      </c>
      <c r="F1009">
        <v>6.74</v>
      </c>
      <c r="G1009">
        <v>101.16</v>
      </c>
      <c r="H1009">
        <v>1.81</v>
      </c>
      <c r="I1009">
        <v>4</v>
      </c>
      <c r="J1009">
        <v>243.61</v>
      </c>
      <c r="K1009">
        <v>55.27</v>
      </c>
      <c r="L1009">
        <v>24.75</v>
      </c>
      <c r="M1009">
        <v>2</v>
      </c>
      <c r="N1009">
        <v>58.59</v>
      </c>
      <c r="O1009">
        <v>30279.22</v>
      </c>
      <c r="P1009">
        <v>84.64</v>
      </c>
      <c r="Q1009">
        <v>204.14</v>
      </c>
      <c r="R1009">
        <v>23.41</v>
      </c>
      <c r="S1009">
        <v>17.37</v>
      </c>
      <c r="T1009">
        <v>926.87</v>
      </c>
      <c r="U1009">
        <v>0.74</v>
      </c>
      <c r="V1009">
        <v>0.76</v>
      </c>
      <c r="W1009">
        <v>1.1399999999999999</v>
      </c>
      <c r="X1009">
        <v>0.05</v>
      </c>
      <c r="Y1009">
        <v>1</v>
      </c>
      <c r="Z1009">
        <v>10</v>
      </c>
    </row>
    <row r="1010" spans="1:26" x14ac:dyDescent="0.3">
      <c r="A1010">
        <v>96</v>
      </c>
      <c r="B1010">
        <v>105</v>
      </c>
      <c r="C1010" t="s">
        <v>26</v>
      </c>
      <c r="D1010">
        <v>10.561500000000001</v>
      </c>
      <c r="E1010">
        <v>9.4700000000000006</v>
      </c>
      <c r="F1010">
        <v>6.74</v>
      </c>
      <c r="G1010">
        <v>101.12</v>
      </c>
      <c r="H1010">
        <v>1.82</v>
      </c>
      <c r="I1010">
        <v>4</v>
      </c>
      <c r="J1010">
        <v>244.05</v>
      </c>
      <c r="K1010">
        <v>55.27</v>
      </c>
      <c r="L1010">
        <v>25</v>
      </c>
      <c r="M1010">
        <v>2</v>
      </c>
      <c r="N1010">
        <v>58.78</v>
      </c>
      <c r="O1010">
        <v>30333.61</v>
      </c>
      <c r="P1010">
        <v>84.2</v>
      </c>
      <c r="Q1010">
        <v>204.15</v>
      </c>
      <c r="R1010">
        <v>23.43</v>
      </c>
      <c r="S1010">
        <v>17.37</v>
      </c>
      <c r="T1010">
        <v>936.11</v>
      </c>
      <c r="U1010">
        <v>0.74</v>
      </c>
      <c r="V1010">
        <v>0.76</v>
      </c>
      <c r="W1010">
        <v>1.1399999999999999</v>
      </c>
      <c r="X1010">
        <v>0.05</v>
      </c>
      <c r="Y1010">
        <v>1</v>
      </c>
      <c r="Z1010">
        <v>10</v>
      </c>
    </row>
    <row r="1011" spans="1:26" x14ac:dyDescent="0.3">
      <c r="A1011">
        <v>97</v>
      </c>
      <c r="B1011">
        <v>105</v>
      </c>
      <c r="C1011" t="s">
        <v>26</v>
      </c>
      <c r="D1011">
        <v>10.5687</v>
      </c>
      <c r="E1011">
        <v>9.4600000000000009</v>
      </c>
      <c r="F1011">
        <v>6.74</v>
      </c>
      <c r="G1011">
        <v>101.03</v>
      </c>
      <c r="H1011">
        <v>1.84</v>
      </c>
      <c r="I1011">
        <v>4</v>
      </c>
      <c r="J1011">
        <v>244.49</v>
      </c>
      <c r="K1011">
        <v>55.27</v>
      </c>
      <c r="L1011">
        <v>25.25</v>
      </c>
      <c r="M1011">
        <v>2</v>
      </c>
      <c r="N1011">
        <v>58.97</v>
      </c>
      <c r="O1011">
        <v>30388.06</v>
      </c>
      <c r="P1011">
        <v>83.9</v>
      </c>
      <c r="Q1011">
        <v>204.14</v>
      </c>
      <c r="R1011">
        <v>23.17</v>
      </c>
      <c r="S1011">
        <v>17.37</v>
      </c>
      <c r="T1011">
        <v>809.36</v>
      </c>
      <c r="U1011">
        <v>0.75</v>
      </c>
      <c r="V1011">
        <v>0.76</v>
      </c>
      <c r="W1011">
        <v>1.1399999999999999</v>
      </c>
      <c r="X1011">
        <v>0.04</v>
      </c>
      <c r="Y1011">
        <v>1</v>
      </c>
      <c r="Z1011">
        <v>10</v>
      </c>
    </row>
    <row r="1012" spans="1:26" x14ac:dyDescent="0.3">
      <c r="A1012">
        <v>98</v>
      </c>
      <c r="B1012">
        <v>105</v>
      </c>
      <c r="C1012" t="s">
        <v>26</v>
      </c>
      <c r="D1012">
        <v>10.5708</v>
      </c>
      <c r="E1012">
        <v>9.4600000000000009</v>
      </c>
      <c r="F1012">
        <v>6.73</v>
      </c>
      <c r="G1012">
        <v>101</v>
      </c>
      <c r="H1012">
        <v>1.85</v>
      </c>
      <c r="I1012">
        <v>4</v>
      </c>
      <c r="J1012">
        <v>244.93</v>
      </c>
      <c r="K1012">
        <v>55.27</v>
      </c>
      <c r="L1012">
        <v>25.5</v>
      </c>
      <c r="M1012">
        <v>2</v>
      </c>
      <c r="N1012">
        <v>59.16</v>
      </c>
      <c r="O1012">
        <v>30442.58</v>
      </c>
      <c r="P1012">
        <v>83.64</v>
      </c>
      <c r="Q1012">
        <v>204.14</v>
      </c>
      <c r="R1012">
        <v>23.11</v>
      </c>
      <c r="S1012">
        <v>17.37</v>
      </c>
      <c r="T1012">
        <v>776.8</v>
      </c>
      <c r="U1012">
        <v>0.75</v>
      </c>
      <c r="V1012">
        <v>0.76</v>
      </c>
      <c r="W1012">
        <v>1.1399999999999999</v>
      </c>
      <c r="X1012">
        <v>0.04</v>
      </c>
      <c r="Y1012">
        <v>1</v>
      </c>
      <c r="Z1012">
        <v>10</v>
      </c>
    </row>
    <row r="1013" spans="1:26" x14ac:dyDescent="0.3">
      <c r="A1013">
        <v>99</v>
      </c>
      <c r="B1013">
        <v>105</v>
      </c>
      <c r="C1013" t="s">
        <v>26</v>
      </c>
      <c r="D1013">
        <v>10.569000000000001</v>
      </c>
      <c r="E1013">
        <v>9.4600000000000009</v>
      </c>
      <c r="F1013">
        <v>6.73</v>
      </c>
      <c r="G1013">
        <v>101.02</v>
      </c>
      <c r="H1013">
        <v>1.87</v>
      </c>
      <c r="I1013">
        <v>4</v>
      </c>
      <c r="J1013">
        <v>245.38</v>
      </c>
      <c r="K1013">
        <v>55.27</v>
      </c>
      <c r="L1013">
        <v>25.75</v>
      </c>
      <c r="M1013">
        <v>2</v>
      </c>
      <c r="N1013">
        <v>59.35</v>
      </c>
      <c r="O1013">
        <v>30497.18</v>
      </c>
      <c r="P1013">
        <v>83.18</v>
      </c>
      <c r="Q1013">
        <v>204.14</v>
      </c>
      <c r="R1013">
        <v>23.11</v>
      </c>
      <c r="S1013">
        <v>17.37</v>
      </c>
      <c r="T1013">
        <v>775.1</v>
      </c>
      <c r="U1013">
        <v>0.75</v>
      </c>
      <c r="V1013">
        <v>0.76</v>
      </c>
      <c r="W1013">
        <v>1.1399999999999999</v>
      </c>
      <c r="X1013">
        <v>0.04</v>
      </c>
      <c r="Y1013">
        <v>1</v>
      </c>
      <c r="Z1013">
        <v>10</v>
      </c>
    </row>
    <row r="1014" spans="1:26" x14ac:dyDescent="0.3">
      <c r="A1014">
        <v>100</v>
      </c>
      <c r="B1014">
        <v>105</v>
      </c>
      <c r="C1014" t="s">
        <v>26</v>
      </c>
      <c r="D1014">
        <v>10.5646</v>
      </c>
      <c r="E1014">
        <v>9.4700000000000006</v>
      </c>
      <c r="F1014">
        <v>6.74</v>
      </c>
      <c r="G1014">
        <v>101.08</v>
      </c>
      <c r="H1014">
        <v>1.88</v>
      </c>
      <c r="I1014">
        <v>4</v>
      </c>
      <c r="J1014">
        <v>245.82</v>
      </c>
      <c r="K1014">
        <v>55.27</v>
      </c>
      <c r="L1014">
        <v>26</v>
      </c>
      <c r="M1014">
        <v>2</v>
      </c>
      <c r="N1014">
        <v>59.55</v>
      </c>
      <c r="O1014">
        <v>30551.84</v>
      </c>
      <c r="P1014">
        <v>83.05</v>
      </c>
      <c r="Q1014">
        <v>204.14</v>
      </c>
      <c r="R1014">
        <v>23.26</v>
      </c>
      <c r="S1014">
        <v>17.37</v>
      </c>
      <c r="T1014">
        <v>854.2</v>
      </c>
      <c r="U1014">
        <v>0.75</v>
      </c>
      <c r="V1014">
        <v>0.76</v>
      </c>
      <c r="W1014">
        <v>1.1399999999999999</v>
      </c>
      <c r="X1014">
        <v>0.05</v>
      </c>
      <c r="Y1014">
        <v>1</v>
      </c>
      <c r="Z1014">
        <v>10</v>
      </c>
    </row>
    <row r="1015" spans="1:26" x14ac:dyDescent="0.3">
      <c r="A1015">
        <v>101</v>
      </c>
      <c r="B1015">
        <v>105</v>
      </c>
      <c r="C1015" t="s">
        <v>26</v>
      </c>
      <c r="D1015">
        <v>10.567399999999999</v>
      </c>
      <c r="E1015">
        <v>9.4600000000000009</v>
      </c>
      <c r="F1015">
        <v>6.74</v>
      </c>
      <c r="G1015">
        <v>101.04</v>
      </c>
      <c r="H1015">
        <v>1.9</v>
      </c>
      <c r="I1015">
        <v>4</v>
      </c>
      <c r="J1015">
        <v>246.26</v>
      </c>
      <c r="K1015">
        <v>55.27</v>
      </c>
      <c r="L1015">
        <v>26.25</v>
      </c>
      <c r="M1015">
        <v>2</v>
      </c>
      <c r="N1015">
        <v>59.74</v>
      </c>
      <c r="O1015">
        <v>30606.57</v>
      </c>
      <c r="P1015">
        <v>82.76</v>
      </c>
      <c r="Q1015">
        <v>204.14</v>
      </c>
      <c r="R1015">
        <v>23.23</v>
      </c>
      <c r="S1015">
        <v>17.37</v>
      </c>
      <c r="T1015">
        <v>837.35</v>
      </c>
      <c r="U1015">
        <v>0.75</v>
      </c>
      <c r="V1015">
        <v>0.76</v>
      </c>
      <c r="W1015">
        <v>1.1399999999999999</v>
      </c>
      <c r="X1015">
        <v>0.04</v>
      </c>
      <c r="Y1015">
        <v>1</v>
      </c>
      <c r="Z1015">
        <v>10</v>
      </c>
    </row>
    <row r="1016" spans="1:26" x14ac:dyDescent="0.3">
      <c r="A1016">
        <v>102</v>
      </c>
      <c r="B1016">
        <v>105</v>
      </c>
      <c r="C1016" t="s">
        <v>26</v>
      </c>
      <c r="D1016">
        <v>10.5609</v>
      </c>
      <c r="E1016">
        <v>9.4700000000000006</v>
      </c>
      <c r="F1016">
        <v>6.74</v>
      </c>
      <c r="G1016">
        <v>101.13</v>
      </c>
      <c r="H1016">
        <v>1.91</v>
      </c>
      <c r="I1016">
        <v>4</v>
      </c>
      <c r="J1016">
        <v>246.71</v>
      </c>
      <c r="K1016">
        <v>55.27</v>
      </c>
      <c r="L1016">
        <v>26.5</v>
      </c>
      <c r="M1016">
        <v>2</v>
      </c>
      <c r="N1016">
        <v>59.93</v>
      </c>
      <c r="O1016">
        <v>30661.38</v>
      </c>
      <c r="P1016">
        <v>82.44</v>
      </c>
      <c r="Q1016">
        <v>204.14</v>
      </c>
      <c r="R1016">
        <v>23.41</v>
      </c>
      <c r="S1016">
        <v>17.37</v>
      </c>
      <c r="T1016">
        <v>929.54</v>
      </c>
      <c r="U1016">
        <v>0.74</v>
      </c>
      <c r="V1016">
        <v>0.76</v>
      </c>
      <c r="W1016">
        <v>1.1399999999999999</v>
      </c>
      <c r="X1016">
        <v>0.05</v>
      </c>
      <c r="Y1016">
        <v>1</v>
      </c>
      <c r="Z1016">
        <v>10</v>
      </c>
    </row>
    <row r="1017" spans="1:26" x14ac:dyDescent="0.3">
      <c r="A1017">
        <v>103</v>
      </c>
      <c r="B1017">
        <v>105</v>
      </c>
      <c r="C1017" t="s">
        <v>26</v>
      </c>
      <c r="D1017">
        <v>10.5625</v>
      </c>
      <c r="E1017">
        <v>9.4700000000000006</v>
      </c>
      <c r="F1017">
        <v>6.74</v>
      </c>
      <c r="G1017">
        <v>101.11</v>
      </c>
      <c r="H1017">
        <v>1.93</v>
      </c>
      <c r="I1017">
        <v>4</v>
      </c>
      <c r="J1017">
        <v>247.15</v>
      </c>
      <c r="K1017">
        <v>55.27</v>
      </c>
      <c r="L1017">
        <v>26.75</v>
      </c>
      <c r="M1017">
        <v>2</v>
      </c>
      <c r="N1017">
        <v>60.13</v>
      </c>
      <c r="O1017">
        <v>30716.25</v>
      </c>
      <c r="P1017">
        <v>81.99</v>
      </c>
      <c r="Q1017">
        <v>204.15</v>
      </c>
      <c r="R1017">
        <v>23.38</v>
      </c>
      <c r="S1017">
        <v>17.37</v>
      </c>
      <c r="T1017">
        <v>913.67</v>
      </c>
      <c r="U1017">
        <v>0.74</v>
      </c>
      <c r="V1017">
        <v>0.76</v>
      </c>
      <c r="W1017">
        <v>1.1399999999999999</v>
      </c>
      <c r="X1017">
        <v>0.05</v>
      </c>
      <c r="Y1017">
        <v>1</v>
      </c>
      <c r="Z1017">
        <v>10</v>
      </c>
    </row>
    <row r="1018" spans="1:26" x14ac:dyDescent="0.3">
      <c r="A1018">
        <v>104</v>
      </c>
      <c r="B1018">
        <v>105</v>
      </c>
      <c r="C1018" t="s">
        <v>26</v>
      </c>
      <c r="D1018">
        <v>10.5649</v>
      </c>
      <c r="E1018">
        <v>9.4700000000000006</v>
      </c>
      <c r="F1018">
        <v>6.74</v>
      </c>
      <c r="G1018">
        <v>101.08</v>
      </c>
      <c r="H1018">
        <v>1.94</v>
      </c>
      <c r="I1018">
        <v>4</v>
      </c>
      <c r="J1018">
        <v>247.6</v>
      </c>
      <c r="K1018">
        <v>55.27</v>
      </c>
      <c r="L1018">
        <v>27</v>
      </c>
      <c r="M1018">
        <v>2</v>
      </c>
      <c r="N1018">
        <v>60.33</v>
      </c>
      <c r="O1018">
        <v>30771.200000000001</v>
      </c>
      <c r="P1018">
        <v>81.680000000000007</v>
      </c>
      <c r="Q1018">
        <v>204.14</v>
      </c>
      <c r="R1018">
        <v>23.23</v>
      </c>
      <c r="S1018">
        <v>17.37</v>
      </c>
      <c r="T1018">
        <v>838.74</v>
      </c>
      <c r="U1018">
        <v>0.75</v>
      </c>
      <c r="V1018">
        <v>0.76</v>
      </c>
      <c r="W1018">
        <v>1.1399999999999999</v>
      </c>
      <c r="X1018">
        <v>0.05</v>
      </c>
      <c r="Y1018">
        <v>1</v>
      </c>
      <c r="Z1018">
        <v>10</v>
      </c>
    </row>
    <row r="1019" spans="1:26" x14ac:dyDescent="0.3">
      <c r="A1019">
        <v>105</v>
      </c>
      <c r="B1019">
        <v>105</v>
      </c>
      <c r="C1019" t="s">
        <v>26</v>
      </c>
      <c r="D1019">
        <v>10.563700000000001</v>
      </c>
      <c r="E1019">
        <v>9.4700000000000006</v>
      </c>
      <c r="F1019">
        <v>6.74</v>
      </c>
      <c r="G1019">
        <v>101.09</v>
      </c>
      <c r="H1019">
        <v>1.95</v>
      </c>
      <c r="I1019">
        <v>4</v>
      </c>
      <c r="J1019">
        <v>248.04</v>
      </c>
      <c r="K1019">
        <v>55.27</v>
      </c>
      <c r="L1019">
        <v>27.25</v>
      </c>
      <c r="M1019">
        <v>2</v>
      </c>
      <c r="N1019">
        <v>60.52</v>
      </c>
      <c r="O1019">
        <v>30826.21</v>
      </c>
      <c r="P1019">
        <v>81.47</v>
      </c>
      <c r="Q1019">
        <v>204.14</v>
      </c>
      <c r="R1019">
        <v>23.32</v>
      </c>
      <c r="S1019">
        <v>17.37</v>
      </c>
      <c r="T1019">
        <v>883.11</v>
      </c>
      <c r="U1019">
        <v>0.74</v>
      </c>
      <c r="V1019">
        <v>0.76</v>
      </c>
      <c r="W1019">
        <v>1.1399999999999999</v>
      </c>
      <c r="X1019">
        <v>0.05</v>
      </c>
      <c r="Y1019">
        <v>1</v>
      </c>
      <c r="Z1019">
        <v>10</v>
      </c>
    </row>
    <row r="1020" spans="1:26" x14ac:dyDescent="0.3">
      <c r="A1020">
        <v>106</v>
      </c>
      <c r="B1020">
        <v>105</v>
      </c>
      <c r="C1020" t="s">
        <v>26</v>
      </c>
      <c r="D1020">
        <v>10.5671</v>
      </c>
      <c r="E1020">
        <v>9.4600000000000009</v>
      </c>
      <c r="F1020">
        <v>6.74</v>
      </c>
      <c r="G1020">
        <v>101.05</v>
      </c>
      <c r="H1020">
        <v>1.97</v>
      </c>
      <c r="I1020">
        <v>4</v>
      </c>
      <c r="J1020">
        <v>248.49</v>
      </c>
      <c r="K1020">
        <v>55.27</v>
      </c>
      <c r="L1020">
        <v>27.5</v>
      </c>
      <c r="M1020">
        <v>2</v>
      </c>
      <c r="N1020">
        <v>60.72</v>
      </c>
      <c r="O1020">
        <v>30881.3</v>
      </c>
      <c r="P1020">
        <v>81.14</v>
      </c>
      <c r="Q1020">
        <v>204.14</v>
      </c>
      <c r="R1020">
        <v>23.23</v>
      </c>
      <c r="S1020">
        <v>17.37</v>
      </c>
      <c r="T1020">
        <v>839.59</v>
      </c>
      <c r="U1020">
        <v>0.75</v>
      </c>
      <c r="V1020">
        <v>0.76</v>
      </c>
      <c r="W1020">
        <v>1.1399999999999999</v>
      </c>
      <c r="X1020">
        <v>0.05</v>
      </c>
      <c r="Y1020">
        <v>1</v>
      </c>
      <c r="Z1020">
        <v>10</v>
      </c>
    </row>
    <row r="1021" spans="1:26" x14ac:dyDescent="0.3">
      <c r="A1021">
        <v>107</v>
      </c>
      <c r="B1021">
        <v>105</v>
      </c>
      <c r="C1021" t="s">
        <v>26</v>
      </c>
      <c r="D1021">
        <v>10.560600000000001</v>
      </c>
      <c r="E1021">
        <v>9.4700000000000006</v>
      </c>
      <c r="F1021">
        <v>6.74</v>
      </c>
      <c r="G1021">
        <v>101.13</v>
      </c>
      <c r="H1021">
        <v>1.98</v>
      </c>
      <c r="I1021">
        <v>4</v>
      </c>
      <c r="J1021">
        <v>248.94</v>
      </c>
      <c r="K1021">
        <v>55.27</v>
      </c>
      <c r="L1021">
        <v>27.75</v>
      </c>
      <c r="M1021">
        <v>2</v>
      </c>
      <c r="N1021">
        <v>60.92</v>
      </c>
      <c r="O1021">
        <v>30936.46</v>
      </c>
      <c r="P1021">
        <v>80.709999999999994</v>
      </c>
      <c r="Q1021">
        <v>204.14</v>
      </c>
      <c r="R1021">
        <v>23.43</v>
      </c>
      <c r="S1021">
        <v>17.37</v>
      </c>
      <c r="T1021">
        <v>935.63</v>
      </c>
      <c r="U1021">
        <v>0.74</v>
      </c>
      <c r="V1021">
        <v>0.76</v>
      </c>
      <c r="W1021">
        <v>1.1399999999999999</v>
      </c>
      <c r="X1021">
        <v>0.05</v>
      </c>
      <c r="Y1021">
        <v>1</v>
      </c>
      <c r="Z1021">
        <v>10</v>
      </c>
    </row>
    <row r="1022" spans="1:26" x14ac:dyDescent="0.3">
      <c r="A1022">
        <v>108</v>
      </c>
      <c r="B1022">
        <v>105</v>
      </c>
      <c r="C1022" t="s">
        <v>26</v>
      </c>
      <c r="D1022">
        <v>10.556900000000001</v>
      </c>
      <c r="E1022">
        <v>9.4700000000000006</v>
      </c>
      <c r="F1022">
        <v>6.75</v>
      </c>
      <c r="G1022">
        <v>101.18</v>
      </c>
      <c r="H1022">
        <v>2</v>
      </c>
      <c r="I1022">
        <v>4</v>
      </c>
      <c r="J1022">
        <v>249.39</v>
      </c>
      <c r="K1022">
        <v>55.27</v>
      </c>
      <c r="L1022">
        <v>28</v>
      </c>
      <c r="M1022">
        <v>1</v>
      </c>
      <c r="N1022">
        <v>61.11</v>
      </c>
      <c r="O1022">
        <v>30991.69</v>
      </c>
      <c r="P1022">
        <v>80.33</v>
      </c>
      <c r="Q1022">
        <v>204.14</v>
      </c>
      <c r="R1022">
        <v>23.44</v>
      </c>
      <c r="S1022">
        <v>17.37</v>
      </c>
      <c r="T1022">
        <v>942.09</v>
      </c>
      <c r="U1022">
        <v>0.74</v>
      </c>
      <c r="V1022">
        <v>0.76</v>
      </c>
      <c r="W1022">
        <v>1.1399999999999999</v>
      </c>
      <c r="X1022">
        <v>0.05</v>
      </c>
      <c r="Y1022">
        <v>1</v>
      </c>
      <c r="Z1022">
        <v>10</v>
      </c>
    </row>
    <row r="1023" spans="1:26" x14ac:dyDescent="0.3">
      <c r="A1023">
        <v>109</v>
      </c>
      <c r="B1023">
        <v>105</v>
      </c>
      <c r="C1023" t="s">
        <v>26</v>
      </c>
      <c r="D1023">
        <v>10.5618</v>
      </c>
      <c r="E1023">
        <v>9.4700000000000006</v>
      </c>
      <c r="F1023">
        <v>6.74</v>
      </c>
      <c r="G1023">
        <v>101.12</v>
      </c>
      <c r="H1023">
        <v>2.0099999999999998</v>
      </c>
      <c r="I1023">
        <v>4</v>
      </c>
      <c r="J1023">
        <v>249.83</v>
      </c>
      <c r="K1023">
        <v>55.27</v>
      </c>
      <c r="L1023">
        <v>28.25</v>
      </c>
      <c r="M1023">
        <v>1</v>
      </c>
      <c r="N1023">
        <v>61.31</v>
      </c>
      <c r="O1023">
        <v>31047</v>
      </c>
      <c r="P1023">
        <v>80.099999999999994</v>
      </c>
      <c r="Q1023">
        <v>204.14</v>
      </c>
      <c r="R1023">
        <v>23.37</v>
      </c>
      <c r="S1023">
        <v>17.37</v>
      </c>
      <c r="T1023">
        <v>907.94</v>
      </c>
      <c r="U1023">
        <v>0.74</v>
      </c>
      <c r="V1023">
        <v>0.76</v>
      </c>
      <c r="W1023">
        <v>1.1399999999999999</v>
      </c>
      <c r="X1023">
        <v>0.05</v>
      </c>
      <c r="Y1023">
        <v>1</v>
      </c>
      <c r="Z1023">
        <v>10</v>
      </c>
    </row>
    <row r="1024" spans="1:26" x14ac:dyDescent="0.3">
      <c r="A1024">
        <v>110</v>
      </c>
      <c r="B1024">
        <v>105</v>
      </c>
      <c r="C1024" t="s">
        <v>26</v>
      </c>
      <c r="D1024">
        <v>10.560600000000001</v>
      </c>
      <c r="E1024">
        <v>9.4700000000000006</v>
      </c>
      <c r="F1024">
        <v>6.74</v>
      </c>
      <c r="G1024">
        <v>101.13</v>
      </c>
      <c r="H1024">
        <v>2.0299999999999998</v>
      </c>
      <c r="I1024">
        <v>4</v>
      </c>
      <c r="J1024">
        <v>250.28</v>
      </c>
      <c r="K1024">
        <v>55.27</v>
      </c>
      <c r="L1024">
        <v>28.5</v>
      </c>
      <c r="M1024">
        <v>1</v>
      </c>
      <c r="N1024">
        <v>61.51</v>
      </c>
      <c r="O1024">
        <v>31102.37</v>
      </c>
      <c r="P1024">
        <v>79.95</v>
      </c>
      <c r="Q1024">
        <v>204.14</v>
      </c>
      <c r="R1024">
        <v>23.39</v>
      </c>
      <c r="S1024">
        <v>17.37</v>
      </c>
      <c r="T1024">
        <v>916</v>
      </c>
      <c r="U1024">
        <v>0.74</v>
      </c>
      <c r="V1024">
        <v>0.76</v>
      </c>
      <c r="W1024">
        <v>1.1399999999999999</v>
      </c>
      <c r="X1024">
        <v>0.05</v>
      </c>
      <c r="Y1024">
        <v>1</v>
      </c>
      <c r="Z1024">
        <v>10</v>
      </c>
    </row>
    <row r="1025" spans="1:26" x14ac:dyDescent="0.3">
      <c r="A1025">
        <v>111</v>
      </c>
      <c r="B1025">
        <v>105</v>
      </c>
      <c r="C1025" t="s">
        <v>26</v>
      </c>
      <c r="D1025">
        <v>10.629799999999999</v>
      </c>
      <c r="E1025">
        <v>9.41</v>
      </c>
      <c r="F1025">
        <v>6.72</v>
      </c>
      <c r="G1025">
        <v>134.41999999999999</v>
      </c>
      <c r="H1025">
        <v>2.04</v>
      </c>
      <c r="I1025">
        <v>3</v>
      </c>
      <c r="J1025">
        <v>250.73</v>
      </c>
      <c r="K1025">
        <v>55.27</v>
      </c>
      <c r="L1025">
        <v>28.75</v>
      </c>
      <c r="M1025">
        <v>0</v>
      </c>
      <c r="N1025">
        <v>61.71</v>
      </c>
      <c r="O1025">
        <v>31157.82</v>
      </c>
      <c r="P1025">
        <v>79.44</v>
      </c>
      <c r="Q1025">
        <v>204.14</v>
      </c>
      <c r="R1025">
        <v>22.73</v>
      </c>
      <c r="S1025">
        <v>17.37</v>
      </c>
      <c r="T1025">
        <v>590.48</v>
      </c>
      <c r="U1025">
        <v>0.76</v>
      </c>
      <c r="V1025">
        <v>0.76</v>
      </c>
      <c r="W1025">
        <v>1.1399999999999999</v>
      </c>
      <c r="X1025">
        <v>0.03</v>
      </c>
      <c r="Y1025">
        <v>1</v>
      </c>
      <c r="Z1025">
        <v>10</v>
      </c>
    </row>
    <row r="1026" spans="1:26" x14ac:dyDescent="0.3">
      <c r="A1026">
        <v>0</v>
      </c>
      <c r="B1026">
        <v>60</v>
      </c>
      <c r="C1026" t="s">
        <v>26</v>
      </c>
      <c r="D1026">
        <v>8.6504999999999992</v>
      </c>
      <c r="E1026">
        <v>11.56</v>
      </c>
      <c r="F1026">
        <v>7.89</v>
      </c>
      <c r="G1026">
        <v>7.89</v>
      </c>
      <c r="H1026">
        <v>0.14000000000000001</v>
      </c>
      <c r="I1026">
        <v>60</v>
      </c>
      <c r="J1026">
        <v>124.63</v>
      </c>
      <c r="K1026">
        <v>45</v>
      </c>
      <c r="L1026">
        <v>1</v>
      </c>
      <c r="M1026">
        <v>58</v>
      </c>
      <c r="N1026">
        <v>18.64</v>
      </c>
      <c r="O1026">
        <v>15605.44</v>
      </c>
      <c r="P1026">
        <v>82.22</v>
      </c>
      <c r="Q1026">
        <v>204.18</v>
      </c>
      <c r="R1026">
        <v>59.63</v>
      </c>
      <c r="S1026">
        <v>17.37</v>
      </c>
      <c r="T1026">
        <v>18757.29</v>
      </c>
      <c r="U1026">
        <v>0.28999999999999998</v>
      </c>
      <c r="V1026">
        <v>0.65</v>
      </c>
      <c r="W1026">
        <v>1.23</v>
      </c>
      <c r="X1026">
        <v>1.2</v>
      </c>
      <c r="Y1026">
        <v>1</v>
      </c>
      <c r="Z1026">
        <v>10</v>
      </c>
    </row>
    <row r="1027" spans="1:26" x14ac:dyDescent="0.3">
      <c r="A1027">
        <v>1</v>
      </c>
      <c r="B1027">
        <v>60</v>
      </c>
      <c r="C1027" t="s">
        <v>26</v>
      </c>
      <c r="D1027">
        <v>9.1059000000000001</v>
      </c>
      <c r="E1027">
        <v>10.98</v>
      </c>
      <c r="F1027">
        <v>7.65</v>
      </c>
      <c r="G1027">
        <v>9.76</v>
      </c>
      <c r="H1027">
        <v>0.18</v>
      </c>
      <c r="I1027">
        <v>47</v>
      </c>
      <c r="J1027">
        <v>124.96</v>
      </c>
      <c r="K1027">
        <v>45</v>
      </c>
      <c r="L1027">
        <v>1.25</v>
      </c>
      <c r="M1027">
        <v>45</v>
      </c>
      <c r="N1027">
        <v>18.71</v>
      </c>
      <c r="O1027">
        <v>15645.96</v>
      </c>
      <c r="P1027">
        <v>79.400000000000006</v>
      </c>
      <c r="Q1027">
        <v>204.25</v>
      </c>
      <c r="R1027">
        <v>51.61</v>
      </c>
      <c r="S1027">
        <v>17.37</v>
      </c>
      <c r="T1027">
        <v>14812.1</v>
      </c>
      <c r="U1027">
        <v>0.34</v>
      </c>
      <c r="V1027">
        <v>0.67</v>
      </c>
      <c r="W1027">
        <v>1.22</v>
      </c>
      <c r="X1027">
        <v>0.96</v>
      </c>
      <c r="Y1027">
        <v>1</v>
      </c>
      <c r="Z1027">
        <v>10</v>
      </c>
    </row>
    <row r="1028" spans="1:26" x14ac:dyDescent="0.3">
      <c r="A1028">
        <v>2</v>
      </c>
      <c r="B1028">
        <v>60</v>
      </c>
      <c r="C1028" t="s">
        <v>26</v>
      </c>
      <c r="D1028">
        <v>9.4832000000000001</v>
      </c>
      <c r="E1028">
        <v>10.54</v>
      </c>
      <c r="F1028">
        <v>7.44</v>
      </c>
      <c r="G1028">
        <v>11.75</v>
      </c>
      <c r="H1028">
        <v>0.21</v>
      </c>
      <c r="I1028">
        <v>38</v>
      </c>
      <c r="J1028">
        <v>125.29</v>
      </c>
      <c r="K1028">
        <v>45</v>
      </c>
      <c r="L1028">
        <v>1.5</v>
      </c>
      <c r="M1028">
        <v>36</v>
      </c>
      <c r="N1028">
        <v>18.79</v>
      </c>
      <c r="O1028">
        <v>15686.51</v>
      </c>
      <c r="P1028">
        <v>76.97</v>
      </c>
      <c r="Q1028">
        <v>204.17</v>
      </c>
      <c r="R1028">
        <v>45.24</v>
      </c>
      <c r="S1028">
        <v>17.37</v>
      </c>
      <c r="T1028">
        <v>11674.63</v>
      </c>
      <c r="U1028">
        <v>0.38</v>
      </c>
      <c r="V1028">
        <v>0.69</v>
      </c>
      <c r="W1028">
        <v>1.2</v>
      </c>
      <c r="X1028">
        <v>0.75</v>
      </c>
      <c r="Y1028">
        <v>1</v>
      </c>
      <c r="Z1028">
        <v>10</v>
      </c>
    </row>
    <row r="1029" spans="1:26" x14ac:dyDescent="0.3">
      <c r="A1029">
        <v>3</v>
      </c>
      <c r="B1029">
        <v>60</v>
      </c>
      <c r="C1029" t="s">
        <v>26</v>
      </c>
      <c r="D1029">
        <v>9.7470999999999997</v>
      </c>
      <c r="E1029">
        <v>10.26</v>
      </c>
      <c r="F1029">
        <v>7.31</v>
      </c>
      <c r="G1029">
        <v>13.71</v>
      </c>
      <c r="H1029">
        <v>0.25</v>
      </c>
      <c r="I1029">
        <v>32</v>
      </c>
      <c r="J1029">
        <v>125.62</v>
      </c>
      <c r="K1029">
        <v>45</v>
      </c>
      <c r="L1029">
        <v>1.75</v>
      </c>
      <c r="M1029">
        <v>30</v>
      </c>
      <c r="N1029">
        <v>18.87</v>
      </c>
      <c r="O1029">
        <v>15727.09</v>
      </c>
      <c r="P1029">
        <v>75.27</v>
      </c>
      <c r="Q1029">
        <v>204.16</v>
      </c>
      <c r="R1029">
        <v>40.909999999999997</v>
      </c>
      <c r="S1029">
        <v>17.37</v>
      </c>
      <c r="T1029">
        <v>9537.6200000000008</v>
      </c>
      <c r="U1029">
        <v>0.42</v>
      </c>
      <c r="V1029">
        <v>0.7</v>
      </c>
      <c r="W1029">
        <v>1.19</v>
      </c>
      <c r="X1029">
        <v>0.62</v>
      </c>
      <c r="Y1029">
        <v>1</v>
      </c>
      <c r="Z1029">
        <v>10</v>
      </c>
    </row>
    <row r="1030" spans="1:26" x14ac:dyDescent="0.3">
      <c r="A1030">
        <v>4</v>
      </c>
      <c r="B1030">
        <v>60</v>
      </c>
      <c r="C1030" t="s">
        <v>26</v>
      </c>
      <c r="D1030">
        <v>9.9176000000000002</v>
      </c>
      <c r="E1030">
        <v>10.08</v>
      </c>
      <c r="F1030">
        <v>7.24</v>
      </c>
      <c r="G1030">
        <v>15.5</v>
      </c>
      <c r="H1030">
        <v>0.28000000000000003</v>
      </c>
      <c r="I1030">
        <v>28</v>
      </c>
      <c r="J1030">
        <v>125.95</v>
      </c>
      <c r="K1030">
        <v>45</v>
      </c>
      <c r="L1030">
        <v>2</v>
      </c>
      <c r="M1030">
        <v>26</v>
      </c>
      <c r="N1030">
        <v>18.95</v>
      </c>
      <c r="O1030">
        <v>15767.7</v>
      </c>
      <c r="P1030">
        <v>74.239999999999995</v>
      </c>
      <c r="Q1030">
        <v>204.17</v>
      </c>
      <c r="R1030">
        <v>38.729999999999997</v>
      </c>
      <c r="S1030">
        <v>17.37</v>
      </c>
      <c r="T1030">
        <v>8467.59</v>
      </c>
      <c r="U1030">
        <v>0.45</v>
      </c>
      <c r="V1030">
        <v>0.71</v>
      </c>
      <c r="W1030">
        <v>1.18</v>
      </c>
      <c r="X1030">
        <v>0.54</v>
      </c>
      <c r="Y1030">
        <v>1</v>
      </c>
      <c r="Z1030">
        <v>10</v>
      </c>
    </row>
    <row r="1031" spans="1:26" x14ac:dyDescent="0.3">
      <c r="A1031">
        <v>5</v>
      </c>
      <c r="B1031">
        <v>60</v>
      </c>
      <c r="C1031" t="s">
        <v>26</v>
      </c>
      <c r="D1031">
        <v>10.064</v>
      </c>
      <c r="E1031">
        <v>9.94</v>
      </c>
      <c r="F1031">
        <v>7.17</v>
      </c>
      <c r="G1031">
        <v>17.2</v>
      </c>
      <c r="H1031">
        <v>0.31</v>
      </c>
      <c r="I1031">
        <v>25</v>
      </c>
      <c r="J1031">
        <v>126.28</v>
      </c>
      <c r="K1031">
        <v>45</v>
      </c>
      <c r="L1031">
        <v>2.25</v>
      </c>
      <c r="M1031">
        <v>23</v>
      </c>
      <c r="N1031">
        <v>19.03</v>
      </c>
      <c r="O1031">
        <v>15808.34</v>
      </c>
      <c r="P1031">
        <v>73.27</v>
      </c>
      <c r="Q1031">
        <v>204.21</v>
      </c>
      <c r="R1031">
        <v>36.61</v>
      </c>
      <c r="S1031">
        <v>17.37</v>
      </c>
      <c r="T1031">
        <v>7420.21</v>
      </c>
      <c r="U1031">
        <v>0.47</v>
      </c>
      <c r="V1031">
        <v>0.71</v>
      </c>
      <c r="W1031">
        <v>1.17</v>
      </c>
      <c r="X1031">
        <v>0.47</v>
      </c>
      <c r="Y1031">
        <v>1</v>
      </c>
      <c r="Z1031">
        <v>10</v>
      </c>
    </row>
    <row r="1032" spans="1:26" x14ac:dyDescent="0.3">
      <c r="A1032">
        <v>6</v>
      </c>
      <c r="B1032">
        <v>60</v>
      </c>
      <c r="C1032" t="s">
        <v>26</v>
      </c>
      <c r="D1032">
        <v>10.194000000000001</v>
      </c>
      <c r="E1032">
        <v>9.81</v>
      </c>
      <c r="F1032">
        <v>7.12</v>
      </c>
      <c r="G1032">
        <v>19.41</v>
      </c>
      <c r="H1032">
        <v>0.35</v>
      </c>
      <c r="I1032">
        <v>22</v>
      </c>
      <c r="J1032">
        <v>126.61</v>
      </c>
      <c r="K1032">
        <v>45</v>
      </c>
      <c r="L1032">
        <v>2.5</v>
      </c>
      <c r="M1032">
        <v>20</v>
      </c>
      <c r="N1032">
        <v>19.11</v>
      </c>
      <c r="O1032">
        <v>15849</v>
      </c>
      <c r="P1032">
        <v>72.44</v>
      </c>
      <c r="Q1032">
        <v>204.15</v>
      </c>
      <c r="R1032">
        <v>35.1</v>
      </c>
      <c r="S1032">
        <v>17.37</v>
      </c>
      <c r="T1032">
        <v>6681.45</v>
      </c>
      <c r="U1032">
        <v>0.5</v>
      </c>
      <c r="V1032">
        <v>0.72</v>
      </c>
      <c r="W1032">
        <v>1.17</v>
      </c>
      <c r="X1032">
        <v>0.42</v>
      </c>
      <c r="Y1032">
        <v>1</v>
      </c>
      <c r="Z1032">
        <v>10</v>
      </c>
    </row>
    <row r="1033" spans="1:26" x14ac:dyDescent="0.3">
      <c r="A1033">
        <v>7</v>
      </c>
      <c r="B1033">
        <v>60</v>
      </c>
      <c r="C1033" t="s">
        <v>26</v>
      </c>
      <c r="D1033">
        <v>10.2925</v>
      </c>
      <c r="E1033">
        <v>9.7200000000000006</v>
      </c>
      <c r="F1033">
        <v>7.07</v>
      </c>
      <c r="G1033">
        <v>21.22</v>
      </c>
      <c r="H1033">
        <v>0.38</v>
      </c>
      <c r="I1033">
        <v>20</v>
      </c>
      <c r="J1033">
        <v>126.94</v>
      </c>
      <c r="K1033">
        <v>45</v>
      </c>
      <c r="L1033">
        <v>2.75</v>
      </c>
      <c r="M1033">
        <v>18</v>
      </c>
      <c r="N1033">
        <v>19.190000000000001</v>
      </c>
      <c r="O1033">
        <v>15889.69</v>
      </c>
      <c r="P1033">
        <v>71.77</v>
      </c>
      <c r="Q1033">
        <v>204.15</v>
      </c>
      <c r="R1033">
        <v>33.78</v>
      </c>
      <c r="S1033">
        <v>17.37</v>
      </c>
      <c r="T1033">
        <v>6031.96</v>
      </c>
      <c r="U1033">
        <v>0.51</v>
      </c>
      <c r="V1033">
        <v>0.72</v>
      </c>
      <c r="W1033">
        <v>1.17</v>
      </c>
      <c r="X1033">
        <v>0.38</v>
      </c>
      <c r="Y1033">
        <v>1</v>
      </c>
      <c r="Z1033">
        <v>10</v>
      </c>
    </row>
    <row r="1034" spans="1:26" x14ac:dyDescent="0.3">
      <c r="A1034">
        <v>8</v>
      </c>
      <c r="B1034">
        <v>60</v>
      </c>
      <c r="C1034" t="s">
        <v>26</v>
      </c>
      <c r="D1034">
        <v>10.400700000000001</v>
      </c>
      <c r="E1034">
        <v>9.61</v>
      </c>
      <c r="F1034">
        <v>7.02</v>
      </c>
      <c r="G1034">
        <v>23.41</v>
      </c>
      <c r="H1034">
        <v>0.42</v>
      </c>
      <c r="I1034">
        <v>18</v>
      </c>
      <c r="J1034">
        <v>127.27</v>
      </c>
      <c r="K1034">
        <v>45</v>
      </c>
      <c r="L1034">
        <v>3</v>
      </c>
      <c r="M1034">
        <v>16</v>
      </c>
      <c r="N1034">
        <v>19.27</v>
      </c>
      <c r="O1034">
        <v>15930.42</v>
      </c>
      <c r="P1034">
        <v>70.88</v>
      </c>
      <c r="Q1034">
        <v>204.15</v>
      </c>
      <c r="R1034">
        <v>32.299999999999997</v>
      </c>
      <c r="S1034">
        <v>17.37</v>
      </c>
      <c r="T1034">
        <v>5303.74</v>
      </c>
      <c r="U1034">
        <v>0.54</v>
      </c>
      <c r="V1034">
        <v>0.73</v>
      </c>
      <c r="W1034">
        <v>1.1599999999999999</v>
      </c>
      <c r="X1034">
        <v>0.33</v>
      </c>
      <c r="Y1034">
        <v>1</v>
      </c>
      <c r="Z1034">
        <v>10</v>
      </c>
    </row>
    <row r="1035" spans="1:26" x14ac:dyDescent="0.3">
      <c r="A1035">
        <v>9</v>
      </c>
      <c r="B1035">
        <v>60</v>
      </c>
      <c r="C1035" t="s">
        <v>26</v>
      </c>
      <c r="D1035">
        <v>10.425700000000001</v>
      </c>
      <c r="E1035">
        <v>9.59</v>
      </c>
      <c r="F1035">
        <v>7.03</v>
      </c>
      <c r="G1035">
        <v>24.79</v>
      </c>
      <c r="H1035">
        <v>0.45</v>
      </c>
      <c r="I1035">
        <v>17</v>
      </c>
      <c r="J1035">
        <v>127.6</v>
      </c>
      <c r="K1035">
        <v>45</v>
      </c>
      <c r="L1035">
        <v>3.25</v>
      </c>
      <c r="M1035">
        <v>15</v>
      </c>
      <c r="N1035">
        <v>19.350000000000001</v>
      </c>
      <c r="O1035">
        <v>15971.17</v>
      </c>
      <c r="P1035">
        <v>70.680000000000007</v>
      </c>
      <c r="Q1035">
        <v>204.15</v>
      </c>
      <c r="R1035">
        <v>32.369999999999997</v>
      </c>
      <c r="S1035">
        <v>17.37</v>
      </c>
      <c r="T1035">
        <v>5343.26</v>
      </c>
      <c r="U1035">
        <v>0.54</v>
      </c>
      <c r="V1035">
        <v>0.73</v>
      </c>
      <c r="W1035">
        <v>1.1599999999999999</v>
      </c>
      <c r="X1035">
        <v>0.33</v>
      </c>
      <c r="Y1035">
        <v>1</v>
      </c>
      <c r="Z1035">
        <v>10</v>
      </c>
    </row>
    <row r="1036" spans="1:26" x14ac:dyDescent="0.3">
      <c r="A1036">
        <v>10</v>
      </c>
      <c r="B1036">
        <v>60</v>
      </c>
      <c r="C1036" t="s">
        <v>26</v>
      </c>
      <c r="D1036">
        <v>10.4682</v>
      </c>
      <c r="E1036">
        <v>9.5500000000000007</v>
      </c>
      <c r="F1036">
        <v>7.01</v>
      </c>
      <c r="G1036">
        <v>26.29</v>
      </c>
      <c r="H1036">
        <v>0.48</v>
      </c>
      <c r="I1036">
        <v>16</v>
      </c>
      <c r="J1036">
        <v>127.93</v>
      </c>
      <c r="K1036">
        <v>45</v>
      </c>
      <c r="L1036">
        <v>3.5</v>
      </c>
      <c r="M1036">
        <v>14</v>
      </c>
      <c r="N1036">
        <v>19.43</v>
      </c>
      <c r="O1036">
        <v>16011.95</v>
      </c>
      <c r="P1036">
        <v>70.27</v>
      </c>
      <c r="Q1036">
        <v>204.21</v>
      </c>
      <c r="R1036">
        <v>31.77</v>
      </c>
      <c r="S1036">
        <v>17.37</v>
      </c>
      <c r="T1036">
        <v>5049.74</v>
      </c>
      <c r="U1036">
        <v>0.55000000000000004</v>
      </c>
      <c r="V1036">
        <v>0.73</v>
      </c>
      <c r="W1036">
        <v>1.17</v>
      </c>
      <c r="X1036">
        <v>0.32</v>
      </c>
      <c r="Y1036">
        <v>1</v>
      </c>
      <c r="Z1036">
        <v>10</v>
      </c>
    </row>
    <row r="1037" spans="1:26" x14ac:dyDescent="0.3">
      <c r="A1037">
        <v>11</v>
      </c>
      <c r="B1037">
        <v>60</v>
      </c>
      <c r="C1037" t="s">
        <v>26</v>
      </c>
      <c r="D1037">
        <v>10.544499999999999</v>
      </c>
      <c r="E1037">
        <v>9.48</v>
      </c>
      <c r="F1037">
        <v>6.97</v>
      </c>
      <c r="G1037">
        <v>27.87</v>
      </c>
      <c r="H1037">
        <v>0.52</v>
      </c>
      <c r="I1037">
        <v>15</v>
      </c>
      <c r="J1037">
        <v>128.26</v>
      </c>
      <c r="K1037">
        <v>45</v>
      </c>
      <c r="L1037">
        <v>3.75</v>
      </c>
      <c r="M1037">
        <v>13</v>
      </c>
      <c r="N1037">
        <v>19.510000000000002</v>
      </c>
      <c r="O1037">
        <v>16052.76</v>
      </c>
      <c r="P1037">
        <v>69.47</v>
      </c>
      <c r="Q1037">
        <v>204.18</v>
      </c>
      <c r="R1037">
        <v>30.45</v>
      </c>
      <c r="S1037">
        <v>17.37</v>
      </c>
      <c r="T1037">
        <v>4394.12</v>
      </c>
      <c r="U1037">
        <v>0.56999999999999995</v>
      </c>
      <c r="V1037">
        <v>0.73</v>
      </c>
      <c r="W1037">
        <v>1.1599999999999999</v>
      </c>
      <c r="X1037">
        <v>0.28000000000000003</v>
      </c>
      <c r="Y1037">
        <v>1</v>
      </c>
      <c r="Z1037">
        <v>10</v>
      </c>
    </row>
    <row r="1038" spans="1:26" x14ac:dyDescent="0.3">
      <c r="A1038">
        <v>12</v>
      </c>
      <c r="B1038">
        <v>60</v>
      </c>
      <c r="C1038" t="s">
        <v>26</v>
      </c>
      <c r="D1038">
        <v>10.596299999999999</v>
      </c>
      <c r="E1038">
        <v>9.44</v>
      </c>
      <c r="F1038">
        <v>6.95</v>
      </c>
      <c r="G1038">
        <v>29.77</v>
      </c>
      <c r="H1038">
        <v>0.55000000000000004</v>
      </c>
      <c r="I1038">
        <v>14</v>
      </c>
      <c r="J1038">
        <v>128.59</v>
      </c>
      <c r="K1038">
        <v>45</v>
      </c>
      <c r="L1038">
        <v>4</v>
      </c>
      <c r="M1038">
        <v>12</v>
      </c>
      <c r="N1038">
        <v>19.59</v>
      </c>
      <c r="O1038">
        <v>16093.6</v>
      </c>
      <c r="P1038">
        <v>69.069999999999993</v>
      </c>
      <c r="Q1038">
        <v>204.15</v>
      </c>
      <c r="R1038">
        <v>29.74</v>
      </c>
      <c r="S1038">
        <v>17.37</v>
      </c>
      <c r="T1038">
        <v>4042.99</v>
      </c>
      <c r="U1038">
        <v>0.57999999999999996</v>
      </c>
      <c r="V1038">
        <v>0.74</v>
      </c>
      <c r="W1038">
        <v>1.1599999999999999</v>
      </c>
      <c r="X1038">
        <v>0.26</v>
      </c>
      <c r="Y1038">
        <v>1</v>
      </c>
      <c r="Z1038">
        <v>10</v>
      </c>
    </row>
    <row r="1039" spans="1:26" x14ac:dyDescent="0.3">
      <c r="A1039">
        <v>13</v>
      </c>
      <c r="B1039">
        <v>60</v>
      </c>
      <c r="C1039" t="s">
        <v>26</v>
      </c>
      <c r="D1039">
        <v>10.649900000000001</v>
      </c>
      <c r="E1039">
        <v>9.39</v>
      </c>
      <c r="F1039">
        <v>6.93</v>
      </c>
      <c r="G1039">
        <v>31.96</v>
      </c>
      <c r="H1039">
        <v>0.57999999999999996</v>
      </c>
      <c r="I1039">
        <v>13</v>
      </c>
      <c r="J1039">
        <v>128.91999999999999</v>
      </c>
      <c r="K1039">
        <v>45</v>
      </c>
      <c r="L1039">
        <v>4.25</v>
      </c>
      <c r="M1039">
        <v>11</v>
      </c>
      <c r="N1039">
        <v>19.68</v>
      </c>
      <c r="O1039">
        <v>16134.46</v>
      </c>
      <c r="P1039">
        <v>68.59</v>
      </c>
      <c r="Q1039">
        <v>204.15</v>
      </c>
      <c r="R1039">
        <v>29.09</v>
      </c>
      <c r="S1039">
        <v>17.37</v>
      </c>
      <c r="T1039">
        <v>3721.48</v>
      </c>
      <c r="U1039">
        <v>0.6</v>
      </c>
      <c r="V1039">
        <v>0.74</v>
      </c>
      <c r="W1039">
        <v>1.1599999999999999</v>
      </c>
      <c r="X1039">
        <v>0.23</v>
      </c>
      <c r="Y1039">
        <v>1</v>
      </c>
      <c r="Z1039">
        <v>10</v>
      </c>
    </row>
    <row r="1040" spans="1:26" x14ac:dyDescent="0.3">
      <c r="A1040">
        <v>14</v>
      </c>
      <c r="B1040">
        <v>60</v>
      </c>
      <c r="C1040" t="s">
        <v>26</v>
      </c>
      <c r="D1040">
        <v>10.691700000000001</v>
      </c>
      <c r="E1040">
        <v>9.35</v>
      </c>
      <c r="F1040">
        <v>6.91</v>
      </c>
      <c r="G1040">
        <v>34.57</v>
      </c>
      <c r="H1040">
        <v>0.62</v>
      </c>
      <c r="I1040">
        <v>12</v>
      </c>
      <c r="J1040">
        <v>129.25</v>
      </c>
      <c r="K1040">
        <v>45</v>
      </c>
      <c r="L1040">
        <v>4.5</v>
      </c>
      <c r="M1040">
        <v>10</v>
      </c>
      <c r="N1040">
        <v>19.760000000000002</v>
      </c>
      <c r="O1040">
        <v>16175.36</v>
      </c>
      <c r="P1040">
        <v>68.150000000000006</v>
      </c>
      <c r="Q1040">
        <v>204.14</v>
      </c>
      <c r="R1040">
        <v>28.93</v>
      </c>
      <c r="S1040">
        <v>17.37</v>
      </c>
      <c r="T1040">
        <v>3644.93</v>
      </c>
      <c r="U1040">
        <v>0.6</v>
      </c>
      <c r="V1040">
        <v>0.74</v>
      </c>
      <c r="W1040">
        <v>1.1499999999999999</v>
      </c>
      <c r="X1040">
        <v>0.22</v>
      </c>
      <c r="Y1040">
        <v>1</v>
      </c>
      <c r="Z1040">
        <v>10</v>
      </c>
    </row>
    <row r="1041" spans="1:26" x14ac:dyDescent="0.3">
      <c r="A1041">
        <v>15</v>
      </c>
      <c r="B1041">
        <v>60</v>
      </c>
      <c r="C1041" t="s">
        <v>26</v>
      </c>
      <c r="D1041">
        <v>10.697100000000001</v>
      </c>
      <c r="E1041">
        <v>9.35</v>
      </c>
      <c r="F1041">
        <v>6.91</v>
      </c>
      <c r="G1041">
        <v>34.549999999999997</v>
      </c>
      <c r="H1041">
        <v>0.65</v>
      </c>
      <c r="I1041">
        <v>12</v>
      </c>
      <c r="J1041">
        <v>129.59</v>
      </c>
      <c r="K1041">
        <v>45</v>
      </c>
      <c r="L1041">
        <v>4.75</v>
      </c>
      <c r="M1041">
        <v>10</v>
      </c>
      <c r="N1041">
        <v>19.84</v>
      </c>
      <c r="O1041">
        <v>16216.29</v>
      </c>
      <c r="P1041">
        <v>67.709999999999994</v>
      </c>
      <c r="Q1041">
        <v>204.15</v>
      </c>
      <c r="R1041">
        <v>28.75</v>
      </c>
      <c r="S1041">
        <v>17.37</v>
      </c>
      <c r="T1041">
        <v>3556.3</v>
      </c>
      <c r="U1041">
        <v>0.6</v>
      </c>
      <c r="V1041">
        <v>0.74</v>
      </c>
      <c r="W1041">
        <v>1.1499999999999999</v>
      </c>
      <c r="X1041">
        <v>0.22</v>
      </c>
      <c r="Y1041">
        <v>1</v>
      </c>
      <c r="Z1041">
        <v>10</v>
      </c>
    </row>
    <row r="1042" spans="1:26" x14ac:dyDescent="0.3">
      <c r="A1042">
        <v>16</v>
      </c>
      <c r="B1042">
        <v>60</v>
      </c>
      <c r="C1042" t="s">
        <v>26</v>
      </c>
      <c r="D1042">
        <v>10.759399999999999</v>
      </c>
      <c r="E1042">
        <v>9.2899999999999991</v>
      </c>
      <c r="F1042">
        <v>6.88</v>
      </c>
      <c r="G1042">
        <v>37.53</v>
      </c>
      <c r="H1042">
        <v>0.68</v>
      </c>
      <c r="I1042">
        <v>11</v>
      </c>
      <c r="J1042">
        <v>129.91999999999999</v>
      </c>
      <c r="K1042">
        <v>45</v>
      </c>
      <c r="L1042">
        <v>5</v>
      </c>
      <c r="M1042">
        <v>9</v>
      </c>
      <c r="N1042">
        <v>19.920000000000002</v>
      </c>
      <c r="O1042">
        <v>16257.24</v>
      </c>
      <c r="P1042">
        <v>67.22</v>
      </c>
      <c r="Q1042">
        <v>204.18</v>
      </c>
      <c r="R1042">
        <v>27.67</v>
      </c>
      <c r="S1042">
        <v>17.37</v>
      </c>
      <c r="T1042">
        <v>3020.76</v>
      </c>
      <c r="U1042">
        <v>0.63</v>
      </c>
      <c r="V1042">
        <v>0.74</v>
      </c>
      <c r="W1042">
        <v>1.1499999999999999</v>
      </c>
      <c r="X1042">
        <v>0.19</v>
      </c>
      <c r="Y1042">
        <v>1</v>
      </c>
      <c r="Z1042">
        <v>10</v>
      </c>
    </row>
    <row r="1043" spans="1:26" x14ac:dyDescent="0.3">
      <c r="A1043">
        <v>17</v>
      </c>
      <c r="B1043">
        <v>60</v>
      </c>
      <c r="C1043" t="s">
        <v>26</v>
      </c>
      <c r="D1043">
        <v>10.7469</v>
      </c>
      <c r="E1043">
        <v>9.3000000000000007</v>
      </c>
      <c r="F1043">
        <v>6.89</v>
      </c>
      <c r="G1043">
        <v>37.590000000000003</v>
      </c>
      <c r="H1043">
        <v>0.71</v>
      </c>
      <c r="I1043">
        <v>11</v>
      </c>
      <c r="J1043">
        <v>130.25</v>
      </c>
      <c r="K1043">
        <v>45</v>
      </c>
      <c r="L1043">
        <v>5.25</v>
      </c>
      <c r="M1043">
        <v>9</v>
      </c>
      <c r="N1043">
        <v>20</v>
      </c>
      <c r="O1043">
        <v>16298.23</v>
      </c>
      <c r="P1043">
        <v>66.8</v>
      </c>
      <c r="Q1043">
        <v>204.16</v>
      </c>
      <c r="R1043">
        <v>27.95</v>
      </c>
      <c r="S1043">
        <v>17.37</v>
      </c>
      <c r="T1043">
        <v>3164.58</v>
      </c>
      <c r="U1043">
        <v>0.62</v>
      </c>
      <c r="V1043">
        <v>0.74</v>
      </c>
      <c r="W1043">
        <v>1.1599999999999999</v>
      </c>
      <c r="X1043">
        <v>0.2</v>
      </c>
      <c r="Y1043">
        <v>1</v>
      </c>
      <c r="Z1043">
        <v>10</v>
      </c>
    </row>
    <row r="1044" spans="1:26" x14ac:dyDescent="0.3">
      <c r="A1044">
        <v>18</v>
      </c>
      <c r="B1044">
        <v>60</v>
      </c>
      <c r="C1044" t="s">
        <v>26</v>
      </c>
      <c r="D1044">
        <v>10.808199999999999</v>
      </c>
      <c r="E1044">
        <v>9.25</v>
      </c>
      <c r="F1044">
        <v>6.86</v>
      </c>
      <c r="G1044">
        <v>41.19</v>
      </c>
      <c r="H1044">
        <v>0.74</v>
      </c>
      <c r="I1044">
        <v>10</v>
      </c>
      <c r="J1044">
        <v>130.58000000000001</v>
      </c>
      <c r="K1044">
        <v>45</v>
      </c>
      <c r="L1044">
        <v>5.5</v>
      </c>
      <c r="M1044">
        <v>8</v>
      </c>
      <c r="N1044">
        <v>20.09</v>
      </c>
      <c r="O1044">
        <v>16339.24</v>
      </c>
      <c r="P1044">
        <v>66.209999999999994</v>
      </c>
      <c r="Q1044">
        <v>204.14</v>
      </c>
      <c r="R1044">
        <v>27.34</v>
      </c>
      <c r="S1044">
        <v>17.37</v>
      </c>
      <c r="T1044">
        <v>2863.26</v>
      </c>
      <c r="U1044">
        <v>0.64</v>
      </c>
      <c r="V1044">
        <v>0.74</v>
      </c>
      <c r="W1044">
        <v>1.1499999999999999</v>
      </c>
      <c r="X1044">
        <v>0.17</v>
      </c>
      <c r="Y1044">
        <v>1</v>
      </c>
      <c r="Z1044">
        <v>10</v>
      </c>
    </row>
    <row r="1045" spans="1:26" x14ac:dyDescent="0.3">
      <c r="A1045">
        <v>19</v>
      </c>
      <c r="B1045">
        <v>60</v>
      </c>
      <c r="C1045" t="s">
        <v>26</v>
      </c>
      <c r="D1045">
        <v>10.8066</v>
      </c>
      <c r="E1045">
        <v>9.25</v>
      </c>
      <c r="F1045">
        <v>6.87</v>
      </c>
      <c r="G1045">
        <v>41.2</v>
      </c>
      <c r="H1045">
        <v>0.78</v>
      </c>
      <c r="I1045">
        <v>10</v>
      </c>
      <c r="J1045">
        <v>130.91999999999999</v>
      </c>
      <c r="K1045">
        <v>45</v>
      </c>
      <c r="L1045">
        <v>5.75</v>
      </c>
      <c r="M1045">
        <v>8</v>
      </c>
      <c r="N1045">
        <v>20.170000000000002</v>
      </c>
      <c r="O1045">
        <v>16380.29</v>
      </c>
      <c r="P1045">
        <v>66.19</v>
      </c>
      <c r="Q1045">
        <v>204.14</v>
      </c>
      <c r="R1045">
        <v>27.23</v>
      </c>
      <c r="S1045">
        <v>17.37</v>
      </c>
      <c r="T1045">
        <v>2807.36</v>
      </c>
      <c r="U1045">
        <v>0.64</v>
      </c>
      <c r="V1045">
        <v>0.74</v>
      </c>
      <c r="W1045">
        <v>1.1499999999999999</v>
      </c>
      <c r="X1045">
        <v>0.17</v>
      </c>
      <c r="Y1045">
        <v>1</v>
      </c>
      <c r="Z1045">
        <v>10</v>
      </c>
    </row>
    <row r="1046" spans="1:26" x14ac:dyDescent="0.3">
      <c r="A1046">
        <v>20</v>
      </c>
      <c r="B1046">
        <v>60</v>
      </c>
      <c r="C1046" t="s">
        <v>26</v>
      </c>
      <c r="D1046">
        <v>10.847300000000001</v>
      </c>
      <c r="E1046">
        <v>9.2200000000000006</v>
      </c>
      <c r="F1046">
        <v>6.86</v>
      </c>
      <c r="G1046">
        <v>45.71</v>
      </c>
      <c r="H1046">
        <v>0.81</v>
      </c>
      <c r="I1046">
        <v>9</v>
      </c>
      <c r="J1046">
        <v>131.25</v>
      </c>
      <c r="K1046">
        <v>45</v>
      </c>
      <c r="L1046">
        <v>6</v>
      </c>
      <c r="M1046">
        <v>7</v>
      </c>
      <c r="N1046">
        <v>20.25</v>
      </c>
      <c r="O1046">
        <v>16421.36</v>
      </c>
      <c r="P1046">
        <v>65.790000000000006</v>
      </c>
      <c r="Q1046">
        <v>204.14</v>
      </c>
      <c r="R1046">
        <v>27.04</v>
      </c>
      <c r="S1046">
        <v>17.37</v>
      </c>
      <c r="T1046">
        <v>2715.95</v>
      </c>
      <c r="U1046">
        <v>0.64</v>
      </c>
      <c r="V1046">
        <v>0.74</v>
      </c>
      <c r="W1046">
        <v>1.1499999999999999</v>
      </c>
      <c r="X1046">
        <v>0.17</v>
      </c>
      <c r="Y1046">
        <v>1</v>
      </c>
      <c r="Z1046">
        <v>10</v>
      </c>
    </row>
    <row r="1047" spans="1:26" x14ac:dyDescent="0.3">
      <c r="A1047">
        <v>21</v>
      </c>
      <c r="B1047">
        <v>60</v>
      </c>
      <c r="C1047" t="s">
        <v>26</v>
      </c>
      <c r="D1047">
        <v>10.846</v>
      </c>
      <c r="E1047">
        <v>9.2200000000000006</v>
      </c>
      <c r="F1047">
        <v>6.86</v>
      </c>
      <c r="G1047">
        <v>45.72</v>
      </c>
      <c r="H1047">
        <v>0.84</v>
      </c>
      <c r="I1047">
        <v>9</v>
      </c>
      <c r="J1047">
        <v>131.58000000000001</v>
      </c>
      <c r="K1047">
        <v>45</v>
      </c>
      <c r="L1047">
        <v>6.25</v>
      </c>
      <c r="M1047">
        <v>7</v>
      </c>
      <c r="N1047">
        <v>20.34</v>
      </c>
      <c r="O1047">
        <v>16462.46</v>
      </c>
      <c r="P1047">
        <v>65.72</v>
      </c>
      <c r="Q1047">
        <v>204.14</v>
      </c>
      <c r="R1047">
        <v>27.03</v>
      </c>
      <c r="S1047">
        <v>17.37</v>
      </c>
      <c r="T1047">
        <v>2711.05</v>
      </c>
      <c r="U1047">
        <v>0.64</v>
      </c>
      <c r="V1047">
        <v>0.74</v>
      </c>
      <c r="W1047">
        <v>1.1499999999999999</v>
      </c>
      <c r="X1047">
        <v>0.17</v>
      </c>
      <c r="Y1047">
        <v>1</v>
      </c>
      <c r="Z1047">
        <v>10</v>
      </c>
    </row>
    <row r="1048" spans="1:26" x14ac:dyDescent="0.3">
      <c r="A1048">
        <v>22</v>
      </c>
      <c r="B1048">
        <v>60</v>
      </c>
      <c r="C1048" t="s">
        <v>26</v>
      </c>
      <c r="D1048">
        <v>10.848599999999999</v>
      </c>
      <c r="E1048">
        <v>9.2200000000000006</v>
      </c>
      <c r="F1048">
        <v>6.86</v>
      </c>
      <c r="G1048">
        <v>45.7</v>
      </c>
      <c r="H1048">
        <v>0.87</v>
      </c>
      <c r="I1048">
        <v>9</v>
      </c>
      <c r="J1048">
        <v>131.91999999999999</v>
      </c>
      <c r="K1048">
        <v>45</v>
      </c>
      <c r="L1048">
        <v>6.5</v>
      </c>
      <c r="M1048">
        <v>7</v>
      </c>
      <c r="N1048">
        <v>20.420000000000002</v>
      </c>
      <c r="O1048">
        <v>16503.599999999999</v>
      </c>
      <c r="P1048">
        <v>65.13</v>
      </c>
      <c r="Q1048">
        <v>204.14</v>
      </c>
      <c r="R1048">
        <v>27.03</v>
      </c>
      <c r="S1048">
        <v>17.37</v>
      </c>
      <c r="T1048">
        <v>2714.62</v>
      </c>
      <c r="U1048">
        <v>0.64</v>
      </c>
      <c r="V1048">
        <v>0.74</v>
      </c>
      <c r="W1048">
        <v>1.1499999999999999</v>
      </c>
      <c r="X1048">
        <v>0.16</v>
      </c>
      <c r="Y1048">
        <v>1</v>
      </c>
      <c r="Z1048">
        <v>10</v>
      </c>
    </row>
    <row r="1049" spans="1:26" x14ac:dyDescent="0.3">
      <c r="A1049">
        <v>23</v>
      </c>
      <c r="B1049">
        <v>60</v>
      </c>
      <c r="C1049" t="s">
        <v>26</v>
      </c>
      <c r="D1049">
        <v>10.9237</v>
      </c>
      <c r="E1049">
        <v>9.15</v>
      </c>
      <c r="F1049">
        <v>6.82</v>
      </c>
      <c r="G1049">
        <v>51.13</v>
      </c>
      <c r="H1049">
        <v>0.9</v>
      </c>
      <c r="I1049">
        <v>8</v>
      </c>
      <c r="J1049">
        <v>132.25</v>
      </c>
      <c r="K1049">
        <v>45</v>
      </c>
      <c r="L1049">
        <v>6.75</v>
      </c>
      <c r="M1049">
        <v>6</v>
      </c>
      <c r="N1049">
        <v>20.5</v>
      </c>
      <c r="O1049">
        <v>16544.759999999998</v>
      </c>
      <c r="P1049">
        <v>64.47</v>
      </c>
      <c r="Q1049">
        <v>204.14</v>
      </c>
      <c r="R1049">
        <v>25.77</v>
      </c>
      <c r="S1049">
        <v>17.37</v>
      </c>
      <c r="T1049">
        <v>2089.4499999999998</v>
      </c>
      <c r="U1049">
        <v>0.67</v>
      </c>
      <c r="V1049">
        <v>0.75</v>
      </c>
      <c r="W1049">
        <v>1.1499999999999999</v>
      </c>
      <c r="X1049">
        <v>0.13</v>
      </c>
      <c r="Y1049">
        <v>1</v>
      </c>
      <c r="Z1049">
        <v>10</v>
      </c>
    </row>
    <row r="1050" spans="1:26" x14ac:dyDescent="0.3">
      <c r="A1050">
        <v>24</v>
      </c>
      <c r="B1050">
        <v>60</v>
      </c>
      <c r="C1050" t="s">
        <v>26</v>
      </c>
      <c r="D1050">
        <v>10.9018</v>
      </c>
      <c r="E1050">
        <v>9.17</v>
      </c>
      <c r="F1050">
        <v>6.84</v>
      </c>
      <c r="G1050">
        <v>51.27</v>
      </c>
      <c r="H1050">
        <v>0.93</v>
      </c>
      <c r="I1050">
        <v>8</v>
      </c>
      <c r="J1050">
        <v>132.58000000000001</v>
      </c>
      <c r="K1050">
        <v>45</v>
      </c>
      <c r="L1050">
        <v>7</v>
      </c>
      <c r="M1050">
        <v>6</v>
      </c>
      <c r="N1050">
        <v>20.59</v>
      </c>
      <c r="O1050">
        <v>16585.95</v>
      </c>
      <c r="P1050">
        <v>64.02</v>
      </c>
      <c r="Q1050">
        <v>204.14</v>
      </c>
      <c r="R1050">
        <v>26.28</v>
      </c>
      <c r="S1050">
        <v>17.37</v>
      </c>
      <c r="T1050">
        <v>2342.35</v>
      </c>
      <c r="U1050">
        <v>0.66</v>
      </c>
      <c r="V1050">
        <v>0.75</v>
      </c>
      <c r="W1050">
        <v>1.1499999999999999</v>
      </c>
      <c r="X1050">
        <v>0.14000000000000001</v>
      </c>
      <c r="Y1050">
        <v>1</v>
      </c>
      <c r="Z1050">
        <v>10</v>
      </c>
    </row>
    <row r="1051" spans="1:26" x14ac:dyDescent="0.3">
      <c r="A1051">
        <v>25</v>
      </c>
      <c r="B1051">
        <v>60</v>
      </c>
      <c r="C1051" t="s">
        <v>26</v>
      </c>
      <c r="D1051">
        <v>10.9137</v>
      </c>
      <c r="E1051">
        <v>9.16</v>
      </c>
      <c r="F1051">
        <v>6.83</v>
      </c>
      <c r="G1051">
        <v>51.2</v>
      </c>
      <c r="H1051">
        <v>0.96</v>
      </c>
      <c r="I1051">
        <v>8</v>
      </c>
      <c r="J1051">
        <v>132.91999999999999</v>
      </c>
      <c r="K1051">
        <v>45</v>
      </c>
      <c r="L1051">
        <v>7.25</v>
      </c>
      <c r="M1051">
        <v>6</v>
      </c>
      <c r="N1051">
        <v>20.67</v>
      </c>
      <c r="O1051">
        <v>16627.169999999998</v>
      </c>
      <c r="P1051">
        <v>63.88</v>
      </c>
      <c r="Q1051">
        <v>204.15</v>
      </c>
      <c r="R1051">
        <v>26.07</v>
      </c>
      <c r="S1051">
        <v>17.37</v>
      </c>
      <c r="T1051">
        <v>2235.21</v>
      </c>
      <c r="U1051">
        <v>0.67</v>
      </c>
      <c r="V1051">
        <v>0.75</v>
      </c>
      <c r="W1051">
        <v>1.1499999999999999</v>
      </c>
      <c r="X1051">
        <v>0.13</v>
      </c>
      <c r="Y1051">
        <v>1</v>
      </c>
      <c r="Z1051">
        <v>10</v>
      </c>
    </row>
    <row r="1052" spans="1:26" x14ac:dyDescent="0.3">
      <c r="A1052">
        <v>26</v>
      </c>
      <c r="B1052">
        <v>60</v>
      </c>
      <c r="C1052" t="s">
        <v>26</v>
      </c>
      <c r="D1052">
        <v>10.976900000000001</v>
      </c>
      <c r="E1052">
        <v>9.11</v>
      </c>
      <c r="F1052">
        <v>6.8</v>
      </c>
      <c r="G1052">
        <v>58.28</v>
      </c>
      <c r="H1052">
        <v>0.99</v>
      </c>
      <c r="I1052">
        <v>7</v>
      </c>
      <c r="J1052">
        <v>133.25</v>
      </c>
      <c r="K1052">
        <v>45</v>
      </c>
      <c r="L1052">
        <v>7.5</v>
      </c>
      <c r="M1052">
        <v>5</v>
      </c>
      <c r="N1052">
        <v>20.76</v>
      </c>
      <c r="O1052">
        <v>16668.43</v>
      </c>
      <c r="P1052">
        <v>62.85</v>
      </c>
      <c r="Q1052">
        <v>204.14</v>
      </c>
      <c r="R1052">
        <v>25.25</v>
      </c>
      <c r="S1052">
        <v>17.37</v>
      </c>
      <c r="T1052">
        <v>1833.89</v>
      </c>
      <c r="U1052">
        <v>0.69</v>
      </c>
      <c r="V1052">
        <v>0.75</v>
      </c>
      <c r="W1052">
        <v>1.1399999999999999</v>
      </c>
      <c r="X1052">
        <v>0.11</v>
      </c>
      <c r="Y1052">
        <v>1</v>
      </c>
      <c r="Z1052">
        <v>10</v>
      </c>
    </row>
    <row r="1053" spans="1:26" x14ac:dyDescent="0.3">
      <c r="A1053">
        <v>27</v>
      </c>
      <c r="B1053">
        <v>60</v>
      </c>
      <c r="C1053" t="s">
        <v>26</v>
      </c>
      <c r="D1053">
        <v>10.9673</v>
      </c>
      <c r="E1053">
        <v>9.1199999999999992</v>
      </c>
      <c r="F1053">
        <v>6.81</v>
      </c>
      <c r="G1053">
        <v>58.35</v>
      </c>
      <c r="H1053">
        <v>1.03</v>
      </c>
      <c r="I1053">
        <v>7</v>
      </c>
      <c r="J1053">
        <v>133.59</v>
      </c>
      <c r="K1053">
        <v>45</v>
      </c>
      <c r="L1053">
        <v>7.75</v>
      </c>
      <c r="M1053">
        <v>5</v>
      </c>
      <c r="N1053">
        <v>20.84</v>
      </c>
      <c r="O1053">
        <v>16709.71</v>
      </c>
      <c r="P1053">
        <v>63.08</v>
      </c>
      <c r="Q1053">
        <v>204.14</v>
      </c>
      <c r="R1053">
        <v>25.53</v>
      </c>
      <c r="S1053">
        <v>17.37</v>
      </c>
      <c r="T1053">
        <v>1974.28</v>
      </c>
      <c r="U1053">
        <v>0.68</v>
      </c>
      <c r="V1053">
        <v>0.75</v>
      </c>
      <c r="W1053">
        <v>1.1399999999999999</v>
      </c>
      <c r="X1053">
        <v>0.12</v>
      </c>
      <c r="Y1053">
        <v>1</v>
      </c>
      <c r="Z1053">
        <v>10</v>
      </c>
    </row>
    <row r="1054" spans="1:26" x14ac:dyDescent="0.3">
      <c r="A1054">
        <v>28</v>
      </c>
      <c r="B1054">
        <v>60</v>
      </c>
      <c r="C1054" t="s">
        <v>26</v>
      </c>
      <c r="D1054">
        <v>10.958600000000001</v>
      </c>
      <c r="E1054">
        <v>9.1300000000000008</v>
      </c>
      <c r="F1054">
        <v>6.81</v>
      </c>
      <c r="G1054">
        <v>58.41</v>
      </c>
      <c r="H1054">
        <v>1.06</v>
      </c>
      <c r="I1054">
        <v>7</v>
      </c>
      <c r="J1054">
        <v>133.91999999999999</v>
      </c>
      <c r="K1054">
        <v>45</v>
      </c>
      <c r="L1054">
        <v>8</v>
      </c>
      <c r="M1054">
        <v>5</v>
      </c>
      <c r="N1054">
        <v>20.93</v>
      </c>
      <c r="O1054">
        <v>16751.02</v>
      </c>
      <c r="P1054">
        <v>63.16</v>
      </c>
      <c r="Q1054">
        <v>204.16</v>
      </c>
      <c r="R1054">
        <v>25.7</v>
      </c>
      <c r="S1054">
        <v>17.37</v>
      </c>
      <c r="T1054">
        <v>2055.44</v>
      </c>
      <c r="U1054">
        <v>0.68</v>
      </c>
      <c r="V1054">
        <v>0.75</v>
      </c>
      <c r="W1054">
        <v>1.1499999999999999</v>
      </c>
      <c r="X1054">
        <v>0.12</v>
      </c>
      <c r="Y1054">
        <v>1</v>
      </c>
      <c r="Z1054">
        <v>10</v>
      </c>
    </row>
    <row r="1055" spans="1:26" x14ac:dyDescent="0.3">
      <c r="A1055">
        <v>29</v>
      </c>
      <c r="B1055">
        <v>60</v>
      </c>
      <c r="C1055" t="s">
        <v>26</v>
      </c>
      <c r="D1055">
        <v>10.9589</v>
      </c>
      <c r="E1055">
        <v>9.1199999999999992</v>
      </c>
      <c r="F1055">
        <v>6.81</v>
      </c>
      <c r="G1055">
        <v>58.4</v>
      </c>
      <c r="H1055">
        <v>1.0900000000000001</v>
      </c>
      <c r="I1055">
        <v>7</v>
      </c>
      <c r="J1055">
        <v>134.26</v>
      </c>
      <c r="K1055">
        <v>45</v>
      </c>
      <c r="L1055">
        <v>8.25</v>
      </c>
      <c r="M1055">
        <v>5</v>
      </c>
      <c r="N1055">
        <v>21.01</v>
      </c>
      <c r="O1055">
        <v>16792.37</v>
      </c>
      <c r="P1055">
        <v>62.74</v>
      </c>
      <c r="Q1055">
        <v>204.15</v>
      </c>
      <c r="R1055">
        <v>25.66</v>
      </c>
      <c r="S1055">
        <v>17.37</v>
      </c>
      <c r="T1055">
        <v>2037.41</v>
      </c>
      <c r="U1055">
        <v>0.68</v>
      </c>
      <c r="V1055">
        <v>0.75</v>
      </c>
      <c r="W1055">
        <v>1.1499999999999999</v>
      </c>
      <c r="X1055">
        <v>0.12</v>
      </c>
      <c r="Y1055">
        <v>1</v>
      </c>
      <c r="Z1055">
        <v>10</v>
      </c>
    </row>
    <row r="1056" spans="1:26" x14ac:dyDescent="0.3">
      <c r="A1056">
        <v>30</v>
      </c>
      <c r="B1056">
        <v>60</v>
      </c>
      <c r="C1056" t="s">
        <v>26</v>
      </c>
      <c r="D1056">
        <v>10.9526</v>
      </c>
      <c r="E1056">
        <v>9.1300000000000008</v>
      </c>
      <c r="F1056">
        <v>6.82</v>
      </c>
      <c r="G1056">
        <v>58.45</v>
      </c>
      <c r="H1056">
        <v>1.1200000000000001</v>
      </c>
      <c r="I1056">
        <v>7</v>
      </c>
      <c r="J1056">
        <v>134.59</v>
      </c>
      <c r="K1056">
        <v>45</v>
      </c>
      <c r="L1056">
        <v>8.5</v>
      </c>
      <c r="M1056">
        <v>5</v>
      </c>
      <c r="N1056">
        <v>21.1</v>
      </c>
      <c r="O1056">
        <v>16833.86</v>
      </c>
      <c r="P1056">
        <v>62.21</v>
      </c>
      <c r="Q1056">
        <v>204.15</v>
      </c>
      <c r="R1056">
        <v>25.8</v>
      </c>
      <c r="S1056">
        <v>17.37</v>
      </c>
      <c r="T1056">
        <v>2108.64</v>
      </c>
      <c r="U1056">
        <v>0.67</v>
      </c>
      <c r="V1056">
        <v>0.75</v>
      </c>
      <c r="W1056">
        <v>1.1499999999999999</v>
      </c>
      <c r="X1056">
        <v>0.13</v>
      </c>
      <c r="Y1056">
        <v>1</v>
      </c>
      <c r="Z1056">
        <v>10</v>
      </c>
    </row>
    <row r="1057" spans="1:26" x14ac:dyDescent="0.3">
      <c r="A1057">
        <v>31</v>
      </c>
      <c r="B1057">
        <v>60</v>
      </c>
      <c r="C1057" t="s">
        <v>26</v>
      </c>
      <c r="D1057">
        <v>10.968299999999999</v>
      </c>
      <c r="E1057">
        <v>9.1199999999999992</v>
      </c>
      <c r="F1057">
        <v>6.81</v>
      </c>
      <c r="G1057">
        <v>58.34</v>
      </c>
      <c r="H1057">
        <v>1.1499999999999999</v>
      </c>
      <c r="I1057">
        <v>7</v>
      </c>
      <c r="J1057">
        <v>134.93</v>
      </c>
      <c r="K1057">
        <v>45</v>
      </c>
      <c r="L1057">
        <v>8.75</v>
      </c>
      <c r="M1057">
        <v>5</v>
      </c>
      <c r="N1057">
        <v>21.18</v>
      </c>
      <c r="O1057">
        <v>16875.27</v>
      </c>
      <c r="P1057">
        <v>61.51</v>
      </c>
      <c r="Q1057">
        <v>204.14</v>
      </c>
      <c r="R1057">
        <v>25.41</v>
      </c>
      <c r="S1057">
        <v>17.37</v>
      </c>
      <c r="T1057">
        <v>1911.17</v>
      </c>
      <c r="U1057">
        <v>0.68</v>
      </c>
      <c r="V1057">
        <v>0.75</v>
      </c>
      <c r="W1057">
        <v>1.1499999999999999</v>
      </c>
      <c r="X1057">
        <v>0.12</v>
      </c>
      <c r="Y1057">
        <v>1</v>
      </c>
      <c r="Z1057">
        <v>10</v>
      </c>
    </row>
    <row r="1058" spans="1:26" x14ac:dyDescent="0.3">
      <c r="A1058">
        <v>32</v>
      </c>
      <c r="B1058">
        <v>60</v>
      </c>
      <c r="C1058" t="s">
        <v>26</v>
      </c>
      <c r="D1058">
        <v>11.018599999999999</v>
      </c>
      <c r="E1058">
        <v>9.08</v>
      </c>
      <c r="F1058">
        <v>6.79</v>
      </c>
      <c r="G1058">
        <v>67.900000000000006</v>
      </c>
      <c r="H1058">
        <v>1.18</v>
      </c>
      <c r="I1058">
        <v>6</v>
      </c>
      <c r="J1058">
        <v>135.27000000000001</v>
      </c>
      <c r="K1058">
        <v>45</v>
      </c>
      <c r="L1058">
        <v>9</v>
      </c>
      <c r="M1058">
        <v>4</v>
      </c>
      <c r="N1058">
        <v>21.27</v>
      </c>
      <c r="O1058">
        <v>16916.71</v>
      </c>
      <c r="P1058">
        <v>61.18</v>
      </c>
      <c r="Q1058">
        <v>204.14</v>
      </c>
      <c r="R1058">
        <v>24.86</v>
      </c>
      <c r="S1058">
        <v>17.37</v>
      </c>
      <c r="T1058">
        <v>1640.29</v>
      </c>
      <c r="U1058">
        <v>0.7</v>
      </c>
      <c r="V1058">
        <v>0.75</v>
      </c>
      <c r="W1058">
        <v>1.1499999999999999</v>
      </c>
      <c r="X1058">
        <v>0.1</v>
      </c>
      <c r="Y1058">
        <v>1</v>
      </c>
      <c r="Z1058">
        <v>10</v>
      </c>
    </row>
    <row r="1059" spans="1:26" x14ac:dyDescent="0.3">
      <c r="A1059">
        <v>33</v>
      </c>
      <c r="B1059">
        <v>60</v>
      </c>
      <c r="C1059" t="s">
        <v>26</v>
      </c>
      <c r="D1059">
        <v>11.017300000000001</v>
      </c>
      <c r="E1059">
        <v>9.08</v>
      </c>
      <c r="F1059">
        <v>6.79</v>
      </c>
      <c r="G1059">
        <v>67.91</v>
      </c>
      <c r="H1059">
        <v>1.21</v>
      </c>
      <c r="I1059">
        <v>6</v>
      </c>
      <c r="J1059">
        <v>135.6</v>
      </c>
      <c r="K1059">
        <v>45</v>
      </c>
      <c r="L1059">
        <v>9.25</v>
      </c>
      <c r="M1059">
        <v>4</v>
      </c>
      <c r="N1059">
        <v>21.35</v>
      </c>
      <c r="O1059">
        <v>16958.169999999998</v>
      </c>
      <c r="P1059">
        <v>61.18</v>
      </c>
      <c r="Q1059">
        <v>204.14</v>
      </c>
      <c r="R1059">
        <v>24.95</v>
      </c>
      <c r="S1059">
        <v>17.37</v>
      </c>
      <c r="T1059">
        <v>1689.73</v>
      </c>
      <c r="U1059">
        <v>0.7</v>
      </c>
      <c r="V1059">
        <v>0.75</v>
      </c>
      <c r="W1059">
        <v>1.1499999999999999</v>
      </c>
      <c r="X1059">
        <v>0.1</v>
      </c>
      <c r="Y1059">
        <v>1</v>
      </c>
      <c r="Z1059">
        <v>10</v>
      </c>
    </row>
    <row r="1060" spans="1:26" x14ac:dyDescent="0.3">
      <c r="A1060">
        <v>34</v>
      </c>
      <c r="B1060">
        <v>60</v>
      </c>
      <c r="C1060" t="s">
        <v>26</v>
      </c>
      <c r="D1060">
        <v>11.030099999999999</v>
      </c>
      <c r="E1060">
        <v>9.07</v>
      </c>
      <c r="F1060">
        <v>6.78</v>
      </c>
      <c r="G1060">
        <v>67.81</v>
      </c>
      <c r="H1060">
        <v>1.24</v>
      </c>
      <c r="I1060">
        <v>6</v>
      </c>
      <c r="J1060">
        <v>135.94</v>
      </c>
      <c r="K1060">
        <v>45</v>
      </c>
      <c r="L1060">
        <v>9.5</v>
      </c>
      <c r="M1060">
        <v>4</v>
      </c>
      <c r="N1060">
        <v>21.44</v>
      </c>
      <c r="O1060">
        <v>16999.669999999998</v>
      </c>
      <c r="P1060">
        <v>60.74</v>
      </c>
      <c r="Q1060">
        <v>204.16</v>
      </c>
      <c r="R1060">
        <v>24.59</v>
      </c>
      <c r="S1060">
        <v>17.37</v>
      </c>
      <c r="T1060">
        <v>1506.78</v>
      </c>
      <c r="U1060">
        <v>0.71</v>
      </c>
      <c r="V1060">
        <v>0.75</v>
      </c>
      <c r="W1060">
        <v>1.1399999999999999</v>
      </c>
      <c r="X1060">
        <v>0.09</v>
      </c>
      <c r="Y1060">
        <v>1</v>
      </c>
      <c r="Z1060">
        <v>10</v>
      </c>
    </row>
    <row r="1061" spans="1:26" x14ac:dyDescent="0.3">
      <c r="A1061">
        <v>35</v>
      </c>
      <c r="B1061">
        <v>60</v>
      </c>
      <c r="C1061" t="s">
        <v>26</v>
      </c>
      <c r="D1061">
        <v>11.019600000000001</v>
      </c>
      <c r="E1061">
        <v>9.07</v>
      </c>
      <c r="F1061">
        <v>6.79</v>
      </c>
      <c r="G1061">
        <v>67.89</v>
      </c>
      <c r="H1061">
        <v>1.26</v>
      </c>
      <c r="I1061">
        <v>6</v>
      </c>
      <c r="J1061">
        <v>136.27000000000001</v>
      </c>
      <c r="K1061">
        <v>45</v>
      </c>
      <c r="L1061">
        <v>9.75</v>
      </c>
      <c r="M1061">
        <v>4</v>
      </c>
      <c r="N1061">
        <v>21.53</v>
      </c>
      <c r="O1061">
        <v>17041.2</v>
      </c>
      <c r="P1061">
        <v>60.41</v>
      </c>
      <c r="Q1061">
        <v>204.14</v>
      </c>
      <c r="R1061">
        <v>24.93</v>
      </c>
      <c r="S1061">
        <v>17.37</v>
      </c>
      <c r="T1061">
        <v>1676.2</v>
      </c>
      <c r="U1061">
        <v>0.7</v>
      </c>
      <c r="V1061">
        <v>0.75</v>
      </c>
      <c r="W1061">
        <v>1.1499999999999999</v>
      </c>
      <c r="X1061">
        <v>0.1</v>
      </c>
      <c r="Y1061">
        <v>1</v>
      </c>
      <c r="Z1061">
        <v>10</v>
      </c>
    </row>
    <row r="1062" spans="1:26" x14ac:dyDescent="0.3">
      <c r="A1062">
        <v>36</v>
      </c>
      <c r="B1062">
        <v>60</v>
      </c>
      <c r="C1062" t="s">
        <v>26</v>
      </c>
      <c r="D1062">
        <v>11.0213</v>
      </c>
      <c r="E1062">
        <v>9.07</v>
      </c>
      <c r="F1062">
        <v>6.79</v>
      </c>
      <c r="G1062">
        <v>67.88</v>
      </c>
      <c r="H1062">
        <v>1.29</v>
      </c>
      <c r="I1062">
        <v>6</v>
      </c>
      <c r="J1062">
        <v>136.61000000000001</v>
      </c>
      <c r="K1062">
        <v>45</v>
      </c>
      <c r="L1062">
        <v>10</v>
      </c>
      <c r="M1062">
        <v>4</v>
      </c>
      <c r="N1062">
        <v>21.61</v>
      </c>
      <c r="O1062">
        <v>17082.759999999998</v>
      </c>
      <c r="P1062">
        <v>59.77</v>
      </c>
      <c r="Q1062">
        <v>204.16</v>
      </c>
      <c r="R1062">
        <v>24.87</v>
      </c>
      <c r="S1062">
        <v>17.37</v>
      </c>
      <c r="T1062">
        <v>1646.2</v>
      </c>
      <c r="U1062">
        <v>0.7</v>
      </c>
      <c r="V1062">
        <v>0.75</v>
      </c>
      <c r="W1062">
        <v>1.1499999999999999</v>
      </c>
      <c r="X1062">
        <v>0.1</v>
      </c>
      <c r="Y1062">
        <v>1</v>
      </c>
      <c r="Z1062">
        <v>10</v>
      </c>
    </row>
    <row r="1063" spans="1:26" x14ac:dyDescent="0.3">
      <c r="A1063">
        <v>37</v>
      </c>
      <c r="B1063">
        <v>60</v>
      </c>
      <c r="C1063" t="s">
        <v>26</v>
      </c>
      <c r="D1063">
        <v>11.0206</v>
      </c>
      <c r="E1063">
        <v>9.07</v>
      </c>
      <c r="F1063">
        <v>6.79</v>
      </c>
      <c r="G1063">
        <v>67.88</v>
      </c>
      <c r="H1063">
        <v>1.32</v>
      </c>
      <c r="I1063">
        <v>6</v>
      </c>
      <c r="J1063">
        <v>136.94999999999999</v>
      </c>
      <c r="K1063">
        <v>45</v>
      </c>
      <c r="L1063">
        <v>10.25</v>
      </c>
      <c r="M1063">
        <v>4</v>
      </c>
      <c r="N1063">
        <v>21.7</v>
      </c>
      <c r="O1063">
        <v>17124.349999999999</v>
      </c>
      <c r="P1063">
        <v>59.61</v>
      </c>
      <c r="Q1063">
        <v>204.14</v>
      </c>
      <c r="R1063">
        <v>24.87</v>
      </c>
      <c r="S1063">
        <v>17.37</v>
      </c>
      <c r="T1063">
        <v>1647.78</v>
      </c>
      <c r="U1063">
        <v>0.7</v>
      </c>
      <c r="V1063">
        <v>0.75</v>
      </c>
      <c r="W1063">
        <v>1.1499999999999999</v>
      </c>
      <c r="X1063">
        <v>0.1</v>
      </c>
      <c r="Y1063">
        <v>1</v>
      </c>
      <c r="Z1063">
        <v>10</v>
      </c>
    </row>
    <row r="1064" spans="1:26" x14ac:dyDescent="0.3">
      <c r="A1064">
        <v>38</v>
      </c>
      <c r="B1064">
        <v>60</v>
      </c>
      <c r="C1064" t="s">
        <v>26</v>
      </c>
      <c r="D1064">
        <v>11.0718</v>
      </c>
      <c r="E1064">
        <v>9.0299999999999994</v>
      </c>
      <c r="F1064">
        <v>6.77</v>
      </c>
      <c r="G1064">
        <v>81.260000000000005</v>
      </c>
      <c r="H1064">
        <v>1.35</v>
      </c>
      <c r="I1064">
        <v>5</v>
      </c>
      <c r="J1064">
        <v>137.29</v>
      </c>
      <c r="K1064">
        <v>45</v>
      </c>
      <c r="L1064">
        <v>10.5</v>
      </c>
      <c r="M1064">
        <v>3</v>
      </c>
      <c r="N1064">
        <v>21.79</v>
      </c>
      <c r="O1064">
        <v>17165.97</v>
      </c>
      <c r="P1064">
        <v>58.41</v>
      </c>
      <c r="Q1064">
        <v>204.14</v>
      </c>
      <c r="R1064">
        <v>24.36</v>
      </c>
      <c r="S1064">
        <v>17.37</v>
      </c>
      <c r="T1064">
        <v>1399.52</v>
      </c>
      <c r="U1064">
        <v>0.71</v>
      </c>
      <c r="V1064">
        <v>0.75</v>
      </c>
      <c r="W1064">
        <v>1.1399999999999999</v>
      </c>
      <c r="X1064">
        <v>0.08</v>
      </c>
      <c r="Y1064">
        <v>1</v>
      </c>
      <c r="Z1064">
        <v>10</v>
      </c>
    </row>
    <row r="1065" spans="1:26" x14ac:dyDescent="0.3">
      <c r="A1065">
        <v>39</v>
      </c>
      <c r="B1065">
        <v>60</v>
      </c>
      <c r="C1065" t="s">
        <v>26</v>
      </c>
      <c r="D1065">
        <v>11.067</v>
      </c>
      <c r="E1065">
        <v>9.0399999999999991</v>
      </c>
      <c r="F1065">
        <v>6.78</v>
      </c>
      <c r="G1065">
        <v>81.31</v>
      </c>
      <c r="H1065">
        <v>1.38</v>
      </c>
      <c r="I1065">
        <v>5</v>
      </c>
      <c r="J1065">
        <v>137.62</v>
      </c>
      <c r="K1065">
        <v>45</v>
      </c>
      <c r="L1065">
        <v>10.75</v>
      </c>
      <c r="M1065">
        <v>3</v>
      </c>
      <c r="N1065">
        <v>21.88</v>
      </c>
      <c r="O1065">
        <v>17207.62</v>
      </c>
      <c r="P1065">
        <v>58.87</v>
      </c>
      <c r="Q1065">
        <v>204.14</v>
      </c>
      <c r="R1065">
        <v>24.48</v>
      </c>
      <c r="S1065">
        <v>17.37</v>
      </c>
      <c r="T1065">
        <v>1457.51</v>
      </c>
      <c r="U1065">
        <v>0.71</v>
      </c>
      <c r="V1065">
        <v>0.75</v>
      </c>
      <c r="W1065">
        <v>1.1499999999999999</v>
      </c>
      <c r="X1065">
        <v>0.08</v>
      </c>
      <c r="Y1065">
        <v>1</v>
      </c>
      <c r="Z1065">
        <v>10</v>
      </c>
    </row>
    <row r="1066" spans="1:26" x14ac:dyDescent="0.3">
      <c r="A1066">
        <v>40</v>
      </c>
      <c r="B1066">
        <v>60</v>
      </c>
      <c r="C1066" t="s">
        <v>26</v>
      </c>
      <c r="D1066">
        <v>11.0739</v>
      </c>
      <c r="E1066">
        <v>9.0299999999999994</v>
      </c>
      <c r="F1066">
        <v>6.77</v>
      </c>
      <c r="G1066">
        <v>81.239999999999995</v>
      </c>
      <c r="H1066">
        <v>1.41</v>
      </c>
      <c r="I1066">
        <v>5</v>
      </c>
      <c r="J1066">
        <v>137.96</v>
      </c>
      <c r="K1066">
        <v>45</v>
      </c>
      <c r="L1066">
        <v>11</v>
      </c>
      <c r="M1066">
        <v>2</v>
      </c>
      <c r="N1066">
        <v>21.96</v>
      </c>
      <c r="O1066">
        <v>17249.3</v>
      </c>
      <c r="P1066">
        <v>58.94</v>
      </c>
      <c r="Q1066">
        <v>204.14</v>
      </c>
      <c r="R1066">
        <v>24.33</v>
      </c>
      <c r="S1066">
        <v>17.37</v>
      </c>
      <c r="T1066">
        <v>1381.51</v>
      </c>
      <c r="U1066">
        <v>0.71</v>
      </c>
      <c r="V1066">
        <v>0.75</v>
      </c>
      <c r="W1066">
        <v>1.1399999999999999</v>
      </c>
      <c r="X1066">
        <v>0.08</v>
      </c>
      <c r="Y1066">
        <v>1</v>
      </c>
      <c r="Z1066">
        <v>10</v>
      </c>
    </row>
    <row r="1067" spans="1:26" x14ac:dyDescent="0.3">
      <c r="A1067">
        <v>41</v>
      </c>
      <c r="B1067">
        <v>60</v>
      </c>
      <c r="C1067" t="s">
        <v>26</v>
      </c>
      <c r="D1067">
        <v>11.0739</v>
      </c>
      <c r="E1067">
        <v>9.0299999999999994</v>
      </c>
      <c r="F1067">
        <v>6.77</v>
      </c>
      <c r="G1067">
        <v>81.239999999999995</v>
      </c>
      <c r="H1067">
        <v>1.44</v>
      </c>
      <c r="I1067">
        <v>5</v>
      </c>
      <c r="J1067">
        <v>138.30000000000001</v>
      </c>
      <c r="K1067">
        <v>45</v>
      </c>
      <c r="L1067">
        <v>11.25</v>
      </c>
      <c r="M1067">
        <v>2</v>
      </c>
      <c r="N1067">
        <v>22.05</v>
      </c>
      <c r="O1067">
        <v>17291.02</v>
      </c>
      <c r="P1067">
        <v>58.82</v>
      </c>
      <c r="Q1067">
        <v>204.14</v>
      </c>
      <c r="R1067">
        <v>24.31</v>
      </c>
      <c r="S1067">
        <v>17.37</v>
      </c>
      <c r="T1067">
        <v>1370.76</v>
      </c>
      <c r="U1067">
        <v>0.71</v>
      </c>
      <c r="V1067">
        <v>0.75</v>
      </c>
      <c r="W1067">
        <v>1.1399999999999999</v>
      </c>
      <c r="X1067">
        <v>0.08</v>
      </c>
      <c r="Y1067">
        <v>1</v>
      </c>
      <c r="Z1067">
        <v>10</v>
      </c>
    </row>
    <row r="1068" spans="1:26" x14ac:dyDescent="0.3">
      <c r="A1068">
        <v>42</v>
      </c>
      <c r="B1068">
        <v>60</v>
      </c>
      <c r="C1068" t="s">
        <v>26</v>
      </c>
      <c r="D1068">
        <v>11.0687</v>
      </c>
      <c r="E1068">
        <v>9.0299999999999994</v>
      </c>
      <c r="F1068">
        <v>6.77</v>
      </c>
      <c r="G1068">
        <v>81.290000000000006</v>
      </c>
      <c r="H1068">
        <v>1.47</v>
      </c>
      <c r="I1068">
        <v>5</v>
      </c>
      <c r="J1068">
        <v>138.63999999999999</v>
      </c>
      <c r="K1068">
        <v>45</v>
      </c>
      <c r="L1068">
        <v>11.5</v>
      </c>
      <c r="M1068">
        <v>2</v>
      </c>
      <c r="N1068">
        <v>22.14</v>
      </c>
      <c r="O1068">
        <v>17332.759999999998</v>
      </c>
      <c r="P1068">
        <v>58.68</v>
      </c>
      <c r="Q1068">
        <v>204.14</v>
      </c>
      <c r="R1068">
        <v>24.43</v>
      </c>
      <c r="S1068">
        <v>17.37</v>
      </c>
      <c r="T1068">
        <v>1433.7</v>
      </c>
      <c r="U1068">
        <v>0.71</v>
      </c>
      <c r="V1068">
        <v>0.75</v>
      </c>
      <c r="W1068">
        <v>1.1399999999999999</v>
      </c>
      <c r="X1068">
        <v>0.08</v>
      </c>
      <c r="Y1068">
        <v>1</v>
      </c>
      <c r="Z1068">
        <v>10</v>
      </c>
    </row>
    <row r="1069" spans="1:26" x14ac:dyDescent="0.3">
      <c r="A1069">
        <v>43</v>
      </c>
      <c r="B1069">
        <v>60</v>
      </c>
      <c r="C1069" t="s">
        <v>26</v>
      </c>
      <c r="D1069">
        <v>11.067</v>
      </c>
      <c r="E1069">
        <v>9.0399999999999991</v>
      </c>
      <c r="F1069">
        <v>6.78</v>
      </c>
      <c r="G1069">
        <v>81.31</v>
      </c>
      <c r="H1069">
        <v>1.5</v>
      </c>
      <c r="I1069">
        <v>5</v>
      </c>
      <c r="J1069">
        <v>138.97999999999999</v>
      </c>
      <c r="K1069">
        <v>45</v>
      </c>
      <c r="L1069">
        <v>11.75</v>
      </c>
      <c r="M1069">
        <v>2</v>
      </c>
      <c r="N1069">
        <v>22.23</v>
      </c>
      <c r="O1069">
        <v>17374.54</v>
      </c>
      <c r="P1069">
        <v>58.62</v>
      </c>
      <c r="Q1069">
        <v>204.14</v>
      </c>
      <c r="R1069">
        <v>24.43</v>
      </c>
      <c r="S1069">
        <v>17.37</v>
      </c>
      <c r="T1069">
        <v>1433.05</v>
      </c>
      <c r="U1069">
        <v>0.71</v>
      </c>
      <c r="V1069">
        <v>0.75</v>
      </c>
      <c r="W1069">
        <v>1.1499999999999999</v>
      </c>
      <c r="X1069">
        <v>0.08</v>
      </c>
      <c r="Y1069">
        <v>1</v>
      </c>
      <c r="Z1069">
        <v>10</v>
      </c>
    </row>
    <row r="1070" spans="1:26" x14ac:dyDescent="0.3">
      <c r="A1070">
        <v>44</v>
      </c>
      <c r="B1070">
        <v>60</v>
      </c>
      <c r="C1070" t="s">
        <v>26</v>
      </c>
      <c r="D1070">
        <v>11.0722</v>
      </c>
      <c r="E1070">
        <v>9.0299999999999994</v>
      </c>
      <c r="F1070">
        <v>6.77</v>
      </c>
      <c r="G1070">
        <v>81.260000000000005</v>
      </c>
      <c r="H1070">
        <v>1.52</v>
      </c>
      <c r="I1070">
        <v>5</v>
      </c>
      <c r="J1070">
        <v>139.32</v>
      </c>
      <c r="K1070">
        <v>45</v>
      </c>
      <c r="L1070">
        <v>12</v>
      </c>
      <c r="M1070">
        <v>1</v>
      </c>
      <c r="N1070">
        <v>22.32</v>
      </c>
      <c r="O1070">
        <v>17416.34</v>
      </c>
      <c r="P1070">
        <v>58.46</v>
      </c>
      <c r="Q1070">
        <v>204.14</v>
      </c>
      <c r="R1070">
        <v>24.33</v>
      </c>
      <c r="S1070">
        <v>17.37</v>
      </c>
      <c r="T1070">
        <v>1383.16</v>
      </c>
      <c r="U1070">
        <v>0.71</v>
      </c>
      <c r="V1070">
        <v>0.75</v>
      </c>
      <c r="W1070">
        <v>1.1399999999999999</v>
      </c>
      <c r="X1070">
        <v>0.08</v>
      </c>
      <c r="Y1070">
        <v>1</v>
      </c>
      <c r="Z1070">
        <v>10</v>
      </c>
    </row>
    <row r="1071" spans="1:26" x14ac:dyDescent="0.3">
      <c r="A1071">
        <v>45</v>
      </c>
      <c r="B1071">
        <v>60</v>
      </c>
      <c r="C1071" t="s">
        <v>26</v>
      </c>
      <c r="D1071">
        <v>11.065</v>
      </c>
      <c r="E1071">
        <v>9.0399999999999991</v>
      </c>
      <c r="F1071">
        <v>6.78</v>
      </c>
      <c r="G1071">
        <v>81.33</v>
      </c>
      <c r="H1071">
        <v>1.55</v>
      </c>
      <c r="I1071">
        <v>5</v>
      </c>
      <c r="J1071">
        <v>139.66</v>
      </c>
      <c r="K1071">
        <v>45</v>
      </c>
      <c r="L1071">
        <v>12.25</v>
      </c>
      <c r="M1071">
        <v>0</v>
      </c>
      <c r="N1071">
        <v>22.41</v>
      </c>
      <c r="O1071">
        <v>17458.18</v>
      </c>
      <c r="P1071">
        <v>58.6</v>
      </c>
      <c r="Q1071">
        <v>204.14</v>
      </c>
      <c r="R1071">
        <v>24.44</v>
      </c>
      <c r="S1071">
        <v>17.37</v>
      </c>
      <c r="T1071">
        <v>1436.52</v>
      </c>
      <c r="U1071">
        <v>0.71</v>
      </c>
      <c r="V1071">
        <v>0.75</v>
      </c>
      <c r="W1071">
        <v>1.1499999999999999</v>
      </c>
      <c r="X1071">
        <v>0.09</v>
      </c>
      <c r="Y1071">
        <v>1</v>
      </c>
      <c r="Z1071">
        <v>10</v>
      </c>
    </row>
    <row r="1072" spans="1:26" x14ac:dyDescent="0.3">
      <c r="A1072">
        <v>0</v>
      </c>
      <c r="B1072">
        <v>135</v>
      </c>
      <c r="C1072" t="s">
        <v>26</v>
      </c>
      <c r="D1072">
        <v>5.7598000000000003</v>
      </c>
      <c r="E1072">
        <v>17.36</v>
      </c>
      <c r="F1072">
        <v>8.9499999999999993</v>
      </c>
      <c r="G1072">
        <v>4.88</v>
      </c>
      <c r="H1072">
        <v>7.0000000000000007E-2</v>
      </c>
      <c r="I1072">
        <v>110</v>
      </c>
      <c r="J1072">
        <v>263.32</v>
      </c>
      <c r="K1072">
        <v>59.89</v>
      </c>
      <c r="L1072">
        <v>1</v>
      </c>
      <c r="M1072">
        <v>108</v>
      </c>
      <c r="N1072">
        <v>67.430000000000007</v>
      </c>
      <c r="O1072">
        <v>32710.1</v>
      </c>
      <c r="P1072">
        <v>151.43</v>
      </c>
      <c r="Q1072">
        <v>204.2</v>
      </c>
      <c r="R1072">
        <v>92.12</v>
      </c>
      <c r="S1072">
        <v>17.37</v>
      </c>
      <c r="T1072">
        <v>34754.61</v>
      </c>
      <c r="U1072">
        <v>0.19</v>
      </c>
      <c r="V1072">
        <v>0.56999999999999995</v>
      </c>
      <c r="W1072">
        <v>1.32</v>
      </c>
      <c r="X1072">
        <v>2.25</v>
      </c>
      <c r="Y1072">
        <v>1</v>
      </c>
      <c r="Z1072">
        <v>10</v>
      </c>
    </row>
    <row r="1073" spans="1:26" x14ac:dyDescent="0.3">
      <c r="A1073">
        <v>1</v>
      </c>
      <c r="B1073">
        <v>135</v>
      </c>
      <c r="C1073" t="s">
        <v>26</v>
      </c>
      <c r="D1073">
        <v>6.5172999999999996</v>
      </c>
      <c r="E1073">
        <v>15.34</v>
      </c>
      <c r="F1073">
        <v>8.35</v>
      </c>
      <c r="G1073">
        <v>6.11</v>
      </c>
      <c r="H1073">
        <v>0.08</v>
      </c>
      <c r="I1073">
        <v>82</v>
      </c>
      <c r="J1073">
        <v>263.79000000000002</v>
      </c>
      <c r="K1073">
        <v>59.89</v>
      </c>
      <c r="L1073">
        <v>1.25</v>
      </c>
      <c r="M1073">
        <v>80</v>
      </c>
      <c r="N1073">
        <v>67.650000000000006</v>
      </c>
      <c r="O1073">
        <v>32767.75</v>
      </c>
      <c r="P1073">
        <v>141.13999999999999</v>
      </c>
      <c r="Q1073">
        <v>204.25</v>
      </c>
      <c r="R1073">
        <v>73.540000000000006</v>
      </c>
      <c r="S1073">
        <v>17.37</v>
      </c>
      <c r="T1073">
        <v>25602.28</v>
      </c>
      <c r="U1073">
        <v>0.24</v>
      </c>
      <c r="V1073">
        <v>0.61</v>
      </c>
      <c r="W1073">
        <v>1.26</v>
      </c>
      <c r="X1073">
        <v>1.65</v>
      </c>
      <c r="Y1073">
        <v>1</v>
      </c>
      <c r="Z1073">
        <v>10</v>
      </c>
    </row>
    <row r="1074" spans="1:26" x14ac:dyDescent="0.3">
      <c r="A1074">
        <v>2</v>
      </c>
      <c r="B1074">
        <v>135</v>
      </c>
      <c r="C1074" t="s">
        <v>26</v>
      </c>
      <c r="D1074">
        <v>7.0392000000000001</v>
      </c>
      <c r="E1074">
        <v>14.21</v>
      </c>
      <c r="F1074">
        <v>8.02</v>
      </c>
      <c r="G1074">
        <v>7.29</v>
      </c>
      <c r="H1074">
        <v>0.1</v>
      </c>
      <c r="I1074">
        <v>66</v>
      </c>
      <c r="J1074">
        <v>264.25</v>
      </c>
      <c r="K1074">
        <v>59.89</v>
      </c>
      <c r="L1074">
        <v>1.5</v>
      </c>
      <c r="M1074">
        <v>64</v>
      </c>
      <c r="N1074">
        <v>67.87</v>
      </c>
      <c r="O1074">
        <v>32825.49</v>
      </c>
      <c r="P1074">
        <v>135.49</v>
      </c>
      <c r="Q1074">
        <v>204.19</v>
      </c>
      <c r="R1074">
        <v>63.1</v>
      </c>
      <c r="S1074">
        <v>17.37</v>
      </c>
      <c r="T1074">
        <v>20461.259999999998</v>
      </c>
      <c r="U1074">
        <v>0.28000000000000003</v>
      </c>
      <c r="V1074">
        <v>0.64</v>
      </c>
      <c r="W1074">
        <v>1.24</v>
      </c>
      <c r="X1074">
        <v>1.32</v>
      </c>
      <c r="Y1074">
        <v>1</v>
      </c>
      <c r="Z1074">
        <v>10</v>
      </c>
    </row>
    <row r="1075" spans="1:26" x14ac:dyDescent="0.3">
      <c r="A1075">
        <v>3</v>
      </c>
      <c r="B1075">
        <v>135</v>
      </c>
      <c r="C1075" t="s">
        <v>26</v>
      </c>
      <c r="D1075">
        <v>7.4513999999999996</v>
      </c>
      <c r="E1075">
        <v>13.42</v>
      </c>
      <c r="F1075">
        <v>7.79</v>
      </c>
      <c r="G1075">
        <v>8.49</v>
      </c>
      <c r="H1075">
        <v>0.12</v>
      </c>
      <c r="I1075">
        <v>55</v>
      </c>
      <c r="J1075">
        <v>264.72000000000003</v>
      </c>
      <c r="K1075">
        <v>59.89</v>
      </c>
      <c r="L1075">
        <v>1.75</v>
      </c>
      <c r="M1075">
        <v>53</v>
      </c>
      <c r="N1075">
        <v>68.09</v>
      </c>
      <c r="O1075">
        <v>32883.31</v>
      </c>
      <c r="P1075">
        <v>131.55000000000001</v>
      </c>
      <c r="Q1075">
        <v>204.2</v>
      </c>
      <c r="R1075">
        <v>55.8</v>
      </c>
      <c r="S1075">
        <v>17.37</v>
      </c>
      <c r="T1075">
        <v>16866.91</v>
      </c>
      <c r="U1075">
        <v>0.31</v>
      </c>
      <c r="V1075">
        <v>0.66</v>
      </c>
      <c r="W1075">
        <v>1.23</v>
      </c>
      <c r="X1075">
        <v>1.0900000000000001</v>
      </c>
      <c r="Y1075">
        <v>1</v>
      </c>
      <c r="Z1075">
        <v>10</v>
      </c>
    </row>
    <row r="1076" spans="1:26" x14ac:dyDescent="0.3">
      <c r="A1076">
        <v>4</v>
      </c>
      <c r="B1076">
        <v>135</v>
      </c>
      <c r="C1076" t="s">
        <v>26</v>
      </c>
      <c r="D1076">
        <v>7.7346000000000004</v>
      </c>
      <c r="E1076">
        <v>12.93</v>
      </c>
      <c r="F1076">
        <v>7.65</v>
      </c>
      <c r="G1076">
        <v>9.56</v>
      </c>
      <c r="H1076">
        <v>0.13</v>
      </c>
      <c r="I1076">
        <v>48</v>
      </c>
      <c r="J1076">
        <v>265.19</v>
      </c>
      <c r="K1076">
        <v>59.89</v>
      </c>
      <c r="L1076">
        <v>2</v>
      </c>
      <c r="M1076">
        <v>46</v>
      </c>
      <c r="N1076">
        <v>68.31</v>
      </c>
      <c r="O1076">
        <v>32941.21</v>
      </c>
      <c r="P1076">
        <v>129.11000000000001</v>
      </c>
      <c r="Q1076">
        <v>204.17</v>
      </c>
      <c r="R1076">
        <v>51.42</v>
      </c>
      <c r="S1076">
        <v>17.37</v>
      </c>
      <c r="T1076">
        <v>14711.84</v>
      </c>
      <c r="U1076">
        <v>0.34</v>
      </c>
      <c r="V1076">
        <v>0.67</v>
      </c>
      <c r="W1076">
        <v>1.22</v>
      </c>
      <c r="X1076">
        <v>0.96</v>
      </c>
      <c r="Y1076">
        <v>1</v>
      </c>
      <c r="Z1076">
        <v>10</v>
      </c>
    </row>
    <row r="1077" spans="1:26" x14ac:dyDescent="0.3">
      <c r="A1077">
        <v>5</v>
      </c>
      <c r="B1077">
        <v>135</v>
      </c>
      <c r="C1077" t="s">
        <v>26</v>
      </c>
      <c r="D1077">
        <v>8.0015999999999998</v>
      </c>
      <c r="E1077">
        <v>12.5</v>
      </c>
      <c r="F1077">
        <v>7.52</v>
      </c>
      <c r="G1077">
        <v>10.74</v>
      </c>
      <c r="H1077">
        <v>0.15</v>
      </c>
      <c r="I1077">
        <v>42</v>
      </c>
      <c r="J1077">
        <v>265.66000000000003</v>
      </c>
      <c r="K1077">
        <v>59.89</v>
      </c>
      <c r="L1077">
        <v>2.25</v>
      </c>
      <c r="M1077">
        <v>40</v>
      </c>
      <c r="N1077">
        <v>68.53</v>
      </c>
      <c r="O1077">
        <v>32999.19</v>
      </c>
      <c r="P1077">
        <v>126.86</v>
      </c>
      <c r="Q1077">
        <v>204.24</v>
      </c>
      <c r="R1077">
        <v>47.72</v>
      </c>
      <c r="S1077">
        <v>17.37</v>
      </c>
      <c r="T1077">
        <v>12894.69</v>
      </c>
      <c r="U1077">
        <v>0.36</v>
      </c>
      <c r="V1077">
        <v>0.68</v>
      </c>
      <c r="W1077">
        <v>1.2</v>
      </c>
      <c r="X1077">
        <v>0.83</v>
      </c>
      <c r="Y1077">
        <v>1</v>
      </c>
      <c r="Z1077">
        <v>10</v>
      </c>
    </row>
    <row r="1078" spans="1:26" x14ac:dyDescent="0.3">
      <c r="A1078">
        <v>6</v>
      </c>
      <c r="B1078">
        <v>135</v>
      </c>
      <c r="C1078" t="s">
        <v>26</v>
      </c>
      <c r="D1078">
        <v>8.2251999999999992</v>
      </c>
      <c r="E1078">
        <v>12.16</v>
      </c>
      <c r="F1078">
        <v>7.43</v>
      </c>
      <c r="G1078">
        <v>12.06</v>
      </c>
      <c r="H1078">
        <v>0.17</v>
      </c>
      <c r="I1078">
        <v>37</v>
      </c>
      <c r="J1078">
        <v>266.13</v>
      </c>
      <c r="K1078">
        <v>59.89</v>
      </c>
      <c r="L1078">
        <v>2.5</v>
      </c>
      <c r="M1078">
        <v>35</v>
      </c>
      <c r="N1078">
        <v>68.75</v>
      </c>
      <c r="O1078">
        <v>33057.26</v>
      </c>
      <c r="P1078">
        <v>125.32</v>
      </c>
      <c r="Q1078">
        <v>204.2</v>
      </c>
      <c r="R1078">
        <v>44.52</v>
      </c>
      <c r="S1078">
        <v>17.37</v>
      </c>
      <c r="T1078">
        <v>11319.1</v>
      </c>
      <c r="U1078">
        <v>0.39</v>
      </c>
      <c r="V1078">
        <v>0.69</v>
      </c>
      <c r="W1078">
        <v>1.21</v>
      </c>
      <c r="X1078">
        <v>0.74</v>
      </c>
      <c r="Y1078">
        <v>1</v>
      </c>
      <c r="Z1078">
        <v>10</v>
      </c>
    </row>
    <row r="1079" spans="1:26" x14ac:dyDescent="0.3">
      <c r="A1079">
        <v>7</v>
      </c>
      <c r="B1079">
        <v>135</v>
      </c>
      <c r="C1079" t="s">
        <v>26</v>
      </c>
      <c r="D1079">
        <v>8.3816000000000006</v>
      </c>
      <c r="E1079">
        <v>11.93</v>
      </c>
      <c r="F1079">
        <v>7.36</v>
      </c>
      <c r="G1079">
        <v>12.99</v>
      </c>
      <c r="H1079">
        <v>0.18</v>
      </c>
      <c r="I1079">
        <v>34</v>
      </c>
      <c r="J1079">
        <v>266.60000000000002</v>
      </c>
      <c r="K1079">
        <v>59.89</v>
      </c>
      <c r="L1079">
        <v>2.75</v>
      </c>
      <c r="M1079">
        <v>32</v>
      </c>
      <c r="N1079">
        <v>68.97</v>
      </c>
      <c r="O1079">
        <v>33115.410000000003</v>
      </c>
      <c r="P1079">
        <v>123.94</v>
      </c>
      <c r="Q1079">
        <v>204.22</v>
      </c>
      <c r="R1079">
        <v>42.45</v>
      </c>
      <c r="S1079">
        <v>17.37</v>
      </c>
      <c r="T1079">
        <v>10294.85</v>
      </c>
      <c r="U1079">
        <v>0.41</v>
      </c>
      <c r="V1079">
        <v>0.69</v>
      </c>
      <c r="W1079">
        <v>1.19</v>
      </c>
      <c r="X1079">
        <v>0.67</v>
      </c>
      <c r="Y1079">
        <v>1</v>
      </c>
      <c r="Z1079">
        <v>10</v>
      </c>
    </row>
    <row r="1080" spans="1:26" x14ac:dyDescent="0.3">
      <c r="A1080">
        <v>8</v>
      </c>
      <c r="B1080">
        <v>135</v>
      </c>
      <c r="C1080" t="s">
        <v>26</v>
      </c>
      <c r="D1080">
        <v>8.5357000000000003</v>
      </c>
      <c r="E1080">
        <v>11.72</v>
      </c>
      <c r="F1080">
        <v>7.3</v>
      </c>
      <c r="G1080">
        <v>14.12</v>
      </c>
      <c r="H1080">
        <v>0.2</v>
      </c>
      <c r="I1080">
        <v>31</v>
      </c>
      <c r="J1080">
        <v>267.08</v>
      </c>
      <c r="K1080">
        <v>59.89</v>
      </c>
      <c r="L1080">
        <v>3</v>
      </c>
      <c r="M1080">
        <v>29</v>
      </c>
      <c r="N1080">
        <v>69.19</v>
      </c>
      <c r="O1080">
        <v>33173.65</v>
      </c>
      <c r="P1080">
        <v>122.82</v>
      </c>
      <c r="Q1080">
        <v>204.24</v>
      </c>
      <c r="R1080">
        <v>40.42</v>
      </c>
      <c r="S1080">
        <v>17.37</v>
      </c>
      <c r="T1080">
        <v>9297.6</v>
      </c>
      <c r="U1080">
        <v>0.43</v>
      </c>
      <c r="V1080">
        <v>0.7</v>
      </c>
      <c r="W1080">
        <v>1.19</v>
      </c>
      <c r="X1080">
        <v>0.6</v>
      </c>
      <c r="Y1080">
        <v>1</v>
      </c>
      <c r="Z1080">
        <v>10</v>
      </c>
    </row>
    <row r="1081" spans="1:26" x14ac:dyDescent="0.3">
      <c r="A1081">
        <v>9</v>
      </c>
      <c r="B1081">
        <v>135</v>
      </c>
      <c r="C1081" t="s">
        <v>26</v>
      </c>
      <c r="D1081">
        <v>8.6965000000000003</v>
      </c>
      <c r="E1081">
        <v>11.5</v>
      </c>
      <c r="F1081">
        <v>7.23</v>
      </c>
      <c r="G1081">
        <v>15.49</v>
      </c>
      <c r="H1081">
        <v>0.22</v>
      </c>
      <c r="I1081">
        <v>28</v>
      </c>
      <c r="J1081">
        <v>267.55</v>
      </c>
      <c r="K1081">
        <v>59.89</v>
      </c>
      <c r="L1081">
        <v>3.25</v>
      </c>
      <c r="M1081">
        <v>26</v>
      </c>
      <c r="N1081">
        <v>69.41</v>
      </c>
      <c r="O1081">
        <v>33231.97</v>
      </c>
      <c r="P1081">
        <v>121.6</v>
      </c>
      <c r="Q1081">
        <v>204.17</v>
      </c>
      <c r="R1081">
        <v>38.69</v>
      </c>
      <c r="S1081">
        <v>17.37</v>
      </c>
      <c r="T1081">
        <v>8447.93</v>
      </c>
      <c r="U1081">
        <v>0.45</v>
      </c>
      <c r="V1081">
        <v>0.71</v>
      </c>
      <c r="W1081">
        <v>1.18</v>
      </c>
      <c r="X1081">
        <v>0.54</v>
      </c>
      <c r="Y1081">
        <v>1</v>
      </c>
      <c r="Z1081">
        <v>10</v>
      </c>
    </row>
    <row r="1082" spans="1:26" x14ac:dyDescent="0.3">
      <c r="A1082">
        <v>10</v>
      </c>
      <c r="B1082">
        <v>135</v>
      </c>
      <c r="C1082" t="s">
        <v>26</v>
      </c>
      <c r="D1082">
        <v>8.7911999999999999</v>
      </c>
      <c r="E1082">
        <v>11.38</v>
      </c>
      <c r="F1082">
        <v>7.21</v>
      </c>
      <c r="G1082">
        <v>16.63</v>
      </c>
      <c r="H1082">
        <v>0.23</v>
      </c>
      <c r="I1082">
        <v>26</v>
      </c>
      <c r="J1082">
        <v>268.02</v>
      </c>
      <c r="K1082">
        <v>59.89</v>
      </c>
      <c r="L1082">
        <v>3.5</v>
      </c>
      <c r="M1082">
        <v>24</v>
      </c>
      <c r="N1082">
        <v>69.64</v>
      </c>
      <c r="O1082">
        <v>33290.379999999997</v>
      </c>
      <c r="P1082">
        <v>121.2</v>
      </c>
      <c r="Q1082">
        <v>204.19</v>
      </c>
      <c r="R1082">
        <v>37.6</v>
      </c>
      <c r="S1082">
        <v>17.37</v>
      </c>
      <c r="T1082">
        <v>7914.4</v>
      </c>
      <c r="U1082">
        <v>0.46</v>
      </c>
      <c r="V1082">
        <v>0.71</v>
      </c>
      <c r="W1082">
        <v>1.19</v>
      </c>
      <c r="X1082">
        <v>0.52</v>
      </c>
      <c r="Y1082">
        <v>1</v>
      </c>
      <c r="Z1082">
        <v>10</v>
      </c>
    </row>
    <row r="1083" spans="1:26" x14ac:dyDescent="0.3">
      <c r="A1083">
        <v>11</v>
      </c>
      <c r="B1083">
        <v>135</v>
      </c>
      <c r="C1083" t="s">
        <v>26</v>
      </c>
      <c r="D1083">
        <v>8.9177</v>
      </c>
      <c r="E1083">
        <v>11.21</v>
      </c>
      <c r="F1083">
        <v>7.15</v>
      </c>
      <c r="G1083">
        <v>17.87</v>
      </c>
      <c r="H1083">
        <v>0.25</v>
      </c>
      <c r="I1083">
        <v>24</v>
      </c>
      <c r="J1083">
        <v>268.5</v>
      </c>
      <c r="K1083">
        <v>59.89</v>
      </c>
      <c r="L1083">
        <v>3.75</v>
      </c>
      <c r="M1083">
        <v>22</v>
      </c>
      <c r="N1083">
        <v>69.86</v>
      </c>
      <c r="O1083">
        <v>33348.870000000003</v>
      </c>
      <c r="P1083">
        <v>120.06</v>
      </c>
      <c r="Q1083">
        <v>204.15</v>
      </c>
      <c r="R1083">
        <v>35.869999999999997</v>
      </c>
      <c r="S1083">
        <v>17.37</v>
      </c>
      <c r="T1083">
        <v>7055.46</v>
      </c>
      <c r="U1083">
        <v>0.48</v>
      </c>
      <c r="V1083">
        <v>0.71</v>
      </c>
      <c r="W1083">
        <v>1.18</v>
      </c>
      <c r="X1083">
        <v>0.46</v>
      </c>
      <c r="Y1083">
        <v>1</v>
      </c>
      <c r="Z1083">
        <v>10</v>
      </c>
    </row>
    <row r="1084" spans="1:26" x14ac:dyDescent="0.3">
      <c r="A1084">
        <v>12</v>
      </c>
      <c r="B1084">
        <v>135</v>
      </c>
      <c r="C1084" t="s">
        <v>26</v>
      </c>
      <c r="D1084">
        <v>8.9641000000000002</v>
      </c>
      <c r="E1084">
        <v>11.16</v>
      </c>
      <c r="F1084">
        <v>7.14</v>
      </c>
      <c r="G1084">
        <v>18.63</v>
      </c>
      <c r="H1084">
        <v>0.26</v>
      </c>
      <c r="I1084">
        <v>23</v>
      </c>
      <c r="J1084">
        <v>268.97000000000003</v>
      </c>
      <c r="K1084">
        <v>59.89</v>
      </c>
      <c r="L1084">
        <v>4</v>
      </c>
      <c r="M1084">
        <v>21</v>
      </c>
      <c r="N1084">
        <v>70.09</v>
      </c>
      <c r="O1084">
        <v>33407.449999999997</v>
      </c>
      <c r="P1084">
        <v>119.94</v>
      </c>
      <c r="Q1084">
        <v>204.17</v>
      </c>
      <c r="R1084">
        <v>35.659999999999997</v>
      </c>
      <c r="S1084">
        <v>17.37</v>
      </c>
      <c r="T1084">
        <v>6959.49</v>
      </c>
      <c r="U1084">
        <v>0.49</v>
      </c>
      <c r="V1084">
        <v>0.72</v>
      </c>
      <c r="W1084">
        <v>1.18</v>
      </c>
      <c r="X1084">
        <v>0.45</v>
      </c>
      <c r="Y1084">
        <v>1</v>
      </c>
      <c r="Z1084">
        <v>10</v>
      </c>
    </row>
    <row r="1085" spans="1:26" x14ac:dyDescent="0.3">
      <c r="A1085">
        <v>13</v>
      </c>
      <c r="B1085">
        <v>135</v>
      </c>
      <c r="C1085" t="s">
        <v>26</v>
      </c>
      <c r="D1085">
        <v>9.0892999999999997</v>
      </c>
      <c r="E1085">
        <v>11</v>
      </c>
      <c r="F1085">
        <v>7.09</v>
      </c>
      <c r="G1085">
        <v>20.25</v>
      </c>
      <c r="H1085">
        <v>0.28000000000000003</v>
      </c>
      <c r="I1085">
        <v>21</v>
      </c>
      <c r="J1085">
        <v>269.45</v>
      </c>
      <c r="K1085">
        <v>59.89</v>
      </c>
      <c r="L1085">
        <v>4.25</v>
      </c>
      <c r="M1085">
        <v>19</v>
      </c>
      <c r="N1085">
        <v>70.31</v>
      </c>
      <c r="O1085">
        <v>33466.11</v>
      </c>
      <c r="P1085">
        <v>118.85</v>
      </c>
      <c r="Q1085">
        <v>204.19</v>
      </c>
      <c r="R1085">
        <v>34.11</v>
      </c>
      <c r="S1085">
        <v>17.37</v>
      </c>
      <c r="T1085">
        <v>6190.39</v>
      </c>
      <c r="U1085">
        <v>0.51</v>
      </c>
      <c r="V1085">
        <v>0.72</v>
      </c>
      <c r="W1085">
        <v>1.17</v>
      </c>
      <c r="X1085">
        <v>0.4</v>
      </c>
      <c r="Y1085">
        <v>1</v>
      </c>
      <c r="Z1085">
        <v>10</v>
      </c>
    </row>
    <row r="1086" spans="1:26" x14ac:dyDescent="0.3">
      <c r="A1086">
        <v>14</v>
      </c>
      <c r="B1086">
        <v>135</v>
      </c>
      <c r="C1086" t="s">
        <v>26</v>
      </c>
      <c r="D1086">
        <v>9.1440000000000001</v>
      </c>
      <c r="E1086">
        <v>10.94</v>
      </c>
      <c r="F1086">
        <v>7.07</v>
      </c>
      <c r="G1086">
        <v>21.22</v>
      </c>
      <c r="H1086">
        <v>0.3</v>
      </c>
      <c r="I1086">
        <v>20</v>
      </c>
      <c r="J1086">
        <v>269.92</v>
      </c>
      <c r="K1086">
        <v>59.89</v>
      </c>
      <c r="L1086">
        <v>4.5</v>
      </c>
      <c r="M1086">
        <v>18</v>
      </c>
      <c r="N1086">
        <v>70.540000000000006</v>
      </c>
      <c r="O1086">
        <v>33524.86</v>
      </c>
      <c r="P1086">
        <v>118.61</v>
      </c>
      <c r="Q1086">
        <v>204.14</v>
      </c>
      <c r="R1086">
        <v>33.549999999999997</v>
      </c>
      <c r="S1086">
        <v>17.37</v>
      </c>
      <c r="T1086">
        <v>5915.16</v>
      </c>
      <c r="U1086">
        <v>0.52</v>
      </c>
      <c r="V1086">
        <v>0.72</v>
      </c>
      <c r="W1086">
        <v>1.17</v>
      </c>
      <c r="X1086">
        <v>0.38</v>
      </c>
      <c r="Y1086">
        <v>1</v>
      </c>
      <c r="Z1086">
        <v>10</v>
      </c>
    </row>
    <row r="1087" spans="1:26" x14ac:dyDescent="0.3">
      <c r="A1087">
        <v>15</v>
      </c>
      <c r="B1087">
        <v>135</v>
      </c>
      <c r="C1087" t="s">
        <v>26</v>
      </c>
      <c r="D1087">
        <v>9.2052999999999994</v>
      </c>
      <c r="E1087">
        <v>10.86</v>
      </c>
      <c r="F1087">
        <v>7.05</v>
      </c>
      <c r="G1087">
        <v>22.26</v>
      </c>
      <c r="H1087">
        <v>0.31</v>
      </c>
      <c r="I1087">
        <v>19</v>
      </c>
      <c r="J1087">
        <v>270.39999999999998</v>
      </c>
      <c r="K1087">
        <v>59.89</v>
      </c>
      <c r="L1087">
        <v>4.75</v>
      </c>
      <c r="M1087">
        <v>17</v>
      </c>
      <c r="N1087">
        <v>70.760000000000005</v>
      </c>
      <c r="O1087">
        <v>33583.699999999997</v>
      </c>
      <c r="P1087">
        <v>118.09</v>
      </c>
      <c r="Q1087">
        <v>204.14</v>
      </c>
      <c r="R1087">
        <v>32.9</v>
      </c>
      <c r="S1087">
        <v>17.37</v>
      </c>
      <c r="T1087">
        <v>5597.2</v>
      </c>
      <c r="U1087">
        <v>0.53</v>
      </c>
      <c r="V1087">
        <v>0.72</v>
      </c>
      <c r="W1087">
        <v>1.17</v>
      </c>
      <c r="X1087">
        <v>0.36</v>
      </c>
      <c r="Y1087">
        <v>1</v>
      </c>
      <c r="Z1087">
        <v>10</v>
      </c>
    </row>
    <row r="1088" spans="1:26" x14ac:dyDescent="0.3">
      <c r="A1088">
        <v>16</v>
      </c>
      <c r="B1088">
        <v>135</v>
      </c>
      <c r="C1088" t="s">
        <v>26</v>
      </c>
      <c r="D1088">
        <v>9.2654999999999994</v>
      </c>
      <c r="E1088">
        <v>10.79</v>
      </c>
      <c r="F1088">
        <v>7.03</v>
      </c>
      <c r="G1088">
        <v>23.43</v>
      </c>
      <c r="H1088">
        <v>0.33</v>
      </c>
      <c r="I1088">
        <v>18</v>
      </c>
      <c r="J1088">
        <v>270.88</v>
      </c>
      <c r="K1088">
        <v>59.89</v>
      </c>
      <c r="L1088">
        <v>5</v>
      </c>
      <c r="M1088">
        <v>16</v>
      </c>
      <c r="N1088">
        <v>70.989999999999995</v>
      </c>
      <c r="O1088">
        <v>33642.620000000003</v>
      </c>
      <c r="P1088">
        <v>117.68</v>
      </c>
      <c r="Q1088">
        <v>204.14</v>
      </c>
      <c r="R1088">
        <v>32.49</v>
      </c>
      <c r="S1088">
        <v>17.37</v>
      </c>
      <c r="T1088">
        <v>5396.19</v>
      </c>
      <c r="U1088">
        <v>0.53</v>
      </c>
      <c r="V1088">
        <v>0.73</v>
      </c>
      <c r="W1088">
        <v>1.1599999999999999</v>
      </c>
      <c r="X1088">
        <v>0.34</v>
      </c>
      <c r="Y1088">
        <v>1</v>
      </c>
      <c r="Z1088">
        <v>10</v>
      </c>
    </row>
    <row r="1089" spans="1:26" x14ac:dyDescent="0.3">
      <c r="A1089">
        <v>17</v>
      </c>
      <c r="B1089">
        <v>135</v>
      </c>
      <c r="C1089" t="s">
        <v>26</v>
      </c>
      <c r="D1089">
        <v>9.3330000000000002</v>
      </c>
      <c r="E1089">
        <v>10.71</v>
      </c>
      <c r="F1089">
        <v>7</v>
      </c>
      <c r="G1089">
        <v>24.71</v>
      </c>
      <c r="H1089">
        <v>0.34</v>
      </c>
      <c r="I1089">
        <v>17</v>
      </c>
      <c r="J1089">
        <v>271.36</v>
      </c>
      <c r="K1089">
        <v>59.89</v>
      </c>
      <c r="L1089">
        <v>5.25</v>
      </c>
      <c r="M1089">
        <v>15</v>
      </c>
      <c r="N1089">
        <v>71.22</v>
      </c>
      <c r="O1089">
        <v>33701.64</v>
      </c>
      <c r="P1089">
        <v>116.98</v>
      </c>
      <c r="Q1089">
        <v>204.14</v>
      </c>
      <c r="R1089">
        <v>31.45</v>
      </c>
      <c r="S1089">
        <v>17.37</v>
      </c>
      <c r="T1089">
        <v>4882.18</v>
      </c>
      <c r="U1089">
        <v>0.55000000000000004</v>
      </c>
      <c r="V1089">
        <v>0.73</v>
      </c>
      <c r="W1089">
        <v>1.1599999999999999</v>
      </c>
      <c r="X1089">
        <v>0.31</v>
      </c>
      <c r="Y1089">
        <v>1</v>
      </c>
      <c r="Z1089">
        <v>10</v>
      </c>
    </row>
    <row r="1090" spans="1:26" x14ac:dyDescent="0.3">
      <c r="A1090">
        <v>18</v>
      </c>
      <c r="B1090">
        <v>135</v>
      </c>
      <c r="C1090" t="s">
        <v>26</v>
      </c>
      <c r="D1090">
        <v>9.3217999999999996</v>
      </c>
      <c r="E1090">
        <v>10.73</v>
      </c>
      <c r="F1090">
        <v>7.01</v>
      </c>
      <c r="G1090">
        <v>24.76</v>
      </c>
      <c r="H1090">
        <v>0.36</v>
      </c>
      <c r="I1090">
        <v>17</v>
      </c>
      <c r="J1090">
        <v>271.83999999999997</v>
      </c>
      <c r="K1090">
        <v>59.89</v>
      </c>
      <c r="L1090">
        <v>5.5</v>
      </c>
      <c r="M1090">
        <v>15</v>
      </c>
      <c r="N1090">
        <v>71.45</v>
      </c>
      <c r="O1090">
        <v>33760.74</v>
      </c>
      <c r="P1090">
        <v>117.4</v>
      </c>
      <c r="Q1090">
        <v>204.18</v>
      </c>
      <c r="R1090">
        <v>31.74</v>
      </c>
      <c r="S1090">
        <v>17.37</v>
      </c>
      <c r="T1090">
        <v>5027.09</v>
      </c>
      <c r="U1090">
        <v>0.55000000000000004</v>
      </c>
      <c r="V1090">
        <v>0.73</v>
      </c>
      <c r="W1090">
        <v>1.17</v>
      </c>
      <c r="X1090">
        <v>0.32</v>
      </c>
      <c r="Y1090">
        <v>1</v>
      </c>
      <c r="Z1090">
        <v>10</v>
      </c>
    </row>
    <row r="1091" spans="1:26" x14ac:dyDescent="0.3">
      <c r="A1091">
        <v>19</v>
      </c>
      <c r="B1091">
        <v>135</v>
      </c>
      <c r="C1091" t="s">
        <v>26</v>
      </c>
      <c r="D1091">
        <v>9.3805999999999994</v>
      </c>
      <c r="E1091">
        <v>10.66</v>
      </c>
      <c r="F1091">
        <v>7</v>
      </c>
      <c r="G1091">
        <v>26.24</v>
      </c>
      <c r="H1091">
        <v>0.38</v>
      </c>
      <c r="I1091">
        <v>16</v>
      </c>
      <c r="J1091">
        <v>272.32</v>
      </c>
      <c r="K1091">
        <v>59.89</v>
      </c>
      <c r="L1091">
        <v>5.75</v>
      </c>
      <c r="M1091">
        <v>14</v>
      </c>
      <c r="N1091">
        <v>71.680000000000007</v>
      </c>
      <c r="O1091">
        <v>33820.050000000003</v>
      </c>
      <c r="P1091">
        <v>116.95</v>
      </c>
      <c r="Q1091">
        <v>204.14</v>
      </c>
      <c r="R1091">
        <v>31.4</v>
      </c>
      <c r="S1091">
        <v>17.37</v>
      </c>
      <c r="T1091">
        <v>4861.76</v>
      </c>
      <c r="U1091">
        <v>0.55000000000000004</v>
      </c>
      <c r="V1091">
        <v>0.73</v>
      </c>
      <c r="W1091">
        <v>1.1599999999999999</v>
      </c>
      <c r="X1091">
        <v>0.31</v>
      </c>
      <c r="Y1091">
        <v>1</v>
      </c>
      <c r="Z1091">
        <v>10</v>
      </c>
    </row>
    <row r="1092" spans="1:26" x14ac:dyDescent="0.3">
      <c r="A1092">
        <v>20</v>
      </c>
      <c r="B1092">
        <v>135</v>
      </c>
      <c r="C1092" t="s">
        <v>26</v>
      </c>
      <c r="D1092">
        <v>9.4376999999999995</v>
      </c>
      <c r="E1092">
        <v>10.6</v>
      </c>
      <c r="F1092">
        <v>6.98</v>
      </c>
      <c r="G1092">
        <v>27.94</v>
      </c>
      <c r="H1092">
        <v>0.39</v>
      </c>
      <c r="I1092">
        <v>15</v>
      </c>
      <c r="J1092">
        <v>272.8</v>
      </c>
      <c r="K1092">
        <v>59.89</v>
      </c>
      <c r="L1092">
        <v>6</v>
      </c>
      <c r="M1092">
        <v>13</v>
      </c>
      <c r="N1092">
        <v>71.91</v>
      </c>
      <c r="O1092">
        <v>33879.33</v>
      </c>
      <c r="P1092">
        <v>116.63</v>
      </c>
      <c r="Q1092">
        <v>204.22</v>
      </c>
      <c r="R1092">
        <v>31.18</v>
      </c>
      <c r="S1092">
        <v>17.37</v>
      </c>
      <c r="T1092">
        <v>4756.2</v>
      </c>
      <c r="U1092">
        <v>0.56000000000000005</v>
      </c>
      <c r="V1092">
        <v>0.73</v>
      </c>
      <c r="W1092">
        <v>1.1599999999999999</v>
      </c>
      <c r="X1092">
        <v>0.28999999999999998</v>
      </c>
      <c r="Y1092">
        <v>1</v>
      </c>
      <c r="Z1092">
        <v>10</v>
      </c>
    </row>
    <row r="1093" spans="1:26" x14ac:dyDescent="0.3">
      <c r="A1093">
        <v>21</v>
      </c>
      <c r="B1093">
        <v>135</v>
      </c>
      <c r="C1093" t="s">
        <v>26</v>
      </c>
      <c r="D1093">
        <v>9.4552999999999994</v>
      </c>
      <c r="E1093">
        <v>10.58</v>
      </c>
      <c r="F1093">
        <v>6.96</v>
      </c>
      <c r="G1093">
        <v>27.86</v>
      </c>
      <c r="H1093">
        <v>0.41</v>
      </c>
      <c r="I1093">
        <v>15</v>
      </c>
      <c r="J1093">
        <v>273.27999999999997</v>
      </c>
      <c r="K1093">
        <v>59.89</v>
      </c>
      <c r="L1093">
        <v>6.25</v>
      </c>
      <c r="M1093">
        <v>13</v>
      </c>
      <c r="N1093">
        <v>72.14</v>
      </c>
      <c r="O1093">
        <v>33938.699999999997</v>
      </c>
      <c r="P1093">
        <v>116.25</v>
      </c>
      <c r="Q1093">
        <v>204.14</v>
      </c>
      <c r="R1093">
        <v>30.36</v>
      </c>
      <c r="S1093">
        <v>17.37</v>
      </c>
      <c r="T1093">
        <v>4347.91</v>
      </c>
      <c r="U1093">
        <v>0.56999999999999995</v>
      </c>
      <c r="V1093">
        <v>0.73</v>
      </c>
      <c r="W1093">
        <v>1.1599999999999999</v>
      </c>
      <c r="X1093">
        <v>0.27</v>
      </c>
      <c r="Y1093">
        <v>1</v>
      </c>
      <c r="Z1093">
        <v>10</v>
      </c>
    </row>
    <row r="1094" spans="1:26" x14ac:dyDescent="0.3">
      <c r="A1094">
        <v>22</v>
      </c>
      <c r="B1094">
        <v>135</v>
      </c>
      <c r="C1094" t="s">
        <v>26</v>
      </c>
      <c r="D1094">
        <v>9.5112000000000005</v>
      </c>
      <c r="E1094">
        <v>10.51</v>
      </c>
      <c r="F1094">
        <v>6.95</v>
      </c>
      <c r="G1094">
        <v>29.8</v>
      </c>
      <c r="H1094">
        <v>0.42</v>
      </c>
      <c r="I1094">
        <v>14</v>
      </c>
      <c r="J1094">
        <v>273.76</v>
      </c>
      <c r="K1094">
        <v>59.89</v>
      </c>
      <c r="L1094">
        <v>6.5</v>
      </c>
      <c r="M1094">
        <v>12</v>
      </c>
      <c r="N1094">
        <v>72.37</v>
      </c>
      <c r="O1094">
        <v>33998.160000000003</v>
      </c>
      <c r="P1094">
        <v>115.98</v>
      </c>
      <c r="Q1094">
        <v>204.14</v>
      </c>
      <c r="R1094">
        <v>29.91</v>
      </c>
      <c r="S1094">
        <v>17.37</v>
      </c>
      <c r="T1094">
        <v>4129.53</v>
      </c>
      <c r="U1094">
        <v>0.57999999999999996</v>
      </c>
      <c r="V1094">
        <v>0.73</v>
      </c>
      <c r="W1094">
        <v>1.1599999999999999</v>
      </c>
      <c r="X1094">
        <v>0.26</v>
      </c>
      <c r="Y1094">
        <v>1</v>
      </c>
      <c r="Z1094">
        <v>10</v>
      </c>
    </row>
    <row r="1095" spans="1:26" x14ac:dyDescent="0.3">
      <c r="A1095">
        <v>23</v>
      </c>
      <c r="B1095">
        <v>135</v>
      </c>
      <c r="C1095" t="s">
        <v>26</v>
      </c>
      <c r="D1095">
        <v>9.5094999999999992</v>
      </c>
      <c r="E1095">
        <v>10.52</v>
      </c>
      <c r="F1095">
        <v>6.96</v>
      </c>
      <c r="G1095">
        <v>29.81</v>
      </c>
      <c r="H1095">
        <v>0.44</v>
      </c>
      <c r="I1095">
        <v>14</v>
      </c>
      <c r="J1095">
        <v>274.24</v>
      </c>
      <c r="K1095">
        <v>59.89</v>
      </c>
      <c r="L1095">
        <v>6.75</v>
      </c>
      <c r="M1095">
        <v>12</v>
      </c>
      <c r="N1095">
        <v>72.61</v>
      </c>
      <c r="O1095">
        <v>34057.71</v>
      </c>
      <c r="P1095">
        <v>116</v>
      </c>
      <c r="Q1095">
        <v>204.15</v>
      </c>
      <c r="R1095">
        <v>29.88</v>
      </c>
      <c r="S1095">
        <v>17.37</v>
      </c>
      <c r="T1095">
        <v>4114.8</v>
      </c>
      <c r="U1095">
        <v>0.57999999999999996</v>
      </c>
      <c r="V1095">
        <v>0.73</v>
      </c>
      <c r="W1095">
        <v>1.1599999999999999</v>
      </c>
      <c r="X1095">
        <v>0.26</v>
      </c>
      <c r="Y1095">
        <v>1</v>
      </c>
      <c r="Z1095">
        <v>10</v>
      </c>
    </row>
    <row r="1096" spans="1:26" x14ac:dyDescent="0.3">
      <c r="A1096">
        <v>24</v>
      </c>
      <c r="B1096">
        <v>135</v>
      </c>
      <c r="C1096" t="s">
        <v>26</v>
      </c>
      <c r="D1096">
        <v>9.5764999999999993</v>
      </c>
      <c r="E1096">
        <v>10.44</v>
      </c>
      <c r="F1096">
        <v>6.93</v>
      </c>
      <c r="G1096">
        <v>31.99</v>
      </c>
      <c r="H1096">
        <v>0.45</v>
      </c>
      <c r="I1096">
        <v>13</v>
      </c>
      <c r="J1096">
        <v>274.73</v>
      </c>
      <c r="K1096">
        <v>59.89</v>
      </c>
      <c r="L1096">
        <v>7</v>
      </c>
      <c r="M1096">
        <v>11</v>
      </c>
      <c r="N1096">
        <v>72.84</v>
      </c>
      <c r="O1096">
        <v>34117.35</v>
      </c>
      <c r="P1096">
        <v>115.51</v>
      </c>
      <c r="Q1096">
        <v>204.14</v>
      </c>
      <c r="R1096">
        <v>29.32</v>
      </c>
      <c r="S1096">
        <v>17.37</v>
      </c>
      <c r="T1096">
        <v>3836.91</v>
      </c>
      <c r="U1096">
        <v>0.59</v>
      </c>
      <c r="V1096">
        <v>0.74</v>
      </c>
      <c r="W1096">
        <v>1.1599999999999999</v>
      </c>
      <c r="X1096">
        <v>0.24</v>
      </c>
      <c r="Y1096">
        <v>1</v>
      </c>
      <c r="Z1096">
        <v>10</v>
      </c>
    </row>
    <row r="1097" spans="1:26" x14ac:dyDescent="0.3">
      <c r="A1097">
        <v>25</v>
      </c>
      <c r="B1097">
        <v>135</v>
      </c>
      <c r="C1097" t="s">
        <v>26</v>
      </c>
      <c r="D1097">
        <v>9.5783000000000005</v>
      </c>
      <c r="E1097">
        <v>10.44</v>
      </c>
      <c r="F1097">
        <v>6.93</v>
      </c>
      <c r="G1097">
        <v>31.98</v>
      </c>
      <c r="H1097">
        <v>0.47</v>
      </c>
      <c r="I1097">
        <v>13</v>
      </c>
      <c r="J1097">
        <v>275.20999999999998</v>
      </c>
      <c r="K1097">
        <v>59.89</v>
      </c>
      <c r="L1097">
        <v>7.25</v>
      </c>
      <c r="M1097">
        <v>11</v>
      </c>
      <c r="N1097">
        <v>73.08</v>
      </c>
      <c r="O1097">
        <v>34177.089999999997</v>
      </c>
      <c r="P1097">
        <v>115.47</v>
      </c>
      <c r="Q1097">
        <v>204.2</v>
      </c>
      <c r="R1097">
        <v>29.05</v>
      </c>
      <c r="S1097">
        <v>17.37</v>
      </c>
      <c r="T1097">
        <v>3699.92</v>
      </c>
      <c r="U1097">
        <v>0.6</v>
      </c>
      <c r="V1097">
        <v>0.74</v>
      </c>
      <c r="W1097">
        <v>1.1599999999999999</v>
      </c>
      <c r="X1097">
        <v>0.24</v>
      </c>
      <c r="Y1097">
        <v>1</v>
      </c>
      <c r="Z1097">
        <v>10</v>
      </c>
    </row>
    <row r="1098" spans="1:26" x14ac:dyDescent="0.3">
      <c r="A1098">
        <v>26</v>
      </c>
      <c r="B1098">
        <v>135</v>
      </c>
      <c r="C1098" t="s">
        <v>26</v>
      </c>
      <c r="D1098">
        <v>9.6465999999999994</v>
      </c>
      <c r="E1098">
        <v>10.37</v>
      </c>
      <c r="F1098">
        <v>6.91</v>
      </c>
      <c r="G1098">
        <v>34.53</v>
      </c>
      <c r="H1098">
        <v>0.48</v>
      </c>
      <c r="I1098">
        <v>12</v>
      </c>
      <c r="J1098">
        <v>275.7</v>
      </c>
      <c r="K1098">
        <v>59.89</v>
      </c>
      <c r="L1098">
        <v>7.5</v>
      </c>
      <c r="M1098">
        <v>10</v>
      </c>
      <c r="N1098">
        <v>73.31</v>
      </c>
      <c r="O1098">
        <v>34236.910000000003</v>
      </c>
      <c r="P1098">
        <v>114.92</v>
      </c>
      <c r="Q1098">
        <v>204.15</v>
      </c>
      <c r="R1098">
        <v>28.66</v>
      </c>
      <c r="S1098">
        <v>17.37</v>
      </c>
      <c r="T1098">
        <v>3513.77</v>
      </c>
      <c r="U1098">
        <v>0.61</v>
      </c>
      <c r="V1098">
        <v>0.74</v>
      </c>
      <c r="W1098">
        <v>1.1499999999999999</v>
      </c>
      <c r="X1098">
        <v>0.22</v>
      </c>
      <c r="Y1098">
        <v>1</v>
      </c>
      <c r="Z1098">
        <v>10</v>
      </c>
    </row>
    <row r="1099" spans="1:26" x14ac:dyDescent="0.3">
      <c r="A1099">
        <v>27</v>
      </c>
      <c r="B1099">
        <v>135</v>
      </c>
      <c r="C1099" t="s">
        <v>26</v>
      </c>
      <c r="D1099">
        <v>9.6448</v>
      </c>
      <c r="E1099">
        <v>10.37</v>
      </c>
      <c r="F1099">
        <v>6.91</v>
      </c>
      <c r="G1099">
        <v>34.54</v>
      </c>
      <c r="H1099">
        <v>0.5</v>
      </c>
      <c r="I1099">
        <v>12</v>
      </c>
      <c r="J1099">
        <v>276.18</v>
      </c>
      <c r="K1099">
        <v>59.89</v>
      </c>
      <c r="L1099">
        <v>7.75</v>
      </c>
      <c r="M1099">
        <v>10</v>
      </c>
      <c r="N1099">
        <v>73.55</v>
      </c>
      <c r="O1099">
        <v>34296.82</v>
      </c>
      <c r="P1099">
        <v>114.99</v>
      </c>
      <c r="Q1099">
        <v>204.16</v>
      </c>
      <c r="R1099">
        <v>28.64</v>
      </c>
      <c r="S1099">
        <v>17.37</v>
      </c>
      <c r="T1099">
        <v>3501.63</v>
      </c>
      <c r="U1099">
        <v>0.61</v>
      </c>
      <c r="V1099">
        <v>0.74</v>
      </c>
      <c r="W1099">
        <v>1.1499999999999999</v>
      </c>
      <c r="X1099">
        <v>0.22</v>
      </c>
      <c r="Y1099">
        <v>1</v>
      </c>
      <c r="Z1099">
        <v>10</v>
      </c>
    </row>
    <row r="1100" spans="1:26" x14ac:dyDescent="0.3">
      <c r="A1100">
        <v>28</v>
      </c>
      <c r="B1100">
        <v>135</v>
      </c>
      <c r="C1100" t="s">
        <v>26</v>
      </c>
      <c r="D1100">
        <v>9.6448</v>
      </c>
      <c r="E1100">
        <v>10.37</v>
      </c>
      <c r="F1100">
        <v>6.91</v>
      </c>
      <c r="G1100">
        <v>34.54</v>
      </c>
      <c r="H1100">
        <v>0.51</v>
      </c>
      <c r="I1100">
        <v>12</v>
      </c>
      <c r="J1100">
        <v>276.67</v>
      </c>
      <c r="K1100">
        <v>59.89</v>
      </c>
      <c r="L1100">
        <v>8</v>
      </c>
      <c r="M1100">
        <v>10</v>
      </c>
      <c r="N1100">
        <v>73.78</v>
      </c>
      <c r="O1100">
        <v>34356.83</v>
      </c>
      <c r="P1100">
        <v>114.84</v>
      </c>
      <c r="Q1100">
        <v>204.14</v>
      </c>
      <c r="R1100">
        <v>28.75</v>
      </c>
      <c r="S1100">
        <v>17.37</v>
      </c>
      <c r="T1100">
        <v>3555.55</v>
      </c>
      <c r="U1100">
        <v>0.6</v>
      </c>
      <c r="V1100">
        <v>0.74</v>
      </c>
      <c r="W1100">
        <v>1.1499999999999999</v>
      </c>
      <c r="X1100">
        <v>0.22</v>
      </c>
      <c r="Y1100">
        <v>1</v>
      </c>
      <c r="Z1100">
        <v>10</v>
      </c>
    </row>
    <row r="1101" spans="1:26" x14ac:dyDescent="0.3">
      <c r="A1101">
        <v>29</v>
      </c>
      <c r="B1101">
        <v>135</v>
      </c>
      <c r="C1101" t="s">
        <v>26</v>
      </c>
      <c r="D1101">
        <v>9.7200000000000006</v>
      </c>
      <c r="E1101">
        <v>10.29</v>
      </c>
      <c r="F1101">
        <v>6.88</v>
      </c>
      <c r="G1101">
        <v>37.520000000000003</v>
      </c>
      <c r="H1101">
        <v>0.53</v>
      </c>
      <c r="I1101">
        <v>11</v>
      </c>
      <c r="J1101">
        <v>277.16000000000003</v>
      </c>
      <c r="K1101">
        <v>59.89</v>
      </c>
      <c r="L1101">
        <v>8.25</v>
      </c>
      <c r="M1101">
        <v>9</v>
      </c>
      <c r="N1101">
        <v>74.02</v>
      </c>
      <c r="O1101">
        <v>34416.93</v>
      </c>
      <c r="P1101">
        <v>114.11</v>
      </c>
      <c r="Q1101">
        <v>204.15</v>
      </c>
      <c r="R1101">
        <v>27.62</v>
      </c>
      <c r="S1101">
        <v>17.37</v>
      </c>
      <c r="T1101">
        <v>2996.68</v>
      </c>
      <c r="U1101">
        <v>0.63</v>
      </c>
      <c r="V1101">
        <v>0.74</v>
      </c>
      <c r="W1101">
        <v>1.1499999999999999</v>
      </c>
      <c r="X1101">
        <v>0.19</v>
      </c>
      <c r="Y1101">
        <v>1</v>
      </c>
      <c r="Z1101">
        <v>10</v>
      </c>
    </row>
    <row r="1102" spans="1:26" x14ac:dyDescent="0.3">
      <c r="A1102">
        <v>30</v>
      </c>
      <c r="B1102">
        <v>135</v>
      </c>
      <c r="C1102" t="s">
        <v>26</v>
      </c>
      <c r="D1102">
        <v>9.7175999999999991</v>
      </c>
      <c r="E1102">
        <v>10.29</v>
      </c>
      <c r="F1102">
        <v>6.88</v>
      </c>
      <c r="G1102">
        <v>37.53</v>
      </c>
      <c r="H1102">
        <v>0.55000000000000004</v>
      </c>
      <c r="I1102">
        <v>11</v>
      </c>
      <c r="J1102">
        <v>277.64999999999998</v>
      </c>
      <c r="K1102">
        <v>59.89</v>
      </c>
      <c r="L1102">
        <v>8.5</v>
      </c>
      <c r="M1102">
        <v>9</v>
      </c>
      <c r="N1102">
        <v>74.260000000000005</v>
      </c>
      <c r="O1102">
        <v>34477.129999999997</v>
      </c>
      <c r="P1102">
        <v>114.13</v>
      </c>
      <c r="Q1102">
        <v>204.14</v>
      </c>
      <c r="R1102">
        <v>27.78</v>
      </c>
      <c r="S1102">
        <v>17.37</v>
      </c>
      <c r="T1102">
        <v>3075.54</v>
      </c>
      <c r="U1102">
        <v>0.63</v>
      </c>
      <c r="V1102">
        <v>0.74</v>
      </c>
      <c r="W1102">
        <v>1.1499999999999999</v>
      </c>
      <c r="X1102">
        <v>0.19</v>
      </c>
      <c r="Y1102">
        <v>1</v>
      </c>
      <c r="Z1102">
        <v>10</v>
      </c>
    </row>
    <row r="1103" spans="1:26" x14ac:dyDescent="0.3">
      <c r="A1103">
        <v>31</v>
      </c>
      <c r="B1103">
        <v>135</v>
      </c>
      <c r="C1103" t="s">
        <v>26</v>
      </c>
      <c r="D1103">
        <v>9.7077000000000009</v>
      </c>
      <c r="E1103">
        <v>10.3</v>
      </c>
      <c r="F1103">
        <v>6.89</v>
      </c>
      <c r="G1103">
        <v>37.590000000000003</v>
      </c>
      <c r="H1103">
        <v>0.56000000000000005</v>
      </c>
      <c r="I1103">
        <v>11</v>
      </c>
      <c r="J1103">
        <v>278.13</v>
      </c>
      <c r="K1103">
        <v>59.89</v>
      </c>
      <c r="L1103">
        <v>8.75</v>
      </c>
      <c r="M1103">
        <v>9</v>
      </c>
      <c r="N1103">
        <v>74.5</v>
      </c>
      <c r="O1103">
        <v>34537.410000000003</v>
      </c>
      <c r="P1103">
        <v>114.31</v>
      </c>
      <c r="Q1103">
        <v>204.14</v>
      </c>
      <c r="R1103">
        <v>28.17</v>
      </c>
      <c r="S1103">
        <v>17.37</v>
      </c>
      <c r="T1103">
        <v>3270.17</v>
      </c>
      <c r="U1103">
        <v>0.62</v>
      </c>
      <c r="V1103">
        <v>0.74</v>
      </c>
      <c r="W1103">
        <v>1.1499999999999999</v>
      </c>
      <c r="X1103">
        <v>0.2</v>
      </c>
      <c r="Y1103">
        <v>1</v>
      </c>
      <c r="Z1103">
        <v>10</v>
      </c>
    </row>
    <row r="1104" spans="1:26" x14ac:dyDescent="0.3">
      <c r="A1104">
        <v>32</v>
      </c>
      <c r="B1104">
        <v>135</v>
      </c>
      <c r="C1104" t="s">
        <v>26</v>
      </c>
      <c r="D1104">
        <v>9.7105999999999995</v>
      </c>
      <c r="E1104">
        <v>10.3</v>
      </c>
      <c r="F1104">
        <v>6.89</v>
      </c>
      <c r="G1104">
        <v>37.58</v>
      </c>
      <c r="H1104">
        <v>0.57999999999999996</v>
      </c>
      <c r="I1104">
        <v>11</v>
      </c>
      <c r="J1104">
        <v>278.62</v>
      </c>
      <c r="K1104">
        <v>59.89</v>
      </c>
      <c r="L1104">
        <v>9</v>
      </c>
      <c r="M1104">
        <v>9</v>
      </c>
      <c r="N1104">
        <v>74.739999999999995</v>
      </c>
      <c r="O1104">
        <v>34597.800000000003</v>
      </c>
      <c r="P1104">
        <v>114.03</v>
      </c>
      <c r="Q1104">
        <v>204.14</v>
      </c>
      <c r="R1104">
        <v>27.87</v>
      </c>
      <c r="S1104">
        <v>17.37</v>
      </c>
      <c r="T1104">
        <v>3120.39</v>
      </c>
      <c r="U1104">
        <v>0.62</v>
      </c>
      <c r="V1104">
        <v>0.74</v>
      </c>
      <c r="W1104">
        <v>1.1599999999999999</v>
      </c>
      <c r="X1104">
        <v>0.2</v>
      </c>
      <c r="Y1104">
        <v>1</v>
      </c>
      <c r="Z1104">
        <v>10</v>
      </c>
    </row>
    <row r="1105" spans="1:26" x14ac:dyDescent="0.3">
      <c r="A1105">
        <v>33</v>
      </c>
      <c r="B1105">
        <v>135</v>
      </c>
      <c r="C1105" t="s">
        <v>26</v>
      </c>
      <c r="D1105">
        <v>9.7810000000000006</v>
      </c>
      <c r="E1105">
        <v>10.220000000000001</v>
      </c>
      <c r="F1105">
        <v>6.87</v>
      </c>
      <c r="G1105">
        <v>41.19</v>
      </c>
      <c r="H1105">
        <v>0.59</v>
      </c>
      <c r="I1105">
        <v>10</v>
      </c>
      <c r="J1105">
        <v>279.11</v>
      </c>
      <c r="K1105">
        <v>59.89</v>
      </c>
      <c r="L1105">
        <v>9.25</v>
      </c>
      <c r="M1105">
        <v>8</v>
      </c>
      <c r="N1105">
        <v>74.98</v>
      </c>
      <c r="O1105">
        <v>34658.269999999997</v>
      </c>
      <c r="P1105">
        <v>113.55</v>
      </c>
      <c r="Q1105">
        <v>204.14</v>
      </c>
      <c r="R1105">
        <v>27.22</v>
      </c>
      <c r="S1105">
        <v>17.37</v>
      </c>
      <c r="T1105">
        <v>2801.45</v>
      </c>
      <c r="U1105">
        <v>0.64</v>
      </c>
      <c r="V1105">
        <v>0.74</v>
      </c>
      <c r="W1105">
        <v>1.1499999999999999</v>
      </c>
      <c r="X1105">
        <v>0.17</v>
      </c>
      <c r="Y1105">
        <v>1</v>
      </c>
      <c r="Z1105">
        <v>10</v>
      </c>
    </row>
    <row r="1106" spans="1:26" x14ac:dyDescent="0.3">
      <c r="A1106">
        <v>34</v>
      </c>
      <c r="B1106">
        <v>135</v>
      </c>
      <c r="C1106" t="s">
        <v>26</v>
      </c>
      <c r="D1106">
        <v>9.7810000000000006</v>
      </c>
      <c r="E1106">
        <v>10.220000000000001</v>
      </c>
      <c r="F1106">
        <v>6.87</v>
      </c>
      <c r="G1106">
        <v>41.19</v>
      </c>
      <c r="H1106">
        <v>0.6</v>
      </c>
      <c r="I1106">
        <v>10</v>
      </c>
      <c r="J1106">
        <v>279.61</v>
      </c>
      <c r="K1106">
        <v>59.89</v>
      </c>
      <c r="L1106">
        <v>9.5</v>
      </c>
      <c r="M1106">
        <v>8</v>
      </c>
      <c r="N1106">
        <v>75.22</v>
      </c>
      <c r="O1106">
        <v>34718.839999999997</v>
      </c>
      <c r="P1106">
        <v>113.52</v>
      </c>
      <c r="Q1106">
        <v>204.15</v>
      </c>
      <c r="R1106">
        <v>27.36</v>
      </c>
      <c r="S1106">
        <v>17.37</v>
      </c>
      <c r="T1106">
        <v>2873.03</v>
      </c>
      <c r="U1106">
        <v>0.63</v>
      </c>
      <c r="V1106">
        <v>0.74</v>
      </c>
      <c r="W1106">
        <v>1.1499999999999999</v>
      </c>
      <c r="X1106">
        <v>0.17</v>
      </c>
      <c r="Y1106">
        <v>1</v>
      </c>
      <c r="Z1106">
        <v>10</v>
      </c>
    </row>
    <row r="1107" spans="1:26" x14ac:dyDescent="0.3">
      <c r="A1107">
        <v>35</v>
      </c>
      <c r="B1107">
        <v>135</v>
      </c>
      <c r="C1107" t="s">
        <v>26</v>
      </c>
      <c r="D1107">
        <v>9.7842000000000002</v>
      </c>
      <c r="E1107">
        <v>10.220000000000001</v>
      </c>
      <c r="F1107">
        <v>6.86</v>
      </c>
      <c r="G1107">
        <v>41.17</v>
      </c>
      <c r="H1107">
        <v>0.62</v>
      </c>
      <c r="I1107">
        <v>10</v>
      </c>
      <c r="J1107">
        <v>280.10000000000002</v>
      </c>
      <c r="K1107">
        <v>59.89</v>
      </c>
      <c r="L1107">
        <v>9.75</v>
      </c>
      <c r="M1107">
        <v>8</v>
      </c>
      <c r="N1107">
        <v>75.459999999999994</v>
      </c>
      <c r="O1107">
        <v>34779.51</v>
      </c>
      <c r="P1107">
        <v>113.6</v>
      </c>
      <c r="Q1107">
        <v>204.14</v>
      </c>
      <c r="R1107">
        <v>27.06</v>
      </c>
      <c r="S1107">
        <v>17.37</v>
      </c>
      <c r="T1107">
        <v>2723.33</v>
      </c>
      <c r="U1107">
        <v>0.64</v>
      </c>
      <c r="V1107">
        <v>0.74</v>
      </c>
      <c r="W1107">
        <v>1.1499999999999999</v>
      </c>
      <c r="X1107">
        <v>0.17</v>
      </c>
      <c r="Y1107">
        <v>1</v>
      </c>
      <c r="Z1107">
        <v>10</v>
      </c>
    </row>
    <row r="1108" spans="1:26" x14ac:dyDescent="0.3">
      <c r="A1108">
        <v>36</v>
      </c>
      <c r="B1108">
        <v>135</v>
      </c>
      <c r="C1108" t="s">
        <v>26</v>
      </c>
      <c r="D1108">
        <v>9.7720000000000002</v>
      </c>
      <c r="E1108">
        <v>10.23</v>
      </c>
      <c r="F1108">
        <v>6.87</v>
      </c>
      <c r="G1108">
        <v>41.25</v>
      </c>
      <c r="H1108">
        <v>0.63</v>
      </c>
      <c r="I1108">
        <v>10</v>
      </c>
      <c r="J1108">
        <v>280.58999999999997</v>
      </c>
      <c r="K1108">
        <v>59.89</v>
      </c>
      <c r="L1108">
        <v>10</v>
      </c>
      <c r="M1108">
        <v>8</v>
      </c>
      <c r="N1108">
        <v>75.7</v>
      </c>
      <c r="O1108">
        <v>34840.269999999997</v>
      </c>
      <c r="P1108">
        <v>113.59</v>
      </c>
      <c r="Q1108">
        <v>204.14</v>
      </c>
      <c r="R1108">
        <v>27.52</v>
      </c>
      <c r="S1108">
        <v>17.37</v>
      </c>
      <c r="T1108">
        <v>2950.19</v>
      </c>
      <c r="U1108">
        <v>0.63</v>
      </c>
      <c r="V1108">
        <v>0.74</v>
      </c>
      <c r="W1108">
        <v>1.1499999999999999</v>
      </c>
      <c r="X1108">
        <v>0.18</v>
      </c>
      <c r="Y1108">
        <v>1</v>
      </c>
      <c r="Z1108">
        <v>10</v>
      </c>
    </row>
    <row r="1109" spans="1:26" x14ac:dyDescent="0.3">
      <c r="A1109">
        <v>37</v>
      </c>
      <c r="B1109">
        <v>135</v>
      </c>
      <c r="C1109" t="s">
        <v>26</v>
      </c>
      <c r="D1109">
        <v>9.8449000000000009</v>
      </c>
      <c r="E1109">
        <v>10.16</v>
      </c>
      <c r="F1109">
        <v>6.85</v>
      </c>
      <c r="G1109">
        <v>45.66</v>
      </c>
      <c r="H1109">
        <v>0.65</v>
      </c>
      <c r="I1109">
        <v>9</v>
      </c>
      <c r="J1109">
        <v>281.08</v>
      </c>
      <c r="K1109">
        <v>59.89</v>
      </c>
      <c r="L1109">
        <v>10.25</v>
      </c>
      <c r="M1109">
        <v>7</v>
      </c>
      <c r="N1109">
        <v>75.95</v>
      </c>
      <c r="O1109">
        <v>34901.129999999997</v>
      </c>
      <c r="P1109">
        <v>113.1</v>
      </c>
      <c r="Q1109">
        <v>204.14</v>
      </c>
      <c r="R1109">
        <v>26.75</v>
      </c>
      <c r="S1109">
        <v>17.37</v>
      </c>
      <c r="T1109">
        <v>2573.96</v>
      </c>
      <c r="U1109">
        <v>0.65</v>
      </c>
      <c r="V1109">
        <v>0.75</v>
      </c>
      <c r="W1109">
        <v>1.1499999999999999</v>
      </c>
      <c r="X1109">
        <v>0.16</v>
      </c>
      <c r="Y1109">
        <v>1</v>
      </c>
      <c r="Z1109">
        <v>10</v>
      </c>
    </row>
    <row r="1110" spans="1:26" x14ac:dyDescent="0.3">
      <c r="A1110">
        <v>38</v>
      </c>
      <c r="B1110">
        <v>135</v>
      </c>
      <c r="C1110" t="s">
        <v>26</v>
      </c>
      <c r="D1110">
        <v>9.8333999999999993</v>
      </c>
      <c r="E1110">
        <v>10.17</v>
      </c>
      <c r="F1110">
        <v>6.86</v>
      </c>
      <c r="G1110">
        <v>45.74</v>
      </c>
      <c r="H1110">
        <v>0.66</v>
      </c>
      <c r="I1110">
        <v>9</v>
      </c>
      <c r="J1110">
        <v>281.58</v>
      </c>
      <c r="K1110">
        <v>59.89</v>
      </c>
      <c r="L1110">
        <v>10.5</v>
      </c>
      <c r="M1110">
        <v>7</v>
      </c>
      <c r="N1110">
        <v>76.19</v>
      </c>
      <c r="O1110">
        <v>34962.080000000002</v>
      </c>
      <c r="P1110">
        <v>113.52</v>
      </c>
      <c r="Q1110">
        <v>204.16</v>
      </c>
      <c r="R1110">
        <v>27.19</v>
      </c>
      <c r="S1110">
        <v>17.37</v>
      </c>
      <c r="T1110">
        <v>2793.27</v>
      </c>
      <c r="U1110">
        <v>0.64</v>
      </c>
      <c r="V1110">
        <v>0.74</v>
      </c>
      <c r="W1110">
        <v>1.1499999999999999</v>
      </c>
      <c r="X1110">
        <v>0.17</v>
      </c>
      <c r="Y1110">
        <v>1</v>
      </c>
      <c r="Z1110">
        <v>10</v>
      </c>
    </row>
    <row r="1111" spans="1:26" x14ac:dyDescent="0.3">
      <c r="A1111">
        <v>39</v>
      </c>
      <c r="B1111">
        <v>135</v>
      </c>
      <c r="C1111" t="s">
        <v>26</v>
      </c>
      <c r="D1111">
        <v>9.8412000000000006</v>
      </c>
      <c r="E1111">
        <v>10.16</v>
      </c>
      <c r="F1111">
        <v>6.85</v>
      </c>
      <c r="G1111">
        <v>45.69</v>
      </c>
      <c r="H1111">
        <v>0.68</v>
      </c>
      <c r="I1111">
        <v>9</v>
      </c>
      <c r="J1111">
        <v>282.07</v>
      </c>
      <c r="K1111">
        <v>59.89</v>
      </c>
      <c r="L1111">
        <v>10.75</v>
      </c>
      <c r="M1111">
        <v>7</v>
      </c>
      <c r="N1111">
        <v>76.44</v>
      </c>
      <c r="O1111">
        <v>35023.129999999997</v>
      </c>
      <c r="P1111">
        <v>113.38</v>
      </c>
      <c r="Q1111">
        <v>204.14</v>
      </c>
      <c r="R1111">
        <v>26.94</v>
      </c>
      <c r="S1111">
        <v>17.37</v>
      </c>
      <c r="T1111">
        <v>2668.61</v>
      </c>
      <c r="U1111">
        <v>0.64</v>
      </c>
      <c r="V1111">
        <v>0.75</v>
      </c>
      <c r="W1111">
        <v>1.1499999999999999</v>
      </c>
      <c r="X1111">
        <v>0.16</v>
      </c>
      <c r="Y1111">
        <v>1</v>
      </c>
      <c r="Z1111">
        <v>10</v>
      </c>
    </row>
    <row r="1112" spans="1:26" x14ac:dyDescent="0.3">
      <c r="A1112">
        <v>40</v>
      </c>
      <c r="B1112">
        <v>135</v>
      </c>
      <c r="C1112" t="s">
        <v>26</v>
      </c>
      <c r="D1112">
        <v>9.8374000000000006</v>
      </c>
      <c r="E1112">
        <v>10.17</v>
      </c>
      <c r="F1112">
        <v>6.86</v>
      </c>
      <c r="G1112">
        <v>45.71</v>
      </c>
      <c r="H1112">
        <v>0.69</v>
      </c>
      <c r="I1112">
        <v>9</v>
      </c>
      <c r="J1112">
        <v>282.57</v>
      </c>
      <c r="K1112">
        <v>59.89</v>
      </c>
      <c r="L1112">
        <v>11</v>
      </c>
      <c r="M1112">
        <v>7</v>
      </c>
      <c r="N1112">
        <v>76.680000000000007</v>
      </c>
      <c r="O1112">
        <v>35084.28</v>
      </c>
      <c r="P1112">
        <v>113.23</v>
      </c>
      <c r="Q1112">
        <v>204.14</v>
      </c>
      <c r="R1112">
        <v>27.02</v>
      </c>
      <c r="S1112">
        <v>17.37</v>
      </c>
      <c r="T1112">
        <v>2707.01</v>
      </c>
      <c r="U1112">
        <v>0.64</v>
      </c>
      <c r="V1112">
        <v>0.74</v>
      </c>
      <c r="W1112">
        <v>1.1499999999999999</v>
      </c>
      <c r="X1112">
        <v>0.17</v>
      </c>
      <c r="Y1112">
        <v>1</v>
      </c>
      <c r="Z1112">
        <v>10</v>
      </c>
    </row>
    <row r="1113" spans="1:26" x14ac:dyDescent="0.3">
      <c r="A1113">
        <v>41</v>
      </c>
      <c r="B1113">
        <v>135</v>
      </c>
      <c r="C1113" t="s">
        <v>26</v>
      </c>
      <c r="D1113">
        <v>9.8370999999999995</v>
      </c>
      <c r="E1113">
        <v>10.17</v>
      </c>
      <c r="F1113">
        <v>6.86</v>
      </c>
      <c r="G1113">
        <v>45.72</v>
      </c>
      <c r="H1113">
        <v>0.71</v>
      </c>
      <c r="I1113">
        <v>9</v>
      </c>
      <c r="J1113">
        <v>283.06</v>
      </c>
      <c r="K1113">
        <v>59.89</v>
      </c>
      <c r="L1113">
        <v>11.25</v>
      </c>
      <c r="M1113">
        <v>7</v>
      </c>
      <c r="N1113">
        <v>76.930000000000007</v>
      </c>
      <c r="O1113">
        <v>35145.53</v>
      </c>
      <c r="P1113">
        <v>113.13</v>
      </c>
      <c r="Q1113">
        <v>204.14</v>
      </c>
      <c r="R1113">
        <v>26.99</v>
      </c>
      <c r="S1113">
        <v>17.37</v>
      </c>
      <c r="T1113">
        <v>2693.45</v>
      </c>
      <c r="U1113">
        <v>0.64</v>
      </c>
      <c r="V1113">
        <v>0.74</v>
      </c>
      <c r="W1113">
        <v>1.1499999999999999</v>
      </c>
      <c r="X1113">
        <v>0.17</v>
      </c>
      <c r="Y1113">
        <v>1</v>
      </c>
      <c r="Z1113">
        <v>10</v>
      </c>
    </row>
    <row r="1114" spans="1:26" x14ac:dyDescent="0.3">
      <c r="A1114">
        <v>42</v>
      </c>
      <c r="B1114">
        <v>135</v>
      </c>
      <c r="C1114" t="s">
        <v>26</v>
      </c>
      <c r="D1114">
        <v>9.9116</v>
      </c>
      <c r="E1114">
        <v>10.09</v>
      </c>
      <c r="F1114">
        <v>6.83</v>
      </c>
      <c r="G1114">
        <v>51.24</v>
      </c>
      <c r="H1114">
        <v>0.72</v>
      </c>
      <c r="I1114">
        <v>8</v>
      </c>
      <c r="J1114">
        <v>283.56</v>
      </c>
      <c r="K1114">
        <v>59.89</v>
      </c>
      <c r="L1114">
        <v>11.5</v>
      </c>
      <c r="M1114">
        <v>6</v>
      </c>
      <c r="N1114">
        <v>77.180000000000007</v>
      </c>
      <c r="O1114">
        <v>35206.879999999997</v>
      </c>
      <c r="P1114">
        <v>112.4</v>
      </c>
      <c r="Q1114">
        <v>204.15</v>
      </c>
      <c r="R1114">
        <v>26.29</v>
      </c>
      <c r="S1114">
        <v>17.37</v>
      </c>
      <c r="T1114">
        <v>2346.58</v>
      </c>
      <c r="U1114">
        <v>0.66</v>
      </c>
      <c r="V1114">
        <v>0.75</v>
      </c>
      <c r="W1114">
        <v>1.1499999999999999</v>
      </c>
      <c r="X1114">
        <v>0.14000000000000001</v>
      </c>
      <c r="Y1114">
        <v>1</v>
      </c>
      <c r="Z1114">
        <v>10</v>
      </c>
    </row>
    <row r="1115" spans="1:26" x14ac:dyDescent="0.3">
      <c r="A1115">
        <v>43</v>
      </c>
      <c r="B1115">
        <v>135</v>
      </c>
      <c r="C1115" t="s">
        <v>26</v>
      </c>
      <c r="D1115">
        <v>9.9220000000000006</v>
      </c>
      <c r="E1115">
        <v>10.08</v>
      </c>
      <c r="F1115">
        <v>6.82</v>
      </c>
      <c r="G1115">
        <v>51.16</v>
      </c>
      <c r="H1115">
        <v>0.74</v>
      </c>
      <c r="I1115">
        <v>8</v>
      </c>
      <c r="J1115">
        <v>284.06</v>
      </c>
      <c r="K1115">
        <v>59.89</v>
      </c>
      <c r="L1115">
        <v>11.75</v>
      </c>
      <c r="M1115">
        <v>6</v>
      </c>
      <c r="N1115">
        <v>77.42</v>
      </c>
      <c r="O1115">
        <v>35268.32</v>
      </c>
      <c r="P1115">
        <v>112.34</v>
      </c>
      <c r="Q1115">
        <v>204.14</v>
      </c>
      <c r="R1115">
        <v>25.87</v>
      </c>
      <c r="S1115">
        <v>17.37</v>
      </c>
      <c r="T1115">
        <v>2138.06</v>
      </c>
      <c r="U1115">
        <v>0.67</v>
      </c>
      <c r="V1115">
        <v>0.75</v>
      </c>
      <c r="W1115">
        <v>1.1499999999999999</v>
      </c>
      <c r="X1115">
        <v>0.13</v>
      </c>
      <c r="Y1115">
        <v>1</v>
      </c>
      <c r="Z1115">
        <v>10</v>
      </c>
    </row>
    <row r="1116" spans="1:26" x14ac:dyDescent="0.3">
      <c r="A1116">
        <v>44</v>
      </c>
      <c r="B1116">
        <v>135</v>
      </c>
      <c r="C1116" t="s">
        <v>26</v>
      </c>
      <c r="D1116">
        <v>9.9271999999999991</v>
      </c>
      <c r="E1116">
        <v>10.07</v>
      </c>
      <c r="F1116">
        <v>6.82</v>
      </c>
      <c r="G1116">
        <v>51.12</v>
      </c>
      <c r="H1116">
        <v>0.75</v>
      </c>
      <c r="I1116">
        <v>8</v>
      </c>
      <c r="J1116">
        <v>284.56</v>
      </c>
      <c r="K1116">
        <v>59.89</v>
      </c>
      <c r="L1116">
        <v>12</v>
      </c>
      <c r="M1116">
        <v>6</v>
      </c>
      <c r="N1116">
        <v>77.67</v>
      </c>
      <c r="O1116">
        <v>35329.870000000003</v>
      </c>
      <c r="P1116">
        <v>112.05</v>
      </c>
      <c r="Q1116">
        <v>204.14</v>
      </c>
      <c r="R1116">
        <v>25.84</v>
      </c>
      <c r="S1116">
        <v>17.37</v>
      </c>
      <c r="T1116">
        <v>2121.88</v>
      </c>
      <c r="U1116">
        <v>0.67</v>
      </c>
      <c r="V1116">
        <v>0.75</v>
      </c>
      <c r="W1116">
        <v>1.1399999999999999</v>
      </c>
      <c r="X1116">
        <v>0.12</v>
      </c>
      <c r="Y1116">
        <v>1</v>
      </c>
      <c r="Z1116">
        <v>10</v>
      </c>
    </row>
    <row r="1117" spans="1:26" x14ac:dyDescent="0.3">
      <c r="A1117">
        <v>45</v>
      </c>
      <c r="B1117">
        <v>135</v>
      </c>
      <c r="C1117" t="s">
        <v>26</v>
      </c>
      <c r="D1117">
        <v>9.9186999999999994</v>
      </c>
      <c r="E1117">
        <v>10.08</v>
      </c>
      <c r="F1117">
        <v>6.82</v>
      </c>
      <c r="G1117">
        <v>51.18</v>
      </c>
      <c r="H1117">
        <v>0.77</v>
      </c>
      <c r="I1117">
        <v>8</v>
      </c>
      <c r="J1117">
        <v>285.06</v>
      </c>
      <c r="K1117">
        <v>59.89</v>
      </c>
      <c r="L1117">
        <v>12.25</v>
      </c>
      <c r="M1117">
        <v>6</v>
      </c>
      <c r="N1117">
        <v>77.92</v>
      </c>
      <c r="O1117">
        <v>35391.51</v>
      </c>
      <c r="P1117">
        <v>112.19</v>
      </c>
      <c r="Q1117">
        <v>204.14</v>
      </c>
      <c r="R1117">
        <v>25.99</v>
      </c>
      <c r="S1117">
        <v>17.37</v>
      </c>
      <c r="T1117">
        <v>2197.56</v>
      </c>
      <c r="U1117">
        <v>0.67</v>
      </c>
      <c r="V1117">
        <v>0.75</v>
      </c>
      <c r="W1117">
        <v>1.1499999999999999</v>
      </c>
      <c r="X1117">
        <v>0.13</v>
      </c>
      <c r="Y1117">
        <v>1</v>
      </c>
      <c r="Z1117">
        <v>10</v>
      </c>
    </row>
    <row r="1118" spans="1:26" x14ac:dyDescent="0.3">
      <c r="A1118">
        <v>46</v>
      </c>
      <c r="B1118">
        <v>135</v>
      </c>
      <c r="C1118" t="s">
        <v>26</v>
      </c>
      <c r="D1118">
        <v>9.9168000000000003</v>
      </c>
      <c r="E1118">
        <v>10.08</v>
      </c>
      <c r="F1118">
        <v>6.83</v>
      </c>
      <c r="G1118">
        <v>51.2</v>
      </c>
      <c r="H1118">
        <v>0.78</v>
      </c>
      <c r="I1118">
        <v>8</v>
      </c>
      <c r="J1118">
        <v>285.56</v>
      </c>
      <c r="K1118">
        <v>59.89</v>
      </c>
      <c r="L1118">
        <v>12.5</v>
      </c>
      <c r="M1118">
        <v>6</v>
      </c>
      <c r="N1118">
        <v>78.17</v>
      </c>
      <c r="O1118">
        <v>35453.26</v>
      </c>
      <c r="P1118">
        <v>112.03</v>
      </c>
      <c r="Q1118">
        <v>204.15</v>
      </c>
      <c r="R1118">
        <v>26.16</v>
      </c>
      <c r="S1118">
        <v>17.37</v>
      </c>
      <c r="T1118">
        <v>2281.91</v>
      </c>
      <c r="U1118">
        <v>0.66</v>
      </c>
      <c r="V1118">
        <v>0.75</v>
      </c>
      <c r="W1118">
        <v>1.1499999999999999</v>
      </c>
      <c r="X1118">
        <v>0.14000000000000001</v>
      </c>
      <c r="Y1118">
        <v>1</v>
      </c>
      <c r="Z1118">
        <v>10</v>
      </c>
    </row>
    <row r="1119" spans="1:26" x14ac:dyDescent="0.3">
      <c r="A1119">
        <v>47</v>
      </c>
      <c r="B1119">
        <v>135</v>
      </c>
      <c r="C1119" t="s">
        <v>26</v>
      </c>
      <c r="D1119">
        <v>9.9154</v>
      </c>
      <c r="E1119">
        <v>10.09</v>
      </c>
      <c r="F1119">
        <v>6.83</v>
      </c>
      <c r="G1119">
        <v>51.21</v>
      </c>
      <c r="H1119">
        <v>0.79</v>
      </c>
      <c r="I1119">
        <v>8</v>
      </c>
      <c r="J1119">
        <v>286.06</v>
      </c>
      <c r="K1119">
        <v>59.89</v>
      </c>
      <c r="L1119">
        <v>12.75</v>
      </c>
      <c r="M1119">
        <v>6</v>
      </c>
      <c r="N1119">
        <v>78.42</v>
      </c>
      <c r="O1119">
        <v>35515.1</v>
      </c>
      <c r="P1119">
        <v>112.15</v>
      </c>
      <c r="Q1119">
        <v>204.19</v>
      </c>
      <c r="R1119">
        <v>26.09</v>
      </c>
      <c r="S1119">
        <v>17.37</v>
      </c>
      <c r="T1119">
        <v>2248.48</v>
      </c>
      <c r="U1119">
        <v>0.67</v>
      </c>
      <c r="V1119">
        <v>0.75</v>
      </c>
      <c r="W1119">
        <v>1.1499999999999999</v>
      </c>
      <c r="X1119">
        <v>0.14000000000000001</v>
      </c>
      <c r="Y1119">
        <v>1</v>
      </c>
      <c r="Z1119">
        <v>10</v>
      </c>
    </row>
    <row r="1120" spans="1:26" x14ac:dyDescent="0.3">
      <c r="A1120">
        <v>48</v>
      </c>
      <c r="B1120">
        <v>135</v>
      </c>
      <c r="C1120" t="s">
        <v>26</v>
      </c>
      <c r="D1120">
        <v>9.9138000000000002</v>
      </c>
      <c r="E1120">
        <v>10.09</v>
      </c>
      <c r="F1120">
        <v>6.83</v>
      </c>
      <c r="G1120">
        <v>51.22</v>
      </c>
      <c r="H1120">
        <v>0.81</v>
      </c>
      <c r="I1120">
        <v>8</v>
      </c>
      <c r="J1120">
        <v>286.56</v>
      </c>
      <c r="K1120">
        <v>59.89</v>
      </c>
      <c r="L1120">
        <v>13</v>
      </c>
      <c r="M1120">
        <v>6</v>
      </c>
      <c r="N1120">
        <v>78.680000000000007</v>
      </c>
      <c r="O1120">
        <v>35577.18</v>
      </c>
      <c r="P1120">
        <v>111.95</v>
      </c>
      <c r="Q1120">
        <v>204.15</v>
      </c>
      <c r="R1120">
        <v>26.14</v>
      </c>
      <c r="S1120">
        <v>17.37</v>
      </c>
      <c r="T1120">
        <v>2274.75</v>
      </c>
      <c r="U1120">
        <v>0.66</v>
      </c>
      <c r="V1120">
        <v>0.75</v>
      </c>
      <c r="W1120">
        <v>1.1499999999999999</v>
      </c>
      <c r="X1120">
        <v>0.14000000000000001</v>
      </c>
      <c r="Y1120">
        <v>1</v>
      </c>
      <c r="Z1120">
        <v>10</v>
      </c>
    </row>
    <row r="1121" spans="1:26" x14ac:dyDescent="0.3">
      <c r="A1121">
        <v>49</v>
      </c>
      <c r="B1121">
        <v>135</v>
      </c>
      <c r="C1121" t="s">
        <v>26</v>
      </c>
      <c r="D1121">
        <v>9.9164999999999992</v>
      </c>
      <c r="E1121">
        <v>10.08</v>
      </c>
      <c r="F1121">
        <v>6.83</v>
      </c>
      <c r="G1121">
        <v>51.2</v>
      </c>
      <c r="H1121">
        <v>0.82</v>
      </c>
      <c r="I1121">
        <v>8</v>
      </c>
      <c r="J1121">
        <v>287.07</v>
      </c>
      <c r="K1121">
        <v>59.89</v>
      </c>
      <c r="L1121">
        <v>13.25</v>
      </c>
      <c r="M1121">
        <v>6</v>
      </c>
      <c r="N1121">
        <v>78.930000000000007</v>
      </c>
      <c r="O1121">
        <v>35639.230000000003</v>
      </c>
      <c r="P1121">
        <v>111.66</v>
      </c>
      <c r="Q1121">
        <v>204.15</v>
      </c>
      <c r="R1121">
        <v>26.03</v>
      </c>
      <c r="S1121">
        <v>17.37</v>
      </c>
      <c r="T1121">
        <v>2218.7600000000002</v>
      </c>
      <c r="U1121">
        <v>0.67</v>
      </c>
      <c r="V1121">
        <v>0.75</v>
      </c>
      <c r="W1121">
        <v>1.1499999999999999</v>
      </c>
      <c r="X1121">
        <v>0.13</v>
      </c>
      <c r="Y1121">
        <v>1</v>
      </c>
      <c r="Z1121">
        <v>10</v>
      </c>
    </row>
    <row r="1122" spans="1:26" x14ac:dyDescent="0.3">
      <c r="A1122">
        <v>50</v>
      </c>
      <c r="B1122">
        <v>135</v>
      </c>
      <c r="C1122" t="s">
        <v>26</v>
      </c>
      <c r="D1122">
        <v>9.9892000000000003</v>
      </c>
      <c r="E1122">
        <v>10.01</v>
      </c>
      <c r="F1122">
        <v>6.8</v>
      </c>
      <c r="G1122">
        <v>58.32</v>
      </c>
      <c r="H1122">
        <v>0.84</v>
      </c>
      <c r="I1122">
        <v>7</v>
      </c>
      <c r="J1122">
        <v>287.57</v>
      </c>
      <c r="K1122">
        <v>59.89</v>
      </c>
      <c r="L1122">
        <v>13.5</v>
      </c>
      <c r="M1122">
        <v>5</v>
      </c>
      <c r="N1122">
        <v>79.180000000000007</v>
      </c>
      <c r="O1122">
        <v>35701.379999999997</v>
      </c>
      <c r="P1122">
        <v>111.43</v>
      </c>
      <c r="Q1122">
        <v>204.16</v>
      </c>
      <c r="R1122">
        <v>25.31</v>
      </c>
      <c r="S1122">
        <v>17.37</v>
      </c>
      <c r="T1122">
        <v>1864.39</v>
      </c>
      <c r="U1122">
        <v>0.69</v>
      </c>
      <c r="V1122">
        <v>0.75</v>
      </c>
      <c r="W1122">
        <v>1.1499999999999999</v>
      </c>
      <c r="X1122">
        <v>0.11</v>
      </c>
      <c r="Y1122">
        <v>1</v>
      </c>
      <c r="Z1122">
        <v>10</v>
      </c>
    </row>
    <row r="1123" spans="1:26" x14ac:dyDescent="0.3">
      <c r="A1123">
        <v>51</v>
      </c>
      <c r="B1123">
        <v>135</v>
      </c>
      <c r="C1123" t="s">
        <v>26</v>
      </c>
      <c r="D1123">
        <v>9.9810999999999996</v>
      </c>
      <c r="E1123">
        <v>10.02</v>
      </c>
      <c r="F1123">
        <v>6.81</v>
      </c>
      <c r="G1123">
        <v>58.39</v>
      </c>
      <c r="H1123">
        <v>0.85</v>
      </c>
      <c r="I1123">
        <v>7</v>
      </c>
      <c r="J1123">
        <v>288.08</v>
      </c>
      <c r="K1123">
        <v>59.89</v>
      </c>
      <c r="L1123">
        <v>13.75</v>
      </c>
      <c r="M1123">
        <v>5</v>
      </c>
      <c r="N1123">
        <v>79.44</v>
      </c>
      <c r="O1123">
        <v>35763.64</v>
      </c>
      <c r="P1123">
        <v>111.65</v>
      </c>
      <c r="Q1123">
        <v>204.15</v>
      </c>
      <c r="R1123">
        <v>25.55</v>
      </c>
      <c r="S1123">
        <v>17.37</v>
      </c>
      <c r="T1123">
        <v>1982.75</v>
      </c>
      <c r="U1123">
        <v>0.68</v>
      </c>
      <c r="V1123">
        <v>0.75</v>
      </c>
      <c r="W1123">
        <v>1.1499999999999999</v>
      </c>
      <c r="X1123">
        <v>0.12</v>
      </c>
      <c r="Y1123">
        <v>1</v>
      </c>
      <c r="Z1123">
        <v>10</v>
      </c>
    </row>
    <row r="1124" spans="1:26" x14ac:dyDescent="0.3">
      <c r="A1124">
        <v>52</v>
      </c>
      <c r="B1124">
        <v>135</v>
      </c>
      <c r="C1124" t="s">
        <v>26</v>
      </c>
      <c r="D1124">
        <v>9.9920000000000009</v>
      </c>
      <c r="E1124">
        <v>10.01</v>
      </c>
      <c r="F1124">
        <v>6.8</v>
      </c>
      <c r="G1124">
        <v>58.3</v>
      </c>
      <c r="H1124">
        <v>0.86</v>
      </c>
      <c r="I1124">
        <v>7</v>
      </c>
      <c r="J1124">
        <v>288.58</v>
      </c>
      <c r="K1124">
        <v>59.89</v>
      </c>
      <c r="L1124">
        <v>14</v>
      </c>
      <c r="M1124">
        <v>5</v>
      </c>
      <c r="N1124">
        <v>79.69</v>
      </c>
      <c r="O1124">
        <v>35826</v>
      </c>
      <c r="P1124">
        <v>111.67</v>
      </c>
      <c r="Q1124">
        <v>204.14</v>
      </c>
      <c r="R1124">
        <v>25.28</v>
      </c>
      <c r="S1124">
        <v>17.37</v>
      </c>
      <c r="T1124">
        <v>1846.38</v>
      </c>
      <c r="U1124">
        <v>0.69</v>
      </c>
      <c r="V1124">
        <v>0.75</v>
      </c>
      <c r="W1124">
        <v>1.1499999999999999</v>
      </c>
      <c r="X1124">
        <v>0.11</v>
      </c>
      <c r="Y1124">
        <v>1</v>
      </c>
      <c r="Z1124">
        <v>10</v>
      </c>
    </row>
    <row r="1125" spans="1:26" x14ac:dyDescent="0.3">
      <c r="A1125">
        <v>53</v>
      </c>
      <c r="B1125">
        <v>135</v>
      </c>
      <c r="C1125" t="s">
        <v>26</v>
      </c>
      <c r="D1125">
        <v>9.98</v>
      </c>
      <c r="E1125">
        <v>10.02</v>
      </c>
      <c r="F1125">
        <v>6.81</v>
      </c>
      <c r="G1125">
        <v>58.4</v>
      </c>
      <c r="H1125">
        <v>0.88</v>
      </c>
      <c r="I1125">
        <v>7</v>
      </c>
      <c r="J1125">
        <v>289.08999999999997</v>
      </c>
      <c r="K1125">
        <v>59.89</v>
      </c>
      <c r="L1125">
        <v>14.25</v>
      </c>
      <c r="M1125">
        <v>5</v>
      </c>
      <c r="N1125">
        <v>79.95</v>
      </c>
      <c r="O1125">
        <v>35888.47</v>
      </c>
      <c r="P1125">
        <v>111.77</v>
      </c>
      <c r="Q1125">
        <v>204.14</v>
      </c>
      <c r="R1125">
        <v>25.67</v>
      </c>
      <c r="S1125">
        <v>17.37</v>
      </c>
      <c r="T1125">
        <v>2042.38</v>
      </c>
      <c r="U1125">
        <v>0.68</v>
      </c>
      <c r="V1125">
        <v>0.75</v>
      </c>
      <c r="W1125">
        <v>1.1499999999999999</v>
      </c>
      <c r="X1125">
        <v>0.12</v>
      </c>
      <c r="Y1125">
        <v>1</v>
      </c>
      <c r="Z1125">
        <v>10</v>
      </c>
    </row>
    <row r="1126" spans="1:26" x14ac:dyDescent="0.3">
      <c r="A1126">
        <v>54</v>
      </c>
      <c r="B1126">
        <v>135</v>
      </c>
      <c r="C1126" t="s">
        <v>26</v>
      </c>
      <c r="D1126">
        <v>9.9849999999999994</v>
      </c>
      <c r="E1126">
        <v>10.02</v>
      </c>
      <c r="F1126">
        <v>6.81</v>
      </c>
      <c r="G1126">
        <v>58.35</v>
      </c>
      <c r="H1126">
        <v>0.89</v>
      </c>
      <c r="I1126">
        <v>7</v>
      </c>
      <c r="J1126">
        <v>289.60000000000002</v>
      </c>
      <c r="K1126">
        <v>59.89</v>
      </c>
      <c r="L1126">
        <v>14.5</v>
      </c>
      <c r="M1126">
        <v>5</v>
      </c>
      <c r="N1126">
        <v>80.209999999999994</v>
      </c>
      <c r="O1126">
        <v>35951.040000000001</v>
      </c>
      <c r="P1126">
        <v>111.7</v>
      </c>
      <c r="Q1126">
        <v>204.14</v>
      </c>
      <c r="R1126">
        <v>25.52</v>
      </c>
      <c r="S1126">
        <v>17.37</v>
      </c>
      <c r="T1126">
        <v>1965.85</v>
      </c>
      <c r="U1126">
        <v>0.68</v>
      </c>
      <c r="V1126">
        <v>0.75</v>
      </c>
      <c r="W1126">
        <v>1.1499999999999999</v>
      </c>
      <c r="X1126">
        <v>0.12</v>
      </c>
      <c r="Y1126">
        <v>1</v>
      </c>
      <c r="Z1126">
        <v>10</v>
      </c>
    </row>
    <row r="1127" spans="1:26" x14ac:dyDescent="0.3">
      <c r="A1127">
        <v>55</v>
      </c>
      <c r="B1127">
        <v>135</v>
      </c>
      <c r="C1127" t="s">
        <v>26</v>
      </c>
      <c r="D1127">
        <v>9.9809000000000001</v>
      </c>
      <c r="E1127">
        <v>10.02</v>
      </c>
      <c r="F1127">
        <v>6.81</v>
      </c>
      <c r="G1127">
        <v>58.39</v>
      </c>
      <c r="H1127">
        <v>0.91</v>
      </c>
      <c r="I1127">
        <v>7</v>
      </c>
      <c r="J1127">
        <v>290.10000000000002</v>
      </c>
      <c r="K1127">
        <v>59.89</v>
      </c>
      <c r="L1127">
        <v>14.75</v>
      </c>
      <c r="M1127">
        <v>5</v>
      </c>
      <c r="N1127">
        <v>80.47</v>
      </c>
      <c r="O1127">
        <v>36013.72</v>
      </c>
      <c r="P1127">
        <v>111.6</v>
      </c>
      <c r="Q1127">
        <v>204.14</v>
      </c>
      <c r="R1127">
        <v>25.66</v>
      </c>
      <c r="S1127">
        <v>17.37</v>
      </c>
      <c r="T1127">
        <v>2039.26</v>
      </c>
      <c r="U1127">
        <v>0.68</v>
      </c>
      <c r="V1127">
        <v>0.75</v>
      </c>
      <c r="W1127">
        <v>1.1499999999999999</v>
      </c>
      <c r="X1127">
        <v>0.12</v>
      </c>
      <c r="Y1127">
        <v>1</v>
      </c>
      <c r="Z1127">
        <v>10</v>
      </c>
    </row>
    <row r="1128" spans="1:26" x14ac:dyDescent="0.3">
      <c r="A1128">
        <v>56</v>
      </c>
      <c r="B1128">
        <v>135</v>
      </c>
      <c r="C1128" t="s">
        <v>26</v>
      </c>
      <c r="D1128">
        <v>9.9809000000000001</v>
      </c>
      <c r="E1128">
        <v>10.02</v>
      </c>
      <c r="F1128">
        <v>6.81</v>
      </c>
      <c r="G1128">
        <v>58.39</v>
      </c>
      <c r="H1128">
        <v>0.92</v>
      </c>
      <c r="I1128">
        <v>7</v>
      </c>
      <c r="J1128">
        <v>290.61</v>
      </c>
      <c r="K1128">
        <v>59.89</v>
      </c>
      <c r="L1128">
        <v>15</v>
      </c>
      <c r="M1128">
        <v>5</v>
      </c>
      <c r="N1128">
        <v>80.73</v>
      </c>
      <c r="O1128">
        <v>36076.5</v>
      </c>
      <c r="P1128">
        <v>111.46</v>
      </c>
      <c r="Q1128">
        <v>204.14</v>
      </c>
      <c r="R1128">
        <v>25.62</v>
      </c>
      <c r="S1128">
        <v>17.37</v>
      </c>
      <c r="T1128">
        <v>2016.57</v>
      </c>
      <c r="U1128">
        <v>0.68</v>
      </c>
      <c r="V1128">
        <v>0.75</v>
      </c>
      <c r="W1128">
        <v>1.1499999999999999</v>
      </c>
      <c r="X1128">
        <v>0.12</v>
      </c>
      <c r="Y1128">
        <v>1</v>
      </c>
      <c r="Z1128">
        <v>10</v>
      </c>
    </row>
    <row r="1129" spans="1:26" x14ac:dyDescent="0.3">
      <c r="A1129">
        <v>57</v>
      </c>
      <c r="B1129">
        <v>135</v>
      </c>
      <c r="C1129" t="s">
        <v>26</v>
      </c>
      <c r="D1129">
        <v>9.9810999999999996</v>
      </c>
      <c r="E1129">
        <v>10.02</v>
      </c>
      <c r="F1129">
        <v>6.81</v>
      </c>
      <c r="G1129">
        <v>58.39</v>
      </c>
      <c r="H1129">
        <v>0.93</v>
      </c>
      <c r="I1129">
        <v>7</v>
      </c>
      <c r="J1129">
        <v>291.12</v>
      </c>
      <c r="K1129">
        <v>59.89</v>
      </c>
      <c r="L1129">
        <v>15.25</v>
      </c>
      <c r="M1129">
        <v>5</v>
      </c>
      <c r="N1129">
        <v>80.989999999999995</v>
      </c>
      <c r="O1129">
        <v>36139.39</v>
      </c>
      <c r="P1129">
        <v>111.31</v>
      </c>
      <c r="Q1129">
        <v>204.14</v>
      </c>
      <c r="R1129">
        <v>25.74</v>
      </c>
      <c r="S1129">
        <v>17.37</v>
      </c>
      <c r="T1129">
        <v>2077.3000000000002</v>
      </c>
      <c r="U1129">
        <v>0.67</v>
      </c>
      <c r="V1129">
        <v>0.75</v>
      </c>
      <c r="W1129">
        <v>1.1399999999999999</v>
      </c>
      <c r="X1129">
        <v>0.12</v>
      </c>
      <c r="Y1129">
        <v>1</v>
      </c>
      <c r="Z1129">
        <v>10</v>
      </c>
    </row>
    <row r="1130" spans="1:26" x14ac:dyDescent="0.3">
      <c r="A1130">
        <v>58</v>
      </c>
      <c r="B1130">
        <v>135</v>
      </c>
      <c r="C1130" t="s">
        <v>26</v>
      </c>
      <c r="D1130">
        <v>9.9809000000000001</v>
      </c>
      <c r="E1130">
        <v>10.02</v>
      </c>
      <c r="F1130">
        <v>6.81</v>
      </c>
      <c r="G1130">
        <v>58.39</v>
      </c>
      <c r="H1130">
        <v>0.95</v>
      </c>
      <c r="I1130">
        <v>7</v>
      </c>
      <c r="J1130">
        <v>291.63</v>
      </c>
      <c r="K1130">
        <v>59.89</v>
      </c>
      <c r="L1130">
        <v>15.5</v>
      </c>
      <c r="M1130">
        <v>5</v>
      </c>
      <c r="N1130">
        <v>81.25</v>
      </c>
      <c r="O1130">
        <v>36202.379999999997</v>
      </c>
      <c r="P1130">
        <v>111.16</v>
      </c>
      <c r="Q1130">
        <v>204.14</v>
      </c>
      <c r="R1130">
        <v>25.66</v>
      </c>
      <c r="S1130">
        <v>17.37</v>
      </c>
      <c r="T1130">
        <v>2038.69</v>
      </c>
      <c r="U1130">
        <v>0.68</v>
      </c>
      <c r="V1130">
        <v>0.75</v>
      </c>
      <c r="W1130">
        <v>1.1499999999999999</v>
      </c>
      <c r="X1130">
        <v>0.12</v>
      </c>
      <c r="Y1130">
        <v>1</v>
      </c>
      <c r="Z1130">
        <v>10</v>
      </c>
    </row>
    <row r="1131" spans="1:26" x14ac:dyDescent="0.3">
      <c r="A1131">
        <v>59</v>
      </c>
      <c r="B1131">
        <v>135</v>
      </c>
      <c r="C1131" t="s">
        <v>26</v>
      </c>
      <c r="D1131">
        <v>9.9894999999999996</v>
      </c>
      <c r="E1131">
        <v>10.01</v>
      </c>
      <c r="F1131">
        <v>6.8</v>
      </c>
      <c r="G1131">
        <v>58.32</v>
      </c>
      <c r="H1131">
        <v>0.96</v>
      </c>
      <c r="I1131">
        <v>7</v>
      </c>
      <c r="J1131">
        <v>292.14999999999998</v>
      </c>
      <c r="K1131">
        <v>59.89</v>
      </c>
      <c r="L1131">
        <v>15.75</v>
      </c>
      <c r="M1131">
        <v>5</v>
      </c>
      <c r="N1131">
        <v>81.510000000000005</v>
      </c>
      <c r="O1131">
        <v>36265.480000000003</v>
      </c>
      <c r="P1131">
        <v>110.78</v>
      </c>
      <c r="Q1131">
        <v>204.14</v>
      </c>
      <c r="R1131">
        <v>25.41</v>
      </c>
      <c r="S1131">
        <v>17.37</v>
      </c>
      <c r="T1131">
        <v>1914.13</v>
      </c>
      <c r="U1131">
        <v>0.68</v>
      </c>
      <c r="V1131">
        <v>0.75</v>
      </c>
      <c r="W1131">
        <v>1.1399999999999999</v>
      </c>
      <c r="X1131">
        <v>0.11</v>
      </c>
      <c r="Y1131">
        <v>1</v>
      </c>
      <c r="Z1131">
        <v>10</v>
      </c>
    </row>
    <row r="1132" spans="1:26" x14ac:dyDescent="0.3">
      <c r="A1132">
        <v>60</v>
      </c>
      <c r="B1132">
        <v>135</v>
      </c>
      <c r="C1132" t="s">
        <v>26</v>
      </c>
      <c r="D1132">
        <v>10.057600000000001</v>
      </c>
      <c r="E1132">
        <v>9.94</v>
      </c>
      <c r="F1132">
        <v>6.79</v>
      </c>
      <c r="G1132">
        <v>67.86</v>
      </c>
      <c r="H1132">
        <v>0.97</v>
      </c>
      <c r="I1132">
        <v>6</v>
      </c>
      <c r="J1132">
        <v>292.66000000000003</v>
      </c>
      <c r="K1132">
        <v>59.89</v>
      </c>
      <c r="L1132">
        <v>16</v>
      </c>
      <c r="M1132">
        <v>4</v>
      </c>
      <c r="N1132">
        <v>81.77</v>
      </c>
      <c r="O1132">
        <v>36328.69</v>
      </c>
      <c r="P1132">
        <v>110.45</v>
      </c>
      <c r="Q1132">
        <v>204.14</v>
      </c>
      <c r="R1132">
        <v>24.72</v>
      </c>
      <c r="S1132">
        <v>17.37</v>
      </c>
      <c r="T1132">
        <v>1570.85</v>
      </c>
      <c r="U1132">
        <v>0.7</v>
      </c>
      <c r="V1132">
        <v>0.75</v>
      </c>
      <c r="W1132">
        <v>1.1499999999999999</v>
      </c>
      <c r="X1132">
        <v>0.1</v>
      </c>
      <c r="Y1132">
        <v>1</v>
      </c>
      <c r="Z1132">
        <v>10</v>
      </c>
    </row>
    <row r="1133" spans="1:26" x14ac:dyDescent="0.3">
      <c r="A1133">
        <v>61</v>
      </c>
      <c r="B1133">
        <v>135</v>
      </c>
      <c r="C1133" t="s">
        <v>26</v>
      </c>
      <c r="D1133">
        <v>10.0547</v>
      </c>
      <c r="E1133">
        <v>9.9499999999999993</v>
      </c>
      <c r="F1133">
        <v>6.79</v>
      </c>
      <c r="G1133">
        <v>67.89</v>
      </c>
      <c r="H1133">
        <v>0.99</v>
      </c>
      <c r="I1133">
        <v>6</v>
      </c>
      <c r="J1133">
        <v>293.17</v>
      </c>
      <c r="K1133">
        <v>59.89</v>
      </c>
      <c r="L1133">
        <v>16.25</v>
      </c>
      <c r="M1133">
        <v>4</v>
      </c>
      <c r="N1133">
        <v>82.03</v>
      </c>
      <c r="O1133">
        <v>36392.01</v>
      </c>
      <c r="P1133">
        <v>110.58</v>
      </c>
      <c r="Q1133">
        <v>204.14</v>
      </c>
      <c r="R1133">
        <v>24.82</v>
      </c>
      <c r="S1133">
        <v>17.37</v>
      </c>
      <c r="T1133">
        <v>1620.42</v>
      </c>
      <c r="U1133">
        <v>0.7</v>
      </c>
      <c r="V1133">
        <v>0.75</v>
      </c>
      <c r="W1133">
        <v>1.1499999999999999</v>
      </c>
      <c r="X1133">
        <v>0.1</v>
      </c>
      <c r="Y1133">
        <v>1</v>
      </c>
      <c r="Z1133">
        <v>10</v>
      </c>
    </row>
    <row r="1134" spans="1:26" x14ac:dyDescent="0.3">
      <c r="A1134">
        <v>62</v>
      </c>
      <c r="B1134">
        <v>135</v>
      </c>
      <c r="C1134" t="s">
        <v>26</v>
      </c>
      <c r="D1134">
        <v>10.056699999999999</v>
      </c>
      <c r="E1134">
        <v>9.94</v>
      </c>
      <c r="F1134">
        <v>6.79</v>
      </c>
      <c r="G1134">
        <v>67.87</v>
      </c>
      <c r="H1134">
        <v>1</v>
      </c>
      <c r="I1134">
        <v>6</v>
      </c>
      <c r="J1134">
        <v>293.69</v>
      </c>
      <c r="K1134">
        <v>59.89</v>
      </c>
      <c r="L1134">
        <v>16.5</v>
      </c>
      <c r="M1134">
        <v>4</v>
      </c>
      <c r="N1134">
        <v>82.3</v>
      </c>
      <c r="O1134">
        <v>36455.440000000002</v>
      </c>
      <c r="P1134">
        <v>110.57</v>
      </c>
      <c r="Q1134">
        <v>204.14</v>
      </c>
      <c r="R1134">
        <v>24.84</v>
      </c>
      <c r="S1134">
        <v>17.37</v>
      </c>
      <c r="T1134">
        <v>1631.74</v>
      </c>
      <c r="U1134">
        <v>0.7</v>
      </c>
      <c r="V1134">
        <v>0.75</v>
      </c>
      <c r="W1134">
        <v>1.1499999999999999</v>
      </c>
      <c r="X1134">
        <v>0.1</v>
      </c>
      <c r="Y1134">
        <v>1</v>
      </c>
      <c r="Z1134">
        <v>10</v>
      </c>
    </row>
    <row r="1135" spans="1:26" x14ac:dyDescent="0.3">
      <c r="A1135">
        <v>63</v>
      </c>
      <c r="B1135">
        <v>135</v>
      </c>
      <c r="C1135" t="s">
        <v>26</v>
      </c>
      <c r="D1135">
        <v>10.0578</v>
      </c>
      <c r="E1135">
        <v>9.94</v>
      </c>
      <c r="F1135">
        <v>6.79</v>
      </c>
      <c r="G1135">
        <v>67.86</v>
      </c>
      <c r="H1135">
        <v>1.01</v>
      </c>
      <c r="I1135">
        <v>6</v>
      </c>
      <c r="J1135">
        <v>294.2</v>
      </c>
      <c r="K1135">
        <v>59.89</v>
      </c>
      <c r="L1135">
        <v>16.75</v>
      </c>
      <c r="M1135">
        <v>4</v>
      </c>
      <c r="N1135">
        <v>82.56</v>
      </c>
      <c r="O1135">
        <v>36518.97</v>
      </c>
      <c r="P1135">
        <v>110.7</v>
      </c>
      <c r="Q1135">
        <v>204.14</v>
      </c>
      <c r="R1135">
        <v>24.84</v>
      </c>
      <c r="S1135">
        <v>17.37</v>
      </c>
      <c r="T1135">
        <v>1631</v>
      </c>
      <c r="U1135">
        <v>0.7</v>
      </c>
      <c r="V1135">
        <v>0.75</v>
      </c>
      <c r="W1135">
        <v>1.1399999999999999</v>
      </c>
      <c r="X1135">
        <v>0.1</v>
      </c>
      <c r="Y1135">
        <v>1</v>
      </c>
      <c r="Z1135">
        <v>10</v>
      </c>
    </row>
    <row r="1136" spans="1:26" x14ac:dyDescent="0.3">
      <c r="A1136">
        <v>64</v>
      </c>
      <c r="B1136">
        <v>135</v>
      </c>
      <c r="C1136" t="s">
        <v>26</v>
      </c>
      <c r="D1136">
        <v>10.053100000000001</v>
      </c>
      <c r="E1136">
        <v>9.9499999999999993</v>
      </c>
      <c r="F1136">
        <v>6.79</v>
      </c>
      <c r="G1136">
        <v>67.91</v>
      </c>
      <c r="H1136">
        <v>1.03</v>
      </c>
      <c r="I1136">
        <v>6</v>
      </c>
      <c r="J1136">
        <v>294.72000000000003</v>
      </c>
      <c r="K1136">
        <v>59.89</v>
      </c>
      <c r="L1136">
        <v>17</v>
      </c>
      <c r="M1136">
        <v>4</v>
      </c>
      <c r="N1136">
        <v>82.83</v>
      </c>
      <c r="O1136">
        <v>36582.620000000003</v>
      </c>
      <c r="P1136">
        <v>110.82</v>
      </c>
      <c r="Q1136">
        <v>204.14</v>
      </c>
      <c r="R1136">
        <v>25.04</v>
      </c>
      <c r="S1136">
        <v>17.37</v>
      </c>
      <c r="T1136">
        <v>1734.41</v>
      </c>
      <c r="U1136">
        <v>0.69</v>
      </c>
      <c r="V1136">
        <v>0.75</v>
      </c>
      <c r="W1136">
        <v>1.1399999999999999</v>
      </c>
      <c r="X1136">
        <v>0.1</v>
      </c>
      <c r="Y1136">
        <v>1</v>
      </c>
      <c r="Z1136">
        <v>10</v>
      </c>
    </row>
    <row r="1137" spans="1:26" x14ac:dyDescent="0.3">
      <c r="A1137">
        <v>65</v>
      </c>
      <c r="B1137">
        <v>135</v>
      </c>
      <c r="C1137" t="s">
        <v>26</v>
      </c>
      <c r="D1137">
        <v>10.058400000000001</v>
      </c>
      <c r="E1137">
        <v>9.94</v>
      </c>
      <c r="F1137">
        <v>6.79</v>
      </c>
      <c r="G1137">
        <v>67.86</v>
      </c>
      <c r="H1137">
        <v>1.04</v>
      </c>
      <c r="I1137">
        <v>6</v>
      </c>
      <c r="J1137">
        <v>295.23</v>
      </c>
      <c r="K1137">
        <v>59.89</v>
      </c>
      <c r="L1137">
        <v>17.25</v>
      </c>
      <c r="M1137">
        <v>4</v>
      </c>
      <c r="N1137">
        <v>83.1</v>
      </c>
      <c r="O1137">
        <v>36646.379999999997</v>
      </c>
      <c r="P1137">
        <v>110.72</v>
      </c>
      <c r="Q1137">
        <v>204.14</v>
      </c>
      <c r="R1137">
        <v>24.7</v>
      </c>
      <c r="S1137">
        <v>17.37</v>
      </c>
      <c r="T1137">
        <v>1561.96</v>
      </c>
      <c r="U1137">
        <v>0.7</v>
      </c>
      <c r="V1137">
        <v>0.75</v>
      </c>
      <c r="W1137">
        <v>1.1499999999999999</v>
      </c>
      <c r="X1137">
        <v>0.09</v>
      </c>
      <c r="Y1137">
        <v>1</v>
      </c>
      <c r="Z1137">
        <v>10</v>
      </c>
    </row>
    <row r="1138" spans="1:26" x14ac:dyDescent="0.3">
      <c r="A1138">
        <v>66</v>
      </c>
      <c r="B1138">
        <v>135</v>
      </c>
      <c r="C1138" t="s">
        <v>26</v>
      </c>
      <c r="D1138">
        <v>10.0618</v>
      </c>
      <c r="E1138">
        <v>9.94</v>
      </c>
      <c r="F1138">
        <v>6.78</v>
      </c>
      <c r="G1138">
        <v>67.819999999999993</v>
      </c>
      <c r="H1138">
        <v>1.05</v>
      </c>
      <c r="I1138">
        <v>6</v>
      </c>
      <c r="J1138">
        <v>295.75</v>
      </c>
      <c r="K1138">
        <v>59.89</v>
      </c>
      <c r="L1138">
        <v>17.5</v>
      </c>
      <c r="M1138">
        <v>4</v>
      </c>
      <c r="N1138">
        <v>83.36</v>
      </c>
      <c r="O1138">
        <v>36710.239999999998</v>
      </c>
      <c r="P1138">
        <v>110.51</v>
      </c>
      <c r="Q1138">
        <v>204.15</v>
      </c>
      <c r="R1138">
        <v>24.6</v>
      </c>
      <c r="S1138">
        <v>17.37</v>
      </c>
      <c r="T1138">
        <v>1510.01</v>
      </c>
      <c r="U1138">
        <v>0.71</v>
      </c>
      <c r="V1138">
        <v>0.75</v>
      </c>
      <c r="W1138">
        <v>1.1499999999999999</v>
      </c>
      <c r="X1138">
        <v>0.09</v>
      </c>
      <c r="Y1138">
        <v>1</v>
      </c>
      <c r="Z1138">
        <v>10</v>
      </c>
    </row>
    <row r="1139" spans="1:26" x14ac:dyDescent="0.3">
      <c r="A1139">
        <v>67</v>
      </c>
      <c r="B1139">
        <v>135</v>
      </c>
      <c r="C1139" t="s">
        <v>26</v>
      </c>
      <c r="D1139">
        <v>10.057</v>
      </c>
      <c r="E1139">
        <v>9.94</v>
      </c>
      <c r="F1139">
        <v>6.79</v>
      </c>
      <c r="G1139">
        <v>67.87</v>
      </c>
      <c r="H1139">
        <v>1.07</v>
      </c>
      <c r="I1139">
        <v>6</v>
      </c>
      <c r="J1139">
        <v>296.27</v>
      </c>
      <c r="K1139">
        <v>59.89</v>
      </c>
      <c r="L1139">
        <v>17.75</v>
      </c>
      <c r="M1139">
        <v>4</v>
      </c>
      <c r="N1139">
        <v>83.63</v>
      </c>
      <c r="O1139">
        <v>36774.22</v>
      </c>
      <c r="P1139">
        <v>110.48</v>
      </c>
      <c r="Q1139">
        <v>204.16</v>
      </c>
      <c r="R1139">
        <v>24.8</v>
      </c>
      <c r="S1139">
        <v>17.37</v>
      </c>
      <c r="T1139">
        <v>1614.72</v>
      </c>
      <c r="U1139">
        <v>0.7</v>
      </c>
      <c r="V1139">
        <v>0.75</v>
      </c>
      <c r="W1139">
        <v>1.1499999999999999</v>
      </c>
      <c r="X1139">
        <v>0.1</v>
      </c>
      <c r="Y1139">
        <v>1</v>
      </c>
      <c r="Z1139">
        <v>10</v>
      </c>
    </row>
    <row r="1140" spans="1:26" x14ac:dyDescent="0.3">
      <c r="A1140">
        <v>68</v>
      </c>
      <c r="B1140">
        <v>135</v>
      </c>
      <c r="C1140" t="s">
        <v>26</v>
      </c>
      <c r="D1140">
        <v>10.0547</v>
      </c>
      <c r="E1140">
        <v>9.9499999999999993</v>
      </c>
      <c r="F1140">
        <v>6.79</v>
      </c>
      <c r="G1140">
        <v>67.89</v>
      </c>
      <c r="H1140">
        <v>1.08</v>
      </c>
      <c r="I1140">
        <v>6</v>
      </c>
      <c r="J1140">
        <v>296.79000000000002</v>
      </c>
      <c r="K1140">
        <v>59.89</v>
      </c>
      <c r="L1140">
        <v>18</v>
      </c>
      <c r="M1140">
        <v>4</v>
      </c>
      <c r="N1140">
        <v>83.9</v>
      </c>
      <c r="O1140">
        <v>36838.32</v>
      </c>
      <c r="P1140">
        <v>110.4</v>
      </c>
      <c r="Q1140">
        <v>204.14</v>
      </c>
      <c r="R1140">
        <v>24.92</v>
      </c>
      <c r="S1140">
        <v>17.37</v>
      </c>
      <c r="T1140">
        <v>1674.77</v>
      </c>
      <c r="U1140">
        <v>0.7</v>
      </c>
      <c r="V1140">
        <v>0.75</v>
      </c>
      <c r="W1140">
        <v>1.1399999999999999</v>
      </c>
      <c r="X1140">
        <v>0.1</v>
      </c>
      <c r="Y1140">
        <v>1</v>
      </c>
      <c r="Z1140">
        <v>10</v>
      </c>
    </row>
    <row r="1141" spans="1:26" x14ac:dyDescent="0.3">
      <c r="A1141">
        <v>69</v>
      </c>
      <c r="B1141">
        <v>135</v>
      </c>
      <c r="C1141" t="s">
        <v>26</v>
      </c>
      <c r="D1141">
        <v>10.0528</v>
      </c>
      <c r="E1141">
        <v>9.9499999999999993</v>
      </c>
      <c r="F1141">
        <v>6.79</v>
      </c>
      <c r="G1141">
        <v>67.91</v>
      </c>
      <c r="H1141">
        <v>1.0900000000000001</v>
      </c>
      <c r="I1141">
        <v>6</v>
      </c>
      <c r="J1141">
        <v>297.31</v>
      </c>
      <c r="K1141">
        <v>59.89</v>
      </c>
      <c r="L1141">
        <v>18.25</v>
      </c>
      <c r="M1141">
        <v>4</v>
      </c>
      <c r="N1141">
        <v>84.17</v>
      </c>
      <c r="O1141">
        <v>36902.519999999997</v>
      </c>
      <c r="P1141">
        <v>110.34</v>
      </c>
      <c r="Q1141">
        <v>204.14</v>
      </c>
      <c r="R1141">
        <v>25.02</v>
      </c>
      <c r="S1141">
        <v>17.37</v>
      </c>
      <c r="T1141">
        <v>1721.32</v>
      </c>
      <c r="U1141">
        <v>0.69</v>
      </c>
      <c r="V1141">
        <v>0.75</v>
      </c>
      <c r="W1141">
        <v>1.1399999999999999</v>
      </c>
      <c r="X1141">
        <v>0.1</v>
      </c>
      <c r="Y1141">
        <v>1</v>
      </c>
      <c r="Z1141">
        <v>10</v>
      </c>
    </row>
    <row r="1142" spans="1:26" x14ac:dyDescent="0.3">
      <c r="A1142">
        <v>70</v>
      </c>
      <c r="B1142">
        <v>135</v>
      </c>
      <c r="C1142" t="s">
        <v>26</v>
      </c>
      <c r="D1142">
        <v>10.0556</v>
      </c>
      <c r="E1142">
        <v>9.94</v>
      </c>
      <c r="F1142">
        <v>6.79</v>
      </c>
      <c r="G1142">
        <v>67.88</v>
      </c>
      <c r="H1142">
        <v>1.1100000000000001</v>
      </c>
      <c r="I1142">
        <v>6</v>
      </c>
      <c r="J1142">
        <v>297.83</v>
      </c>
      <c r="K1142">
        <v>59.89</v>
      </c>
      <c r="L1142">
        <v>18.5</v>
      </c>
      <c r="M1142">
        <v>4</v>
      </c>
      <c r="N1142">
        <v>84.45</v>
      </c>
      <c r="O1142">
        <v>36966.839999999997</v>
      </c>
      <c r="P1142">
        <v>110.15</v>
      </c>
      <c r="Q1142">
        <v>204.14</v>
      </c>
      <c r="R1142">
        <v>24.85</v>
      </c>
      <c r="S1142">
        <v>17.37</v>
      </c>
      <c r="T1142">
        <v>1638.96</v>
      </c>
      <c r="U1142">
        <v>0.7</v>
      </c>
      <c r="V1142">
        <v>0.75</v>
      </c>
      <c r="W1142">
        <v>1.1499999999999999</v>
      </c>
      <c r="X1142">
        <v>0.1</v>
      </c>
      <c r="Y1142">
        <v>1</v>
      </c>
      <c r="Z1142">
        <v>10</v>
      </c>
    </row>
    <row r="1143" spans="1:26" x14ac:dyDescent="0.3">
      <c r="A1143">
        <v>71</v>
      </c>
      <c r="B1143">
        <v>135</v>
      </c>
      <c r="C1143" t="s">
        <v>26</v>
      </c>
      <c r="D1143">
        <v>10.0573</v>
      </c>
      <c r="E1143">
        <v>9.94</v>
      </c>
      <c r="F1143">
        <v>6.79</v>
      </c>
      <c r="G1143">
        <v>67.87</v>
      </c>
      <c r="H1143">
        <v>1.1200000000000001</v>
      </c>
      <c r="I1143">
        <v>6</v>
      </c>
      <c r="J1143">
        <v>298.35000000000002</v>
      </c>
      <c r="K1143">
        <v>59.89</v>
      </c>
      <c r="L1143">
        <v>18.75</v>
      </c>
      <c r="M1143">
        <v>4</v>
      </c>
      <c r="N1143">
        <v>84.72</v>
      </c>
      <c r="O1143">
        <v>37031.269999999997</v>
      </c>
      <c r="P1143">
        <v>110.01</v>
      </c>
      <c r="Q1143">
        <v>204.14</v>
      </c>
      <c r="R1143">
        <v>24.86</v>
      </c>
      <c r="S1143">
        <v>17.37</v>
      </c>
      <c r="T1143">
        <v>1641.75</v>
      </c>
      <c r="U1143">
        <v>0.7</v>
      </c>
      <c r="V1143">
        <v>0.75</v>
      </c>
      <c r="W1143">
        <v>1.1399999999999999</v>
      </c>
      <c r="X1143">
        <v>0.1</v>
      </c>
      <c r="Y1143">
        <v>1</v>
      </c>
      <c r="Z1143">
        <v>10</v>
      </c>
    </row>
    <row r="1144" spans="1:26" x14ac:dyDescent="0.3">
      <c r="A1144">
        <v>72</v>
      </c>
      <c r="B1144">
        <v>135</v>
      </c>
      <c r="C1144" t="s">
        <v>26</v>
      </c>
      <c r="D1144">
        <v>10.059200000000001</v>
      </c>
      <c r="E1144">
        <v>9.94</v>
      </c>
      <c r="F1144">
        <v>6.78</v>
      </c>
      <c r="G1144">
        <v>67.849999999999994</v>
      </c>
      <c r="H1144">
        <v>1.1299999999999999</v>
      </c>
      <c r="I1144">
        <v>6</v>
      </c>
      <c r="J1144">
        <v>298.88</v>
      </c>
      <c r="K1144">
        <v>59.89</v>
      </c>
      <c r="L1144">
        <v>19</v>
      </c>
      <c r="M1144">
        <v>4</v>
      </c>
      <c r="N1144">
        <v>84.99</v>
      </c>
      <c r="O1144">
        <v>37095.82</v>
      </c>
      <c r="P1144">
        <v>109.99</v>
      </c>
      <c r="Q1144">
        <v>204.15</v>
      </c>
      <c r="R1144">
        <v>24.75</v>
      </c>
      <c r="S1144">
        <v>17.37</v>
      </c>
      <c r="T1144">
        <v>1589.56</v>
      </c>
      <c r="U1144">
        <v>0.7</v>
      </c>
      <c r="V1144">
        <v>0.75</v>
      </c>
      <c r="W1144">
        <v>1.1399999999999999</v>
      </c>
      <c r="X1144">
        <v>0.09</v>
      </c>
      <c r="Y1144">
        <v>1</v>
      </c>
      <c r="Z1144">
        <v>10</v>
      </c>
    </row>
    <row r="1145" spans="1:26" x14ac:dyDescent="0.3">
      <c r="A1145">
        <v>73</v>
      </c>
      <c r="B1145">
        <v>135</v>
      </c>
      <c r="C1145" t="s">
        <v>26</v>
      </c>
      <c r="D1145">
        <v>10.0533</v>
      </c>
      <c r="E1145">
        <v>9.9499999999999993</v>
      </c>
      <c r="F1145">
        <v>6.79</v>
      </c>
      <c r="G1145">
        <v>67.91</v>
      </c>
      <c r="H1145">
        <v>1.1499999999999999</v>
      </c>
      <c r="I1145">
        <v>6</v>
      </c>
      <c r="J1145">
        <v>299.39999999999998</v>
      </c>
      <c r="K1145">
        <v>59.89</v>
      </c>
      <c r="L1145">
        <v>19.25</v>
      </c>
      <c r="M1145">
        <v>4</v>
      </c>
      <c r="N1145">
        <v>85.27</v>
      </c>
      <c r="O1145">
        <v>37160.49</v>
      </c>
      <c r="P1145">
        <v>109.87</v>
      </c>
      <c r="Q1145">
        <v>204.14</v>
      </c>
      <c r="R1145">
        <v>25.02</v>
      </c>
      <c r="S1145">
        <v>17.37</v>
      </c>
      <c r="T1145">
        <v>1720.02</v>
      </c>
      <c r="U1145">
        <v>0.69</v>
      </c>
      <c r="V1145">
        <v>0.75</v>
      </c>
      <c r="W1145">
        <v>1.1399999999999999</v>
      </c>
      <c r="X1145">
        <v>0.1</v>
      </c>
      <c r="Y1145">
        <v>1</v>
      </c>
      <c r="Z1145">
        <v>10</v>
      </c>
    </row>
    <row r="1146" spans="1:26" x14ac:dyDescent="0.3">
      <c r="A1146">
        <v>74</v>
      </c>
      <c r="B1146">
        <v>135</v>
      </c>
      <c r="C1146" t="s">
        <v>26</v>
      </c>
      <c r="D1146">
        <v>10.0505</v>
      </c>
      <c r="E1146">
        <v>9.9499999999999993</v>
      </c>
      <c r="F1146">
        <v>6.79</v>
      </c>
      <c r="G1146">
        <v>67.930000000000007</v>
      </c>
      <c r="H1146">
        <v>1.1599999999999999</v>
      </c>
      <c r="I1146">
        <v>6</v>
      </c>
      <c r="J1146">
        <v>299.93</v>
      </c>
      <c r="K1146">
        <v>59.89</v>
      </c>
      <c r="L1146">
        <v>19.5</v>
      </c>
      <c r="M1146">
        <v>4</v>
      </c>
      <c r="N1146">
        <v>85.54</v>
      </c>
      <c r="O1146">
        <v>37225.39</v>
      </c>
      <c r="P1146">
        <v>109.5</v>
      </c>
      <c r="Q1146">
        <v>204.14</v>
      </c>
      <c r="R1146">
        <v>24.98</v>
      </c>
      <c r="S1146">
        <v>17.37</v>
      </c>
      <c r="T1146">
        <v>1700.49</v>
      </c>
      <c r="U1146">
        <v>0.7</v>
      </c>
      <c r="V1146">
        <v>0.75</v>
      </c>
      <c r="W1146">
        <v>1.1499999999999999</v>
      </c>
      <c r="X1146">
        <v>0.1</v>
      </c>
      <c r="Y1146">
        <v>1</v>
      </c>
      <c r="Z1146">
        <v>10</v>
      </c>
    </row>
    <row r="1147" spans="1:26" x14ac:dyDescent="0.3">
      <c r="A1147">
        <v>75</v>
      </c>
      <c r="B1147">
        <v>135</v>
      </c>
      <c r="C1147" t="s">
        <v>26</v>
      </c>
      <c r="D1147">
        <v>10.124599999999999</v>
      </c>
      <c r="E1147">
        <v>9.8800000000000008</v>
      </c>
      <c r="F1147">
        <v>6.77</v>
      </c>
      <c r="G1147">
        <v>81.25</v>
      </c>
      <c r="H1147">
        <v>1.17</v>
      </c>
      <c r="I1147">
        <v>5</v>
      </c>
      <c r="J1147">
        <v>300.45</v>
      </c>
      <c r="K1147">
        <v>59.89</v>
      </c>
      <c r="L1147">
        <v>19.75</v>
      </c>
      <c r="M1147">
        <v>3</v>
      </c>
      <c r="N1147">
        <v>85.82</v>
      </c>
      <c r="O1147">
        <v>37290.29</v>
      </c>
      <c r="P1147">
        <v>109.19</v>
      </c>
      <c r="Q1147">
        <v>204.14</v>
      </c>
      <c r="R1147">
        <v>24.37</v>
      </c>
      <c r="S1147">
        <v>17.37</v>
      </c>
      <c r="T1147">
        <v>1400.08</v>
      </c>
      <c r="U1147">
        <v>0.71</v>
      </c>
      <c r="V1147">
        <v>0.75</v>
      </c>
      <c r="W1147">
        <v>1.1399999999999999</v>
      </c>
      <c r="X1147">
        <v>0.08</v>
      </c>
      <c r="Y1147">
        <v>1</v>
      </c>
      <c r="Z1147">
        <v>10</v>
      </c>
    </row>
    <row r="1148" spans="1:26" x14ac:dyDescent="0.3">
      <c r="A1148">
        <v>76</v>
      </c>
      <c r="B1148">
        <v>135</v>
      </c>
      <c r="C1148" t="s">
        <v>26</v>
      </c>
      <c r="D1148">
        <v>10.122</v>
      </c>
      <c r="E1148">
        <v>9.8800000000000008</v>
      </c>
      <c r="F1148">
        <v>6.77</v>
      </c>
      <c r="G1148">
        <v>81.28</v>
      </c>
      <c r="H1148">
        <v>1.18</v>
      </c>
      <c r="I1148">
        <v>5</v>
      </c>
      <c r="J1148">
        <v>300.98</v>
      </c>
      <c r="K1148">
        <v>59.89</v>
      </c>
      <c r="L1148">
        <v>20</v>
      </c>
      <c r="M1148">
        <v>3</v>
      </c>
      <c r="N1148">
        <v>86.09</v>
      </c>
      <c r="O1148">
        <v>37355.31</v>
      </c>
      <c r="P1148">
        <v>109.48</v>
      </c>
      <c r="Q1148">
        <v>204.14</v>
      </c>
      <c r="R1148">
        <v>24.47</v>
      </c>
      <c r="S1148">
        <v>17.37</v>
      </c>
      <c r="T1148">
        <v>1453.24</v>
      </c>
      <c r="U1148">
        <v>0.71</v>
      </c>
      <c r="V1148">
        <v>0.75</v>
      </c>
      <c r="W1148">
        <v>1.1399999999999999</v>
      </c>
      <c r="X1148">
        <v>0.08</v>
      </c>
      <c r="Y1148">
        <v>1</v>
      </c>
      <c r="Z1148">
        <v>10</v>
      </c>
    </row>
    <row r="1149" spans="1:26" x14ac:dyDescent="0.3">
      <c r="A1149">
        <v>77</v>
      </c>
      <c r="B1149">
        <v>135</v>
      </c>
      <c r="C1149" t="s">
        <v>26</v>
      </c>
      <c r="D1149">
        <v>10.1198</v>
      </c>
      <c r="E1149">
        <v>9.8800000000000008</v>
      </c>
      <c r="F1149">
        <v>6.78</v>
      </c>
      <c r="G1149">
        <v>81.31</v>
      </c>
      <c r="H1149">
        <v>1.2</v>
      </c>
      <c r="I1149">
        <v>5</v>
      </c>
      <c r="J1149">
        <v>301.51</v>
      </c>
      <c r="K1149">
        <v>59.89</v>
      </c>
      <c r="L1149">
        <v>20.25</v>
      </c>
      <c r="M1149">
        <v>3</v>
      </c>
      <c r="N1149">
        <v>86.37</v>
      </c>
      <c r="O1149">
        <v>37420.44</v>
      </c>
      <c r="P1149">
        <v>109.72</v>
      </c>
      <c r="Q1149">
        <v>204.14</v>
      </c>
      <c r="R1149">
        <v>24.53</v>
      </c>
      <c r="S1149">
        <v>17.37</v>
      </c>
      <c r="T1149">
        <v>1483.88</v>
      </c>
      <c r="U1149">
        <v>0.71</v>
      </c>
      <c r="V1149">
        <v>0.75</v>
      </c>
      <c r="W1149">
        <v>1.1399999999999999</v>
      </c>
      <c r="X1149">
        <v>0.08</v>
      </c>
      <c r="Y1149">
        <v>1</v>
      </c>
      <c r="Z1149">
        <v>10</v>
      </c>
    </row>
    <row r="1150" spans="1:26" x14ac:dyDescent="0.3">
      <c r="A1150">
        <v>78</v>
      </c>
      <c r="B1150">
        <v>135</v>
      </c>
      <c r="C1150" t="s">
        <v>26</v>
      </c>
      <c r="D1150">
        <v>10.125400000000001</v>
      </c>
      <c r="E1150">
        <v>9.8800000000000008</v>
      </c>
      <c r="F1150">
        <v>6.77</v>
      </c>
      <c r="G1150">
        <v>81.239999999999995</v>
      </c>
      <c r="H1150">
        <v>1.21</v>
      </c>
      <c r="I1150">
        <v>5</v>
      </c>
      <c r="J1150">
        <v>302.04000000000002</v>
      </c>
      <c r="K1150">
        <v>59.89</v>
      </c>
      <c r="L1150">
        <v>20.5</v>
      </c>
      <c r="M1150">
        <v>3</v>
      </c>
      <c r="N1150">
        <v>86.65</v>
      </c>
      <c r="O1150">
        <v>37485.699999999997</v>
      </c>
      <c r="P1150">
        <v>109.69</v>
      </c>
      <c r="Q1150">
        <v>204.14</v>
      </c>
      <c r="R1150">
        <v>24.31</v>
      </c>
      <c r="S1150">
        <v>17.37</v>
      </c>
      <c r="T1150">
        <v>1372.62</v>
      </c>
      <c r="U1150">
        <v>0.71</v>
      </c>
      <c r="V1150">
        <v>0.75</v>
      </c>
      <c r="W1150">
        <v>1.1399999999999999</v>
      </c>
      <c r="X1150">
        <v>0.08</v>
      </c>
      <c r="Y1150">
        <v>1</v>
      </c>
      <c r="Z1150">
        <v>10</v>
      </c>
    </row>
    <row r="1151" spans="1:26" x14ac:dyDescent="0.3">
      <c r="A1151">
        <v>79</v>
      </c>
      <c r="B1151">
        <v>135</v>
      </c>
      <c r="C1151" t="s">
        <v>26</v>
      </c>
      <c r="D1151">
        <v>10.121499999999999</v>
      </c>
      <c r="E1151">
        <v>9.8800000000000008</v>
      </c>
      <c r="F1151">
        <v>6.77</v>
      </c>
      <c r="G1151">
        <v>81.290000000000006</v>
      </c>
      <c r="H1151">
        <v>1.22</v>
      </c>
      <c r="I1151">
        <v>5</v>
      </c>
      <c r="J1151">
        <v>302.57</v>
      </c>
      <c r="K1151">
        <v>59.89</v>
      </c>
      <c r="L1151">
        <v>20.75</v>
      </c>
      <c r="M1151">
        <v>3</v>
      </c>
      <c r="N1151">
        <v>86.93</v>
      </c>
      <c r="O1151">
        <v>37551.07</v>
      </c>
      <c r="P1151">
        <v>109.9</v>
      </c>
      <c r="Q1151">
        <v>204.14</v>
      </c>
      <c r="R1151">
        <v>24.38</v>
      </c>
      <c r="S1151">
        <v>17.37</v>
      </c>
      <c r="T1151">
        <v>1406.09</v>
      </c>
      <c r="U1151">
        <v>0.71</v>
      </c>
      <c r="V1151">
        <v>0.75</v>
      </c>
      <c r="W1151">
        <v>1.1499999999999999</v>
      </c>
      <c r="X1151">
        <v>0.08</v>
      </c>
      <c r="Y1151">
        <v>1</v>
      </c>
      <c r="Z1151">
        <v>10</v>
      </c>
    </row>
    <row r="1152" spans="1:26" x14ac:dyDescent="0.3">
      <c r="A1152">
        <v>80</v>
      </c>
      <c r="B1152">
        <v>135</v>
      </c>
      <c r="C1152" t="s">
        <v>26</v>
      </c>
      <c r="D1152">
        <v>10.122299999999999</v>
      </c>
      <c r="E1152">
        <v>9.8800000000000008</v>
      </c>
      <c r="F1152">
        <v>6.77</v>
      </c>
      <c r="G1152">
        <v>81.28</v>
      </c>
      <c r="H1152">
        <v>1.23</v>
      </c>
      <c r="I1152">
        <v>5</v>
      </c>
      <c r="J1152">
        <v>303.10000000000002</v>
      </c>
      <c r="K1152">
        <v>59.89</v>
      </c>
      <c r="L1152">
        <v>21</v>
      </c>
      <c r="M1152">
        <v>3</v>
      </c>
      <c r="N1152">
        <v>87.21</v>
      </c>
      <c r="O1152">
        <v>37616.559999999998</v>
      </c>
      <c r="P1152">
        <v>109.84</v>
      </c>
      <c r="Q1152">
        <v>204.14</v>
      </c>
      <c r="R1152">
        <v>24.45</v>
      </c>
      <c r="S1152">
        <v>17.37</v>
      </c>
      <c r="T1152">
        <v>1443.47</v>
      </c>
      <c r="U1152">
        <v>0.71</v>
      </c>
      <c r="V1152">
        <v>0.75</v>
      </c>
      <c r="W1152">
        <v>1.1399999999999999</v>
      </c>
      <c r="X1152">
        <v>0.08</v>
      </c>
      <c r="Y1152">
        <v>1</v>
      </c>
      <c r="Z1152">
        <v>10</v>
      </c>
    </row>
    <row r="1153" spans="1:26" x14ac:dyDescent="0.3">
      <c r="A1153">
        <v>81</v>
      </c>
      <c r="B1153">
        <v>135</v>
      </c>
      <c r="C1153" t="s">
        <v>26</v>
      </c>
      <c r="D1153">
        <v>10.122299999999999</v>
      </c>
      <c r="E1153">
        <v>9.8800000000000008</v>
      </c>
      <c r="F1153">
        <v>6.77</v>
      </c>
      <c r="G1153">
        <v>81.28</v>
      </c>
      <c r="H1153">
        <v>1.25</v>
      </c>
      <c r="I1153">
        <v>5</v>
      </c>
      <c r="J1153">
        <v>303.63</v>
      </c>
      <c r="K1153">
        <v>59.89</v>
      </c>
      <c r="L1153">
        <v>21.25</v>
      </c>
      <c r="M1153">
        <v>3</v>
      </c>
      <c r="N1153">
        <v>87.49</v>
      </c>
      <c r="O1153">
        <v>37682.17</v>
      </c>
      <c r="P1153">
        <v>109.78</v>
      </c>
      <c r="Q1153">
        <v>204.14</v>
      </c>
      <c r="R1153">
        <v>24.36</v>
      </c>
      <c r="S1153">
        <v>17.37</v>
      </c>
      <c r="T1153">
        <v>1397.64</v>
      </c>
      <c r="U1153">
        <v>0.71</v>
      </c>
      <c r="V1153">
        <v>0.75</v>
      </c>
      <c r="W1153">
        <v>1.1499999999999999</v>
      </c>
      <c r="X1153">
        <v>0.08</v>
      </c>
      <c r="Y1153">
        <v>1</v>
      </c>
      <c r="Z1153">
        <v>10</v>
      </c>
    </row>
    <row r="1154" spans="1:26" x14ac:dyDescent="0.3">
      <c r="A1154">
        <v>82</v>
      </c>
      <c r="B1154">
        <v>135</v>
      </c>
      <c r="C1154" t="s">
        <v>26</v>
      </c>
      <c r="D1154">
        <v>10.119999999999999</v>
      </c>
      <c r="E1154">
        <v>9.8800000000000008</v>
      </c>
      <c r="F1154">
        <v>6.78</v>
      </c>
      <c r="G1154">
        <v>81.31</v>
      </c>
      <c r="H1154">
        <v>1.26</v>
      </c>
      <c r="I1154">
        <v>5</v>
      </c>
      <c r="J1154">
        <v>304.16000000000003</v>
      </c>
      <c r="K1154">
        <v>59.89</v>
      </c>
      <c r="L1154">
        <v>21.5</v>
      </c>
      <c r="M1154">
        <v>3</v>
      </c>
      <c r="N1154">
        <v>87.78</v>
      </c>
      <c r="O1154">
        <v>37747.910000000003</v>
      </c>
      <c r="P1154">
        <v>109.83</v>
      </c>
      <c r="Q1154">
        <v>204.15</v>
      </c>
      <c r="R1154">
        <v>24.51</v>
      </c>
      <c r="S1154">
        <v>17.37</v>
      </c>
      <c r="T1154">
        <v>1470.45</v>
      </c>
      <c r="U1154">
        <v>0.71</v>
      </c>
      <c r="V1154">
        <v>0.75</v>
      </c>
      <c r="W1154">
        <v>1.1399999999999999</v>
      </c>
      <c r="X1154">
        <v>0.08</v>
      </c>
      <c r="Y1154">
        <v>1</v>
      </c>
      <c r="Z1154">
        <v>10</v>
      </c>
    </row>
    <row r="1155" spans="1:26" x14ac:dyDescent="0.3">
      <c r="A1155">
        <v>83</v>
      </c>
      <c r="B1155">
        <v>135</v>
      </c>
      <c r="C1155" t="s">
        <v>26</v>
      </c>
      <c r="D1155">
        <v>10.1198</v>
      </c>
      <c r="E1155">
        <v>9.8800000000000008</v>
      </c>
      <c r="F1155">
        <v>6.78</v>
      </c>
      <c r="G1155">
        <v>81.31</v>
      </c>
      <c r="H1155">
        <v>1.27</v>
      </c>
      <c r="I1155">
        <v>5</v>
      </c>
      <c r="J1155">
        <v>304.7</v>
      </c>
      <c r="K1155">
        <v>59.89</v>
      </c>
      <c r="L1155">
        <v>21.75</v>
      </c>
      <c r="M1155">
        <v>3</v>
      </c>
      <c r="N1155">
        <v>88.06</v>
      </c>
      <c r="O1155">
        <v>37813.760000000002</v>
      </c>
      <c r="P1155">
        <v>109.83</v>
      </c>
      <c r="Q1155">
        <v>204.14</v>
      </c>
      <c r="R1155">
        <v>24.54</v>
      </c>
      <c r="S1155">
        <v>17.37</v>
      </c>
      <c r="T1155">
        <v>1485.46</v>
      </c>
      <c r="U1155">
        <v>0.71</v>
      </c>
      <c r="V1155">
        <v>0.75</v>
      </c>
      <c r="W1155">
        <v>1.1399999999999999</v>
      </c>
      <c r="X1155">
        <v>0.08</v>
      </c>
      <c r="Y1155">
        <v>1</v>
      </c>
      <c r="Z1155">
        <v>10</v>
      </c>
    </row>
    <row r="1156" spans="1:26" x14ac:dyDescent="0.3">
      <c r="A1156">
        <v>84</v>
      </c>
      <c r="B1156">
        <v>135</v>
      </c>
      <c r="C1156" t="s">
        <v>26</v>
      </c>
      <c r="D1156">
        <v>10.122299999999999</v>
      </c>
      <c r="E1156">
        <v>9.8800000000000008</v>
      </c>
      <c r="F1156">
        <v>6.77</v>
      </c>
      <c r="G1156">
        <v>81.28</v>
      </c>
      <c r="H1156">
        <v>1.28</v>
      </c>
      <c r="I1156">
        <v>5</v>
      </c>
      <c r="J1156">
        <v>305.23</v>
      </c>
      <c r="K1156">
        <v>59.89</v>
      </c>
      <c r="L1156">
        <v>22</v>
      </c>
      <c r="M1156">
        <v>3</v>
      </c>
      <c r="N1156">
        <v>88.35</v>
      </c>
      <c r="O1156">
        <v>37879.74</v>
      </c>
      <c r="P1156">
        <v>109.75</v>
      </c>
      <c r="Q1156">
        <v>204.14</v>
      </c>
      <c r="R1156">
        <v>24.45</v>
      </c>
      <c r="S1156">
        <v>17.37</v>
      </c>
      <c r="T1156">
        <v>1443.68</v>
      </c>
      <c r="U1156">
        <v>0.71</v>
      </c>
      <c r="V1156">
        <v>0.75</v>
      </c>
      <c r="W1156">
        <v>1.1399999999999999</v>
      </c>
      <c r="X1156">
        <v>0.08</v>
      </c>
      <c r="Y1156">
        <v>1</v>
      </c>
      <c r="Z1156">
        <v>10</v>
      </c>
    </row>
    <row r="1157" spans="1:26" x14ac:dyDescent="0.3">
      <c r="A1157">
        <v>85</v>
      </c>
      <c r="B1157">
        <v>135</v>
      </c>
      <c r="C1157" t="s">
        <v>26</v>
      </c>
      <c r="D1157">
        <v>10.123699999999999</v>
      </c>
      <c r="E1157">
        <v>9.8800000000000008</v>
      </c>
      <c r="F1157">
        <v>6.77</v>
      </c>
      <c r="G1157">
        <v>81.260000000000005</v>
      </c>
      <c r="H1157">
        <v>1.3</v>
      </c>
      <c r="I1157">
        <v>5</v>
      </c>
      <c r="J1157">
        <v>305.77</v>
      </c>
      <c r="K1157">
        <v>59.89</v>
      </c>
      <c r="L1157">
        <v>22.25</v>
      </c>
      <c r="M1157">
        <v>3</v>
      </c>
      <c r="N1157">
        <v>88.63</v>
      </c>
      <c r="O1157">
        <v>37945.85</v>
      </c>
      <c r="P1157">
        <v>109.58</v>
      </c>
      <c r="Q1157">
        <v>204.14</v>
      </c>
      <c r="R1157">
        <v>24.46</v>
      </c>
      <c r="S1157">
        <v>17.37</v>
      </c>
      <c r="T1157">
        <v>1448.82</v>
      </c>
      <c r="U1157">
        <v>0.71</v>
      </c>
      <c r="V1157">
        <v>0.75</v>
      </c>
      <c r="W1157">
        <v>1.1399999999999999</v>
      </c>
      <c r="X1157">
        <v>0.08</v>
      </c>
      <c r="Y1157">
        <v>1</v>
      </c>
      <c r="Z1157">
        <v>10</v>
      </c>
    </row>
    <row r="1158" spans="1:26" x14ac:dyDescent="0.3">
      <c r="A1158">
        <v>86</v>
      </c>
      <c r="B1158">
        <v>135</v>
      </c>
      <c r="C1158" t="s">
        <v>26</v>
      </c>
      <c r="D1158">
        <v>10.1229</v>
      </c>
      <c r="E1158">
        <v>9.8800000000000008</v>
      </c>
      <c r="F1158">
        <v>6.77</v>
      </c>
      <c r="G1158">
        <v>81.27</v>
      </c>
      <c r="H1158">
        <v>1.31</v>
      </c>
      <c r="I1158">
        <v>5</v>
      </c>
      <c r="J1158">
        <v>306.31</v>
      </c>
      <c r="K1158">
        <v>59.89</v>
      </c>
      <c r="L1158">
        <v>22.5</v>
      </c>
      <c r="M1158">
        <v>3</v>
      </c>
      <c r="N1158">
        <v>88.92</v>
      </c>
      <c r="O1158">
        <v>38012.07</v>
      </c>
      <c r="P1158">
        <v>109.58</v>
      </c>
      <c r="Q1158">
        <v>204.14</v>
      </c>
      <c r="R1158">
        <v>24.37</v>
      </c>
      <c r="S1158">
        <v>17.37</v>
      </c>
      <c r="T1158">
        <v>1404.58</v>
      </c>
      <c r="U1158">
        <v>0.71</v>
      </c>
      <c r="V1158">
        <v>0.75</v>
      </c>
      <c r="W1158">
        <v>1.1399999999999999</v>
      </c>
      <c r="X1158">
        <v>0.08</v>
      </c>
      <c r="Y1158">
        <v>1</v>
      </c>
      <c r="Z1158">
        <v>10</v>
      </c>
    </row>
    <row r="1159" spans="1:26" x14ac:dyDescent="0.3">
      <c r="A1159">
        <v>87</v>
      </c>
      <c r="B1159">
        <v>135</v>
      </c>
      <c r="C1159" t="s">
        <v>26</v>
      </c>
      <c r="D1159">
        <v>10.1303</v>
      </c>
      <c r="E1159">
        <v>9.8699999999999992</v>
      </c>
      <c r="F1159">
        <v>6.77</v>
      </c>
      <c r="G1159">
        <v>81.19</v>
      </c>
      <c r="H1159">
        <v>1.32</v>
      </c>
      <c r="I1159">
        <v>5</v>
      </c>
      <c r="J1159">
        <v>306.83999999999997</v>
      </c>
      <c r="K1159">
        <v>59.89</v>
      </c>
      <c r="L1159">
        <v>22.75</v>
      </c>
      <c r="M1159">
        <v>3</v>
      </c>
      <c r="N1159">
        <v>89.21</v>
      </c>
      <c r="O1159">
        <v>38078.42</v>
      </c>
      <c r="P1159">
        <v>109.29</v>
      </c>
      <c r="Q1159">
        <v>204.14</v>
      </c>
      <c r="R1159">
        <v>24.14</v>
      </c>
      <c r="S1159">
        <v>17.37</v>
      </c>
      <c r="T1159">
        <v>1289.42</v>
      </c>
      <c r="U1159">
        <v>0.72</v>
      </c>
      <c r="V1159">
        <v>0.75</v>
      </c>
      <c r="W1159">
        <v>1.1399999999999999</v>
      </c>
      <c r="X1159">
        <v>7.0000000000000007E-2</v>
      </c>
      <c r="Y1159">
        <v>1</v>
      </c>
      <c r="Z1159">
        <v>10</v>
      </c>
    </row>
    <row r="1160" spans="1:26" x14ac:dyDescent="0.3">
      <c r="A1160">
        <v>88</v>
      </c>
      <c r="B1160">
        <v>135</v>
      </c>
      <c r="C1160" t="s">
        <v>26</v>
      </c>
      <c r="D1160">
        <v>10.1309</v>
      </c>
      <c r="E1160">
        <v>9.8699999999999992</v>
      </c>
      <c r="F1160">
        <v>6.76</v>
      </c>
      <c r="G1160">
        <v>81.180000000000007</v>
      </c>
      <c r="H1160">
        <v>1.33</v>
      </c>
      <c r="I1160">
        <v>5</v>
      </c>
      <c r="J1160">
        <v>307.38</v>
      </c>
      <c r="K1160">
        <v>59.89</v>
      </c>
      <c r="L1160">
        <v>23</v>
      </c>
      <c r="M1160">
        <v>3</v>
      </c>
      <c r="N1160">
        <v>89.5</v>
      </c>
      <c r="O1160">
        <v>38144.9</v>
      </c>
      <c r="P1160">
        <v>109.05</v>
      </c>
      <c r="Q1160">
        <v>204.14</v>
      </c>
      <c r="R1160">
        <v>24.13</v>
      </c>
      <c r="S1160">
        <v>17.37</v>
      </c>
      <c r="T1160">
        <v>1281.33</v>
      </c>
      <c r="U1160">
        <v>0.72</v>
      </c>
      <c r="V1160">
        <v>0.75</v>
      </c>
      <c r="W1160">
        <v>1.1399999999999999</v>
      </c>
      <c r="X1160">
        <v>7.0000000000000007E-2</v>
      </c>
      <c r="Y1160">
        <v>1</v>
      </c>
      <c r="Z1160">
        <v>10</v>
      </c>
    </row>
    <row r="1161" spans="1:26" x14ac:dyDescent="0.3">
      <c r="A1161">
        <v>89</v>
      </c>
      <c r="B1161">
        <v>135</v>
      </c>
      <c r="C1161" t="s">
        <v>26</v>
      </c>
      <c r="D1161">
        <v>10.135999999999999</v>
      </c>
      <c r="E1161">
        <v>9.8699999999999992</v>
      </c>
      <c r="F1161">
        <v>6.76</v>
      </c>
      <c r="G1161">
        <v>81.12</v>
      </c>
      <c r="H1161">
        <v>1.35</v>
      </c>
      <c r="I1161">
        <v>5</v>
      </c>
      <c r="J1161">
        <v>307.92</v>
      </c>
      <c r="K1161">
        <v>59.89</v>
      </c>
      <c r="L1161">
        <v>23.25</v>
      </c>
      <c r="M1161">
        <v>3</v>
      </c>
      <c r="N1161">
        <v>89.79</v>
      </c>
      <c r="O1161">
        <v>38211.5</v>
      </c>
      <c r="P1161">
        <v>108.76</v>
      </c>
      <c r="Q1161">
        <v>204.14</v>
      </c>
      <c r="R1161">
        <v>24.03</v>
      </c>
      <c r="S1161">
        <v>17.37</v>
      </c>
      <c r="T1161">
        <v>1231.96</v>
      </c>
      <c r="U1161">
        <v>0.72</v>
      </c>
      <c r="V1161">
        <v>0.76</v>
      </c>
      <c r="W1161">
        <v>1.1399999999999999</v>
      </c>
      <c r="X1161">
        <v>7.0000000000000007E-2</v>
      </c>
      <c r="Y1161">
        <v>1</v>
      </c>
      <c r="Z1161">
        <v>10</v>
      </c>
    </row>
    <row r="1162" spans="1:26" x14ac:dyDescent="0.3">
      <c r="A1162">
        <v>90</v>
      </c>
      <c r="B1162">
        <v>135</v>
      </c>
      <c r="C1162" t="s">
        <v>26</v>
      </c>
      <c r="D1162">
        <v>10.133699999999999</v>
      </c>
      <c r="E1162">
        <v>9.8699999999999992</v>
      </c>
      <c r="F1162">
        <v>6.76</v>
      </c>
      <c r="G1162">
        <v>81.150000000000006</v>
      </c>
      <c r="H1162">
        <v>1.36</v>
      </c>
      <c r="I1162">
        <v>5</v>
      </c>
      <c r="J1162">
        <v>308.45999999999998</v>
      </c>
      <c r="K1162">
        <v>59.89</v>
      </c>
      <c r="L1162">
        <v>23.5</v>
      </c>
      <c r="M1162">
        <v>3</v>
      </c>
      <c r="N1162">
        <v>90.08</v>
      </c>
      <c r="O1162">
        <v>38278.230000000003</v>
      </c>
      <c r="P1162">
        <v>108.59</v>
      </c>
      <c r="Q1162">
        <v>204.14</v>
      </c>
      <c r="R1162">
        <v>24.03</v>
      </c>
      <c r="S1162">
        <v>17.37</v>
      </c>
      <c r="T1162">
        <v>1233.48</v>
      </c>
      <c r="U1162">
        <v>0.72</v>
      </c>
      <c r="V1162">
        <v>0.76</v>
      </c>
      <c r="W1162">
        <v>1.1399999999999999</v>
      </c>
      <c r="X1162">
        <v>7.0000000000000007E-2</v>
      </c>
      <c r="Y1162">
        <v>1</v>
      </c>
      <c r="Z1162">
        <v>10</v>
      </c>
    </row>
    <row r="1163" spans="1:26" x14ac:dyDescent="0.3">
      <c r="A1163">
        <v>91</v>
      </c>
      <c r="B1163">
        <v>135</v>
      </c>
      <c r="C1163" t="s">
        <v>26</v>
      </c>
      <c r="D1163">
        <v>10.126899999999999</v>
      </c>
      <c r="E1163">
        <v>9.8699999999999992</v>
      </c>
      <c r="F1163">
        <v>6.77</v>
      </c>
      <c r="G1163">
        <v>81.23</v>
      </c>
      <c r="H1163">
        <v>1.37</v>
      </c>
      <c r="I1163">
        <v>5</v>
      </c>
      <c r="J1163">
        <v>309.01</v>
      </c>
      <c r="K1163">
        <v>59.89</v>
      </c>
      <c r="L1163">
        <v>23.75</v>
      </c>
      <c r="M1163">
        <v>3</v>
      </c>
      <c r="N1163">
        <v>90.37</v>
      </c>
      <c r="O1163">
        <v>38345.089999999997</v>
      </c>
      <c r="P1163">
        <v>108.41</v>
      </c>
      <c r="Q1163">
        <v>204.16</v>
      </c>
      <c r="R1163">
        <v>24.23</v>
      </c>
      <c r="S1163">
        <v>17.37</v>
      </c>
      <c r="T1163">
        <v>1333.77</v>
      </c>
      <c r="U1163">
        <v>0.72</v>
      </c>
      <c r="V1163">
        <v>0.75</v>
      </c>
      <c r="W1163">
        <v>1.1399999999999999</v>
      </c>
      <c r="X1163">
        <v>0.08</v>
      </c>
      <c r="Y1163">
        <v>1</v>
      </c>
      <c r="Z1163">
        <v>10</v>
      </c>
    </row>
    <row r="1164" spans="1:26" x14ac:dyDescent="0.3">
      <c r="A1164">
        <v>92</v>
      </c>
      <c r="B1164">
        <v>135</v>
      </c>
      <c r="C1164" t="s">
        <v>26</v>
      </c>
      <c r="D1164">
        <v>10.1311</v>
      </c>
      <c r="E1164">
        <v>9.8699999999999992</v>
      </c>
      <c r="F1164">
        <v>6.76</v>
      </c>
      <c r="G1164">
        <v>81.180000000000007</v>
      </c>
      <c r="H1164">
        <v>1.38</v>
      </c>
      <c r="I1164">
        <v>5</v>
      </c>
      <c r="J1164">
        <v>309.55</v>
      </c>
      <c r="K1164">
        <v>59.89</v>
      </c>
      <c r="L1164">
        <v>24</v>
      </c>
      <c r="M1164">
        <v>3</v>
      </c>
      <c r="N1164">
        <v>90.66</v>
      </c>
      <c r="O1164">
        <v>38412.07</v>
      </c>
      <c r="P1164">
        <v>108.14</v>
      </c>
      <c r="Q1164">
        <v>204.14</v>
      </c>
      <c r="R1164">
        <v>24.14</v>
      </c>
      <c r="S1164">
        <v>17.37</v>
      </c>
      <c r="T1164">
        <v>1287.5999999999999</v>
      </c>
      <c r="U1164">
        <v>0.72</v>
      </c>
      <c r="V1164">
        <v>0.75</v>
      </c>
      <c r="W1164">
        <v>1.1399999999999999</v>
      </c>
      <c r="X1164">
        <v>7.0000000000000007E-2</v>
      </c>
      <c r="Y1164">
        <v>1</v>
      </c>
      <c r="Z1164">
        <v>10</v>
      </c>
    </row>
    <row r="1165" spans="1:26" x14ac:dyDescent="0.3">
      <c r="A1165">
        <v>93</v>
      </c>
      <c r="B1165">
        <v>135</v>
      </c>
      <c r="C1165" t="s">
        <v>26</v>
      </c>
      <c r="D1165">
        <v>10.126899999999999</v>
      </c>
      <c r="E1165">
        <v>9.8699999999999992</v>
      </c>
      <c r="F1165">
        <v>6.77</v>
      </c>
      <c r="G1165">
        <v>81.23</v>
      </c>
      <c r="H1165">
        <v>1.39</v>
      </c>
      <c r="I1165">
        <v>5</v>
      </c>
      <c r="J1165">
        <v>310.08999999999997</v>
      </c>
      <c r="K1165">
        <v>59.89</v>
      </c>
      <c r="L1165">
        <v>24.25</v>
      </c>
      <c r="M1165">
        <v>3</v>
      </c>
      <c r="N1165">
        <v>90.96</v>
      </c>
      <c r="O1165">
        <v>38479.19</v>
      </c>
      <c r="P1165">
        <v>108.17</v>
      </c>
      <c r="Q1165">
        <v>204.16</v>
      </c>
      <c r="R1165">
        <v>24.28</v>
      </c>
      <c r="S1165">
        <v>17.37</v>
      </c>
      <c r="T1165">
        <v>1357.19</v>
      </c>
      <c r="U1165">
        <v>0.72</v>
      </c>
      <c r="V1165">
        <v>0.75</v>
      </c>
      <c r="W1165">
        <v>1.1399999999999999</v>
      </c>
      <c r="X1165">
        <v>0.08</v>
      </c>
      <c r="Y1165">
        <v>1</v>
      </c>
      <c r="Z1165">
        <v>10</v>
      </c>
    </row>
    <row r="1166" spans="1:26" x14ac:dyDescent="0.3">
      <c r="A1166">
        <v>94</v>
      </c>
      <c r="B1166">
        <v>135</v>
      </c>
      <c r="C1166" t="s">
        <v>26</v>
      </c>
      <c r="D1166">
        <v>10.1252</v>
      </c>
      <c r="E1166">
        <v>9.8800000000000008</v>
      </c>
      <c r="F1166">
        <v>6.77</v>
      </c>
      <c r="G1166">
        <v>81.25</v>
      </c>
      <c r="H1166">
        <v>1.41</v>
      </c>
      <c r="I1166">
        <v>5</v>
      </c>
      <c r="J1166">
        <v>310.64</v>
      </c>
      <c r="K1166">
        <v>59.89</v>
      </c>
      <c r="L1166">
        <v>24.5</v>
      </c>
      <c r="M1166">
        <v>3</v>
      </c>
      <c r="N1166">
        <v>91.25</v>
      </c>
      <c r="O1166">
        <v>38546.43</v>
      </c>
      <c r="P1166">
        <v>108.16</v>
      </c>
      <c r="Q1166">
        <v>204.14</v>
      </c>
      <c r="R1166">
        <v>24.32</v>
      </c>
      <c r="S1166">
        <v>17.37</v>
      </c>
      <c r="T1166">
        <v>1376.49</v>
      </c>
      <c r="U1166">
        <v>0.71</v>
      </c>
      <c r="V1166">
        <v>0.75</v>
      </c>
      <c r="W1166">
        <v>1.1399999999999999</v>
      </c>
      <c r="X1166">
        <v>0.08</v>
      </c>
      <c r="Y1166">
        <v>1</v>
      </c>
      <c r="Z1166">
        <v>10</v>
      </c>
    </row>
    <row r="1167" spans="1:26" x14ac:dyDescent="0.3">
      <c r="A1167">
        <v>95</v>
      </c>
      <c r="B1167">
        <v>135</v>
      </c>
      <c r="C1167" t="s">
        <v>26</v>
      </c>
      <c r="D1167">
        <v>10.121499999999999</v>
      </c>
      <c r="E1167">
        <v>9.8800000000000008</v>
      </c>
      <c r="F1167">
        <v>6.77</v>
      </c>
      <c r="G1167">
        <v>81.290000000000006</v>
      </c>
      <c r="H1167">
        <v>1.42</v>
      </c>
      <c r="I1167">
        <v>5</v>
      </c>
      <c r="J1167">
        <v>311.19</v>
      </c>
      <c r="K1167">
        <v>59.89</v>
      </c>
      <c r="L1167">
        <v>24.75</v>
      </c>
      <c r="M1167">
        <v>3</v>
      </c>
      <c r="N1167">
        <v>91.55</v>
      </c>
      <c r="O1167">
        <v>38613.800000000003</v>
      </c>
      <c r="P1167">
        <v>108.1</v>
      </c>
      <c r="Q1167">
        <v>204.14</v>
      </c>
      <c r="R1167">
        <v>24.42</v>
      </c>
      <c r="S1167">
        <v>17.37</v>
      </c>
      <c r="T1167">
        <v>1425.02</v>
      </c>
      <c r="U1167">
        <v>0.71</v>
      </c>
      <c r="V1167">
        <v>0.75</v>
      </c>
      <c r="W1167">
        <v>1.1499999999999999</v>
      </c>
      <c r="X1167">
        <v>0.08</v>
      </c>
      <c r="Y1167">
        <v>1</v>
      </c>
      <c r="Z1167">
        <v>10</v>
      </c>
    </row>
    <row r="1168" spans="1:26" x14ac:dyDescent="0.3">
      <c r="A1168">
        <v>96</v>
      </c>
      <c r="B1168">
        <v>135</v>
      </c>
      <c r="C1168" t="s">
        <v>26</v>
      </c>
      <c r="D1168">
        <v>10.1272</v>
      </c>
      <c r="E1168">
        <v>9.8699999999999992</v>
      </c>
      <c r="F1168">
        <v>6.77</v>
      </c>
      <c r="G1168">
        <v>81.22</v>
      </c>
      <c r="H1168">
        <v>1.43</v>
      </c>
      <c r="I1168">
        <v>5</v>
      </c>
      <c r="J1168">
        <v>311.73</v>
      </c>
      <c r="K1168">
        <v>59.89</v>
      </c>
      <c r="L1168">
        <v>25</v>
      </c>
      <c r="M1168">
        <v>3</v>
      </c>
      <c r="N1168">
        <v>91.85</v>
      </c>
      <c r="O1168">
        <v>38681.31</v>
      </c>
      <c r="P1168">
        <v>107.83</v>
      </c>
      <c r="Q1168">
        <v>204.14</v>
      </c>
      <c r="R1168">
        <v>24.36</v>
      </c>
      <c r="S1168">
        <v>17.37</v>
      </c>
      <c r="T1168">
        <v>1395.36</v>
      </c>
      <c r="U1168">
        <v>0.71</v>
      </c>
      <c r="V1168">
        <v>0.75</v>
      </c>
      <c r="W1168">
        <v>1.1399999999999999</v>
      </c>
      <c r="X1168">
        <v>0.08</v>
      </c>
      <c r="Y1168">
        <v>1</v>
      </c>
      <c r="Z1168">
        <v>10</v>
      </c>
    </row>
    <row r="1169" spans="1:26" x14ac:dyDescent="0.3">
      <c r="A1169">
        <v>97</v>
      </c>
      <c r="B1169">
        <v>135</v>
      </c>
      <c r="C1169" t="s">
        <v>26</v>
      </c>
      <c r="D1169">
        <v>10.129099999999999</v>
      </c>
      <c r="E1169">
        <v>9.8699999999999992</v>
      </c>
      <c r="F1169">
        <v>6.77</v>
      </c>
      <c r="G1169">
        <v>81.2</v>
      </c>
      <c r="H1169">
        <v>1.44</v>
      </c>
      <c r="I1169">
        <v>5</v>
      </c>
      <c r="J1169">
        <v>312.27999999999997</v>
      </c>
      <c r="K1169">
        <v>59.89</v>
      </c>
      <c r="L1169">
        <v>25.25</v>
      </c>
      <c r="M1169">
        <v>3</v>
      </c>
      <c r="N1169">
        <v>92.15</v>
      </c>
      <c r="O1169">
        <v>38749.07</v>
      </c>
      <c r="P1169">
        <v>107.53</v>
      </c>
      <c r="Q1169">
        <v>204.14</v>
      </c>
      <c r="R1169">
        <v>24.17</v>
      </c>
      <c r="S1169">
        <v>17.37</v>
      </c>
      <c r="T1169">
        <v>1301.3</v>
      </c>
      <c r="U1169">
        <v>0.72</v>
      </c>
      <c r="V1169">
        <v>0.75</v>
      </c>
      <c r="W1169">
        <v>1.1399999999999999</v>
      </c>
      <c r="X1169">
        <v>0.08</v>
      </c>
      <c r="Y1169">
        <v>1</v>
      </c>
      <c r="Z1169">
        <v>10</v>
      </c>
    </row>
    <row r="1170" spans="1:26" x14ac:dyDescent="0.3">
      <c r="A1170">
        <v>98</v>
      </c>
      <c r="B1170">
        <v>135</v>
      </c>
      <c r="C1170" t="s">
        <v>26</v>
      </c>
      <c r="D1170">
        <v>10.206099999999999</v>
      </c>
      <c r="E1170">
        <v>9.8000000000000007</v>
      </c>
      <c r="F1170">
        <v>6.74</v>
      </c>
      <c r="G1170">
        <v>101.14</v>
      </c>
      <c r="H1170">
        <v>1.45</v>
      </c>
      <c r="I1170">
        <v>4</v>
      </c>
      <c r="J1170">
        <v>312.83</v>
      </c>
      <c r="K1170">
        <v>59.89</v>
      </c>
      <c r="L1170">
        <v>25.5</v>
      </c>
      <c r="M1170">
        <v>2</v>
      </c>
      <c r="N1170">
        <v>92.44</v>
      </c>
      <c r="O1170">
        <v>38816.85</v>
      </c>
      <c r="P1170">
        <v>106.84</v>
      </c>
      <c r="Q1170">
        <v>204.14</v>
      </c>
      <c r="R1170">
        <v>23.47</v>
      </c>
      <c r="S1170">
        <v>17.37</v>
      </c>
      <c r="T1170">
        <v>955.13</v>
      </c>
      <c r="U1170">
        <v>0.74</v>
      </c>
      <c r="V1170">
        <v>0.76</v>
      </c>
      <c r="W1170">
        <v>1.1399999999999999</v>
      </c>
      <c r="X1170">
        <v>0.05</v>
      </c>
      <c r="Y1170">
        <v>1</v>
      </c>
      <c r="Z1170">
        <v>10</v>
      </c>
    </row>
    <row r="1171" spans="1:26" x14ac:dyDescent="0.3">
      <c r="A1171">
        <v>99</v>
      </c>
      <c r="B1171">
        <v>135</v>
      </c>
      <c r="C1171" t="s">
        <v>26</v>
      </c>
      <c r="D1171">
        <v>10.206099999999999</v>
      </c>
      <c r="E1171">
        <v>9.8000000000000007</v>
      </c>
      <c r="F1171">
        <v>6.74</v>
      </c>
      <c r="G1171">
        <v>101.14</v>
      </c>
      <c r="H1171">
        <v>1.46</v>
      </c>
      <c r="I1171">
        <v>4</v>
      </c>
      <c r="J1171">
        <v>313.38</v>
      </c>
      <c r="K1171">
        <v>59.89</v>
      </c>
      <c r="L1171">
        <v>25.75</v>
      </c>
      <c r="M1171">
        <v>2</v>
      </c>
      <c r="N1171">
        <v>92.75</v>
      </c>
      <c r="O1171">
        <v>38884.75</v>
      </c>
      <c r="P1171">
        <v>106.85</v>
      </c>
      <c r="Q1171">
        <v>204.14</v>
      </c>
      <c r="R1171">
        <v>23.44</v>
      </c>
      <c r="S1171">
        <v>17.37</v>
      </c>
      <c r="T1171">
        <v>944.83</v>
      </c>
      <c r="U1171">
        <v>0.74</v>
      </c>
      <c r="V1171">
        <v>0.76</v>
      </c>
      <c r="W1171">
        <v>1.1399999999999999</v>
      </c>
      <c r="X1171">
        <v>0.05</v>
      </c>
      <c r="Y1171">
        <v>1</v>
      </c>
      <c r="Z1171">
        <v>10</v>
      </c>
    </row>
    <row r="1172" spans="1:26" x14ac:dyDescent="0.3">
      <c r="A1172">
        <v>100</v>
      </c>
      <c r="B1172">
        <v>135</v>
      </c>
      <c r="C1172" t="s">
        <v>26</v>
      </c>
      <c r="D1172">
        <v>10.201499999999999</v>
      </c>
      <c r="E1172">
        <v>9.8000000000000007</v>
      </c>
      <c r="F1172">
        <v>6.75</v>
      </c>
      <c r="G1172">
        <v>101.21</v>
      </c>
      <c r="H1172">
        <v>1.48</v>
      </c>
      <c r="I1172">
        <v>4</v>
      </c>
      <c r="J1172">
        <v>313.93</v>
      </c>
      <c r="K1172">
        <v>59.89</v>
      </c>
      <c r="L1172">
        <v>26</v>
      </c>
      <c r="M1172">
        <v>2</v>
      </c>
      <c r="N1172">
        <v>93.05</v>
      </c>
      <c r="O1172">
        <v>38952.800000000003</v>
      </c>
      <c r="P1172">
        <v>107.09</v>
      </c>
      <c r="Q1172">
        <v>204.15</v>
      </c>
      <c r="R1172">
        <v>23.48</v>
      </c>
      <c r="S1172">
        <v>17.37</v>
      </c>
      <c r="T1172">
        <v>964</v>
      </c>
      <c r="U1172">
        <v>0.74</v>
      </c>
      <c r="V1172">
        <v>0.76</v>
      </c>
      <c r="W1172">
        <v>1.1499999999999999</v>
      </c>
      <c r="X1172">
        <v>0.06</v>
      </c>
      <c r="Y1172">
        <v>1</v>
      </c>
      <c r="Z1172">
        <v>10</v>
      </c>
    </row>
    <row r="1173" spans="1:26" x14ac:dyDescent="0.3">
      <c r="A1173">
        <v>101</v>
      </c>
      <c r="B1173">
        <v>135</v>
      </c>
      <c r="C1173" t="s">
        <v>26</v>
      </c>
      <c r="D1173">
        <v>10.2003</v>
      </c>
      <c r="E1173">
        <v>9.8000000000000007</v>
      </c>
      <c r="F1173">
        <v>6.75</v>
      </c>
      <c r="G1173">
        <v>101.22</v>
      </c>
      <c r="H1173">
        <v>1.49</v>
      </c>
      <c r="I1173">
        <v>4</v>
      </c>
      <c r="J1173">
        <v>314.49</v>
      </c>
      <c r="K1173">
        <v>59.89</v>
      </c>
      <c r="L1173">
        <v>26.25</v>
      </c>
      <c r="M1173">
        <v>2</v>
      </c>
      <c r="N1173">
        <v>93.35</v>
      </c>
      <c r="O1173">
        <v>39020.97</v>
      </c>
      <c r="P1173">
        <v>107.18</v>
      </c>
      <c r="Q1173">
        <v>204.15</v>
      </c>
      <c r="R1173">
        <v>23.55</v>
      </c>
      <c r="S1173">
        <v>17.37</v>
      </c>
      <c r="T1173">
        <v>996.87</v>
      </c>
      <c r="U1173">
        <v>0.74</v>
      </c>
      <c r="V1173">
        <v>0.76</v>
      </c>
      <c r="W1173">
        <v>1.1399999999999999</v>
      </c>
      <c r="X1173">
        <v>0.06</v>
      </c>
      <c r="Y1173">
        <v>1</v>
      </c>
      <c r="Z1173">
        <v>10</v>
      </c>
    </row>
    <row r="1174" spans="1:26" x14ac:dyDescent="0.3">
      <c r="A1174">
        <v>102</v>
      </c>
      <c r="B1174">
        <v>135</v>
      </c>
      <c r="C1174" t="s">
        <v>26</v>
      </c>
      <c r="D1174">
        <v>10.197699999999999</v>
      </c>
      <c r="E1174">
        <v>9.81</v>
      </c>
      <c r="F1174">
        <v>6.75</v>
      </c>
      <c r="G1174">
        <v>101.26</v>
      </c>
      <c r="H1174">
        <v>1.5</v>
      </c>
      <c r="I1174">
        <v>4</v>
      </c>
      <c r="J1174">
        <v>315.04000000000002</v>
      </c>
      <c r="K1174">
        <v>59.89</v>
      </c>
      <c r="L1174">
        <v>26.5</v>
      </c>
      <c r="M1174">
        <v>2</v>
      </c>
      <c r="N1174">
        <v>93.65</v>
      </c>
      <c r="O1174">
        <v>39089.29</v>
      </c>
      <c r="P1174">
        <v>107.4</v>
      </c>
      <c r="Q1174">
        <v>204.15</v>
      </c>
      <c r="R1174">
        <v>23.66</v>
      </c>
      <c r="S1174">
        <v>17.37</v>
      </c>
      <c r="T1174">
        <v>1053.4000000000001</v>
      </c>
      <c r="U1174">
        <v>0.73</v>
      </c>
      <c r="V1174">
        <v>0.76</v>
      </c>
      <c r="W1174">
        <v>1.1399999999999999</v>
      </c>
      <c r="X1174">
        <v>0.06</v>
      </c>
      <c r="Y1174">
        <v>1</v>
      </c>
      <c r="Z1174">
        <v>10</v>
      </c>
    </row>
    <row r="1175" spans="1:26" x14ac:dyDescent="0.3">
      <c r="A1175">
        <v>103</v>
      </c>
      <c r="B1175">
        <v>135</v>
      </c>
      <c r="C1175" t="s">
        <v>26</v>
      </c>
      <c r="D1175">
        <v>10.2006</v>
      </c>
      <c r="E1175">
        <v>9.8000000000000007</v>
      </c>
      <c r="F1175">
        <v>6.75</v>
      </c>
      <c r="G1175">
        <v>101.22</v>
      </c>
      <c r="H1175">
        <v>1.51</v>
      </c>
      <c r="I1175">
        <v>4</v>
      </c>
      <c r="J1175">
        <v>315.60000000000002</v>
      </c>
      <c r="K1175">
        <v>59.89</v>
      </c>
      <c r="L1175">
        <v>26.75</v>
      </c>
      <c r="M1175">
        <v>2</v>
      </c>
      <c r="N1175">
        <v>93.96</v>
      </c>
      <c r="O1175">
        <v>39157.74</v>
      </c>
      <c r="P1175">
        <v>107.49</v>
      </c>
      <c r="Q1175">
        <v>204.14</v>
      </c>
      <c r="R1175">
        <v>23.65</v>
      </c>
      <c r="S1175">
        <v>17.37</v>
      </c>
      <c r="T1175">
        <v>1046.44</v>
      </c>
      <c r="U1175">
        <v>0.73</v>
      </c>
      <c r="V1175">
        <v>0.76</v>
      </c>
      <c r="W1175">
        <v>1.1399999999999999</v>
      </c>
      <c r="X1175">
        <v>0.06</v>
      </c>
      <c r="Y1175">
        <v>1</v>
      </c>
      <c r="Z1175">
        <v>10</v>
      </c>
    </row>
    <row r="1176" spans="1:26" x14ac:dyDescent="0.3">
      <c r="A1176">
        <v>104</v>
      </c>
      <c r="B1176">
        <v>135</v>
      </c>
      <c r="C1176" t="s">
        <v>26</v>
      </c>
      <c r="D1176">
        <v>10.1983</v>
      </c>
      <c r="E1176">
        <v>9.81</v>
      </c>
      <c r="F1176">
        <v>6.75</v>
      </c>
      <c r="G1176">
        <v>101.25</v>
      </c>
      <c r="H1176">
        <v>1.52</v>
      </c>
      <c r="I1176">
        <v>4</v>
      </c>
      <c r="J1176">
        <v>316.14999999999998</v>
      </c>
      <c r="K1176">
        <v>59.89</v>
      </c>
      <c r="L1176">
        <v>27</v>
      </c>
      <c r="M1176">
        <v>2</v>
      </c>
      <c r="N1176">
        <v>94.26</v>
      </c>
      <c r="O1176">
        <v>39226.32</v>
      </c>
      <c r="P1176">
        <v>107.64</v>
      </c>
      <c r="Q1176">
        <v>204.14</v>
      </c>
      <c r="R1176">
        <v>23.67</v>
      </c>
      <c r="S1176">
        <v>17.37</v>
      </c>
      <c r="T1176">
        <v>1057.67</v>
      </c>
      <c r="U1176">
        <v>0.73</v>
      </c>
      <c r="V1176">
        <v>0.76</v>
      </c>
      <c r="W1176">
        <v>1.1399999999999999</v>
      </c>
      <c r="X1176">
        <v>0.06</v>
      </c>
      <c r="Y1176">
        <v>1</v>
      </c>
      <c r="Z1176">
        <v>10</v>
      </c>
    </row>
    <row r="1177" spans="1:26" x14ac:dyDescent="0.3">
      <c r="A1177">
        <v>105</v>
      </c>
      <c r="B1177">
        <v>135</v>
      </c>
      <c r="C1177" t="s">
        <v>26</v>
      </c>
      <c r="D1177">
        <v>10.1995</v>
      </c>
      <c r="E1177">
        <v>9.8000000000000007</v>
      </c>
      <c r="F1177">
        <v>6.75</v>
      </c>
      <c r="G1177">
        <v>101.24</v>
      </c>
      <c r="H1177">
        <v>1.53</v>
      </c>
      <c r="I1177">
        <v>4</v>
      </c>
      <c r="J1177">
        <v>316.70999999999998</v>
      </c>
      <c r="K1177">
        <v>59.89</v>
      </c>
      <c r="L1177">
        <v>27.25</v>
      </c>
      <c r="M1177">
        <v>2</v>
      </c>
      <c r="N1177">
        <v>94.57</v>
      </c>
      <c r="O1177">
        <v>39295.050000000003</v>
      </c>
      <c r="P1177">
        <v>107.74</v>
      </c>
      <c r="Q1177">
        <v>204.14</v>
      </c>
      <c r="R1177">
        <v>23.69</v>
      </c>
      <c r="S1177">
        <v>17.37</v>
      </c>
      <c r="T1177">
        <v>1069.3399999999999</v>
      </c>
      <c r="U1177">
        <v>0.73</v>
      </c>
      <c r="V1177">
        <v>0.76</v>
      </c>
      <c r="W1177">
        <v>1.1399999999999999</v>
      </c>
      <c r="X1177">
        <v>0.06</v>
      </c>
      <c r="Y1177">
        <v>1</v>
      </c>
      <c r="Z1177">
        <v>10</v>
      </c>
    </row>
    <row r="1178" spans="1:26" x14ac:dyDescent="0.3">
      <c r="A1178">
        <v>106</v>
      </c>
      <c r="B1178">
        <v>135</v>
      </c>
      <c r="C1178" t="s">
        <v>26</v>
      </c>
      <c r="D1178">
        <v>10.2026</v>
      </c>
      <c r="E1178">
        <v>9.8000000000000007</v>
      </c>
      <c r="F1178">
        <v>6.75</v>
      </c>
      <c r="G1178">
        <v>101.19</v>
      </c>
      <c r="H1178">
        <v>1.54</v>
      </c>
      <c r="I1178">
        <v>4</v>
      </c>
      <c r="J1178">
        <v>317.27</v>
      </c>
      <c r="K1178">
        <v>59.89</v>
      </c>
      <c r="L1178">
        <v>27.5</v>
      </c>
      <c r="M1178">
        <v>2</v>
      </c>
      <c r="N1178">
        <v>94.88</v>
      </c>
      <c r="O1178">
        <v>39363.910000000003</v>
      </c>
      <c r="P1178">
        <v>107.89</v>
      </c>
      <c r="Q1178">
        <v>204.14</v>
      </c>
      <c r="R1178">
        <v>23.6</v>
      </c>
      <c r="S1178">
        <v>17.37</v>
      </c>
      <c r="T1178">
        <v>1020.38</v>
      </c>
      <c r="U1178">
        <v>0.74</v>
      </c>
      <c r="V1178">
        <v>0.76</v>
      </c>
      <c r="W1178">
        <v>1.1399999999999999</v>
      </c>
      <c r="X1178">
        <v>0.06</v>
      </c>
      <c r="Y1178">
        <v>1</v>
      </c>
      <c r="Z1178">
        <v>10</v>
      </c>
    </row>
    <row r="1179" spans="1:26" x14ac:dyDescent="0.3">
      <c r="A1179">
        <v>107</v>
      </c>
      <c r="B1179">
        <v>135</v>
      </c>
      <c r="C1179" t="s">
        <v>26</v>
      </c>
      <c r="D1179">
        <v>10.203799999999999</v>
      </c>
      <c r="E1179">
        <v>9.8000000000000007</v>
      </c>
      <c r="F1179">
        <v>6.75</v>
      </c>
      <c r="G1179">
        <v>101.17</v>
      </c>
      <c r="H1179">
        <v>1.56</v>
      </c>
      <c r="I1179">
        <v>4</v>
      </c>
      <c r="J1179">
        <v>317.83</v>
      </c>
      <c r="K1179">
        <v>59.89</v>
      </c>
      <c r="L1179">
        <v>27.75</v>
      </c>
      <c r="M1179">
        <v>2</v>
      </c>
      <c r="N1179">
        <v>95.19</v>
      </c>
      <c r="O1179">
        <v>39432.92</v>
      </c>
      <c r="P1179">
        <v>107.88</v>
      </c>
      <c r="Q1179">
        <v>204.14</v>
      </c>
      <c r="R1179">
        <v>23.52</v>
      </c>
      <c r="S1179">
        <v>17.37</v>
      </c>
      <c r="T1179">
        <v>983.67</v>
      </c>
      <c r="U1179">
        <v>0.74</v>
      </c>
      <c r="V1179">
        <v>0.76</v>
      </c>
      <c r="W1179">
        <v>1.1399999999999999</v>
      </c>
      <c r="X1179">
        <v>0.05</v>
      </c>
      <c r="Y1179">
        <v>1</v>
      </c>
      <c r="Z1179">
        <v>10</v>
      </c>
    </row>
    <row r="1180" spans="1:26" x14ac:dyDescent="0.3">
      <c r="A1180">
        <v>108</v>
      </c>
      <c r="B1180">
        <v>135</v>
      </c>
      <c r="C1180" t="s">
        <v>26</v>
      </c>
      <c r="D1180">
        <v>10.207599999999999</v>
      </c>
      <c r="E1180">
        <v>9.8000000000000007</v>
      </c>
      <c r="F1180">
        <v>6.74</v>
      </c>
      <c r="G1180">
        <v>101.12</v>
      </c>
      <c r="H1180">
        <v>1.57</v>
      </c>
      <c r="I1180">
        <v>4</v>
      </c>
      <c r="J1180">
        <v>318.39</v>
      </c>
      <c r="K1180">
        <v>59.89</v>
      </c>
      <c r="L1180">
        <v>28</v>
      </c>
      <c r="M1180">
        <v>2</v>
      </c>
      <c r="N1180">
        <v>95.5</v>
      </c>
      <c r="O1180">
        <v>39502.07</v>
      </c>
      <c r="P1180">
        <v>107.98</v>
      </c>
      <c r="Q1180">
        <v>204.14</v>
      </c>
      <c r="R1180">
        <v>23.43</v>
      </c>
      <c r="S1180">
        <v>17.37</v>
      </c>
      <c r="T1180">
        <v>938.94</v>
      </c>
      <c r="U1180">
        <v>0.74</v>
      </c>
      <c r="V1180">
        <v>0.76</v>
      </c>
      <c r="W1180">
        <v>1.1399999999999999</v>
      </c>
      <c r="X1180">
        <v>0.05</v>
      </c>
      <c r="Y1180">
        <v>1</v>
      </c>
      <c r="Z1180">
        <v>10</v>
      </c>
    </row>
    <row r="1181" spans="1:26" x14ac:dyDescent="0.3">
      <c r="A1181">
        <v>109</v>
      </c>
      <c r="B1181">
        <v>135</v>
      </c>
      <c r="C1181" t="s">
        <v>26</v>
      </c>
      <c r="D1181">
        <v>10.2006</v>
      </c>
      <c r="E1181">
        <v>9.8000000000000007</v>
      </c>
      <c r="F1181">
        <v>6.75</v>
      </c>
      <c r="G1181">
        <v>101.22</v>
      </c>
      <c r="H1181">
        <v>1.58</v>
      </c>
      <c r="I1181">
        <v>4</v>
      </c>
      <c r="J1181">
        <v>318.95</v>
      </c>
      <c r="K1181">
        <v>59.89</v>
      </c>
      <c r="L1181">
        <v>28.25</v>
      </c>
      <c r="M1181">
        <v>2</v>
      </c>
      <c r="N1181">
        <v>95.81</v>
      </c>
      <c r="O1181">
        <v>39571.360000000001</v>
      </c>
      <c r="P1181">
        <v>108.08</v>
      </c>
      <c r="Q1181">
        <v>204.14</v>
      </c>
      <c r="R1181">
        <v>23.53</v>
      </c>
      <c r="S1181">
        <v>17.37</v>
      </c>
      <c r="T1181">
        <v>985.02</v>
      </c>
      <c r="U1181">
        <v>0.74</v>
      </c>
      <c r="V1181">
        <v>0.76</v>
      </c>
      <c r="W1181">
        <v>1.1399999999999999</v>
      </c>
      <c r="X1181">
        <v>0.06</v>
      </c>
      <c r="Y1181">
        <v>1</v>
      </c>
      <c r="Z1181">
        <v>10</v>
      </c>
    </row>
    <row r="1182" spans="1:26" x14ac:dyDescent="0.3">
      <c r="A1182">
        <v>110</v>
      </c>
      <c r="B1182">
        <v>135</v>
      </c>
      <c r="C1182" t="s">
        <v>26</v>
      </c>
      <c r="D1182">
        <v>10.2041</v>
      </c>
      <c r="E1182">
        <v>9.8000000000000007</v>
      </c>
      <c r="F1182">
        <v>6.74</v>
      </c>
      <c r="G1182">
        <v>101.17</v>
      </c>
      <c r="H1182">
        <v>1.59</v>
      </c>
      <c r="I1182">
        <v>4</v>
      </c>
      <c r="J1182">
        <v>319.51</v>
      </c>
      <c r="K1182">
        <v>59.89</v>
      </c>
      <c r="L1182">
        <v>28.5</v>
      </c>
      <c r="M1182">
        <v>2</v>
      </c>
      <c r="N1182">
        <v>96.13</v>
      </c>
      <c r="O1182">
        <v>39640.79</v>
      </c>
      <c r="P1182">
        <v>108.05</v>
      </c>
      <c r="Q1182">
        <v>204.17</v>
      </c>
      <c r="R1182">
        <v>23.52</v>
      </c>
      <c r="S1182">
        <v>17.37</v>
      </c>
      <c r="T1182">
        <v>981.6</v>
      </c>
      <c r="U1182">
        <v>0.74</v>
      </c>
      <c r="V1182">
        <v>0.76</v>
      </c>
      <c r="W1182">
        <v>1.1399999999999999</v>
      </c>
      <c r="X1182">
        <v>0.05</v>
      </c>
      <c r="Y1182">
        <v>1</v>
      </c>
      <c r="Z1182">
        <v>10</v>
      </c>
    </row>
    <row r="1183" spans="1:26" x14ac:dyDescent="0.3">
      <c r="A1183">
        <v>111</v>
      </c>
      <c r="B1183">
        <v>135</v>
      </c>
      <c r="C1183" t="s">
        <v>26</v>
      </c>
      <c r="D1183">
        <v>10.1989</v>
      </c>
      <c r="E1183">
        <v>9.8000000000000007</v>
      </c>
      <c r="F1183">
        <v>6.75</v>
      </c>
      <c r="G1183">
        <v>101.25</v>
      </c>
      <c r="H1183">
        <v>1.6</v>
      </c>
      <c r="I1183">
        <v>4</v>
      </c>
      <c r="J1183">
        <v>320.08</v>
      </c>
      <c r="K1183">
        <v>59.89</v>
      </c>
      <c r="L1183">
        <v>28.75</v>
      </c>
      <c r="M1183">
        <v>2</v>
      </c>
      <c r="N1183">
        <v>96.44</v>
      </c>
      <c r="O1183">
        <v>39710.36</v>
      </c>
      <c r="P1183">
        <v>108.14</v>
      </c>
      <c r="Q1183">
        <v>204.14</v>
      </c>
      <c r="R1183">
        <v>23.69</v>
      </c>
      <c r="S1183">
        <v>17.37</v>
      </c>
      <c r="T1183">
        <v>1065.1099999999999</v>
      </c>
      <c r="U1183">
        <v>0.73</v>
      </c>
      <c r="V1183">
        <v>0.76</v>
      </c>
      <c r="W1183">
        <v>1.1399999999999999</v>
      </c>
      <c r="X1183">
        <v>0.06</v>
      </c>
      <c r="Y1183">
        <v>1</v>
      </c>
      <c r="Z1183">
        <v>10</v>
      </c>
    </row>
    <row r="1184" spans="1:26" x14ac:dyDescent="0.3">
      <c r="A1184">
        <v>112</v>
      </c>
      <c r="B1184">
        <v>135</v>
      </c>
      <c r="C1184" t="s">
        <v>26</v>
      </c>
      <c r="D1184">
        <v>10.1997</v>
      </c>
      <c r="E1184">
        <v>9.8000000000000007</v>
      </c>
      <c r="F1184">
        <v>6.75</v>
      </c>
      <c r="G1184">
        <v>101.23</v>
      </c>
      <c r="H1184">
        <v>1.61</v>
      </c>
      <c r="I1184">
        <v>4</v>
      </c>
      <c r="J1184">
        <v>320.64</v>
      </c>
      <c r="K1184">
        <v>59.89</v>
      </c>
      <c r="L1184">
        <v>29</v>
      </c>
      <c r="M1184">
        <v>2</v>
      </c>
      <c r="N1184">
        <v>96.75</v>
      </c>
      <c r="O1184">
        <v>39780.080000000002</v>
      </c>
      <c r="P1184">
        <v>108.16</v>
      </c>
      <c r="Q1184">
        <v>204.18</v>
      </c>
      <c r="R1184">
        <v>23.67</v>
      </c>
      <c r="S1184">
        <v>17.37</v>
      </c>
      <c r="T1184">
        <v>1058.46</v>
      </c>
      <c r="U1184">
        <v>0.73</v>
      </c>
      <c r="V1184">
        <v>0.76</v>
      </c>
      <c r="W1184">
        <v>1.1399999999999999</v>
      </c>
      <c r="X1184">
        <v>0.06</v>
      </c>
      <c r="Y1184">
        <v>1</v>
      </c>
      <c r="Z1184">
        <v>10</v>
      </c>
    </row>
    <row r="1185" spans="1:26" x14ac:dyDescent="0.3">
      <c r="A1185">
        <v>113</v>
      </c>
      <c r="B1185">
        <v>135</v>
      </c>
      <c r="C1185" t="s">
        <v>26</v>
      </c>
      <c r="D1185">
        <v>10.1966</v>
      </c>
      <c r="E1185">
        <v>9.81</v>
      </c>
      <c r="F1185">
        <v>6.75</v>
      </c>
      <c r="G1185">
        <v>101.28</v>
      </c>
      <c r="H1185">
        <v>1.62</v>
      </c>
      <c r="I1185">
        <v>4</v>
      </c>
      <c r="J1185">
        <v>321.20999999999998</v>
      </c>
      <c r="K1185">
        <v>59.89</v>
      </c>
      <c r="L1185">
        <v>29.25</v>
      </c>
      <c r="M1185">
        <v>2</v>
      </c>
      <c r="N1185">
        <v>97.07</v>
      </c>
      <c r="O1185">
        <v>39849.949999999997</v>
      </c>
      <c r="P1185">
        <v>108.15</v>
      </c>
      <c r="Q1185">
        <v>204.14</v>
      </c>
      <c r="R1185">
        <v>23.76</v>
      </c>
      <c r="S1185">
        <v>17.37</v>
      </c>
      <c r="T1185">
        <v>1103.8499999999999</v>
      </c>
      <c r="U1185">
        <v>0.73</v>
      </c>
      <c r="V1185">
        <v>0.76</v>
      </c>
      <c r="W1185">
        <v>1.1399999999999999</v>
      </c>
      <c r="X1185">
        <v>0.06</v>
      </c>
      <c r="Y1185">
        <v>1</v>
      </c>
      <c r="Z1185">
        <v>10</v>
      </c>
    </row>
    <row r="1186" spans="1:26" x14ac:dyDescent="0.3">
      <c r="A1186">
        <v>114</v>
      </c>
      <c r="B1186">
        <v>135</v>
      </c>
      <c r="C1186" t="s">
        <v>26</v>
      </c>
      <c r="D1186">
        <v>10.2003</v>
      </c>
      <c r="E1186">
        <v>9.8000000000000007</v>
      </c>
      <c r="F1186">
        <v>6.75</v>
      </c>
      <c r="G1186">
        <v>101.22</v>
      </c>
      <c r="H1186">
        <v>1.63</v>
      </c>
      <c r="I1186">
        <v>4</v>
      </c>
      <c r="J1186">
        <v>321.77999999999997</v>
      </c>
      <c r="K1186">
        <v>59.89</v>
      </c>
      <c r="L1186">
        <v>29.5</v>
      </c>
      <c r="M1186">
        <v>2</v>
      </c>
      <c r="N1186">
        <v>97.39</v>
      </c>
      <c r="O1186">
        <v>39919.96</v>
      </c>
      <c r="P1186">
        <v>108.12</v>
      </c>
      <c r="Q1186">
        <v>204.14</v>
      </c>
      <c r="R1186">
        <v>23.68</v>
      </c>
      <c r="S1186">
        <v>17.37</v>
      </c>
      <c r="T1186">
        <v>1060.58</v>
      </c>
      <c r="U1186">
        <v>0.73</v>
      </c>
      <c r="V1186">
        <v>0.76</v>
      </c>
      <c r="W1186">
        <v>1.1399999999999999</v>
      </c>
      <c r="X1186">
        <v>0.06</v>
      </c>
      <c r="Y1186">
        <v>1</v>
      </c>
      <c r="Z1186">
        <v>10</v>
      </c>
    </row>
    <row r="1187" spans="1:26" x14ac:dyDescent="0.3">
      <c r="A1187">
        <v>115</v>
      </c>
      <c r="B1187">
        <v>135</v>
      </c>
      <c r="C1187" t="s">
        <v>26</v>
      </c>
      <c r="D1187">
        <v>10.203200000000001</v>
      </c>
      <c r="E1187">
        <v>9.8000000000000007</v>
      </c>
      <c r="F1187">
        <v>6.75</v>
      </c>
      <c r="G1187">
        <v>101.18</v>
      </c>
      <c r="H1187">
        <v>1.64</v>
      </c>
      <c r="I1187">
        <v>4</v>
      </c>
      <c r="J1187">
        <v>322.33999999999997</v>
      </c>
      <c r="K1187">
        <v>59.89</v>
      </c>
      <c r="L1187">
        <v>29.75</v>
      </c>
      <c r="M1187">
        <v>2</v>
      </c>
      <c r="N1187">
        <v>97.71</v>
      </c>
      <c r="O1187">
        <v>39990.120000000003</v>
      </c>
      <c r="P1187">
        <v>108</v>
      </c>
      <c r="Q1187">
        <v>204.14</v>
      </c>
      <c r="R1187">
        <v>23.56</v>
      </c>
      <c r="S1187">
        <v>17.37</v>
      </c>
      <c r="T1187">
        <v>1002.97</v>
      </c>
      <c r="U1187">
        <v>0.74</v>
      </c>
      <c r="V1187">
        <v>0.76</v>
      </c>
      <c r="W1187">
        <v>1.1399999999999999</v>
      </c>
      <c r="X1187">
        <v>0.05</v>
      </c>
      <c r="Y1187">
        <v>1</v>
      </c>
      <c r="Z1187">
        <v>10</v>
      </c>
    </row>
    <row r="1188" spans="1:26" x14ac:dyDescent="0.3">
      <c r="A1188">
        <v>116</v>
      </c>
      <c r="B1188">
        <v>135</v>
      </c>
      <c r="C1188" t="s">
        <v>26</v>
      </c>
      <c r="D1188">
        <v>10.201499999999999</v>
      </c>
      <c r="E1188">
        <v>9.8000000000000007</v>
      </c>
      <c r="F1188">
        <v>6.75</v>
      </c>
      <c r="G1188">
        <v>101.21</v>
      </c>
      <c r="H1188">
        <v>1.66</v>
      </c>
      <c r="I1188">
        <v>4</v>
      </c>
      <c r="J1188">
        <v>322.91000000000003</v>
      </c>
      <c r="K1188">
        <v>59.89</v>
      </c>
      <c r="L1188">
        <v>30</v>
      </c>
      <c r="M1188">
        <v>2</v>
      </c>
      <c r="N1188">
        <v>98.03</v>
      </c>
      <c r="O1188">
        <v>40060.43</v>
      </c>
      <c r="P1188">
        <v>108.06</v>
      </c>
      <c r="Q1188">
        <v>204.14</v>
      </c>
      <c r="R1188">
        <v>23.6</v>
      </c>
      <c r="S1188">
        <v>17.37</v>
      </c>
      <c r="T1188">
        <v>1020.85</v>
      </c>
      <c r="U1188">
        <v>0.74</v>
      </c>
      <c r="V1188">
        <v>0.76</v>
      </c>
      <c r="W1188">
        <v>1.1399999999999999</v>
      </c>
      <c r="X1188">
        <v>0.06</v>
      </c>
      <c r="Y1188">
        <v>1</v>
      </c>
      <c r="Z1188">
        <v>10</v>
      </c>
    </row>
    <row r="1189" spans="1:26" x14ac:dyDescent="0.3">
      <c r="A1189">
        <v>117</v>
      </c>
      <c r="B1189">
        <v>135</v>
      </c>
      <c r="C1189" t="s">
        <v>26</v>
      </c>
      <c r="D1189">
        <v>10.200900000000001</v>
      </c>
      <c r="E1189">
        <v>9.8000000000000007</v>
      </c>
      <c r="F1189">
        <v>6.75</v>
      </c>
      <c r="G1189">
        <v>101.22</v>
      </c>
      <c r="H1189">
        <v>1.67</v>
      </c>
      <c r="I1189">
        <v>4</v>
      </c>
      <c r="J1189">
        <v>323.49</v>
      </c>
      <c r="K1189">
        <v>59.89</v>
      </c>
      <c r="L1189">
        <v>30.25</v>
      </c>
      <c r="M1189">
        <v>2</v>
      </c>
      <c r="N1189">
        <v>98.35</v>
      </c>
      <c r="O1189">
        <v>40131.01</v>
      </c>
      <c r="P1189">
        <v>108.04</v>
      </c>
      <c r="Q1189">
        <v>204.14</v>
      </c>
      <c r="R1189">
        <v>23.57</v>
      </c>
      <c r="S1189">
        <v>17.37</v>
      </c>
      <c r="T1189">
        <v>1008.72</v>
      </c>
      <c r="U1189">
        <v>0.74</v>
      </c>
      <c r="V1189">
        <v>0.76</v>
      </c>
      <c r="W1189">
        <v>1.1399999999999999</v>
      </c>
      <c r="X1189">
        <v>0.06</v>
      </c>
      <c r="Y1189">
        <v>1</v>
      </c>
      <c r="Z1189">
        <v>10</v>
      </c>
    </row>
    <row r="1190" spans="1:26" x14ac:dyDescent="0.3">
      <c r="A1190">
        <v>118</v>
      </c>
      <c r="B1190">
        <v>135</v>
      </c>
      <c r="C1190" t="s">
        <v>26</v>
      </c>
      <c r="D1190">
        <v>10.205500000000001</v>
      </c>
      <c r="E1190">
        <v>9.8000000000000007</v>
      </c>
      <c r="F1190">
        <v>6.74</v>
      </c>
      <c r="G1190">
        <v>101.15</v>
      </c>
      <c r="H1190">
        <v>1.68</v>
      </c>
      <c r="I1190">
        <v>4</v>
      </c>
      <c r="J1190">
        <v>324.06</v>
      </c>
      <c r="K1190">
        <v>59.89</v>
      </c>
      <c r="L1190">
        <v>30.5</v>
      </c>
      <c r="M1190">
        <v>2</v>
      </c>
      <c r="N1190">
        <v>98.67</v>
      </c>
      <c r="O1190">
        <v>40201.620000000003</v>
      </c>
      <c r="P1190">
        <v>107.9</v>
      </c>
      <c r="Q1190">
        <v>204.14</v>
      </c>
      <c r="R1190">
        <v>23.42</v>
      </c>
      <c r="S1190">
        <v>17.37</v>
      </c>
      <c r="T1190">
        <v>931.94</v>
      </c>
      <c r="U1190">
        <v>0.74</v>
      </c>
      <c r="V1190">
        <v>0.76</v>
      </c>
      <c r="W1190">
        <v>1.1399999999999999</v>
      </c>
      <c r="X1190">
        <v>0.05</v>
      </c>
      <c r="Y1190">
        <v>1</v>
      </c>
      <c r="Z1190">
        <v>10</v>
      </c>
    </row>
    <row r="1191" spans="1:26" x14ac:dyDescent="0.3">
      <c r="A1191">
        <v>119</v>
      </c>
      <c r="B1191">
        <v>135</v>
      </c>
      <c r="C1191" t="s">
        <v>26</v>
      </c>
      <c r="D1191">
        <v>10.209</v>
      </c>
      <c r="E1191">
        <v>9.8000000000000007</v>
      </c>
      <c r="F1191">
        <v>6.74</v>
      </c>
      <c r="G1191">
        <v>101.1</v>
      </c>
      <c r="H1191">
        <v>1.69</v>
      </c>
      <c r="I1191">
        <v>4</v>
      </c>
      <c r="J1191">
        <v>324.63</v>
      </c>
      <c r="K1191">
        <v>59.89</v>
      </c>
      <c r="L1191">
        <v>30.75</v>
      </c>
      <c r="M1191">
        <v>2</v>
      </c>
      <c r="N1191">
        <v>99</v>
      </c>
      <c r="O1191">
        <v>40272.379999999997</v>
      </c>
      <c r="P1191">
        <v>107.78</v>
      </c>
      <c r="Q1191">
        <v>204.14</v>
      </c>
      <c r="R1191">
        <v>23.34</v>
      </c>
      <c r="S1191">
        <v>17.37</v>
      </c>
      <c r="T1191">
        <v>892.62</v>
      </c>
      <c r="U1191">
        <v>0.74</v>
      </c>
      <c r="V1191">
        <v>0.76</v>
      </c>
      <c r="W1191">
        <v>1.1399999999999999</v>
      </c>
      <c r="X1191">
        <v>0.05</v>
      </c>
      <c r="Y1191">
        <v>1</v>
      </c>
      <c r="Z1191">
        <v>10</v>
      </c>
    </row>
    <row r="1192" spans="1:26" x14ac:dyDescent="0.3">
      <c r="A1192">
        <v>120</v>
      </c>
      <c r="B1192">
        <v>135</v>
      </c>
      <c r="C1192" t="s">
        <v>26</v>
      </c>
      <c r="D1192">
        <v>10.205500000000001</v>
      </c>
      <c r="E1192">
        <v>9.8000000000000007</v>
      </c>
      <c r="F1192">
        <v>6.74</v>
      </c>
      <c r="G1192">
        <v>101.15</v>
      </c>
      <c r="H1192">
        <v>1.7</v>
      </c>
      <c r="I1192">
        <v>4</v>
      </c>
      <c r="J1192">
        <v>325.20999999999998</v>
      </c>
      <c r="K1192">
        <v>59.89</v>
      </c>
      <c r="L1192">
        <v>31</v>
      </c>
      <c r="M1192">
        <v>2</v>
      </c>
      <c r="N1192">
        <v>99.32</v>
      </c>
      <c r="O1192">
        <v>40343.29</v>
      </c>
      <c r="P1192">
        <v>107.75</v>
      </c>
      <c r="Q1192">
        <v>204.15</v>
      </c>
      <c r="R1192">
        <v>23.47</v>
      </c>
      <c r="S1192">
        <v>17.37</v>
      </c>
      <c r="T1192">
        <v>958.11</v>
      </c>
      <c r="U1192">
        <v>0.74</v>
      </c>
      <c r="V1192">
        <v>0.76</v>
      </c>
      <c r="W1192">
        <v>1.1399999999999999</v>
      </c>
      <c r="X1192">
        <v>0.05</v>
      </c>
      <c r="Y1192">
        <v>1</v>
      </c>
      <c r="Z1192">
        <v>10</v>
      </c>
    </row>
    <row r="1193" spans="1:26" x14ac:dyDescent="0.3">
      <c r="A1193">
        <v>121</v>
      </c>
      <c r="B1193">
        <v>135</v>
      </c>
      <c r="C1193" t="s">
        <v>26</v>
      </c>
      <c r="D1193">
        <v>10.205500000000001</v>
      </c>
      <c r="E1193">
        <v>9.8000000000000007</v>
      </c>
      <c r="F1193">
        <v>6.74</v>
      </c>
      <c r="G1193">
        <v>101.15</v>
      </c>
      <c r="H1193">
        <v>1.71</v>
      </c>
      <c r="I1193">
        <v>4</v>
      </c>
      <c r="J1193">
        <v>325.77999999999997</v>
      </c>
      <c r="K1193">
        <v>59.89</v>
      </c>
      <c r="L1193">
        <v>31.25</v>
      </c>
      <c r="M1193">
        <v>2</v>
      </c>
      <c r="N1193">
        <v>99.65</v>
      </c>
      <c r="O1193">
        <v>40414.36</v>
      </c>
      <c r="P1193">
        <v>107.62</v>
      </c>
      <c r="Q1193">
        <v>204.14</v>
      </c>
      <c r="R1193">
        <v>23.49</v>
      </c>
      <c r="S1193">
        <v>17.37</v>
      </c>
      <c r="T1193">
        <v>965.48</v>
      </c>
      <c r="U1193">
        <v>0.74</v>
      </c>
      <c r="V1193">
        <v>0.76</v>
      </c>
      <c r="W1193">
        <v>1.1399999999999999</v>
      </c>
      <c r="X1193">
        <v>0.05</v>
      </c>
      <c r="Y1193">
        <v>1</v>
      </c>
      <c r="Z1193">
        <v>10</v>
      </c>
    </row>
    <row r="1194" spans="1:26" x14ac:dyDescent="0.3">
      <c r="A1194">
        <v>122</v>
      </c>
      <c r="B1194">
        <v>135</v>
      </c>
      <c r="C1194" t="s">
        <v>26</v>
      </c>
      <c r="D1194">
        <v>10.2067</v>
      </c>
      <c r="E1194">
        <v>9.8000000000000007</v>
      </c>
      <c r="F1194">
        <v>6.74</v>
      </c>
      <c r="G1194">
        <v>101.13</v>
      </c>
      <c r="H1194">
        <v>1.72</v>
      </c>
      <c r="I1194">
        <v>4</v>
      </c>
      <c r="J1194">
        <v>326.36</v>
      </c>
      <c r="K1194">
        <v>59.89</v>
      </c>
      <c r="L1194">
        <v>31.5</v>
      </c>
      <c r="M1194">
        <v>2</v>
      </c>
      <c r="N1194">
        <v>99.97</v>
      </c>
      <c r="O1194">
        <v>40485.58</v>
      </c>
      <c r="P1194">
        <v>107.5</v>
      </c>
      <c r="Q1194">
        <v>204.14</v>
      </c>
      <c r="R1194">
        <v>23.41</v>
      </c>
      <c r="S1194">
        <v>17.37</v>
      </c>
      <c r="T1194">
        <v>928.75</v>
      </c>
      <c r="U1194">
        <v>0.74</v>
      </c>
      <c r="V1194">
        <v>0.76</v>
      </c>
      <c r="W1194">
        <v>1.1399999999999999</v>
      </c>
      <c r="X1194">
        <v>0.05</v>
      </c>
      <c r="Y1194">
        <v>1</v>
      </c>
      <c r="Z1194">
        <v>10</v>
      </c>
    </row>
    <row r="1195" spans="1:26" x14ac:dyDescent="0.3">
      <c r="A1195">
        <v>123</v>
      </c>
      <c r="B1195">
        <v>135</v>
      </c>
      <c r="C1195" t="s">
        <v>26</v>
      </c>
      <c r="D1195">
        <v>10.206099999999999</v>
      </c>
      <c r="E1195">
        <v>9.8000000000000007</v>
      </c>
      <c r="F1195">
        <v>6.74</v>
      </c>
      <c r="G1195">
        <v>101.14</v>
      </c>
      <c r="H1195">
        <v>1.73</v>
      </c>
      <c r="I1195">
        <v>4</v>
      </c>
      <c r="J1195">
        <v>326.94</v>
      </c>
      <c r="K1195">
        <v>59.89</v>
      </c>
      <c r="L1195">
        <v>31.75</v>
      </c>
      <c r="M1195">
        <v>2</v>
      </c>
      <c r="N1195">
        <v>100.3</v>
      </c>
      <c r="O1195">
        <v>40556.959999999999</v>
      </c>
      <c r="P1195">
        <v>107.48</v>
      </c>
      <c r="Q1195">
        <v>204.14</v>
      </c>
      <c r="R1195">
        <v>23.4</v>
      </c>
      <c r="S1195">
        <v>17.37</v>
      </c>
      <c r="T1195">
        <v>922.47</v>
      </c>
      <c r="U1195">
        <v>0.74</v>
      </c>
      <c r="V1195">
        <v>0.76</v>
      </c>
      <c r="W1195">
        <v>1.1399999999999999</v>
      </c>
      <c r="X1195">
        <v>0.05</v>
      </c>
      <c r="Y1195">
        <v>1</v>
      </c>
      <c r="Z1195">
        <v>10</v>
      </c>
    </row>
    <row r="1196" spans="1:26" x14ac:dyDescent="0.3">
      <c r="A1196">
        <v>124</v>
      </c>
      <c r="B1196">
        <v>135</v>
      </c>
      <c r="C1196" t="s">
        <v>26</v>
      </c>
      <c r="D1196">
        <v>10.207800000000001</v>
      </c>
      <c r="E1196">
        <v>9.8000000000000007</v>
      </c>
      <c r="F1196">
        <v>6.74</v>
      </c>
      <c r="G1196">
        <v>101.12</v>
      </c>
      <c r="H1196">
        <v>1.74</v>
      </c>
      <c r="I1196">
        <v>4</v>
      </c>
      <c r="J1196">
        <v>327.52</v>
      </c>
      <c r="K1196">
        <v>59.89</v>
      </c>
      <c r="L1196">
        <v>32</v>
      </c>
      <c r="M1196">
        <v>2</v>
      </c>
      <c r="N1196">
        <v>100.63</v>
      </c>
      <c r="O1196">
        <v>40628.49</v>
      </c>
      <c r="P1196">
        <v>107.23</v>
      </c>
      <c r="Q1196">
        <v>204.14</v>
      </c>
      <c r="R1196">
        <v>23.39</v>
      </c>
      <c r="S1196">
        <v>17.37</v>
      </c>
      <c r="T1196">
        <v>918.59</v>
      </c>
      <c r="U1196">
        <v>0.74</v>
      </c>
      <c r="V1196">
        <v>0.76</v>
      </c>
      <c r="W1196">
        <v>1.1399999999999999</v>
      </c>
      <c r="X1196">
        <v>0.05</v>
      </c>
      <c r="Y1196">
        <v>1</v>
      </c>
      <c r="Z1196">
        <v>10</v>
      </c>
    </row>
    <row r="1197" spans="1:26" x14ac:dyDescent="0.3">
      <c r="A1197">
        <v>125</v>
      </c>
      <c r="B1197">
        <v>135</v>
      </c>
      <c r="C1197" t="s">
        <v>26</v>
      </c>
      <c r="D1197">
        <v>10.207599999999999</v>
      </c>
      <c r="E1197">
        <v>9.8000000000000007</v>
      </c>
      <c r="F1197">
        <v>6.74</v>
      </c>
      <c r="G1197">
        <v>101.12</v>
      </c>
      <c r="H1197">
        <v>1.75</v>
      </c>
      <c r="I1197">
        <v>4</v>
      </c>
      <c r="J1197">
        <v>328.1</v>
      </c>
      <c r="K1197">
        <v>59.89</v>
      </c>
      <c r="L1197">
        <v>32.25</v>
      </c>
      <c r="M1197">
        <v>2</v>
      </c>
      <c r="N1197">
        <v>100.96</v>
      </c>
      <c r="O1197">
        <v>40700.18</v>
      </c>
      <c r="P1197">
        <v>107.11</v>
      </c>
      <c r="Q1197">
        <v>204.14</v>
      </c>
      <c r="R1197">
        <v>23.42</v>
      </c>
      <c r="S1197">
        <v>17.37</v>
      </c>
      <c r="T1197">
        <v>934.5</v>
      </c>
      <c r="U1197">
        <v>0.74</v>
      </c>
      <c r="V1197">
        <v>0.76</v>
      </c>
      <c r="W1197">
        <v>1.1399999999999999</v>
      </c>
      <c r="X1197">
        <v>0.05</v>
      </c>
      <c r="Y1197">
        <v>1</v>
      </c>
      <c r="Z1197">
        <v>10</v>
      </c>
    </row>
    <row r="1198" spans="1:26" x14ac:dyDescent="0.3">
      <c r="A1198">
        <v>126</v>
      </c>
      <c r="B1198">
        <v>135</v>
      </c>
      <c r="C1198" t="s">
        <v>26</v>
      </c>
      <c r="D1198">
        <v>10.2133</v>
      </c>
      <c r="E1198">
        <v>9.7899999999999991</v>
      </c>
      <c r="F1198">
        <v>6.74</v>
      </c>
      <c r="G1198">
        <v>101.04</v>
      </c>
      <c r="H1198">
        <v>1.76</v>
      </c>
      <c r="I1198">
        <v>4</v>
      </c>
      <c r="J1198">
        <v>328.68</v>
      </c>
      <c r="K1198">
        <v>59.89</v>
      </c>
      <c r="L1198">
        <v>32.5</v>
      </c>
      <c r="M1198">
        <v>2</v>
      </c>
      <c r="N1198">
        <v>101.3</v>
      </c>
      <c r="O1198">
        <v>40772.03</v>
      </c>
      <c r="P1198">
        <v>106.93</v>
      </c>
      <c r="Q1198">
        <v>204.14</v>
      </c>
      <c r="R1198">
        <v>23.16</v>
      </c>
      <c r="S1198">
        <v>17.37</v>
      </c>
      <c r="T1198">
        <v>804.66</v>
      </c>
      <c r="U1198">
        <v>0.75</v>
      </c>
      <c r="V1198">
        <v>0.76</v>
      </c>
      <c r="W1198">
        <v>1.1399999999999999</v>
      </c>
      <c r="X1198">
        <v>0.04</v>
      </c>
      <c r="Y1198">
        <v>1</v>
      </c>
      <c r="Z1198">
        <v>10</v>
      </c>
    </row>
    <row r="1199" spans="1:26" x14ac:dyDescent="0.3">
      <c r="A1199">
        <v>127</v>
      </c>
      <c r="B1199">
        <v>135</v>
      </c>
      <c r="C1199" t="s">
        <v>26</v>
      </c>
      <c r="D1199">
        <v>10.2133</v>
      </c>
      <c r="E1199">
        <v>9.7899999999999991</v>
      </c>
      <c r="F1199">
        <v>6.74</v>
      </c>
      <c r="G1199">
        <v>101.04</v>
      </c>
      <c r="H1199">
        <v>1.77</v>
      </c>
      <c r="I1199">
        <v>4</v>
      </c>
      <c r="J1199">
        <v>329.27</v>
      </c>
      <c r="K1199">
        <v>59.89</v>
      </c>
      <c r="L1199">
        <v>32.75</v>
      </c>
      <c r="M1199">
        <v>2</v>
      </c>
      <c r="N1199">
        <v>101.63</v>
      </c>
      <c r="O1199">
        <v>40844.03</v>
      </c>
      <c r="P1199">
        <v>106.8</v>
      </c>
      <c r="Q1199">
        <v>204.14</v>
      </c>
      <c r="R1199">
        <v>23.16</v>
      </c>
      <c r="S1199">
        <v>17.37</v>
      </c>
      <c r="T1199">
        <v>802.08</v>
      </c>
      <c r="U1199">
        <v>0.75</v>
      </c>
      <c r="V1199">
        <v>0.76</v>
      </c>
      <c r="W1199">
        <v>1.1399999999999999</v>
      </c>
      <c r="X1199">
        <v>0.04</v>
      </c>
      <c r="Y1199">
        <v>1</v>
      </c>
      <c r="Z1199">
        <v>10</v>
      </c>
    </row>
    <row r="1200" spans="1:26" x14ac:dyDescent="0.3">
      <c r="A1200">
        <v>128</v>
      </c>
      <c r="B1200">
        <v>135</v>
      </c>
      <c r="C1200" t="s">
        <v>26</v>
      </c>
      <c r="D1200">
        <v>10.216200000000001</v>
      </c>
      <c r="E1200">
        <v>9.7899999999999991</v>
      </c>
      <c r="F1200">
        <v>6.73</v>
      </c>
      <c r="G1200">
        <v>101</v>
      </c>
      <c r="H1200">
        <v>1.78</v>
      </c>
      <c r="I1200">
        <v>4</v>
      </c>
      <c r="J1200">
        <v>329.85</v>
      </c>
      <c r="K1200">
        <v>59.89</v>
      </c>
      <c r="L1200">
        <v>33</v>
      </c>
      <c r="M1200">
        <v>2</v>
      </c>
      <c r="N1200">
        <v>101.97</v>
      </c>
      <c r="O1200">
        <v>40916.199999999997</v>
      </c>
      <c r="P1200">
        <v>106.6</v>
      </c>
      <c r="Q1200">
        <v>204.14</v>
      </c>
      <c r="R1200">
        <v>23.08</v>
      </c>
      <c r="S1200">
        <v>17.37</v>
      </c>
      <c r="T1200">
        <v>760.72</v>
      </c>
      <c r="U1200">
        <v>0.75</v>
      </c>
      <c r="V1200">
        <v>0.76</v>
      </c>
      <c r="W1200">
        <v>1.1399999999999999</v>
      </c>
      <c r="X1200">
        <v>0.04</v>
      </c>
      <c r="Y1200">
        <v>1</v>
      </c>
      <c r="Z1200">
        <v>10</v>
      </c>
    </row>
    <row r="1201" spans="1:26" x14ac:dyDescent="0.3">
      <c r="A1201">
        <v>129</v>
      </c>
      <c r="B1201">
        <v>135</v>
      </c>
      <c r="C1201" t="s">
        <v>26</v>
      </c>
      <c r="D1201">
        <v>10.2142</v>
      </c>
      <c r="E1201">
        <v>9.7899999999999991</v>
      </c>
      <c r="F1201">
        <v>6.74</v>
      </c>
      <c r="G1201">
        <v>101.03</v>
      </c>
      <c r="H1201">
        <v>1.79</v>
      </c>
      <c r="I1201">
        <v>4</v>
      </c>
      <c r="J1201">
        <v>330.44</v>
      </c>
      <c r="K1201">
        <v>59.89</v>
      </c>
      <c r="L1201">
        <v>33.25</v>
      </c>
      <c r="M1201">
        <v>2</v>
      </c>
      <c r="N1201">
        <v>102.3</v>
      </c>
      <c r="O1201">
        <v>40988.53</v>
      </c>
      <c r="P1201">
        <v>106.44</v>
      </c>
      <c r="Q1201">
        <v>204.14</v>
      </c>
      <c r="R1201">
        <v>23.12</v>
      </c>
      <c r="S1201">
        <v>17.37</v>
      </c>
      <c r="T1201">
        <v>784.4</v>
      </c>
      <c r="U1201">
        <v>0.75</v>
      </c>
      <c r="V1201">
        <v>0.76</v>
      </c>
      <c r="W1201">
        <v>1.1399999999999999</v>
      </c>
      <c r="X1201">
        <v>0.04</v>
      </c>
      <c r="Y1201">
        <v>1</v>
      </c>
      <c r="Z1201">
        <v>10</v>
      </c>
    </row>
    <row r="1202" spans="1:26" x14ac:dyDescent="0.3">
      <c r="A1202">
        <v>130</v>
      </c>
      <c r="B1202">
        <v>135</v>
      </c>
      <c r="C1202" t="s">
        <v>26</v>
      </c>
      <c r="D1202">
        <v>10.2133</v>
      </c>
      <c r="E1202">
        <v>9.7899999999999991</v>
      </c>
      <c r="F1202">
        <v>6.74</v>
      </c>
      <c r="G1202">
        <v>101.04</v>
      </c>
      <c r="H1202">
        <v>1.8</v>
      </c>
      <c r="I1202">
        <v>4</v>
      </c>
      <c r="J1202">
        <v>331.03</v>
      </c>
      <c r="K1202">
        <v>59.89</v>
      </c>
      <c r="L1202">
        <v>33.5</v>
      </c>
      <c r="M1202">
        <v>2</v>
      </c>
      <c r="N1202">
        <v>102.64</v>
      </c>
      <c r="O1202">
        <v>41061.019999999997</v>
      </c>
      <c r="P1202">
        <v>106.35</v>
      </c>
      <c r="Q1202">
        <v>204.14</v>
      </c>
      <c r="R1202">
        <v>23.23</v>
      </c>
      <c r="S1202">
        <v>17.37</v>
      </c>
      <c r="T1202">
        <v>837.6</v>
      </c>
      <c r="U1202">
        <v>0.75</v>
      </c>
      <c r="V1202">
        <v>0.76</v>
      </c>
      <c r="W1202">
        <v>1.1399999999999999</v>
      </c>
      <c r="X1202">
        <v>0.04</v>
      </c>
      <c r="Y1202">
        <v>1</v>
      </c>
      <c r="Z1202">
        <v>10</v>
      </c>
    </row>
    <row r="1203" spans="1:26" x14ac:dyDescent="0.3">
      <c r="A1203">
        <v>131</v>
      </c>
      <c r="B1203">
        <v>135</v>
      </c>
      <c r="C1203" t="s">
        <v>26</v>
      </c>
      <c r="D1203">
        <v>10.2104</v>
      </c>
      <c r="E1203">
        <v>9.7899999999999991</v>
      </c>
      <c r="F1203">
        <v>6.74</v>
      </c>
      <c r="G1203">
        <v>101.08</v>
      </c>
      <c r="H1203">
        <v>1.81</v>
      </c>
      <c r="I1203">
        <v>4</v>
      </c>
      <c r="J1203">
        <v>331.62</v>
      </c>
      <c r="K1203">
        <v>59.89</v>
      </c>
      <c r="L1203">
        <v>33.75</v>
      </c>
      <c r="M1203">
        <v>2</v>
      </c>
      <c r="N1203">
        <v>102.98</v>
      </c>
      <c r="O1203">
        <v>41133.67</v>
      </c>
      <c r="P1203">
        <v>106.31</v>
      </c>
      <c r="Q1203">
        <v>204.14</v>
      </c>
      <c r="R1203">
        <v>23.25</v>
      </c>
      <c r="S1203">
        <v>17.37</v>
      </c>
      <c r="T1203">
        <v>845.15</v>
      </c>
      <c r="U1203">
        <v>0.75</v>
      </c>
      <c r="V1203">
        <v>0.76</v>
      </c>
      <c r="W1203">
        <v>1.1399999999999999</v>
      </c>
      <c r="X1203">
        <v>0.05</v>
      </c>
      <c r="Y1203">
        <v>1</v>
      </c>
      <c r="Z1203">
        <v>10</v>
      </c>
    </row>
    <row r="1204" spans="1:26" x14ac:dyDescent="0.3">
      <c r="A1204">
        <v>132</v>
      </c>
      <c r="B1204">
        <v>135</v>
      </c>
      <c r="C1204" t="s">
        <v>26</v>
      </c>
      <c r="D1204">
        <v>10.2128</v>
      </c>
      <c r="E1204">
        <v>9.7899999999999991</v>
      </c>
      <c r="F1204">
        <v>6.74</v>
      </c>
      <c r="G1204">
        <v>101.05</v>
      </c>
      <c r="H1204">
        <v>1.82</v>
      </c>
      <c r="I1204">
        <v>4</v>
      </c>
      <c r="J1204">
        <v>332.21</v>
      </c>
      <c r="K1204">
        <v>59.89</v>
      </c>
      <c r="L1204">
        <v>34</v>
      </c>
      <c r="M1204">
        <v>2</v>
      </c>
      <c r="N1204">
        <v>103.32</v>
      </c>
      <c r="O1204">
        <v>41206.49</v>
      </c>
      <c r="P1204">
        <v>106.19</v>
      </c>
      <c r="Q1204">
        <v>204.14</v>
      </c>
      <c r="R1204">
        <v>23.24</v>
      </c>
      <c r="S1204">
        <v>17.37</v>
      </c>
      <c r="T1204">
        <v>840.79</v>
      </c>
      <c r="U1204">
        <v>0.75</v>
      </c>
      <c r="V1204">
        <v>0.76</v>
      </c>
      <c r="W1204">
        <v>1.1399999999999999</v>
      </c>
      <c r="X1204">
        <v>0.05</v>
      </c>
      <c r="Y1204">
        <v>1</v>
      </c>
      <c r="Z1204">
        <v>10</v>
      </c>
    </row>
    <row r="1205" spans="1:26" x14ac:dyDescent="0.3">
      <c r="A1205">
        <v>133</v>
      </c>
      <c r="B1205">
        <v>135</v>
      </c>
      <c r="C1205" t="s">
        <v>26</v>
      </c>
      <c r="D1205">
        <v>10.2067</v>
      </c>
      <c r="E1205">
        <v>9.8000000000000007</v>
      </c>
      <c r="F1205">
        <v>6.74</v>
      </c>
      <c r="G1205">
        <v>101.13</v>
      </c>
      <c r="H1205">
        <v>1.83</v>
      </c>
      <c r="I1205">
        <v>4</v>
      </c>
      <c r="J1205">
        <v>332.8</v>
      </c>
      <c r="K1205">
        <v>59.89</v>
      </c>
      <c r="L1205">
        <v>34.25</v>
      </c>
      <c r="M1205">
        <v>2</v>
      </c>
      <c r="N1205">
        <v>103.66</v>
      </c>
      <c r="O1205">
        <v>41279.480000000003</v>
      </c>
      <c r="P1205">
        <v>106.15</v>
      </c>
      <c r="Q1205">
        <v>204.14</v>
      </c>
      <c r="R1205">
        <v>23.35</v>
      </c>
      <c r="S1205">
        <v>17.37</v>
      </c>
      <c r="T1205">
        <v>899.36</v>
      </c>
      <c r="U1205">
        <v>0.74</v>
      </c>
      <c r="V1205">
        <v>0.76</v>
      </c>
      <c r="W1205">
        <v>1.1399999999999999</v>
      </c>
      <c r="X1205">
        <v>0.05</v>
      </c>
      <c r="Y1205">
        <v>1</v>
      </c>
      <c r="Z1205">
        <v>10</v>
      </c>
    </row>
    <row r="1206" spans="1:26" x14ac:dyDescent="0.3">
      <c r="A1206">
        <v>134</v>
      </c>
      <c r="B1206">
        <v>135</v>
      </c>
      <c r="C1206" t="s">
        <v>26</v>
      </c>
      <c r="D1206">
        <v>10.2081</v>
      </c>
      <c r="E1206">
        <v>9.8000000000000007</v>
      </c>
      <c r="F1206">
        <v>6.74</v>
      </c>
      <c r="G1206">
        <v>101.11</v>
      </c>
      <c r="H1206">
        <v>1.84</v>
      </c>
      <c r="I1206">
        <v>4</v>
      </c>
      <c r="J1206">
        <v>333.39</v>
      </c>
      <c r="K1206">
        <v>59.89</v>
      </c>
      <c r="L1206">
        <v>34.5</v>
      </c>
      <c r="M1206">
        <v>2</v>
      </c>
      <c r="N1206">
        <v>104.01</v>
      </c>
      <c r="O1206">
        <v>41352.629999999997</v>
      </c>
      <c r="P1206">
        <v>105.81</v>
      </c>
      <c r="Q1206">
        <v>204.14</v>
      </c>
      <c r="R1206">
        <v>23.38</v>
      </c>
      <c r="S1206">
        <v>17.37</v>
      </c>
      <c r="T1206">
        <v>914.24</v>
      </c>
      <c r="U1206">
        <v>0.74</v>
      </c>
      <c r="V1206">
        <v>0.76</v>
      </c>
      <c r="W1206">
        <v>1.1399999999999999</v>
      </c>
      <c r="X1206">
        <v>0.05</v>
      </c>
      <c r="Y1206">
        <v>1</v>
      </c>
      <c r="Z1206">
        <v>10</v>
      </c>
    </row>
    <row r="1207" spans="1:26" x14ac:dyDescent="0.3">
      <c r="A1207">
        <v>135</v>
      </c>
      <c r="B1207">
        <v>135</v>
      </c>
      <c r="C1207" t="s">
        <v>26</v>
      </c>
      <c r="D1207">
        <v>10.207800000000001</v>
      </c>
      <c r="E1207">
        <v>9.8000000000000007</v>
      </c>
      <c r="F1207">
        <v>6.74</v>
      </c>
      <c r="G1207">
        <v>101.12</v>
      </c>
      <c r="H1207">
        <v>1.85</v>
      </c>
      <c r="I1207">
        <v>4</v>
      </c>
      <c r="J1207">
        <v>333.99</v>
      </c>
      <c r="K1207">
        <v>59.89</v>
      </c>
      <c r="L1207">
        <v>34.75</v>
      </c>
      <c r="M1207">
        <v>2</v>
      </c>
      <c r="N1207">
        <v>104.35</v>
      </c>
      <c r="O1207">
        <v>41426.07</v>
      </c>
      <c r="P1207">
        <v>105.68</v>
      </c>
      <c r="Q1207">
        <v>204.15</v>
      </c>
      <c r="R1207">
        <v>23.42</v>
      </c>
      <c r="S1207">
        <v>17.37</v>
      </c>
      <c r="T1207">
        <v>931.69</v>
      </c>
      <c r="U1207">
        <v>0.74</v>
      </c>
      <c r="V1207">
        <v>0.76</v>
      </c>
      <c r="W1207">
        <v>1.1399999999999999</v>
      </c>
      <c r="X1207">
        <v>0.05</v>
      </c>
      <c r="Y1207">
        <v>1</v>
      </c>
      <c r="Z1207">
        <v>10</v>
      </c>
    </row>
    <row r="1208" spans="1:26" x14ac:dyDescent="0.3">
      <c r="A1208">
        <v>136</v>
      </c>
      <c r="B1208">
        <v>135</v>
      </c>
      <c r="C1208" t="s">
        <v>26</v>
      </c>
      <c r="D1208">
        <v>10.211</v>
      </c>
      <c r="E1208">
        <v>9.7899999999999991</v>
      </c>
      <c r="F1208">
        <v>6.74</v>
      </c>
      <c r="G1208">
        <v>101.07</v>
      </c>
      <c r="H1208">
        <v>1.86</v>
      </c>
      <c r="I1208">
        <v>4</v>
      </c>
      <c r="J1208">
        <v>334.58</v>
      </c>
      <c r="K1208">
        <v>59.89</v>
      </c>
      <c r="L1208">
        <v>35</v>
      </c>
      <c r="M1208">
        <v>2</v>
      </c>
      <c r="N1208">
        <v>104.7</v>
      </c>
      <c r="O1208">
        <v>41499.57</v>
      </c>
      <c r="P1208">
        <v>105.5</v>
      </c>
      <c r="Q1208">
        <v>204.14</v>
      </c>
      <c r="R1208">
        <v>23.25</v>
      </c>
      <c r="S1208">
        <v>17.37</v>
      </c>
      <c r="T1208">
        <v>845.87</v>
      </c>
      <c r="U1208">
        <v>0.75</v>
      </c>
      <c r="V1208">
        <v>0.76</v>
      </c>
      <c r="W1208">
        <v>1.1399999999999999</v>
      </c>
      <c r="X1208">
        <v>0.05</v>
      </c>
      <c r="Y1208">
        <v>1</v>
      </c>
      <c r="Z1208">
        <v>10</v>
      </c>
    </row>
    <row r="1209" spans="1:26" x14ac:dyDescent="0.3">
      <c r="A1209">
        <v>137</v>
      </c>
      <c r="B1209">
        <v>135</v>
      </c>
      <c r="C1209" t="s">
        <v>26</v>
      </c>
      <c r="D1209">
        <v>10.209899999999999</v>
      </c>
      <c r="E1209">
        <v>9.7899999999999991</v>
      </c>
      <c r="F1209">
        <v>6.74</v>
      </c>
      <c r="G1209">
        <v>101.09</v>
      </c>
      <c r="H1209">
        <v>1.87</v>
      </c>
      <c r="I1209">
        <v>4</v>
      </c>
      <c r="J1209">
        <v>335.18</v>
      </c>
      <c r="K1209">
        <v>59.89</v>
      </c>
      <c r="L1209">
        <v>35.25</v>
      </c>
      <c r="M1209">
        <v>2</v>
      </c>
      <c r="N1209">
        <v>105.04</v>
      </c>
      <c r="O1209">
        <v>41573.230000000003</v>
      </c>
      <c r="P1209">
        <v>105.36</v>
      </c>
      <c r="Q1209">
        <v>204.14</v>
      </c>
      <c r="R1209">
        <v>23.27</v>
      </c>
      <c r="S1209">
        <v>17.37</v>
      </c>
      <c r="T1209">
        <v>858.11</v>
      </c>
      <c r="U1209">
        <v>0.75</v>
      </c>
      <c r="V1209">
        <v>0.76</v>
      </c>
      <c r="W1209">
        <v>1.1399999999999999</v>
      </c>
      <c r="X1209">
        <v>0.05</v>
      </c>
      <c r="Y1209">
        <v>1</v>
      </c>
      <c r="Z1209">
        <v>10</v>
      </c>
    </row>
    <row r="1210" spans="1:26" x14ac:dyDescent="0.3">
      <c r="A1210">
        <v>138</v>
      </c>
      <c r="B1210">
        <v>135</v>
      </c>
      <c r="C1210" t="s">
        <v>26</v>
      </c>
      <c r="D1210">
        <v>10.2096</v>
      </c>
      <c r="E1210">
        <v>9.7899999999999991</v>
      </c>
      <c r="F1210">
        <v>6.74</v>
      </c>
      <c r="G1210">
        <v>101.09</v>
      </c>
      <c r="H1210">
        <v>1.88</v>
      </c>
      <c r="I1210">
        <v>4</v>
      </c>
      <c r="J1210">
        <v>335.78</v>
      </c>
      <c r="K1210">
        <v>59.89</v>
      </c>
      <c r="L1210">
        <v>35.5</v>
      </c>
      <c r="M1210">
        <v>2</v>
      </c>
      <c r="N1210">
        <v>105.39</v>
      </c>
      <c r="O1210">
        <v>41647.07</v>
      </c>
      <c r="P1210">
        <v>105.32</v>
      </c>
      <c r="Q1210">
        <v>204.14</v>
      </c>
      <c r="R1210">
        <v>23.32</v>
      </c>
      <c r="S1210">
        <v>17.37</v>
      </c>
      <c r="T1210">
        <v>883.88</v>
      </c>
      <c r="U1210">
        <v>0.74</v>
      </c>
      <c r="V1210">
        <v>0.76</v>
      </c>
      <c r="W1210">
        <v>1.1399999999999999</v>
      </c>
      <c r="X1210">
        <v>0.05</v>
      </c>
      <c r="Y1210">
        <v>1</v>
      </c>
      <c r="Z1210">
        <v>10</v>
      </c>
    </row>
    <row r="1211" spans="1:26" x14ac:dyDescent="0.3">
      <c r="A1211">
        <v>139</v>
      </c>
      <c r="B1211">
        <v>135</v>
      </c>
      <c r="C1211" t="s">
        <v>26</v>
      </c>
      <c r="D1211">
        <v>10.211600000000001</v>
      </c>
      <c r="E1211">
        <v>9.7899999999999991</v>
      </c>
      <c r="F1211">
        <v>6.74</v>
      </c>
      <c r="G1211">
        <v>101.06</v>
      </c>
      <c r="H1211">
        <v>1.89</v>
      </c>
      <c r="I1211">
        <v>4</v>
      </c>
      <c r="J1211">
        <v>336.38</v>
      </c>
      <c r="K1211">
        <v>59.89</v>
      </c>
      <c r="L1211">
        <v>35.75</v>
      </c>
      <c r="M1211">
        <v>2</v>
      </c>
      <c r="N1211">
        <v>105.74</v>
      </c>
      <c r="O1211">
        <v>41721.08</v>
      </c>
      <c r="P1211">
        <v>105.19</v>
      </c>
      <c r="Q1211">
        <v>204.14</v>
      </c>
      <c r="R1211">
        <v>23.2</v>
      </c>
      <c r="S1211">
        <v>17.37</v>
      </c>
      <c r="T1211">
        <v>820.85</v>
      </c>
      <c r="U1211">
        <v>0.75</v>
      </c>
      <c r="V1211">
        <v>0.76</v>
      </c>
      <c r="W1211">
        <v>1.1399999999999999</v>
      </c>
      <c r="X1211">
        <v>0.05</v>
      </c>
      <c r="Y1211">
        <v>1</v>
      </c>
      <c r="Z1211">
        <v>10</v>
      </c>
    </row>
    <row r="1212" spans="1:26" x14ac:dyDescent="0.3">
      <c r="A1212">
        <v>140</v>
      </c>
      <c r="B1212">
        <v>135</v>
      </c>
      <c r="C1212" t="s">
        <v>26</v>
      </c>
      <c r="D1212">
        <v>10.211600000000001</v>
      </c>
      <c r="E1212">
        <v>9.7899999999999991</v>
      </c>
      <c r="F1212">
        <v>6.74</v>
      </c>
      <c r="G1212">
        <v>101.06</v>
      </c>
      <c r="H1212">
        <v>1.9</v>
      </c>
      <c r="I1212">
        <v>4</v>
      </c>
      <c r="J1212">
        <v>336.98</v>
      </c>
      <c r="K1212">
        <v>59.89</v>
      </c>
      <c r="L1212">
        <v>36</v>
      </c>
      <c r="M1212">
        <v>2</v>
      </c>
      <c r="N1212">
        <v>106.09</v>
      </c>
      <c r="O1212">
        <v>41795.26</v>
      </c>
      <c r="P1212">
        <v>104.95</v>
      </c>
      <c r="Q1212">
        <v>204.14</v>
      </c>
      <c r="R1212">
        <v>23.29</v>
      </c>
      <c r="S1212">
        <v>17.37</v>
      </c>
      <c r="T1212">
        <v>869.12</v>
      </c>
      <c r="U1212">
        <v>0.75</v>
      </c>
      <c r="V1212">
        <v>0.76</v>
      </c>
      <c r="W1212">
        <v>1.1399999999999999</v>
      </c>
      <c r="X1212">
        <v>0.05</v>
      </c>
      <c r="Y1212">
        <v>1</v>
      </c>
      <c r="Z1212">
        <v>10</v>
      </c>
    </row>
    <row r="1213" spans="1:26" x14ac:dyDescent="0.3">
      <c r="A1213">
        <v>141</v>
      </c>
      <c r="B1213">
        <v>135</v>
      </c>
      <c r="C1213" t="s">
        <v>26</v>
      </c>
      <c r="D1213">
        <v>10.207599999999999</v>
      </c>
      <c r="E1213">
        <v>9.8000000000000007</v>
      </c>
      <c r="F1213">
        <v>6.74</v>
      </c>
      <c r="G1213">
        <v>101.12</v>
      </c>
      <c r="H1213">
        <v>1.91</v>
      </c>
      <c r="I1213">
        <v>4</v>
      </c>
      <c r="J1213">
        <v>337.58</v>
      </c>
      <c r="K1213">
        <v>59.89</v>
      </c>
      <c r="L1213">
        <v>36.25</v>
      </c>
      <c r="M1213">
        <v>2</v>
      </c>
      <c r="N1213">
        <v>106.45</v>
      </c>
      <c r="O1213">
        <v>41869.620000000003</v>
      </c>
      <c r="P1213">
        <v>104.79</v>
      </c>
      <c r="Q1213">
        <v>204.14</v>
      </c>
      <c r="R1213">
        <v>23.37</v>
      </c>
      <c r="S1213">
        <v>17.37</v>
      </c>
      <c r="T1213">
        <v>907.79</v>
      </c>
      <c r="U1213">
        <v>0.74</v>
      </c>
      <c r="V1213">
        <v>0.76</v>
      </c>
      <c r="W1213">
        <v>1.1399999999999999</v>
      </c>
      <c r="X1213">
        <v>0.05</v>
      </c>
      <c r="Y1213">
        <v>1</v>
      </c>
      <c r="Z1213">
        <v>10</v>
      </c>
    </row>
    <row r="1214" spans="1:26" x14ac:dyDescent="0.3">
      <c r="A1214">
        <v>142</v>
      </c>
      <c r="B1214">
        <v>135</v>
      </c>
      <c r="C1214" t="s">
        <v>26</v>
      </c>
      <c r="D1214">
        <v>10.2073</v>
      </c>
      <c r="E1214">
        <v>9.8000000000000007</v>
      </c>
      <c r="F1214">
        <v>6.74</v>
      </c>
      <c r="G1214">
        <v>101.12</v>
      </c>
      <c r="H1214">
        <v>1.92</v>
      </c>
      <c r="I1214">
        <v>4</v>
      </c>
      <c r="J1214">
        <v>338.19</v>
      </c>
      <c r="K1214">
        <v>59.89</v>
      </c>
      <c r="L1214">
        <v>36.5</v>
      </c>
      <c r="M1214">
        <v>2</v>
      </c>
      <c r="N1214">
        <v>106.8</v>
      </c>
      <c r="O1214">
        <v>41944.15</v>
      </c>
      <c r="P1214">
        <v>104.48</v>
      </c>
      <c r="Q1214">
        <v>204.14</v>
      </c>
      <c r="R1214">
        <v>23.41</v>
      </c>
      <c r="S1214">
        <v>17.37</v>
      </c>
      <c r="T1214">
        <v>926.91</v>
      </c>
      <c r="U1214">
        <v>0.74</v>
      </c>
      <c r="V1214">
        <v>0.76</v>
      </c>
      <c r="W1214">
        <v>1.1399999999999999</v>
      </c>
      <c r="X1214">
        <v>0.05</v>
      </c>
      <c r="Y1214">
        <v>1</v>
      </c>
      <c r="Z1214">
        <v>10</v>
      </c>
    </row>
    <row r="1215" spans="1:26" x14ac:dyDescent="0.3">
      <c r="A1215">
        <v>143</v>
      </c>
      <c r="B1215">
        <v>135</v>
      </c>
      <c r="C1215" t="s">
        <v>26</v>
      </c>
      <c r="D1215">
        <v>10.2073</v>
      </c>
      <c r="E1215">
        <v>9.8000000000000007</v>
      </c>
      <c r="F1215">
        <v>6.74</v>
      </c>
      <c r="G1215">
        <v>101.12</v>
      </c>
      <c r="H1215">
        <v>1.93</v>
      </c>
      <c r="I1215">
        <v>4</v>
      </c>
      <c r="J1215">
        <v>338.79</v>
      </c>
      <c r="K1215">
        <v>59.89</v>
      </c>
      <c r="L1215">
        <v>36.75</v>
      </c>
      <c r="M1215">
        <v>2</v>
      </c>
      <c r="N1215">
        <v>107.16</v>
      </c>
      <c r="O1215">
        <v>42018.86</v>
      </c>
      <c r="P1215">
        <v>104.3</v>
      </c>
      <c r="Q1215">
        <v>204.14</v>
      </c>
      <c r="R1215">
        <v>23.35</v>
      </c>
      <c r="S1215">
        <v>17.37</v>
      </c>
      <c r="T1215">
        <v>896.07</v>
      </c>
      <c r="U1215">
        <v>0.74</v>
      </c>
      <c r="V1215">
        <v>0.76</v>
      </c>
      <c r="W1215">
        <v>1.1399999999999999</v>
      </c>
      <c r="X1215">
        <v>0.05</v>
      </c>
      <c r="Y1215">
        <v>1</v>
      </c>
      <c r="Z1215">
        <v>10</v>
      </c>
    </row>
    <row r="1216" spans="1:26" x14ac:dyDescent="0.3">
      <c r="A1216">
        <v>144</v>
      </c>
      <c r="B1216">
        <v>135</v>
      </c>
      <c r="C1216" t="s">
        <v>26</v>
      </c>
      <c r="D1216">
        <v>10.286899999999999</v>
      </c>
      <c r="E1216">
        <v>9.7200000000000006</v>
      </c>
      <c r="F1216">
        <v>6.72</v>
      </c>
      <c r="G1216">
        <v>134.33000000000001</v>
      </c>
      <c r="H1216">
        <v>1.94</v>
      </c>
      <c r="I1216">
        <v>3</v>
      </c>
      <c r="J1216">
        <v>339.4</v>
      </c>
      <c r="K1216">
        <v>59.89</v>
      </c>
      <c r="L1216">
        <v>37</v>
      </c>
      <c r="M1216">
        <v>1</v>
      </c>
      <c r="N1216">
        <v>107.51</v>
      </c>
      <c r="O1216">
        <v>42093.75</v>
      </c>
      <c r="P1216">
        <v>103.44</v>
      </c>
      <c r="Q1216">
        <v>204.14</v>
      </c>
      <c r="R1216">
        <v>22.59</v>
      </c>
      <c r="S1216">
        <v>17.37</v>
      </c>
      <c r="T1216">
        <v>520.29</v>
      </c>
      <c r="U1216">
        <v>0.77</v>
      </c>
      <c r="V1216">
        <v>0.76</v>
      </c>
      <c r="W1216">
        <v>1.1399999999999999</v>
      </c>
      <c r="X1216">
        <v>0.03</v>
      </c>
      <c r="Y1216">
        <v>1</v>
      </c>
      <c r="Z1216">
        <v>10</v>
      </c>
    </row>
    <row r="1217" spans="1:26" x14ac:dyDescent="0.3">
      <c r="A1217">
        <v>145</v>
      </c>
      <c r="B1217">
        <v>135</v>
      </c>
      <c r="C1217" t="s">
        <v>26</v>
      </c>
      <c r="D1217">
        <v>10.2857</v>
      </c>
      <c r="E1217">
        <v>9.7200000000000006</v>
      </c>
      <c r="F1217">
        <v>6.72</v>
      </c>
      <c r="G1217">
        <v>134.35</v>
      </c>
      <c r="H1217">
        <v>1.95</v>
      </c>
      <c r="I1217">
        <v>3</v>
      </c>
      <c r="J1217">
        <v>340.01</v>
      </c>
      <c r="K1217">
        <v>59.89</v>
      </c>
      <c r="L1217">
        <v>37.25</v>
      </c>
      <c r="M1217">
        <v>1</v>
      </c>
      <c r="N1217">
        <v>107.87</v>
      </c>
      <c r="O1217">
        <v>42168.82</v>
      </c>
      <c r="P1217">
        <v>103.52</v>
      </c>
      <c r="Q1217">
        <v>204.15</v>
      </c>
      <c r="R1217">
        <v>22.61</v>
      </c>
      <c r="S1217">
        <v>17.37</v>
      </c>
      <c r="T1217">
        <v>530.74</v>
      </c>
      <c r="U1217">
        <v>0.77</v>
      </c>
      <c r="V1217">
        <v>0.76</v>
      </c>
      <c r="W1217">
        <v>1.1399999999999999</v>
      </c>
      <c r="X1217">
        <v>0.03</v>
      </c>
      <c r="Y1217">
        <v>1</v>
      </c>
      <c r="Z1217">
        <v>10</v>
      </c>
    </row>
    <row r="1218" spans="1:26" x14ac:dyDescent="0.3">
      <c r="A1218">
        <v>146</v>
      </c>
      <c r="B1218">
        <v>135</v>
      </c>
      <c r="C1218" t="s">
        <v>26</v>
      </c>
      <c r="D1218">
        <v>10.285399999999999</v>
      </c>
      <c r="E1218">
        <v>9.7200000000000006</v>
      </c>
      <c r="F1218">
        <v>6.72</v>
      </c>
      <c r="G1218">
        <v>134.36000000000001</v>
      </c>
      <c r="H1218">
        <v>1.96</v>
      </c>
      <c r="I1218">
        <v>3</v>
      </c>
      <c r="J1218">
        <v>340.62</v>
      </c>
      <c r="K1218">
        <v>59.89</v>
      </c>
      <c r="L1218">
        <v>37.5</v>
      </c>
      <c r="M1218">
        <v>1</v>
      </c>
      <c r="N1218">
        <v>108.23</v>
      </c>
      <c r="O1218">
        <v>42244.08</v>
      </c>
      <c r="P1218">
        <v>103.95</v>
      </c>
      <c r="Q1218">
        <v>204.14</v>
      </c>
      <c r="R1218">
        <v>22.62</v>
      </c>
      <c r="S1218">
        <v>17.37</v>
      </c>
      <c r="T1218">
        <v>539.36</v>
      </c>
      <c r="U1218">
        <v>0.77</v>
      </c>
      <c r="V1218">
        <v>0.76</v>
      </c>
      <c r="W1218">
        <v>1.1399999999999999</v>
      </c>
      <c r="X1218">
        <v>0.03</v>
      </c>
      <c r="Y1218">
        <v>1</v>
      </c>
      <c r="Z1218">
        <v>10</v>
      </c>
    </row>
    <row r="1219" spans="1:26" x14ac:dyDescent="0.3">
      <c r="A1219">
        <v>147</v>
      </c>
      <c r="B1219">
        <v>135</v>
      </c>
      <c r="C1219" t="s">
        <v>26</v>
      </c>
      <c r="D1219">
        <v>10.2837</v>
      </c>
      <c r="E1219">
        <v>9.7200000000000006</v>
      </c>
      <c r="F1219">
        <v>6.72</v>
      </c>
      <c r="G1219">
        <v>134.38999999999999</v>
      </c>
      <c r="H1219">
        <v>1.97</v>
      </c>
      <c r="I1219">
        <v>3</v>
      </c>
      <c r="J1219">
        <v>341.23</v>
      </c>
      <c r="K1219">
        <v>59.89</v>
      </c>
      <c r="L1219">
        <v>37.75</v>
      </c>
      <c r="M1219">
        <v>1</v>
      </c>
      <c r="N1219">
        <v>108.59</v>
      </c>
      <c r="O1219">
        <v>42319.51</v>
      </c>
      <c r="P1219">
        <v>104.09</v>
      </c>
      <c r="Q1219">
        <v>204.14</v>
      </c>
      <c r="R1219">
        <v>22.67</v>
      </c>
      <c r="S1219">
        <v>17.37</v>
      </c>
      <c r="T1219">
        <v>564.01</v>
      </c>
      <c r="U1219">
        <v>0.77</v>
      </c>
      <c r="V1219">
        <v>0.76</v>
      </c>
      <c r="W1219">
        <v>1.1399999999999999</v>
      </c>
      <c r="X1219">
        <v>0.03</v>
      </c>
      <c r="Y1219">
        <v>1</v>
      </c>
      <c r="Z1219">
        <v>10</v>
      </c>
    </row>
    <row r="1220" spans="1:26" x14ac:dyDescent="0.3">
      <c r="A1220">
        <v>148</v>
      </c>
      <c r="B1220">
        <v>135</v>
      </c>
      <c r="C1220" t="s">
        <v>26</v>
      </c>
      <c r="D1220">
        <v>10.284000000000001</v>
      </c>
      <c r="E1220">
        <v>9.7200000000000006</v>
      </c>
      <c r="F1220">
        <v>6.72</v>
      </c>
      <c r="G1220">
        <v>134.38</v>
      </c>
      <c r="H1220">
        <v>1.98</v>
      </c>
      <c r="I1220">
        <v>3</v>
      </c>
      <c r="J1220">
        <v>341.84</v>
      </c>
      <c r="K1220">
        <v>59.89</v>
      </c>
      <c r="L1220">
        <v>38</v>
      </c>
      <c r="M1220">
        <v>1</v>
      </c>
      <c r="N1220">
        <v>108.96</v>
      </c>
      <c r="O1220">
        <v>42395.13</v>
      </c>
      <c r="P1220">
        <v>104.4</v>
      </c>
      <c r="Q1220">
        <v>204.14</v>
      </c>
      <c r="R1220">
        <v>22.68</v>
      </c>
      <c r="S1220">
        <v>17.37</v>
      </c>
      <c r="T1220">
        <v>567.92999999999995</v>
      </c>
      <c r="U1220">
        <v>0.77</v>
      </c>
      <c r="V1220">
        <v>0.76</v>
      </c>
      <c r="W1220">
        <v>1.1399999999999999</v>
      </c>
      <c r="X1220">
        <v>0.03</v>
      </c>
      <c r="Y1220">
        <v>1</v>
      </c>
      <c r="Z1220">
        <v>10</v>
      </c>
    </row>
    <row r="1221" spans="1:26" x14ac:dyDescent="0.3">
      <c r="A1221">
        <v>149</v>
      </c>
      <c r="B1221">
        <v>135</v>
      </c>
      <c r="C1221" t="s">
        <v>26</v>
      </c>
      <c r="D1221">
        <v>10.2845</v>
      </c>
      <c r="E1221">
        <v>9.7200000000000006</v>
      </c>
      <c r="F1221">
        <v>6.72</v>
      </c>
      <c r="G1221">
        <v>134.37</v>
      </c>
      <c r="H1221">
        <v>1.99</v>
      </c>
      <c r="I1221">
        <v>3</v>
      </c>
      <c r="J1221">
        <v>342.46</v>
      </c>
      <c r="K1221">
        <v>59.89</v>
      </c>
      <c r="L1221">
        <v>38.25</v>
      </c>
      <c r="M1221">
        <v>1</v>
      </c>
      <c r="N1221">
        <v>109.32</v>
      </c>
      <c r="O1221">
        <v>42470.94</v>
      </c>
      <c r="P1221">
        <v>104.5</v>
      </c>
      <c r="Q1221">
        <v>204.14</v>
      </c>
      <c r="R1221">
        <v>22.67</v>
      </c>
      <c r="S1221">
        <v>17.37</v>
      </c>
      <c r="T1221">
        <v>562.69000000000005</v>
      </c>
      <c r="U1221">
        <v>0.77</v>
      </c>
      <c r="V1221">
        <v>0.76</v>
      </c>
      <c r="W1221">
        <v>1.1399999999999999</v>
      </c>
      <c r="X1221">
        <v>0.03</v>
      </c>
      <c r="Y1221">
        <v>1</v>
      </c>
      <c r="Z1221">
        <v>10</v>
      </c>
    </row>
    <row r="1222" spans="1:26" x14ac:dyDescent="0.3">
      <c r="A1222">
        <v>150</v>
      </c>
      <c r="B1222">
        <v>135</v>
      </c>
      <c r="C1222" t="s">
        <v>26</v>
      </c>
      <c r="D1222">
        <v>10.284800000000001</v>
      </c>
      <c r="E1222">
        <v>9.7200000000000006</v>
      </c>
      <c r="F1222">
        <v>6.72</v>
      </c>
      <c r="G1222">
        <v>134.37</v>
      </c>
      <c r="H1222">
        <v>2</v>
      </c>
      <c r="I1222">
        <v>3</v>
      </c>
      <c r="J1222">
        <v>343.08</v>
      </c>
      <c r="K1222">
        <v>59.89</v>
      </c>
      <c r="L1222">
        <v>38.5</v>
      </c>
      <c r="M1222">
        <v>1</v>
      </c>
      <c r="N1222">
        <v>109.69</v>
      </c>
      <c r="O1222">
        <v>42546.93</v>
      </c>
      <c r="P1222">
        <v>104.6</v>
      </c>
      <c r="Q1222">
        <v>204.14</v>
      </c>
      <c r="R1222">
        <v>22.64</v>
      </c>
      <c r="S1222">
        <v>17.37</v>
      </c>
      <c r="T1222">
        <v>548.21</v>
      </c>
      <c r="U1222">
        <v>0.77</v>
      </c>
      <c r="V1222">
        <v>0.76</v>
      </c>
      <c r="W1222">
        <v>1.1399999999999999</v>
      </c>
      <c r="X1222">
        <v>0.03</v>
      </c>
      <c r="Y1222">
        <v>1</v>
      </c>
      <c r="Z1222">
        <v>10</v>
      </c>
    </row>
    <row r="1223" spans="1:26" x14ac:dyDescent="0.3">
      <c r="A1223">
        <v>151</v>
      </c>
      <c r="B1223">
        <v>135</v>
      </c>
      <c r="C1223" t="s">
        <v>26</v>
      </c>
      <c r="D1223">
        <v>10.2872</v>
      </c>
      <c r="E1223">
        <v>9.7200000000000006</v>
      </c>
      <c r="F1223">
        <v>6.72</v>
      </c>
      <c r="G1223">
        <v>134.32</v>
      </c>
      <c r="H1223">
        <v>2.0099999999999998</v>
      </c>
      <c r="I1223">
        <v>3</v>
      </c>
      <c r="J1223">
        <v>343.69</v>
      </c>
      <c r="K1223">
        <v>59.89</v>
      </c>
      <c r="L1223">
        <v>38.75</v>
      </c>
      <c r="M1223">
        <v>1</v>
      </c>
      <c r="N1223">
        <v>110.06</v>
      </c>
      <c r="O1223">
        <v>42623.24</v>
      </c>
      <c r="P1223">
        <v>104.85</v>
      </c>
      <c r="Q1223">
        <v>204.14</v>
      </c>
      <c r="R1223">
        <v>22.59</v>
      </c>
      <c r="S1223">
        <v>17.37</v>
      </c>
      <c r="T1223">
        <v>524.54</v>
      </c>
      <c r="U1223">
        <v>0.77</v>
      </c>
      <c r="V1223">
        <v>0.76</v>
      </c>
      <c r="W1223">
        <v>1.1399999999999999</v>
      </c>
      <c r="X1223">
        <v>0.03</v>
      </c>
      <c r="Y1223">
        <v>1</v>
      </c>
      <c r="Z1223">
        <v>10</v>
      </c>
    </row>
    <row r="1224" spans="1:26" x14ac:dyDescent="0.3">
      <c r="A1224">
        <v>152</v>
      </c>
      <c r="B1224">
        <v>135</v>
      </c>
      <c r="C1224" t="s">
        <v>26</v>
      </c>
      <c r="D1224">
        <v>10.2851</v>
      </c>
      <c r="E1224">
        <v>9.7200000000000006</v>
      </c>
      <c r="F1224">
        <v>6.72</v>
      </c>
      <c r="G1224">
        <v>134.36000000000001</v>
      </c>
      <c r="H1224">
        <v>2.02</v>
      </c>
      <c r="I1224">
        <v>3</v>
      </c>
      <c r="J1224">
        <v>344.31</v>
      </c>
      <c r="K1224">
        <v>59.89</v>
      </c>
      <c r="L1224">
        <v>39</v>
      </c>
      <c r="M1224">
        <v>1</v>
      </c>
      <c r="N1224">
        <v>110.43</v>
      </c>
      <c r="O1224">
        <v>42699.62</v>
      </c>
      <c r="P1224">
        <v>105.01</v>
      </c>
      <c r="Q1224">
        <v>204.14</v>
      </c>
      <c r="R1224">
        <v>22.61</v>
      </c>
      <c r="S1224">
        <v>17.37</v>
      </c>
      <c r="T1224">
        <v>534.24</v>
      </c>
      <c r="U1224">
        <v>0.77</v>
      </c>
      <c r="V1224">
        <v>0.76</v>
      </c>
      <c r="W1224">
        <v>1.1399999999999999</v>
      </c>
      <c r="X1224">
        <v>0.03</v>
      </c>
      <c r="Y1224">
        <v>1</v>
      </c>
      <c r="Z1224">
        <v>10</v>
      </c>
    </row>
    <row r="1225" spans="1:26" x14ac:dyDescent="0.3">
      <c r="A1225">
        <v>153</v>
      </c>
      <c r="B1225">
        <v>135</v>
      </c>
      <c r="C1225" t="s">
        <v>26</v>
      </c>
      <c r="D1225">
        <v>10.2845</v>
      </c>
      <c r="E1225">
        <v>9.7200000000000006</v>
      </c>
      <c r="F1225">
        <v>6.72</v>
      </c>
      <c r="G1225">
        <v>134.37</v>
      </c>
      <c r="H1225">
        <v>2.0299999999999998</v>
      </c>
      <c r="I1225">
        <v>3</v>
      </c>
      <c r="J1225">
        <v>344.93</v>
      </c>
      <c r="K1225">
        <v>59.89</v>
      </c>
      <c r="L1225">
        <v>39.25</v>
      </c>
      <c r="M1225">
        <v>1</v>
      </c>
      <c r="N1225">
        <v>110.8</v>
      </c>
      <c r="O1225">
        <v>42776.18</v>
      </c>
      <c r="P1225">
        <v>105.11</v>
      </c>
      <c r="Q1225">
        <v>204.16</v>
      </c>
      <c r="R1225">
        <v>22.66</v>
      </c>
      <c r="S1225">
        <v>17.37</v>
      </c>
      <c r="T1225">
        <v>559.76</v>
      </c>
      <c r="U1225">
        <v>0.77</v>
      </c>
      <c r="V1225">
        <v>0.76</v>
      </c>
      <c r="W1225">
        <v>1.1399999999999999</v>
      </c>
      <c r="X1225">
        <v>0.03</v>
      </c>
      <c r="Y1225">
        <v>1</v>
      </c>
      <c r="Z1225">
        <v>10</v>
      </c>
    </row>
    <row r="1226" spans="1:26" x14ac:dyDescent="0.3">
      <c r="A1226">
        <v>154</v>
      </c>
      <c r="B1226">
        <v>135</v>
      </c>
      <c r="C1226" t="s">
        <v>26</v>
      </c>
      <c r="D1226">
        <v>10.2828</v>
      </c>
      <c r="E1226">
        <v>9.7200000000000006</v>
      </c>
      <c r="F1226">
        <v>6.72</v>
      </c>
      <c r="G1226">
        <v>134.41</v>
      </c>
      <c r="H1226">
        <v>2.04</v>
      </c>
      <c r="I1226">
        <v>3</v>
      </c>
      <c r="J1226">
        <v>345.56</v>
      </c>
      <c r="K1226">
        <v>59.89</v>
      </c>
      <c r="L1226">
        <v>39.5</v>
      </c>
      <c r="M1226">
        <v>1</v>
      </c>
      <c r="N1226">
        <v>111.17</v>
      </c>
      <c r="O1226">
        <v>42852.94</v>
      </c>
      <c r="P1226">
        <v>105.23</v>
      </c>
      <c r="Q1226">
        <v>204.19</v>
      </c>
      <c r="R1226">
        <v>22.73</v>
      </c>
      <c r="S1226">
        <v>17.37</v>
      </c>
      <c r="T1226">
        <v>593.91</v>
      </c>
      <c r="U1226">
        <v>0.76</v>
      </c>
      <c r="V1226">
        <v>0.76</v>
      </c>
      <c r="W1226">
        <v>1.1399999999999999</v>
      </c>
      <c r="X1226">
        <v>0.03</v>
      </c>
      <c r="Y1226">
        <v>1</v>
      </c>
      <c r="Z1226">
        <v>10</v>
      </c>
    </row>
    <row r="1227" spans="1:26" x14ac:dyDescent="0.3">
      <c r="A1227">
        <v>155</v>
      </c>
      <c r="B1227">
        <v>135</v>
      </c>
      <c r="C1227" t="s">
        <v>26</v>
      </c>
      <c r="D1227">
        <v>10.2804</v>
      </c>
      <c r="E1227">
        <v>9.73</v>
      </c>
      <c r="F1227">
        <v>6.72</v>
      </c>
      <c r="G1227">
        <v>134.44999999999999</v>
      </c>
      <c r="H1227">
        <v>2.0499999999999998</v>
      </c>
      <c r="I1227">
        <v>3</v>
      </c>
      <c r="J1227">
        <v>346.18</v>
      </c>
      <c r="K1227">
        <v>59.89</v>
      </c>
      <c r="L1227">
        <v>39.75</v>
      </c>
      <c r="M1227">
        <v>1</v>
      </c>
      <c r="N1227">
        <v>111.54</v>
      </c>
      <c r="O1227">
        <v>42929.9</v>
      </c>
      <c r="P1227">
        <v>105.33</v>
      </c>
      <c r="Q1227">
        <v>204.14</v>
      </c>
      <c r="R1227">
        <v>22.77</v>
      </c>
      <c r="S1227">
        <v>17.37</v>
      </c>
      <c r="T1227">
        <v>613.54</v>
      </c>
      <c r="U1227">
        <v>0.76</v>
      </c>
      <c r="V1227">
        <v>0.76</v>
      </c>
      <c r="W1227">
        <v>1.1399999999999999</v>
      </c>
      <c r="X1227">
        <v>0.03</v>
      </c>
      <c r="Y1227">
        <v>1</v>
      </c>
      <c r="Z1227">
        <v>10</v>
      </c>
    </row>
    <row r="1228" spans="1:26" x14ac:dyDescent="0.3">
      <c r="A1228">
        <v>156</v>
      </c>
      <c r="B1228">
        <v>135</v>
      </c>
      <c r="C1228" t="s">
        <v>26</v>
      </c>
      <c r="D1228">
        <v>10.283099999999999</v>
      </c>
      <c r="E1228">
        <v>9.7200000000000006</v>
      </c>
      <c r="F1228">
        <v>6.72</v>
      </c>
      <c r="G1228">
        <v>134.4</v>
      </c>
      <c r="H1228">
        <v>2.06</v>
      </c>
      <c r="I1228">
        <v>3</v>
      </c>
      <c r="J1228">
        <v>346.81</v>
      </c>
      <c r="K1228">
        <v>59.89</v>
      </c>
      <c r="L1228">
        <v>40</v>
      </c>
      <c r="M1228">
        <v>1</v>
      </c>
      <c r="N1228">
        <v>111.92</v>
      </c>
      <c r="O1228">
        <v>43007.05</v>
      </c>
      <c r="P1228">
        <v>105.33</v>
      </c>
      <c r="Q1228">
        <v>204.14</v>
      </c>
      <c r="R1228">
        <v>22.71</v>
      </c>
      <c r="S1228">
        <v>17.37</v>
      </c>
      <c r="T1228">
        <v>583.32000000000005</v>
      </c>
      <c r="U1228">
        <v>0.76</v>
      </c>
      <c r="V1228">
        <v>0.76</v>
      </c>
      <c r="W1228">
        <v>1.1399999999999999</v>
      </c>
      <c r="X1228">
        <v>0.03</v>
      </c>
      <c r="Y1228">
        <v>1</v>
      </c>
      <c r="Z1228">
        <v>10</v>
      </c>
    </row>
    <row r="1229" spans="1:26" x14ac:dyDescent="0.3">
      <c r="A1229">
        <v>0</v>
      </c>
      <c r="B1229">
        <v>80</v>
      </c>
      <c r="C1229" t="s">
        <v>26</v>
      </c>
      <c r="D1229">
        <v>7.7845000000000004</v>
      </c>
      <c r="E1229">
        <v>12.85</v>
      </c>
      <c r="F1229">
        <v>8.17</v>
      </c>
      <c r="G1229">
        <v>6.71</v>
      </c>
      <c r="H1229">
        <v>0.11</v>
      </c>
      <c r="I1229">
        <v>73</v>
      </c>
      <c r="J1229">
        <v>159.12</v>
      </c>
      <c r="K1229">
        <v>50.28</v>
      </c>
      <c r="L1229">
        <v>1</v>
      </c>
      <c r="M1229">
        <v>71</v>
      </c>
      <c r="N1229">
        <v>27.84</v>
      </c>
      <c r="O1229">
        <v>19859.16</v>
      </c>
      <c r="P1229">
        <v>100.12</v>
      </c>
      <c r="Q1229">
        <v>204.28</v>
      </c>
      <c r="R1229">
        <v>67.819999999999993</v>
      </c>
      <c r="S1229">
        <v>17.37</v>
      </c>
      <c r="T1229">
        <v>22785.82</v>
      </c>
      <c r="U1229">
        <v>0.26</v>
      </c>
      <c r="V1229">
        <v>0.63</v>
      </c>
      <c r="W1229">
        <v>1.26</v>
      </c>
      <c r="X1229">
        <v>1.47</v>
      </c>
      <c r="Y1229">
        <v>1</v>
      </c>
      <c r="Z1229">
        <v>10</v>
      </c>
    </row>
    <row r="1230" spans="1:26" x14ac:dyDescent="0.3">
      <c r="A1230">
        <v>1</v>
      </c>
      <c r="B1230">
        <v>80</v>
      </c>
      <c r="C1230" t="s">
        <v>26</v>
      </c>
      <c r="D1230">
        <v>8.3701000000000008</v>
      </c>
      <c r="E1230">
        <v>11.95</v>
      </c>
      <c r="F1230">
        <v>7.82</v>
      </c>
      <c r="G1230">
        <v>8.3800000000000008</v>
      </c>
      <c r="H1230">
        <v>0.14000000000000001</v>
      </c>
      <c r="I1230">
        <v>56</v>
      </c>
      <c r="J1230">
        <v>159.47999999999999</v>
      </c>
      <c r="K1230">
        <v>50.28</v>
      </c>
      <c r="L1230">
        <v>1.25</v>
      </c>
      <c r="M1230">
        <v>54</v>
      </c>
      <c r="N1230">
        <v>27.95</v>
      </c>
      <c r="O1230">
        <v>19902.91</v>
      </c>
      <c r="P1230">
        <v>95.64</v>
      </c>
      <c r="Q1230">
        <v>204.22</v>
      </c>
      <c r="R1230">
        <v>56.86</v>
      </c>
      <c r="S1230">
        <v>17.37</v>
      </c>
      <c r="T1230">
        <v>17390.28</v>
      </c>
      <c r="U1230">
        <v>0.31</v>
      </c>
      <c r="V1230">
        <v>0.65</v>
      </c>
      <c r="W1230">
        <v>1.23</v>
      </c>
      <c r="X1230">
        <v>1.1200000000000001</v>
      </c>
      <c r="Y1230">
        <v>1</v>
      </c>
      <c r="Z1230">
        <v>10</v>
      </c>
    </row>
    <row r="1231" spans="1:26" x14ac:dyDescent="0.3">
      <c r="A1231">
        <v>2</v>
      </c>
      <c r="B1231">
        <v>80</v>
      </c>
      <c r="C1231" t="s">
        <v>26</v>
      </c>
      <c r="D1231">
        <v>8.7672000000000008</v>
      </c>
      <c r="E1231">
        <v>11.41</v>
      </c>
      <c r="F1231">
        <v>7.6</v>
      </c>
      <c r="G1231">
        <v>9.91</v>
      </c>
      <c r="H1231">
        <v>0.17</v>
      </c>
      <c r="I1231">
        <v>46</v>
      </c>
      <c r="J1231">
        <v>159.83000000000001</v>
      </c>
      <c r="K1231">
        <v>50.28</v>
      </c>
      <c r="L1231">
        <v>1.5</v>
      </c>
      <c r="M1231">
        <v>44</v>
      </c>
      <c r="N1231">
        <v>28.05</v>
      </c>
      <c r="O1231">
        <v>19946.71</v>
      </c>
      <c r="P1231">
        <v>92.71</v>
      </c>
      <c r="Q1231">
        <v>204.18</v>
      </c>
      <c r="R1231">
        <v>50.16</v>
      </c>
      <c r="S1231">
        <v>17.37</v>
      </c>
      <c r="T1231">
        <v>14090.49</v>
      </c>
      <c r="U1231">
        <v>0.35</v>
      </c>
      <c r="V1231">
        <v>0.67</v>
      </c>
      <c r="W1231">
        <v>1.21</v>
      </c>
      <c r="X1231">
        <v>0.91</v>
      </c>
      <c r="Y1231">
        <v>1</v>
      </c>
      <c r="Z1231">
        <v>10</v>
      </c>
    </row>
    <row r="1232" spans="1:26" x14ac:dyDescent="0.3">
      <c r="A1232">
        <v>3</v>
      </c>
      <c r="B1232">
        <v>80</v>
      </c>
      <c r="C1232" t="s">
        <v>26</v>
      </c>
      <c r="D1232">
        <v>9.0509000000000004</v>
      </c>
      <c r="E1232">
        <v>11.05</v>
      </c>
      <c r="F1232">
        <v>7.47</v>
      </c>
      <c r="G1232">
        <v>11.49</v>
      </c>
      <c r="H1232">
        <v>0.19</v>
      </c>
      <c r="I1232">
        <v>39</v>
      </c>
      <c r="J1232">
        <v>160.19</v>
      </c>
      <c r="K1232">
        <v>50.28</v>
      </c>
      <c r="L1232">
        <v>1.75</v>
      </c>
      <c r="M1232">
        <v>37</v>
      </c>
      <c r="N1232">
        <v>28.16</v>
      </c>
      <c r="O1232">
        <v>19990.53</v>
      </c>
      <c r="P1232">
        <v>90.87</v>
      </c>
      <c r="Q1232">
        <v>204.22</v>
      </c>
      <c r="R1232">
        <v>45.88</v>
      </c>
      <c r="S1232">
        <v>17.37</v>
      </c>
      <c r="T1232">
        <v>11986.82</v>
      </c>
      <c r="U1232">
        <v>0.38</v>
      </c>
      <c r="V1232">
        <v>0.68</v>
      </c>
      <c r="W1232">
        <v>1.2</v>
      </c>
      <c r="X1232">
        <v>0.78</v>
      </c>
      <c r="Y1232">
        <v>1</v>
      </c>
      <c r="Z1232">
        <v>10</v>
      </c>
    </row>
    <row r="1233" spans="1:26" x14ac:dyDescent="0.3">
      <c r="A1233">
        <v>4</v>
      </c>
      <c r="B1233">
        <v>80</v>
      </c>
      <c r="C1233" t="s">
        <v>26</v>
      </c>
      <c r="D1233">
        <v>9.3316999999999997</v>
      </c>
      <c r="E1233">
        <v>10.72</v>
      </c>
      <c r="F1233">
        <v>7.33</v>
      </c>
      <c r="G1233">
        <v>13.32</v>
      </c>
      <c r="H1233">
        <v>0.22</v>
      </c>
      <c r="I1233">
        <v>33</v>
      </c>
      <c r="J1233">
        <v>160.54</v>
      </c>
      <c r="K1233">
        <v>50.28</v>
      </c>
      <c r="L1233">
        <v>2</v>
      </c>
      <c r="M1233">
        <v>31</v>
      </c>
      <c r="N1233">
        <v>28.26</v>
      </c>
      <c r="O1233">
        <v>20034.400000000001</v>
      </c>
      <c r="P1233">
        <v>88.97</v>
      </c>
      <c r="Q1233">
        <v>204.15</v>
      </c>
      <c r="R1233">
        <v>41.5</v>
      </c>
      <c r="S1233">
        <v>17.37</v>
      </c>
      <c r="T1233">
        <v>9828.66</v>
      </c>
      <c r="U1233">
        <v>0.42</v>
      </c>
      <c r="V1233">
        <v>0.7</v>
      </c>
      <c r="W1233">
        <v>1.19</v>
      </c>
      <c r="X1233">
        <v>0.64</v>
      </c>
      <c r="Y1233">
        <v>1</v>
      </c>
      <c r="Z1233">
        <v>10</v>
      </c>
    </row>
    <row r="1234" spans="1:26" x14ac:dyDescent="0.3">
      <c r="A1234">
        <v>5</v>
      </c>
      <c r="B1234">
        <v>80</v>
      </c>
      <c r="C1234" t="s">
        <v>26</v>
      </c>
      <c r="D1234">
        <v>9.5139999999999993</v>
      </c>
      <c r="E1234">
        <v>10.51</v>
      </c>
      <c r="F1234">
        <v>7.25</v>
      </c>
      <c r="G1234">
        <v>15</v>
      </c>
      <c r="H1234">
        <v>0.25</v>
      </c>
      <c r="I1234">
        <v>29</v>
      </c>
      <c r="J1234">
        <v>160.9</v>
      </c>
      <c r="K1234">
        <v>50.28</v>
      </c>
      <c r="L1234">
        <v>2.25</v>
      </c>
      <c r="M1234">
        <v>27</v>
      </c>
      <c r="N1234">
        <v>28.37</v>
      </c>
      <c r="O1234">
        <v>20078.3</v>
      </c>
      <c r="P1234">
        <v>87.81</v>
      </c>
      <c r="Q1234">
        <v>204.14</v>
      </c>
      <c r="R1234">
        <v>39.619999999999997</v>
      </c>
      <c r="S1234">
        <v>17.37</v>
      </c>
      <c r="T1234">
        <v>8909.5300000000007</v>
      </c>
      <c r="U1234">
        <v>0.44</v>
      </c>
      <c r="V1234">
        <v>0.7</v>
      </c>
      <c r="W1234">
        <v>1.17</v>
      </c>
      <c r="X1234">
        <v>0.56000000000000005</v>
      </c>
      <c r="Y1234">
        <v>1</v>
      </c>
      <c r="Z1234">
        <v>10</v>
      </c>
    </row>
    <row r="1235" spans="1:26" x14ac:dyDescent="0.3">
      <c r="A1235">
        <v>6</v>
      </c>
      <c r="B1235">
        <v>80</v>
      </c>
      <c r="C1235" t="s">
        <v>26</v>
      </c>
      <c r="D1235">
        <v>9.6585000000000001</v>
      </c>
      <c r="E1235">
        <v>10.35</v>
      </c>
      <c r="F1235">
        <v>7.19</v>
      </c>
      <c r="G1235">
        <v>16.600000000000001</v>
      </c>
      <c r="H1235">
        <v>0.27</v>
      </c>
      <c r="I1235">
        <v>26</v>
      </c>
      <c r="J1235">
        <v>161.26</v>
      </c>
      <c r="K1235">
        <v>50.28</v>
      </c>
      <c r="L1235">
        <v>2.5</v>
      </c>
      <c r="M1235">
        <v>24</v>
      </c>
      <c r="N1235">
        <v>28.48</v>
      </c>
      <c r="O1235">
        <v>20122.23</v>
      </c>
      <c r="P1235">
        <v>86.95</v>
      </c>
      <c r="Q1235">
        <v>204.14</v>
      </c>
      <c r="R1235">
        <v>37.29</v>
      </c>
      <c r="S1235">
        <v>17.37</v>
      </c>
      <c r="T1235">
        <v>7756.95</v>
      </c>
      <c r="U1235">
        <v>0.47</v>
      </c>
      <c r="V1235">
        <v>0.71</v>
      </c>
      <c r="W1235">
        <v>1.18</v>
      </c>
      <c r="X1235">
        <v>0.5</v>
      </c>
      <c r="Y1235">
        <v>1</v>
      </c>
      <c r="Z1235">
        <v>10</v>
      </c>
    </row>
    <row r="1236" spans="1:26" x14ac:dyDescent="0.3">
      <c r="A1236">
        <v>7</v>
      </c>
      <c r="B1236">
        <v>80</v>
      </c>
      <c r="C1236" t="s">
        <v>26</v>
      </c>
      <c r="D1236">
        <v>9.7386999999999997</v>
      </c>
      <c r="E1236">
        <v>10.27</v>
      </c>
      <c r="F1236">
        <v>7.17</v>
      </c>
      <c r="G1236">
        <v>17.93</v>
      </c>
      <c r="H1236">
        <v>0.3</v>
      </c>
      <c r="I1236">
        <v>24</v>
      </c>
      <c r="J1236">
        <v>161.61000000000001</v>
      </c>
      <c r="K1236">
        <v>50.28</v>
      </c>
      <c r="L1236">
        <v>2.75</v>
      </c>
      <c r="M1236">
        <v>22</v>
      </c>
      <c r="N1236">
        <v>28.58</v>
      </c>
      <c r="O1236">
        <v>20166.2</v>
      </c>
      <c r="P1236">
        <v>86.45</v>
      </c>
      <c r="Q1236">
        <v>204.15</v>
      </c>
      <c r="R1236">
        <v>36.869999999999997</v>
      </c>
      <c r="S1236">
        <v>17.37</v>
      </c>
      <c r="T1236">
        <v>7556.61</v>
      </c>
      <c r="U1236">
        <v>0.47</v>
      </c>
      <c r="V1236">
        <v>0.71</v>
      </c>
      <c r="W1236">
        <v>1.17</v>
      </c>
      <c r="X1236">
        <v>0.48</v>
      </c>
      <c r="Y1236">
        <v>1</v>
      </c>
      <c r="Z1236">
        <v>10</v>
      </c>
    </row>
    <row r="1237" spans="1:26" x14ac:dyDescent="0.3">
      <c r="A1237">
        <v>8</v>
      </c>
      <c r="B1237">
        <v>80</v>
      </c>
      <c r="C1237" t="s">
        <v>26</v>
      </c>
      <c r="D1237">
        <v>9.8521999999999998</v>
      </c>
      <c r="E1237">
        <v>10.15</v>
      </c>
      <c r="F1237">
        <v>7.12</v>
      </c>
      <c r="G1237">
        <v>19.41</v>
      </c>
      <c r="H1237">
        <v>0.33</v>
      </c>
      <c r="I1237">
        <v>22</v>
      </c>
      <c r="J1237">
        <v>161.97</v>
      </c>
      <c r="K1237">
        <v>50.28</v>
      </c>
      <c r="L1237">
        <v>3</v>
      </c>
      <c r="M1237">
        <v>20</v>
      </c>
      <c r="N1237">
        <v>28.69</v>
      </c>
      <c r="O1237">
        <v>20210.21</v>
      </c>
      <c r="P1237">
        <v>85.61</v>
      </c>
      <c r="Q1237">
        <v>204.15</v>
      </c>
      <c r="R1237">
        <v>35.020000000000003</v>
      </c>
      <c r="S1237">
        <v>17.37</v>
      </c>
      <c r="T1237">
        <v>6643.41</v>
      </c>
      <c r="U1237">
        <v>0.5</v>
      </c>
      <c r="V1237">
        <v>0.72</v>
      </c>
      <c r="W1237">
        <v>1.17</v>
      </c>
      <c r="X1237">
        <v>0.42</v>
      </c>
      <c r="Y1237">
        <v>1</v>
      </c>
      <c r="Z1237">
        <v>10</v>
      </c>
    </row>
    <row r="1238" spans="1:26" x14ac:dyDescent="0.3">
      <c r="A1238">
        <v>9</v>
      </c>
      <c r="B1238">
        <v>80</v>
      </c>
      <c r="C1238" t="s">
        <v>26</v>
      </c>
      <c r="D1238">
        <v>9.9612999999999996</v>
      </c>
      <c r="E1238">
        <v>10.039999999999999</v>
      </c>
      <c r="F1238">
        <v>7.07</v>
      </c>
      <c r="G1238">
        <v>21.21</v>
      </c>
      <c r="H1238">
        <v>0.35</v>
      </c>
      <c r="I1238">
        <v>20</v>
      </c>
      <c r="J1238">
        <v>162.33000000000001</v>
      </c>
      <c r="K1238">
        <v>50.28</v>
      </c>
      <c r="L1238">
        <v>3.25</v>
      </c>
      <c r="M1238">
        <v>18</v>
      </c>
      <c r="N1238">
        <v>28.8</v>
      </c>
      <c r="O1238">
        <v>20254.259999999998</v>
      </c>
      <c r="P1238">
        <v>84.9</v>
      </c>
      <c r="Q1238">
        <v>204.14</v>
      </c>
      <c r="R1238">
        <v>33.67</v>
      </c>
      <c r="S1238">
        <v>17.37</v>
      </c>
      <c r="T1238">
        <v>5976.74</v>
      </c>
      <c r="U1238">
        <v>0.52</v>
      </c>
      <c r="V1238">
        <v>0.72</v>
      </c>
      <c r="W1238">
        <v>1.17</v>
      </c>
      <c r="X1238">
        <v>0.38</v>
      </c>
      <c r="Y1238">
        <v>1</v>
      </c>
      <c r="Z1238">
        <v>10</v>
      </c>
    </row>
    <row r="1239" spans="1:26" x14ac:dyDescent="0.3">
      <c r="A1239">
        <v>10</v>
      </c>
      <c r="B1239">
        <v>80</v>
      </c>
      <c r="C1239" t="s">
        <v>26</v>
      </c>
      <c r="D1239">
        <v>10.0078</v>
      </c>
      <c r="E1239">
        <v>9.99</v>
      </c>
      <c r="F1239">
        <v>7.06</v>
      </c>
      <c r="G1239">
        <v>22.28</v>
      </c>
      <c r="H1239">
        <v>0.38</v>
      </c>
      <c r="I1239">
        <v>19</v>
      </c>
      <c r="J1239">
        <v>162.68</v>
      </c>
      <c r="K1239">
        <v>50.28</v>
      </c>
      <c r="L1239">
        <v>3.5</v>
      </c>
      <c r="M1239">
        <v>17</v>
      </c>
      <c r="N1239">
        <v>28.9</v>
      </c>
      <c r="O1239">
        <v>20298.34</v>
      </c>
      <c r="P1239">
        <v>84.5</v>
      </c>
      <c r="Q1239">
        <v>204.15</v>
      </c>
      <c r="R1239">
        <v>32.950000000000003</v>
      </c>
      <c r="S1239">
        <v>17.37</v>
      </c>
      <c r="T1239">
        <v>5624.04</v>
      </c>
      <c r="U1239">
        <v>0.53</v>
      </c>
      <c r="V1239">
        <v>0.72</v>
      </c>
      <c r="W1239">
        <v>1.17</v>
      </c>
      <c r="X1239">
        <v>0.36</v>
      </c>
      <c r="Y1239">
        <v>1</v>
      </c>
      <c r="Z1239">
        <v>10</v>
      </c>
    </row>
    <row r="1240" spans="1:26" x14ac:dyDescent="0.3">
      <c r="A1240">
        <v>11</v>
      </c>
      <c r="B1240">
        <v>80</v>
      </c>
      <c r="C1240" t="s">
        <v>26</v>
      </c>
      <c r="D1240">
        <v>10.122299999999999</v>
      </c>
      <c r="E1240">
        <v>9.8800000000000008</v>
      </c>
      <c r="F1240">
        <v>7.01</v>
      </c>
      <c r="G1240">
        <v>24.73</v>
      </c>
      <c r="H1240">
        <v>0.41</v>
      </c>
      <c r="I1240">
        <v>17</v>
      </c>
      <c r="J1240">
        <v>163.04</v>
      </c>
      <c r="K1240">
        <v>50.28</v>
      </c>
      <c r="L1240">
        <v>3.75</v>
      </c>
      <c r="M1240">
        <v>15</v>
      </c>
      <c r="N1240">
        <v>29.01</v>
      </c>
      <c r="O1240">
        <v>20342.46</v>
      </c>
      <c r="P1240">
        <v>83.46</v>
      </c>
      <c r="Q1240">
        <v>204.16</v>
      </c>
      <c r="R1240">
        <v>31.45</v>
      </c>
      <c r="S1240">
        <v>17.37</v>
      </c>
      <c r="T1240">
        <v>4881.2</v>
      </c>
      <c r="U1240">
        <v>0.55000000000000004</v>
      </c>
      <c r="V1240">
        <v>0.73</v>
      </c>
      <c r="W1240">
        <v>1.17</v>
      </c>
      <c r="X1240">
        <v>0.31</v>
      </c>
      <c r="Y1240">
        <v>1</v>
      </c>
      <c r="Z1240">
        <v>10</v>
      </c>
    </row>
    <row r="1241" spans="1:26" x14ac:dyDescent="0.3">
      <c r="A1241">
        <v>12</v>
      </c>
      <c r="B1241">
        <v>80</v>
      </c>
      <c r="C1241" t="s">
        <v>26</v>
      </c>
      <c r="D1241">
        <v>10.1721</v>
      </c>
      <c r="E1241">
        <v>9.83</v>
      </c>
      <c r="F1241">
        <v>6.99</v>
      </c>
      <c r="G1241">
        <v>26.22</v>
      </c>
      <c r="H1241">
        <v>0.43</v>
      </c>
      <c r="I1241">
        <v>16</v>
      </c>
      <c r="J1241">
        <v>163.4</v>
      </c>
      <c r="K1241">
        <v>50.28</v>
      </c>
      <c r="L1241">
        <v>4</v>
      </c>
      <c r="M1241">
        <v>14</v>
      </c>
      <c r="N1241">
        <v>29.12</v>
      </c>
      <c r="O1241">
        <v>20386.62</v>
      </c>
      <c r="P1241">
        <v>83.28</v>
      </c>
      <c r="Q1241">
        <v>204.15</v>
      </c>
      <c r="R1241">
        <v>31.16</v>
      </c>
      <c r="S1241">
        <v>17.37</v>
      </c>
      <c r="T1241">
        <v>4741.42</v>
      </c>
      <c r="U1241">
        <v>0.56000000000000005</v>
      </c>
      <c r="V1241">
        <v>0.73</v>
      </c>
      <c r="W1241">
        <v>1.1599999999999999</v>
      </c>
      <c r="X1241">
        <v>0.3</v>
      </c>
      <c r="Y1241">
        <v>1</v>
      </c>
      <c r="Z1241">
        <v>10</v>
      </c>
    </row>
    <row r="1242" spans="1:26" x14ac:dyDescent="0.3">
      <c r="A1242">
        <v>13</v>
      </c>
      <c r="B1242">
        <v>80</v>
      </c>
      <c r="C1242" t="s">
        <v>26</v>
      </c>
      <c r="D1242">
        <v>10.2067</v>
      </c>
      <c r="E1242">
        <v>9.8000000000000007</v>
      </c>
      <c r="F1242">
        <v>6.99</v>
      </c>
      <c r="G1242">
        <v>27.96</v>
      </c>
      <c r="H1242">
        <v>0.46</v>
      </c>
      <c r="I1242">
        <v>15</v>
      </c>
      <c r="J1242">
        <v>163.76</v>
      </c>
      <c r="K1242">
        <v>50.28</v>
      </c>
      <c r="L1242">
        <v>4.25</v>
      </c>
      <c r="M1242">
        <v>13</v>
      </c>
      <c r="N1242">
        <v>29.23</v>
      </c>
      <c r="O1242">
        <v>20430.810000000001</v>
      </c>
      <c r="P1242">
        <v>82.98</v>
      </c>
      <c r="Q1242">
        <v>204.16</v>
      </c>
      <c r="R1242">
        <v>31.21</v>
      </c>
      <c r="S1242">
        <v>17.37</v>
      </c>
      <c r="T1242">
        <v>4774.43</v>
      </c>
      <c r="U1242">
        <v>0.56000000000000005</v>
      </c>
      <c r="V1242">
        <v>0.73</v>
      </c>
      <c r="W1242">
        <v>1.1599999999999999</v>
      </c>
      <c r="X1242">
        <v>0.3</v>
      </c>
      <c r="Y1242">
        <v>1</v>
      </c>
      <c r="Z1242">
        <v>10</v>
      </c>
    </row>
    <row r="1243" spans="1:26" x14ac:dyDescent="0.3">
      <c r="A1243">
        <v>14</v>
      </c>
      <c r="B1243">
        <v>80</v>
      </c>
      <c r="C1243" t="s">
        <v>26</v>
      </c>
      <c r="D1243">
        <v>10.221500000000001</v>
      </c>
      <c r="E1243">
        <v>9.7799999999999994</v>
      </c>
      <c r="F1243">
        <v>6.98</v>
      </c>
      <c r="G1243">
        <v>27.9</v>
      </c>
      <c r="H1243">
        <v>0.49</v>
      </c>
      <c r="I1243">
        <v>15</v>
      </c>
      <c r="J1243">
        <v>164.12</v>
      </c>
      <c r="K1243">
        <v>50.28</v>
      </c>
      <c r="L1243">
        <v>4.5</v>
      </c>
      <c r="M1243">
        <v>13</v>
      </c>
      <c r="N1243">
        <v>29.34</v>
      </c>
      <c r="O1243">
        <v>20475.04</v>
      </c>
      <c r="P1243">
        <v>82.65</v>
      </c>
      <c r="Q1243">
        <v>204.17</v>
      </c>
      <c r="R1243">
        <v>30.65</v>
      </c>
      <c r="S1243">
        <v>17.37</v>
      </c>
      <c r="T1243">
        <v>4493.99</v>
      </c>
      <c r="U1243">
        <v>0.56999999999999995</v>
      </c>
      <c r="V1243">
        <v>0.73</v>
      </c>
      <c r="W1243">
        <v>1.1599999999999999</v>
      </c>
      <c r="X1243">
        <v>0.28000000000000003</v>
      </c>
      <c r="Y1243">
        <v>1</v>
      </c>
      <c r="Z1243">
        <v>10</v>
      </c>
    </row>
    <row r="1244" spans="1:26" x14ac:dyDescent="0.3">
      <c r="A1244">
        <v>15</v>
      </c>
      <c r="B1244">
        <v>80</v>
      </c>
      <c r="C1244" t="s">
        <v>26</v>
      </c>
      <c r="D1244">
        <v>10.286</v>
      </c>
      <c r="E1244">
        <v>9.7200000000000006</v>
      </c>
      <c r="F1244">
        <v>6.95</v>
      </c>
      <c r="G1244">
        <v>29.77</v>
      </c>
      <c r="H1244">
        <v>0.51</v>
      </c>
      <c r="I1244">
        <v>14</v>
      </c>
      <c r="J1244">
        <v>164.48</v>
      </c>
      <c r="K1244">
        <v>50.28</v>
      </c>
      <c r="L1244">
        <v>4.75</v>
      </c>
      <c r="M1244">
        <v>12</v>
      </c>
      <c r="N1244">
        <v>29.45</v>
      </c>
      <c r="O1244">
        <v>20519.3</v>
      </c>
      <c r="P1244">
        <v>82.17</v>
      </c>
      <c r="Q1244">
        <v>204.15</v>
      </c>
      <c r="R1244">
        <v>29.68</v>
      </c>
      <c r="S1244">
        <v>17.37</v>
      </c>
      <c r="T1244">
        <v>4014.66</v>
      </c>
      <c r="U1244">
        <v>0.59</v>
      </c>
      <c r="V1244">
        <v>0.74</v>
      </c>
      <c r="W1244">
        <v>1.1599999999999999</v>
      </c>
      <c r="X1244">
        <v>0.25</v>
      </c>
      <c r="Y1244">
        <v>1</v>
      </c>
      <c r="Z1244">
        <v>10</v>
      </c>
    </row>
    <row r="1245" spans="1:26" x14ac:dyDescent="0.3">
      <c r="A1245">
        <v>16</v>
      </c>
      <c r="B1245">
        <v>80</v>
      </c>
      <c r="C1245" t="s">
        <v>26</v>
      </c>
      <c r="D1245">
        <v>10.337999999999999</v>
      </c>
      <c r="E1245">
        <v>9.67</v>
      </c>
      <c r="F1245">
        <v>6.93</v>
      </c>
      <c r="G1245">
        <v>31.98</v>
      </c>
      <c r="H1245">
        <v>0.54</v>
      </c>
      <c r="I1245">
        <v>13</v>
      </c>
      <c r="J1245">
        <v>164.83</v>
      </c>
      <c r="K1245">
        <v>50.28</v>
      </c>
      <c r="L1245">
        <v>5</v>
      </c>
      <c r="M1245">
        <v>11</v>
      </c>
      <c r="N1245">
        <v>29.55</v>
      </c>
      <c r="O1245">
        <v>20563.61</v>
      </c>
      <c r="P1245">
        <v>81.72</v>
      </c>
      <c r="Q1245">
        <v>204.15</v>
      </c>
      <c r="R1245">
        <v>29.31</v>
      </c>
      <c r="S1245">
        <v>17.37</v>
      </c>
      <c r="T1245">
        <v>3834.25</v>
      </c>
      <c r="U1245">
        <v>0.59</v>
      </c>
      <c r="V1245">
        <v>0.74</v>
      </c>
      <c r="W1245">
        <v>1.1499999999999999</v>
      </c>
      <c r="X1245">
        <v>0.24</v>
      </c>
      <c r="Y1245">
        <v>1</v>
      </c>
      <c r="Z1245">
        <v>10</v>
      </c>
    </row>
    <row r="1246" spans="1:26" x14ac:dyDescent="0.3">
      <c r="A1246">
        <v>17</v>
      </c>
      <c r="B1246">
        <v>80</v>
      </c>
      <c r="C1246" t="s">
        <v>26</v>
      </c>
      <c r="D1246">
        <v>10.328200000000001</v>
      </c>
      <c r="E1246">
        <v>9.68</v>
      </c>
      <c r="F1246">
        <v>6.94</v>
      </c>
      <c r="G1246">
        <v>32.03</v>
      </c>
      <c r="H1246">
        <v>0.56000000000000005</v>
      </c>
      <c r="I1246">
        <v>13</v>
      </c>
      <c r="J1246">
        <v>165.19</v>
      </c>
      <c r="K1246">
        <v>50.28</v>
      </c>
      <c r="L1246">
        <v>5.25</v>
      </c>
      <c r="M1246">
        <v>11</v>
      </c>
      <c r="N1246">
        <v>29.66</v>
      </c>
      <c r="O1246">
        <v>20607.95</v>
      </c>
      <c r="P1246">
        <v>81.569999999999993</v>
      </c>
      <c r="Q1246">
        <v>204.15</v>
      </c>
      <c r="R1246">
        <v>29.48</v>
      </c>
      <c r="S1246">
        <v>17.37</v>
      </c>
      <c r="T1246">
        <v>3915.84</v>
      </c>
      <c r="U1246">
        <v>0.59</v>
      </c>
      <c r="V1246">
        <v>0.74</v>
      </c>
      <c r="W1246">
        <v>1.1599999999999999</v>
      </c>
      <c r="X1246">
        <v>0.25</v>
      </c>
      <c r="Y1246">
        <v>1</v>
      </c>
      <c r="Z1246">
        <v>10</v>
      </c>
    </row>
    <row r="1247" spans="1:26" x14ac:dyDescent="0.3">
      <c r="A1247">
        <v>18</v>
      </c>
      <c r="B1247">
        <v>80</v>
      </c>
      <c r="C1247" t="s">
        <v>26</v>
      </c>
      <c r="D1247">
        <v>10.3893</v>
      </c>
      <c r="E1247">
        <v>9.6300000000000008</v>
      </c>
      <c r="F1247">
        <v>6.91</v>
      </c>
      <c r="G1247">
        <v>34.57</v>
      </c>
      <c r="H1247">
        <v>0.59</v>
      </c>
      <c r="I1247">
        <v>12</v>
      </c>
      <c r="J1247">
        <v>165.55</v>
      </c>
      <c r="K1247">
        <v>50.28</v>
      </c>
      <c r="L1247">
        <v>5.5</v>
      </c>
      <c r="M1247">
        <v>10</v>
      </c>
      <c r="N1247">
        <v>29.77</v>
      </c>
      <c r="O1247">
        <v>20652.330000000002</v>
      </c>
      <c r="P1247">
        <v>81.209999999999994</v>
      </c>
      <c r="Q1247">
        <v>204.17</v>
      </c>
      <c r="R1247">
        <v>28.67</v>
      </c>
      <c r="S1247">
        <v>17.37</v>
      </c>
      <c r="T1247">
        <v>3515.95</v>
      </c>
      <c r="U1247">
        <v>0.61</v>
      </c>
      <c r="V1247">
        <v>0.74</v>
      </c>
      <c r="W1247">
        <v>1.1599999999999999</v>
      </c>
      <c r="X1247">
        <v>0.22</v>
      </c>
      <c r="Y1247">
        <v>1</v>
      </c>
      <c r="Z1247">
        <v>10</v>
      </c>
    </row>
    <row r="1248" spans="1:26" x14ac:dyDescent="0.3">
      <c r="A1248">
        <v>19</v>
      </c>
      <c r="B1248">
        <v>80</v>
      </c>
      <c r="C1248" t="s">
        <v>26</v>
      </c>
      <c r="D1248">
        <v>10.4636</v>
      </c>
      <c r="E1248">
        <v>9.56</v>
      </c>
      <c r="F1248">
        <v>6.88</v>
      </c>
      <c r="G1248">
        <v>37.520000000000003</v>
      </c>
      <c r="H1248">
        <v>0.61</v>
      </c>
      <c r="I1248">
        <v>11</v>
      </c>
      <c r="J1248">
        <v>165.91</v>
      </c>
      <c r="K1248">
        <v>50.28</v>
      </c>
      <c r="L1248">
        <v>5.75</v>
      </c>
      <c r="M1248">
        <v>9</v>
      </c>
      <c r="N1248">
        <v>29.88</v>
      </c>
      <c r="O1248">
        <v>20696.740000000002</v>
      </c>
      <c r="P1248">
        <v>80.319999999999993</v>
      </c>
      <c r="Q1248">
        <v>204.14</v>
      </c>
      <c r="R1248">
        <v>27.78</v>
      </c>
      <c r="S1248">
        <v>17.37</v>
      </c>
      <c r="T1248">
        <v>3078.92</v>
      </c>
      <c r="U1248">
        <v>0.63</v>
      </c>
      <c r="V1248">
        <v>0.74</v>
      </c>
      <c r="W1248">
        <v>1.1499999999999999</v>
      </c>
      <c r="X1248">
        <v>0.19</v>
      </c>
      <c r="Y1248">
        <v>1</v>
      </c>
      <c r="Z1248">
        <v>10</v>
      </c>
    </row>
    <row r="1249" spans="1:26" x14ac:dyDescent="0.3">
      <c r="A1249">
        <v>20</v>
      </c>
      <c r="B1249">
        <v>80</v>
      </c>
      <c r="C1249" t="s">
        <v>26</v>
      </c>
      <c r="D1249">
        <v>10.459</v>
      </c>
      <c r="E1249">
        <v>9.56</v>
      </c>
      <c r="F1249">
        <v>6.88</v>
      </c>
      <c r="G1249">
        <v>37.54</v>
      </c>
      <c r="H1249">
        <v>0.64</v>
      </c>
      <c r="I1249">
        <v>11</v>
      </c>
      <c r="J1249">
        <v>166.27</v>
      </c>
      <c r="K1249">
        <v>50.28</v>
      </c>
      <c r="L1249">
        <v>6</v>
      </c>
      <c r="M1249">
        <v>9</v>
      </c>
      <c r="N1249">
        <v>29.99</v>
      </c>
      <c r="O1249">
        <v>20741.2</v>
      </c>
      <c r="P1249">
        <v>80.36</v>
      </c>
      <c r="Q1249">
        <v>204.16</v>
      </c>
      <c r="R1249">
        <v>27.59</v>
      </c>
      <c r="S1249">
        <v>17.37</v>
      </c>
      <c r="T1249">
        <v>2982.13</v>
      </c>
      <c r="U1249">
        <v>0.63</v>
      </c>
      <c r="V1249">
        <v>0.74</v>
      </c>
      <c r="W1249">
        <v>1.1599999999999999</v>
      </c>
      <c r="X1249">
        <v>0.19</v>
      </c>
      <c r="Y1249">
        <v>1</v>
      </c>
      <c r="Z1249">
        <v>10</v>
      </c>
    </row>
    <row r="1250" spans="1:26" x14ac:dyDescent="0.3">
      <c r="A1250">
        <v>21</v>
      </c>
      <c r="B1250">
        <v>80</v>
      </c>
      <c r="C1250" t="s">
        <v>26</v>
      </c>
      <c r="D1250">
        <v>10.4496</v>
      </c>
      <c r="E1250">
        <v>9.57</v>
      </c>
      <c r="F1250">
        <v>6.89</v>
      </c>
      <c r="G1250">
        <v>37.590000000000003</v>
      </c>
      <c r="H1250">
        <v>0.66</v>
      </c>
      <c r="I1250">
        <v>11</v>
      </c>
      <c r="J1250">
        <v>166.64</v>
      </c>
      <c r="K1250">
        <v>50.28</v>
      </c>
      <c r="L1250">
        <v>6.25</v>
      </c>
      <c r="M1250">
        <v>9</v>
      </c>
      <c r="N1250">
        <v>30.11</v>
      </c>
      <c r="O1250">
        <v>20785.689999999999</v>
      </c>
      <c r="P1250">
        <v>80.14</v>
      </c>
      <c r="Q1250">
        <v>204.15</v>
      </c>
      <c r="R1250">
        <v>27.92</v>
      </c>
      <c r="S1250">
        <v>17.37</v>
      </c>
      <c r="T1250">
        <v>3149.76</v>
      </c>
      <c r="U1250">
        <v>0.62</v>
      </c>
      <c r="V1250">
        <v>0.74</v>
      </c>
      <c r="W1250">
        <v>1.1599999999999999</v>
      </c>
      <c r="X1250">
        <v>0.2</v>
      </c>
      <c r="Y1250">
        <v>1</v>
      </c>
      <c r="Z1250">
        <v>10</v>
      </c>
    </row>
    <row r="1251" spans="1:26" x14ac:dyDescent="0.3">
      <c r="A1251">
        <v>22</v>
      </c>
      <c r="B1251">
        <v>80</v>
      </c>
      <c r="C1251" t="s">
        <v>26</v>
      </c>
      <c r="D1251">
        <v>10.5067</v>
      </c>
      <c r="E1251">
        <v>9.52</v>
      </c>
      <c r="F1251">
        <v>6.87</v>
      </c>
      <c r="G1251">
        <v>41.23</v>
      </c>
      <c r="H1251">
        <v>0.69</v>
      </c>
      <c r="I1251">
        <v>10</v>
      </c>
      <c r="J1251">
        <v>167</v>
      </c>
      <c r="K1251">
        <v>50.28</v>
      </c>
      <c r="L1251">
        <v>6.5</v>
      </c>
      <c r="M1251">
        <v>8</v>
      </c>
      <c r="N1251">
        <v>30.22</v>
      </c>
      <c r="O1251">
        <v>20830.22</v>
      </c>
      <c r="P1251">
        <v>79.55</v>
      </c>
      <c r="Q1251">
        <v>204.14</v>
      </c>
      <c r="R1251">
        <v>27.33</v>
      </c>
      <c r="S1251">
        <v>17.37</v>
      </c>
      <c r="T1251">
        <v>2855.59</v>
      </c>
      <c r="U1251">
        <v>0.64</v>
      </c>
      <c r="V1251">
        <v>0.74</v>
      </c>
      <c r="W1251">
        <v>1.1499999999999999</v>
      </c>
      <c r="X1251">
        <v>0.18</v>
      </c>
      <c r="Y1251">
        <v>1</v>
      </c>
      <c r="Z1251">
        <v>10</v>
      </c>
    </row>
    <row r="1252" spans="1:26" x14ac:dyDescent="0.3">
      <c r="A1252">
        <v>23</v>
      </c>
      <c r="B1252">
        <v>80</v>
      </c>
      <c r="C1252" t="s">
        <v>26</v>
      </c>
      <c r="D1252">
        <v>10.5067</v>
      </c>
      <c r="E1252">
        <v>9.52</v>
      </c>
      <c r="F1252">
        <v>6.87</v>
      </c>
      <c r="G1252">
        <v>41.23</v>
      </c>
      <c r="H1252">
        <v>0.71</v>
      </c>
      <c r="I1252">
        <v>10</v>
      </c>
      <c r="J1252">
        <v>167.36</v>
      </c>
      <c r="K1252">
        <v>50.28</v>
      </c>
      <c r="L1252">
        <v>6.75</v>
      </c>
      <c r="M1252">
        <v>8</v>
      </c>
      <c r="N1252">
        <v>30.33</v>
      </c>
      <c r="O1252">
        <v>20874.78</v>
      </c>
      <c r="P1252">
        <v>79.52</v>
      </c>
      <c r="Q1252">
        <v>204.16</v>
      </c>
      <c r="R1252">
        <v>27.42</v>
      </c>
      <c r="S1252">
        <v>17.37</v>
      </c>
      <c r="T1252">
        <v>2903.73</v>
      </c>
      <c r="U1252">
        <v>0.63</v>
      </c>
      <c r="V1252">
        <v>0.74</v>
      </c>
      <c r="W1252">
        <v>1.1499999999999999</v>
      </c>
      <c r="X1252">
        <v>0.18</v>
      </c>
      <c r="Y1252">
        <v>1</v>
      </c>
      <c r="Z1252">
        <v>10</v>
      </c>
    </row>
    <row r="1253" spans="1:26" x14ac:dyDescent="0.3">
      <c r="A1253">
        <v>24</v>
      </c>
      <c r="B1253">
        <v>80</v>
      </c>
      <c r="C1253" t="s">
        <v>26</v>
      </c>
      <c r="D1253">
        <v>10.507300000000001</v>
      </c>
      <c r="E1253">
        <v>9.52</v>
      </c>
      <c r="F1253">
        <v>6.87</v>
      </c>
      <c r="G1253">
        <v>41.22</v>
      </c>
      <c r="H1253">
        <v>0.74</v>
      </c>
      <c r="I1253">
        <v>10</v>
      </c>
      <c r="J1253">
        <v>167.72</v>
      </c>
      <c r="K1253">
        <v>50.28</v>
      </c>
      <c r="L1253">
        <v>7</v>
      </c>
      <c r="M1253">
        <v>8</v>
      </c>
      <c r="N1253">
        <v>30.44</v>
      </c>
      <c r="O1253">
        <v>20919.39</v>
      </c>
      <c r="P1253">
        <v>79.2</v>
      </c>
      <c r="Q1253">
        <v>204.14</v>
      </c>
      <c r="R1253">
        <v>27.34</v>
      </c>
      <c r="S1253">
        <v>17.37</v>
      </c>
      <c r="T1253">
        <v>2864.2</v>
      </c>
      <c r="U1253">
        <v>0.64</v>
      </c>
      <c r="V1253">
        <v>0.74</v>
      </c>
      <c r="W1253">
        <v>1.1499999999999999</v>
      </c>
      <c r="X1253">
        <v>0.18</v>
      </c>
      <c r="Y1253">
        <v>1</v>
      </c>
      <c r="Z1253">
        <v>10</v>
      </c>
    </row>
    <row r="1254" spans="1:26" x14ac:dyDescent="0.3">
      <c r="A1254">
        <v>25</v>
      </c>
      <c r="B1254">
        <v>80</v>
      </c>
      <c r="C1254" t="s">
        <v>26</v>
      </c>
      <c r="D1254">
        <v>10.558400000000001</v>
      </c>
      <c r="E1254">
        <v>9.4700000000000006</v>
      </c>
      <c r="F1254">
        <v>6.86</v>
      </c>
      <c r="G1254">
        <v>45.71</v>
      </c>
      <c r="H1254">
        <v>0.76</v>
      </c>
      <c r="I1254">
        <v>9</v>
      </c>
      <c r="J1254">
        <v>168.08</v>
      </c>
      <c r="K1254">
        <v>50.28</v>
      </c>
      <c r="L1254">
        <v>7.25</v>
      </c>
      <c r="M1254">
        <v>7</v>
      </c>
      <c r="N1254">
        <v>30.55</v>
      </c>
      <c r="O1254">
        <v>20964.03</v>
      </c>
      <c r="P1254">
        <v>79.09</v>
      </c>
      <c r="Q1254">
        <v>204.19</v>
      </c>
      <c r="R1254">
        <v>27.08</v>
      </c>
      <c r="S1254">
        <v>17.37</v>
      </c>
      <c r="T1254">
        <v>2735.31</v>
      </c>
      <c r="U1254">
        <v>0.64</v>
      </c>
      <c r="V1254">
        <v>0.74</v>
      </c>
      <c r="W1254">
        <v>1.1499999999999999</v>
      </c>
      <c r="X1254">
        <v>0.17</v>
      </c>
      <c r="Y1254">
        <v>1</v>
      </c>
      <c r="Z1254">
        <v>10</v>
      </c>
    </row>
    <row r="1255" spans="1:26" x14ac:dyDescent="0.3">
      <c r="A1255">
        <v>26</v>
      </c>
      <c r="B1255">
        <v>80</v>
      </c>
      <c r="C1255" t="s">
        <v>26</v>
      </c>
      <c r="D1255">
        <v>10.555300000000001</v>
      </c>
      <c r="E1255">
        <v>9.4700000000000006</v>
      </c>
      <c r="F1255">
        <v>6.86</v>
      </c>
      <c r="G1255">
        <v>45.73</v>
      </c>
      <c r="H1255">
        <v>0.79</v>
      </c>
      <c r="I1255">
        <v>9</v>
      </c>
      <c r="J1255">
        <v>168.44</v>
      </c>
      <c r="K1255">
        <v>50.28</v>
      </c>
      <c r="L1255">
        <v>7.5</v>
      </c>
      <c r="M1255">
        <v>7</v>
      </c>
      <c r="N1255">
        <v>30.66</v>
      </c>
      <c r="O1255">
        <v>21008.71</v>
      </c>
      <c r="P1255">
        <v>79.13</v>
      </c>
      <c r="Q1255">
        <v>204.16</v>
      </c>
      <c r="R1255">
        <v>27.03</v>
      </c>
      <c r="S1255">
        <v>17.37</v>
      </c>
      <c r="T1255">
        <v>2710.3</v>
      </c>
      <c r="U1255">
        <v>0.64</v>
      </c>
      <c r="V1255">
        <v>0.74</v>
      </c>
      <c r="W1255">
        <v>1.1499999999999999</v>
      </c>
      <c r="X1255">
        <v>0.17</v>
      </c>
      <c r="Y1255">
        <v>1</v>
      </c>
      <c r="Z1255">
        <v>10</v>
      </c>
    </row>
    <row r="1256" spans="1:26" x14ac:dyDescent="0.3">
      <c r="A1256">
        <v>27</v>
      </c>
      <c r="B1256">
        <v>80</v>
      </c>
      <c r="C1256" t="s">
        <v>26</v>
      </c>
      <c r="D1256">
        <v>10.552199999999999</v>
      </c>
      <c r="E1256">
        <v>9.48</v>
      </c>
      <c r="F1256">
        <v>6.86</v>
      </c>
      <c r="G1256">
        <v>45.75</v>
      </c>
      <c r="H1256">
        <v>0.81</v>
      </c>
      <c r="I1256">
        <v>9</v>
      </c>
      <c r="J1256">
        <v>168.81</v>
      </c>
      <c r="K1256">
        <v>50.28</v>
      </c>
      <c r="L1256">
        <v>7.75</v>
      </c>
      <c r="M1256">
        <v>7</v>
      </c>
      <c r="N1256">
        <v>30.78</v>
      </c>
      <c r="O1256">
        <v>21053.43</v>
      </c>
      <c r="P1256">
        <v>78.739999999999995</v>
      </c>
      <c r="Q1256">
        <v>204.15</v>
      </c>
      <c r="R1256">
        <v>27.18</v>
      </c>
      <c r="S1256">
        <v>17.37</v>
      </c>
      <c r="T1256">
        <v>2786.12</v>
      </c>
      <c r="U1256">
        <v>0.64</v>
      </c>
      <c r="V1256">
        <v>0.74</v>
      </c>
      <c r="W1256">
        <v>1.1499999999999999</v>
      </c>
      <c r="X1256">
        <v>0.17</v>
      </c>
      <c r="Y1256">
        <v>1</v>
      </c>
      <c r="Z1256">
        <v>10</v>
      </c>
    </row>
    <row r="1257" spans="1:26" x14ac:dyDescent="0.3">
      <c r="A1257">
        <v>28</v>
      </c>
      <c r="B1257">
        <v>80</v>
      </c>
      <c r="C1257" t="s">
        <v>26</v>
      </c>
      <c r="D1257">
        <v>10.616300000000001</v>
      </c>
      <c r="E1257">
        <v>9.42</v>
      </c>
      <c r="F1257">
        <v>6.84</v>
      </c>
      <c r="G1257">
        <v>51.28</v>
      </c>
      <c r="H1257">
        <v>0.84</v>
      </c>
      <c r="I1257">
        <v>8</v>
      </c>
      <c r="J1257">
        <v>169.17</v>
      </c>
      <c r="K1257">
        <v>50.28</v>
      </c>
      <c r="L1257">
        <v>8</v>
      </c>
      <c r="M1257">
        <v>6</v>
      </c>
      <c r="N1257">
        <v>30.89</v>
      </c>
      <c r="O1257">
        <v>21098.19</v>
      </c>
      <c r="P1257">
        <v>78</v>
      </c>
      <c r="Q1257">
        <v>204.14</v>
      </c>
      <c r="R1257">
        <v>26.38</v>
      </c>
      <c r="S1257">
        <v>17.37</v>
      </c>
      <c r="T1257">
        <v>2390.19</v>
      </c>
      <c r="U1257">
        <v>0.66</v>
      </c>
      <c r="V1257">
        <v>0.75</v>
      </c>
      <c r="W1257">
        <v>1.1499999999999999</v>
      </c>
      <c r="X1257">
        <v>0.15</v>
      </c>
      <c r="Y1257">
        <v>1</v>
      </c>
      <c r="Z1257">
        <v>10</v>
      </c>
    </row>
    <row r="1258" spans="1:26" x14ac:dyDescent="0.3">
      <c r="A1258">
        <v>29</v>
      </c>
      <c r="B1258">
        <v>80</v>
      </c>
      <c r="C1258" t="s">
        <v>26</v>
      </c>
      <c r="D1258">
        <v>10.6342</v>
      </c>
      <c r="E1258">
        <v>9.4</v>
      </c>
      <c r="F1258">
        <v>6.82</v>
      </c>
      <c r="G1258">
        <v>51.16</v>
      </c>
      <c r="H1258">
        <v>0.86</v>
      </c>
      <c r="I1258">
        <v>8</v>
      </c>
      <c r="J1258">
        <v>169.53</v>
      </c>
      <c r="K1258">
        <v>50.28</v>
      </c>
      <c r="L1258">
        <v>8.25</v>
      </c>
      <c r="M1258">
        <v>6</v>
      </c>
      <c r="N1258">
        <v>31</v>
      </c>
      <c r="O1258">
        <v>21142.98</v>
      </c>
      <c r="P1258">
        <v>77.599999999999994</v>
      </c>
      <c r="Q1258">
        <v>204.14</v>
      </c>
      <c r="R1258">
        <v>25.85</v>
      </c>
      <c r="S1258">
        <v>17.37</v>
      </c>
      <c r="T1258">
        <v>2125.29</v>
      </c>
      <c r="U1258">
        <v>0.67</v>
      </c>
      <c r="V1258">
        <v>0.75</v>
      </c>
      <c r="W1258">
        <v>1.1499999999999999</v>
      </c>
      <c r="X1258">
        <v>0.13</v>
      </c>
      <c r="Y1258">
        <v>1</v>
      </c>
      <c r="Z1258">
        <v>10</v>
      </c>
    </row>
    <row r="1259" spans="1:26" x14ac:dyDescent="0.3">
      <c r="A1259">
        <v>30</v>
      </c>
      <c r="B1259">
        <v>80</v>
      </c>
      <c r="C1259" t="s">
        <v>26</v>
      </c>
      <c r="D1259">
        <v>10.623200000000001</v>
      </c>
      <c r="E1259">
        <v>9.41</v>
      </c>
      <c r="F1259">
        <v>6.83</v>
      </c>
      <c r="G1259">
        <v>51.23</v>
      </c>
      <c r="H1259">
        <v>0.89</v>
      </c>
      <c r="I1259">
        <v>8</v>
      </c>
      <c r="J1259">
        <v>169.9</v>
      </c>
      <c r="K1259">
        <v>50.28</v>
      </c>
      <c r="L1259">
        <v>8.5</v>
      </c>
      <c r="M1259">
        <v>6</v>
      </c>
      <c r="N1259">
        <v>31.12</v>
      </c>
      <c r="O1259">
        <v>21187.82</v>
      </c>
      <c r="P1259">
        <v>77.41</v>
      </c>
      <c r="Q1259">
        <v>204.14</v>
      </c>
      <c r="R1259">
        <v>26.28</v>
      </c>
      <c r="S1259">
        <v>17.37</v>
      </c>
      <c r="T1259">
        <v>2340.65</v>
      </c>
      <c r="U1259">
        <v>0.66</v>
      </c>
      <c r="V1259">
        <v>0.75</v>
      </c>
      <c r="W1259">
        <v>1.1499999999999999</v>
      </c>
      <c r="X1259">
        <v>0.14000000000000001</v>
      </c>
      <c r="Y1259">
        <v>1</v>
      </c>
      <c r="Z1259">
        <v>10</v>
      </c>
    </row>
    <row r="1260" spans="1:26" x14ac:dyDescent="0.3">
      <c r="A1260">
        <v>31</v>
      </c>
      <c r="B1260">
        <v>80</v>
      </c>
      <c r="C1260" t="s">
        <v>26</v>
      </c>
      <c r="D1260">
        <v>10.629200000000001</v>
      </c>
      <c r="E1260">
        <v>9.41</v>
      </c>
      <c r="F1260">
        <v>6.83</v>
      </c>
      <c r="G1260">
        <v>51.19</v>
      </c>
      <c r="H1260">
        <v>0.91</v>
      </c>
      <c r="I1260">
        <v>8</v>
      </c>
      <c r="J1260">
        <v>170.26</v>
      </c>
      <c r="K1260">
        <v>50.28</v>
      </c>
      <c r="L1260">
        <v>8.75</v>
      </c>
      <c r="M1260">
        <v>6</v>
      </c>
      <c r="N1260">
        <v>31.23</v>
      </c>
      <c r="O1260">
        <v>21232.69</v>
      </c>
      <c r="P1260">
        <v>77.319999999999993</v>
      </c>
      <c r="Q1260">
        <v>204.14</v>
      </c>
      <c r="R1260">
        <v>26.05</v>
      </c>
      <c r="S1260">
        <v>17.37</v>
      </c>
      <c r="T1260">
        <v>2225.5300000000002</v>
      </c>
      <c r="U1260">
        <v>0.67</v>
      </c>
      <c r="V1260">
        <v>0.75</v>
      </c>
      <c r="W1260">
        <v>1.1499999999999999</v>
      </c>
      <c r="X1260">
        <v>0.13</v>
      </c>
      <c r="Y1260">
        <v>1</v>
      </c>
      <c r="Z1260">
        <v>10</v>
      </c>
    </row>
    <row r="1261" spans="1:26" x14ac:dyDescent="0.3">
      <c r="A1261">
        <v>32</v>
      </c>
      <c r="B1261">
        <v>80</v>
      </c>
      <c r="C1261" t="s">
        <v>26</v>
      </c>
      <c r="D1261">
        <v>10.6235</v>
      </c>
      <c r="E1261">
        <v>9.41</v>
      </c>
      <c r="F1261">
        <v>6.83</v>
      </c>
      <c r="G1261">
        <v>51.23</v>
      </c>
      <c r="H1261">
        <v>0.94</v>
      </c>
      <c r="I1261">
        <v>8</v>
      </c>
      <c r="J1261">
        <v>170.62</v>
      </c>
      <c r="K1261">
        <v>50.28</v>
      </c>
      <c r="L1261">
        <v>9</v>
      </c>
      <c r="M1261">
        <v>6</v>
      </c>
      <c r="N1261">
        <v>31.34</v>
      </c>
      <c r="O1261">
        <v>21277.599999999999</v>
      </c>
      <c r="P1261">
        <v>76.900000000000006</v>
      </c>
      <c r="Q1261">
        <v>204.14</v>
      </c>
      <c r="R1261">
        <v>26.13</v>
      </c>
      <c r="S1261">
        <v>17.37</v>
      </c>
      <c r="T1261">
        <v>2267.33</v>
      </c>
      <c r="U1261">
        <v>0.66</v>
      </c>
      <c r="V1261">
        <v>0.75</v>
      </c>
      <c r="W1261">
        <v>1.1499999999999999</v>
      </c>
      <c r="X1261">
        <v>0.14000000000000001</v>
      </c>
      <c r="Y1261">
        <v>1</v>
      </c>
      <c r="Z1261">
        <v>10</v>
      </c>
    </row>
    <row r="1262" spans="1:26" x14ac:dyDescent="0.3">
      <c r="A1262">
        <v>33</v>
      </c>
      <c r="B1262">
        <v>80</v>
      </c>
      <c r="C1262" t="s">
        <v>26</v>
      </c>
      <c r="D1262">
        <v>10.689500000000001</v>
      </c>
      <c r="E1262">
        <v>9.36</v>
      </c>
      <c r="F1262">
        <v>6.8</v>
      </c>
      <c r="G1262">
        <v>58.33</v>
      </c>
      <c r="H1262">
        <v>0.96</v>
      </c>
      <c r="I1262">
        <v>7</v>
      </c>
      <c r="J1262">
        <v>170.99</v>
      </c>
      <c r="K1262">
        <v>50.28</v>
      </c>
      <c r="L1262">
        <v>9.25</v>
      </c>
      <c r="M1262">
        <v>5</v>
      </c>
      <c r="N1262">
        <v>31.46</v>
      </c>
      <c r="O1262">
        <v>21322.55</v>
      </c>
      <c r="P1262">
        <v>76.52</v>
      </c>
      <c r="Q1262">
        <v>204.14</v>
      </c>
      <c r="R1262">
        <v>25.35</v>
      </c>
      <c r="S1262">
        <v>17.37</v>
      </c>
      <c r="T1262">
        <v>1880.77</v>
      </c>
      <c r="U1262">
        <v>0.69</v>
      </c>
      <c r="V1262">
        <v>0.75</v>
      </c>
      <c r="W1262">
        <v>1.1499999999999999</v>
      </c>
      <c r="X1262">
        <v>0.11</v>
      </c>
      <c r="Y1262">
        <v>1</v>
      </c>
      <c r="Z1262">
        <v>10</v>
      </c>
    </row>
    <row r="1263" spans="1:26" x14ac:dyDescent="0.3">
      <c r="A1263">
        <v>34</v>
      </c>
      <c r="B1263">
        <v>80</v>
      </c>
      <c r="C1263" t="s">
        <v>26</v>
      </c>
      <c r="D1263">
        <v>10.688800000000001</v>
      </c>
      <c r="E1263">
        <v>9.36</v>
      </c>
      <c r="F1263">
        <v>6.81</v>
      </c>
      <c r="G1263">
        <v>58.33</v>
      </c>
      <c r="H1263">
        <v>0.98</v>
      </c>
      <c r="I1263">
        <v>7</v>
      </c>
      <c r="J1263">
        <v>171.35</v>
      </c>
      <c r="K1263">
        <v>50.28</v>
      </c>
      <c r="L1263">
        <v>9.5</v>
      </c>
      <c r="M1263">
        <v>5</v>
      </c>
      <c r="N1263">
        <v>31.57</v>
      </c>
      <c r="O1263">
        <v>21367.54</v>
      </c>
      <c r="P1263">
        <v>76.75</v>
      </c>
      <c r="Q1263">
        <v>204.14</v>
      </c>
      <c r="R1263">
        <v>25.38</v>
      </c>
      <c r="S1263">
        <v>17.37</v>
      </c>
      <c r="T1263">
        <v>1898.12</v>
      </c>
      <c r="U1263">
        <v>0.68</v>
      </c>
      <c r="V1263">
        <v>0.75</v>
      </c>
      <c r="W1263">
        <v>1.1499999999999999</v>
      </c>
      <c r="X1263">
        <v>0.11</v>
      </c>
      <c r="Y1263">
        <v>1</v>
      </c>
      <c r="Z1263">
        <v>10</v>
      </c>
    </row>
    <row r="1264" spans="1:26" x14ac:dyDescent="0.3">
      <c r="A1264">
        <v>35</v>
      </c>
      <c r="B1264">
        <v>80</v>
      </c>
      <c r="C1264" t="s">
        <v>26</v>
      </c>
      <c r="D1264">
        <v>10.676500000000001</v>
      </c>
      <c r="E1264">
        <v>9.3699999999999992</v>
      </c>
      <c r="F1264">
        <v>6.82</v>
      </c>
      <c r="G1264">
        <v>58.43</v>
      </c>
      <c r="H1264">
        <v>1.01</v>
      </c>
      <c r="I1264">
        <v>7</v>
      </c>
      <c r="J1264">
        <v>171.72</v>
      </c>
      <c r="K1264">
        <v>50.28</v>
      </c>
      <c r="L1264">
        <v>9.75</v>
      </c>
      <c r="M1264">
        <v>5</v>
      </c>
      <c r="N1264">
        <v>31.69</v>
      </c>
      <c r="O1264">
        <v>21412.57</v>
      </c>
      <c r="P1264">
        <v>76.7</v>
      </c>
      <c r="Q1264">
        <v>204.15</v>
      </c>
      <c r="R1264">
        <v>25.7</v>
      </c>
      <c r="S1264">
        <v>17.37</v>
      </c>
      <c r="T1264">
        <v>2058.29</v>
      </c>
      <c r="U1264">
        <v>0.68</v>
      </c>
      <c r="V1264">
        <v>0.75</v>
      </c>
      <c r="W1264">
        <v>1.1499999999999999</v>
      </c>
      <c r="X1264">
        <v>0.12</v>
      </c>
      <c r="Y1264">
        <v>1</v>
      </c>
      <c r="Z1264">
        <v>10</v>
      </c>
    </row>
    <row r="1265" spans="1:26" x14ac:dyDescent="0.3">
      <c r="A1265">
        <v>36</v>
      </c>
      <c r="B1265">
        <v>80</v>
      </c>
      <c r="C1265" t="s">
        <v>26</v>
      </c>
      <c r="D1265">
        <v>10.6806</v>
      </c>
      <c r="E1265">
        <v>9.36</v>
      </c>
      <c r="F1265">
        <v>6.81</v>
      </c>
      <c r="G1265">
        <v>58.4</v>
      </c>
      <c r="H1265">
        <v>1.03</v>
      </c>
      <c r="I1265">
        <v>7</v>
      </c>
      <c r="J1265">
        <v>172.08</v>
      </c>
      <c r="K1265">
        <v>50.28</v>
      </c>
      <c r="L1265">
        <v>10</v>
      </c>
      <c r="M1265">
        <v>5</v>
      </c>
      <c r="N1265">
        <v>31.8</v>
      </c>
      <c r="O1265">
        <v>21457.64</v>
      </c>
      <c r="P1265">
        <v>76.45</v>
      </c>
      <c r="Q1265">
        <v>204.15</v>
      </c>
      <c r="R1265">
        <v>25.64</v>
      </c>
      <c r="S1265">
        <v>17.37</v>
      </c>
      <c r="T1265">
        <v>2025.73</v>
      </c>
      <c r="U1265">
        <v>0.68</v>
      </c>
      <c r="V1265">
        <v>0.75</v>
      </c>
      <c r="W1265">
        <v>1.1499999999999999</v>
      </c>
      <c r="X1265">
        <v>0.12</v>
      </c>
      <c r="Y1265">
        <v>1</v>
      </c>
      <c r="Z1265">
        <v>10</v>
      </c>
    </row>
    <row r="1266" spans="1:26" x14ac:dyDescent="0.3">
      <c r="A1266">
        <v>37</v>
      </c>
      <c r="B1266">
        <v>80</v>
      </c>
      <c r="C1266" t="s">
        <v>26</v>
      </c>
      <c r="D1266">
        <v>10.678699999999999</v>
      </c>
      <c r="E1266">
        <v>9.36</v>
      </c>
      <c r="F1266">
        <v>6.81</v>
      </c>
      <c r="G1266">
        <v>58.41</v>
      </c>
      <c r="H1266">
        <v>1.05</v>
      </c>
      <c r="I1266">
        <v>7</v>
      </c>
      <c r="J1266">
        <v>172.45</v>
      </c>
      <c r="K1266">
        <v>50.28</v>
      </c>
      <c r="L1266">
        <v>10.25</v>
      </c>
      <c r="M1266">
        <v>5</v>
      </c>
      <c r="N1266">
        <v>31.92</v>
      </c>
      <c r="O1266">
        <v>21502.75</v>
      </c>
      <c r="P1266">
        <v>76.03</v>
      </c>
      <c r="Q1266">
        <v>204.18</v>
      </c>
      <c r="R1266">
        <v>25.7</v>
      </c>
      <c r="S1266">
        <v>17.37</v>
      </c>
      <c r="T1266">
        <v>2059.46</v>
      </c>
      <c r="U1266">
        <v>0.68</v>
      </c>
      <c r="V1266">
        <v>0.75</v>
      </c>
      <c r="W1266">
        <v>1.1499999999999999</v>
      </c>
      <c r="X1266">
        <v>0.12</v>
      </c>
      <c r="Y1266">
        <v>1</v>
      </c>
      <c r="Z1266">
        <v>10</v>
      </c>
    </row>
    <row r="1267" spans="1:26" x14ac:dyDescent="0.3">
      <c r="A1267">
        <v>38</v>
      </c>
      <c r="B1267">
        <v>80</v>
      </c>
      <c r="C1267" t="s">
        <v>26</v>
      </c>
      <c r="D1267">
        <v>10.680300000000001</v>
      </c>
      <c r="E1267">
        <v>9.36</v>
      </c>
      <c r="F1267">
        <v>6.81</v>
      </c>
      <c r="G1267">
        <v>58.4</v>
      </c>
      <c r="H1267">
        <v>1.08</v>
      </c>
      <c r="I1267">
        <v>7</v>
      </c>
      <c r="J1267">
        <v>172.82</v>
      </c>
      <c r="K1267">
        <v>50.28</v>
      </c>
      <c r="L1267">
        <v>10.5</v>
      </c>
      <c r="M1267">
        <v>5</v>
      </c>
      <c r="N1267">
        <v>32.04</v>
      </c>
      <c r="O1267">
        <v>21547.89</v>
      </c>
      <c r="P1267">
        <v>75.650000000000006</v>
      </c>
      <c r="Q1267">
        <v>204.14</v>
      </c>
      <c r="R1267">
        <v>25.65</v>
      </c>
      <c r="S1267">
        <v>17.37</v>
      </c>
      <c r="T1267">
        <v>2031.66</v>
      </c>
      <c r="U1267">
        <v>0.68</v>
      </c>
      <c r="V1267">
        <v>0.75</v>
      </c>
      <c r="W1267">
        <v>1.1499999999999999</v>
      </c>
      <c r="X1267">
        <v>0.12</v>
      </c>
      <c r="Y1267">
        <v>1</v>
      </c>
      <c r="Z1267">
        <v>10</v>
      </c>
    </row>
    <row r="1268" spans="1:26" x14ac:dyDescent="0.3">
      <c r="A1268">
        <v>39</v>
      </c>
      <c r="B1268">
        <v>80</v>
      </c>
      <c r="C1268" t="s">
        <v>26</v>
      </c>
      <c r="D1268">
        <v>10.7501</v>
      </c>
      <c r="E1268">
        <v>9.3000000000000007</v>
      </c>
      <c r="F1268">
        <v>6.78</v>
      </c>
      <c r="G1268">
        <v>67.84</v>
      </c>
      <c r="H1268">
        <v>1.1000000000000001</v>
      </c>
      <c r="I1268">
        <v>6</v>
      </c>
      <c r="J1268">
        <v>173.18</v>
      </c>
      <c r="K1268">
        <v>50.28</v>
      </c>
      <c r="L1268">
        <v>10.75</v>
      </c>
      <c r="M1268">
        <v>4</v>
      </c>
      <c r="N1268">
        <v>32.15</v>
      </c>
      <c r="O1268">
        <v>21593.08</v>
      </c>
      <c r="P1268">
        <v>74.87</v>
      </c>
      <c r="Q1268">
        <v>204.14</v>
      </c>
      <c r="R1268">
        <v>24.75</v>
      </c>
      <c r="S1268">
        <v>17.37</v>
      </c>
      <c r="T1268">
        <v>1585.95</v>
      </c>
      <c r="U1268">
        <v>0.7</v>
      </c>
      <c r="V1268">
        <v>0.75</v>
      </c>
      <c r="W1268">
        <v>1.1399999999999999</v>
      </c>
      <c r="X1268">
        <v>0.09</v>
      </c>
      <c r="Y1268">
        <v>1</v>
      </c>
      <c r="Z1268">
        <v>10</v>
      </c>
    </row>
    <row r="1269" spans="1:26" x14ac:dyDescent="0.3">
      <c r="A1269">
        <v>40</v>
      </c>
      <c r="B1269">
        <v>80</v>
      </c>
      <c r="C1269" t="s">
        <v>26</v>
      </c>
      <c r="D1269">
        <v>10.7479</v>
      </c>
      <c r="E1269">
        <v>9.3000000000000007</v>
      </c>
      <c r="F1269">
        <v>6.79</v>
      </c>
      <c r="G1269">
        <v>67.86</v>
      </c>
      <c r="H1269">
        <v>1.1200000000000001</v>
      </c>
      <c r="I1269">
        <v>6</v>
      </c>
      <c r="J1269">
        <v>173.55</v>
      </c>
      <c r="K1269">
        <v>50.28</v>
      </c>
      <c r="L1269">
        <v>11</v>
      </c>
      <c r="M1269">
        <v>4</v>
      </c>
      <c r="N1269">
        <v>32.270000000000003</v>
      </c>
      <c r="O1269">
        <v>21638.31</v>
      </c>
      <c r="P1269">
        <v>74.86</v>
      </c>
      <c r="Q1269">
        <v>204.14</v>
      </c>
      <c r="R1269">
        <v>24.86</v>
      </c>
      <c r="S1269">
        <v>17.37</v>
      </c>
      <c r="T1269">
        <v>1644.8</v>
      </c>
      <c r="U1269">
        <v>0.7</v>
      </c>
      <c r="V1269">
        <v>0.75</v>
      </c>
      <c r="W1269">
        <v>1.1399999999999999</v>
      </c>
      <c r="X1269">
        <v>0.1</v>
      </c>
      <c r="Y1269">
        <v>1</v>
      </c>
      <c r="Z1269">
        <v>10</v>
      </c>
    </row>
    <row r="1270" spans="1:26" x14ac:dyDescent="0.3">
      <c r="A1270">
        <v>41</v>
      </c>
      <c r="B1270">
        <v>80</v>
      </c>
      <c r="C1270" t="s">
        <v>26</v>
      </c>
      <c r="D1270">
        <v>10.7463</v>
      </c>
      <c r="E1270">
        <v>9.31</v>
      </c>
      <c r="F1270">
        <v>6.79</v>
      </c>
      <c r="G1270">
        <v>67.88</v>
      </c>
      <c r="H1270">
        <v>1.1499999999999999</v>
      </c>
      <c r="I1270">
        <v>6</v>
      </c>
      <c r="J1270">
        <v>173.92</v>
      </c>
      <c r="K1270">
        <v>50.28</v>
      </c>
      <c r="L1270">
        <v>11.25</v>
      </c>
      <c r="M1270">
        <v>4</v>
      </c>
      <c r="N1270">
        <v>32.39</v>
      </c>
      <c r="O1270">
        <v>21683.57</v>
      </c>
      <c r="P1270">
        <v>74.959999999999994</v>
      </c>
      <c r="Q1270">
        <v>204.17</v>
      </c>
      <c r="R1270">
        <v>24.8</v>
      </c>
      <c r="S1270">
        <v>17.37</v>
      </c>
      <c r="T1270">
        <v>1611.66</v>
      </c>
      <c r="U1270">
        <v>0.7</v>
      </c>
      <c r="V1270">
        <v>0.75</v>
      </c>
      <c r="W1270">
        <v>1.1499999999999999</v>
      </c>
      <c r="X1270">
        <v>0.1</v>
      </c>
      <c r="Y1270">
        <v>1</v>
      </c>
      <c r="Z1270">
        <v>10</v>
      </c>
    </row>
    <row r="1271" spans="1:26" x14ac:dyDescent="0.3">
      <c r="A1271">
        <v>42</v>
      </c>
      <c r="B1271">
        <v>80</v>
      </c>
      <c r="C1271" t="s">
        <v>26</v>
      </c>
      <c r="D1271">
        <v>10.7498</v>
      </c>
      <c r="E1271">
        <v>9.3000000000000007</v>
      </c>
      <c r="F1271">
        <v>6.78</v>
      </c>
      <c r="G1271">
        <v>67.849999999999994</v>
      </c>
      <c r="H1271">
        <v>1.17</v>
      </c>
      <c r="I1271">
        <v>6</v>
      </c>
      <c r="J1271">
        <v>174.28</v>
      </c>
      <c r="K1271">
        <v>50.28</v>
      </c>
      <c r="L1271">
        <v>11.5</v>
      </c>
      <c r="M1271">
        <v>4</v>
      </c>
      <c r="N1271">
        <v>32.5</v>
      </c>
      <c r="O1271">
        <v>21728.87</v>
      </c>
      <c r="P1271">
        <v>74.86</v>
      </c>
      <c r="Q1271">
        <v>204.15</v>
      </c>
      <c r="R1271">
        <v>24.79</v>
      </c>
      <c r="S1271">
        <v>17.37</v>
      </c>
      <c r="T1271">
        <v>1606.19</v>
      </c>
      <c r="U1271">
        <v>0.7</v>
      </c>
      <c r="V1271">
        <v>0.75</v>
      </c>
      <c r="W1271">
        <v>1.1399999999999999</v>
      </c>
      <c r="X1271">
        <v>0.09</v>
      </c>
      <c r="Y1271">
        <v>1</v>
      </c>
      <c r="Z1271">
        <v>10</v>
      </c>
    </row>
    <row r="1272" spans="1:26" x14ac:dyDescent="0.3">
      <c r="A1272">
        <v>43</v>
      </c>
      <c r="B1272">
        <v>80</v>
      </c>
      <c r="C1272" t="s">
        <v>26</v>
      </c>
      <c r="D1272">
        <v>10.754899999999999</v>
      </c>
      <c r="E1272">
        <v>9.3000000000000007</v>
      </c>
      <c r="F1272">
        <v>6.78</v>
      </c>
      <c r="G1272">
        <v>67.8</v>
      </c>
      <c r="H1272">
        <v>1.19</v>
      </c>
      <c r="I1272">
        <v>6</v>
      </c>
      <c r="J1272">
        <v>174.65</v>
      </c>
      <c r="K1272">
        <v>50.28</v>
      </c>
      <c r="L1272">
        <v>11.75</v>
      </c>
      <c r="M1272">
        <v>4</v>
      </c>
      <c r="N1272">
        <v>32.619999999999997</v>
      </c>
      <c r="O1272">
        <v>21774.22</v>
      </c>
      <c r="P1272">
        <v>74.45</v>
      </c>
      <c r="Q1272">
        <v>204.14</v>
      </c>
      <c r="R1272">
        <v>24.61</v>
      </c>
      <c r="S1272">
        <v>17.37</v>
      </c>
      <c r="T1272">
        <v>1516</v>
      </c>
      <c r="U1272">
        <v>0.71</v>
      </c>
      <c r="V1272">
        <v>0.75</v>
      </c>
      <c r="W1272">
        <v>1.1499999999999999</v>
      </c>
      <c r="X1272">
        <v>0.09</v>
      </c>
      <c r="Y1272">
        <v>1</v>
      </c>
      <c r="Z1272">
        <v>10</v>
      </c>
    </row>
    <row r="1273" spans="1:26" x14ac:dyDescent="0.3">
      <c r="A1273">
        <v>44</v>
      </c>
      <c r="B1273">
        <v>80</v>
      </c>
      <c r="C1273" t="s">
        <v>26</v>
      </c>
      <c r="D1273">
        <v>10.744999999999999</v>
      </c>
      <c r="E1273">
        <v>9.31</v>
      </c>
      <c r="F1273">
        <v>6.79</v>
      </c>
      <c r="G1273">
        <v>67.89</v>
      </c>
      <c r="H1273">
        <v>1.22</v>
      </c>
      <c r="I1273">
        <v>6</v>
      </c>
      <c r="J1273">
        <v>175.02</v>
      </c>
      <c r="K1273">
        <v>50.28</v>
      </c>
      <c r="L1273">
        <v>12</v>
      </c>
      <c r="M1273">
        <v>4</v>
      </c>
      <c r="N1273">
        <v>32.74</v>
      </c>
      <c r="O1273">
        <v>21819.599999999999</v>
      </c>
      <c r="P1273">
        <v>74.209999999999994</v>
      </c>
      <c r="Q1273">
        <v>204.15</v>
      </c>
      <c r="R1273">
        <v>24.85</v>
      </c>
      <c r="S1273">
        <v>17.37</v>
      </c>
      <c r="T1273">
        <v>1636.09</v>
      </c>
      <c r="U1273">
        <v>0.7</v>
      </c>
      <c r="V1273">
        <v>0.75</v>
      </c>
      <c r="W1273">
        <v>1.1499999999999999</v>
      </c>
      <c r="X1273">
        <v>0.1</v>
      </c>
      <c r="Y1273">
        <v>1</v>
      </c>
      <c r="Z1273">
        <v>10</v>
      </c>
    </row>
    <row r="1274" spans="1:26" x14ac:dyDescent="0.3">
      <c r="A1274">
        <v>45</v>
      </c>
      <c r="B1274">
        <v>80</v>
      </c>
      <c r="C1274" t="s">
        <v>26</v>
      </c>
      <c r="D1274">
        <v>10.7437</v>
      </c>
      <c r="E1274">
        <v>9.31</v>
      </c>
      <c r="F1274">
        <v>6.79</v>
      </c>
      <c r="G1274">
        <v>67.900000000000006</v>
      </c>
      <c r="H1274">
        <v>1.24</v>
      </c>
      <c r="I1274">
        <v>6</v>
      </c>
      <c r="J1274">
        <v>175.39</v>
      </c>
      <c r="K1274">
        <v>50.28</v>
      </c>
      <c r="L1274">
        <v>12.25</v>
      </c>
      <c r="M1274">
        <v>4</v>
      </c>
      <c r="N1274">
        <v>32.86</v>
      </c>
      <c r="O1274">
        <v>21865.03</v>
      </c>
      <c r="P1274">
        <v>73.95</v>
      </c>
      <c r="Q1274">
        <v>204.14</v>
      </c>
      <c r="R1274">
        <v>24.94</v>
      </c>
      <c r="S1274">
        <v>17.37</v>
      </c>
      <c r="T1274">
        <v>1680.19</v>
      </c>
      <c r="U1274">
        <v>0.7</v>
      </c>
      <c r="V1274">
        <v>0.75</v>
      </c>
      <c r="W1274">
        <v>1.1499999999999999</v>
      </c>
      <c r="X1274">
        <v>0.1</v>
      </c>
      <c r="Y1274">
        <v>1</v>
      </c>
      <c r="Z1274">
        <v>10</v>
      </c>
    </row>
    <row r="1275" spans="1:26" x14ac:dyDescent="0.3">
      <c r="A1275">
        <v>46</v>
      </c>
      <c r="B1275">
        <v>80</v>
      </c>
      <c r="C1275" t="s">
        <v>26</v>
      </c>
      <c r="D1275">
        <v>10.7456</v>
      </c>
      <c r="E1275">
        <v>9.31</v>
      </c>
      <c r="F1275">
        <v>6.79</v>
      </c>
      <c r="G1275">
        <v>67.88</v>
      </c>
      <c r="H1275">
        <v>1.26</v>
      </c>
      <c r="I1275">
        <v>6</v>
      </c>
      <c r="J1275">
        <v>175.76</v>
      </c>
      <c r="K1275">
        <v>50.28</v>
      </c>
      <c r="L1275">
        <v>12.5</v>
      </c>
      <c r="M1275">
        <v>4</v>
      </c>
      <c r="N1275">
        <v>32.979999999999997</v>
      </c>
      <c r="O1275">
        <v>21910.49</v>
      </c>
      <c r="P1275">
        <v>73.72</v>
      </c>
      <c r="Q1275">
        <v>204.14</v>
      </c>
      <c r="R1275">
        <v>24.89</v>
      </c>
      <c r="S1275">
        <v>17.37</v>
      </c>
      <c r="T1275">
        <v>1654.91</v>
      </c>
      <c r="U1275">
        <v>0.7</v>
      </c>
      <c r="V1275">
        <v>0.75</v>
      </c>
      <c r="W1275">
        <v>1.1499999999999999</v>
      </c>
      <c r="X1275">
        <v>0.1</v>
      </c>
      <c r="Y1275">
        <v>1</v>
      </c>
      <c r="Z1275">
        <v>10</v>
      </c>
    </row>
    <row r="1276" spans="1:26" x14ac:dyDescent="0.3">
      <c r="A1276">
        <v>47</v>
      </c>
      <c r="B1276">
        <v>80</v>
      </c>
      <c r="C1276" t="s">
        <v>26</v>
      </c>
      <c r="D1276">
        <v>10.7431</v>
      </c>
      <c r="E1276">
        <v>9.31</v>
      </c>
      <c r="F1276">
        <v>6.79</v>
      </c>
      <c r="G1276">
        <v>67.91</v>
      </c>
      <c r="H1276">
        <v>1.28</v>
      </c>
      <c r="I1276">
        <v>6</v>
      </c>
      <c r="J1276">
        <v>176.12</v>
      </c>
      <c r="K1276">
        <v>50.28</v>
      </c>
      <c r="L1276">
        <v>12.75</v>
      </c>
      <c r="M1276">
        <v>4</v>
      </c>
      <c r="N1276">
        <v>33.090000000000003</v>
      </c>
      <c r="O1276">
        <v>21956</v>
      </c>
      <c r="P1276">
        <v>73.459999999999994</v>
      </c>
      <c r="Q1276">
        <v>204.14</v>
      </c>
      <c r="R1276">
        <v>24.93</v>
      </c>
      <c r="S1276">
        <v>17.37</v>
      </c>
      <c r="T1276">
        <v>1679.28</v>
      </c>
      <c r="U1276">
        <v>0.7</v>
      </c>
      <c r="V1276">
        <v>0.75</v>
      </c>
      <c r="W1276">
        <v>1.1499999999999999</v>
      </c>
      <c r="X1276">
        <v>0.1</v>
      </c>
      <c r="Y1276">
        <v>1</v>
      </c>
      <c r="Z1276">
        <v>10</v>
      </c>
    </row>
    <row r="1277" spans="1:26" x14ac:dyDescent="0.3">
      <c r="A1277">
        <v>48</v>
      </c>
      <c r="B1277">
        <v>80</v>
      </c>
      <c r="C1277" t="s">
        <v>26</v>
      </c>
      <c r="D1277">
        <v>10.803699999999999</v>
      </c>
      <c r="E1277">
        <v>9.26</v>
      </c>
      <c r="F1277">
        <v>6.77</v>
      </c>
      <c r="G1277">
        <v>81.25</v>
      </c>
      <c r="H1277">
        <v>1.31</v>
      </c>
      <c r="I1277">
        <v>5</v>
      </c>
      <c r="J1277">
        <v>176.49</v>
      </c>
      <c r="K1277">
        <v>50.28</v>
      </c>
      <c r="L1277">
        <v>13</v>
      </c>
      <c r="M1277">
        <v>3</v>
      </c>
      <c r="N1277">
        <v>33.21</v>
      </c>
      <c r="O1277">
        <v>22001.54</v>
      </c>
      <c r="P1277">
        <v>72.38</v>
      </c>
      <c r="Q1277">
        <v>204.16</v>
      </c>
      <c r="R1277">
        <v>24.26</v>
      </c>
      <c r="S1277">
        <v>17.37</v>
      </c>
      <c r="T1277">
        <v>1346.09</v>
      </c>
      <c r="U1277">
        <v>0.72</v>
      </c>
      <c r="V1277">
        <v>0.75</v>
      </c>
      <c r="W1277">
        <v>1.1499999999999999</v>
      </c>
      <c r="X1277">
        <v>0.08</v>
      </c>
      <c r="Y1277">
        <v>1</v>
      </c>
      <c r="Z1277">
        <v>10</v>
      </c>
    </row>
    <row r="1278" spans="1:26" x14ac:dyDescent="0.3">
      <c r="A1278">
        <v>49</v>
      </c>
      <c r="B1278">
        <v>80</v>
      </c>
      <c r="C1278" t="s">
        <v>26</v>
      </c>
      <c r="D1278">
        <v>10.797499999999999</v>
      </c>
      <c r="E1278">
        <v>9.26</v>
      </c>
      <c r="F1278">
        <v>6.78</v>
      </c>
      <c r="G1278">
        <v>81.31</v>
      </c>
      <c r="H1278">
        <v>1.33</v>
      </c>
      <c r="I1278">
        <v>5</v>
      </c>
      <c r="J1278">
        <v>176.86</v>
      </c>
      <c r="K1278">
        <v>50.28</v>
      </c>
      <c r="L1278">
        <v>13.25</v>
      </c>
      <c r="M1278">
        <v>3</v>
      </c>
      <c r="N1278">
        <v>33.33</v>
      </c>
      <c r="O1278">
        <v>22047.13</v>
      </c>
      <c r="P1278">
        <v>72.72</v>
      </c>
      <c r="Q1278">
        <v>204.14</v>
      </c>
      <c r="R1278">
        <v>24.56</v>
      </c>
      <c r="S1278">
        <v>17.37</v>
      </c>
      <c r="T1278">
        <v>1497.3</v>
      </c>
      <c r="U1278">
        <v>0.71</v>
      </c>
      <c r="V1278">
        <v>0.75</v>
      </c>
      <c r="W1278">
        <v>1.1399999999999999</v>
      </c>
      <c r="X1278">
        <v>0.08</v>
      </c>
      <c r="Y1278">
        <v>1</v>
      </c>
      <c r="Z1278">
        <v>10</v>
      </c>
    </row>
    <row r="1279" spans="1:26" x14ac:dyDescent="0.3">
      <c r="A1279">
        <v>50</v>
      </c>
      <c r="B1279">
        <v>80</v>
      </c>
      <c r="C1279" t="s">
        <v>26</v>
      </c>
      <c r="D1279">
        <v>10.8027</v>
      </c>
      <c r="E1279">
        <v>9.26</v>
      </c>
      <c r="F1279">
        <v>6.77</v>
      </c>
      <c r="G1279">
        <v>81.260000000000005</v>
      </c>
      <c r="H1279">
        <v>1.35</v>
      </c>
      <c r="I1279">
        <v>5</v>
      </c>
      <c r="J1279">
        <v>177.23</v>
      </c>
      <c r="K1279">
        <v>50.28</v>
      </c>
      <c r="L1279">
        <v>13.5</v>
      </c>
      <c r="M1279">
        <v>3</v>
      </c>
      <c r="N1279">
        <v>33.450000000000003</v>
      </c>
      <c r="O1279">
        <v>22092.76</v>
      </c>
      <c r="P1279">
        <v>72.75</v>
      </c>
      <c r="Q1279">
        <v>204.17</v>
      </c>
      <c r="R1279">
        <v>24.36</v>
      </c>
      <c r="S1279">
        <v>17.37</v>
      </c>
      <c r="T1279">
        <v>1398.66</v>
      </c>
      <c r="U1279">
        <v>0.71</v>
      </c>
      <c r="V1279">
        <v>0.75</v>
      </c>
      <c r="W1279">
        <v>1.1399999999999999</v>
      </c>
      <c r="X1279">
        <v>0.08</v>
      </c>
      <c r="Y1279">
        <v>1</v>
      </c>
      <c r="Z1279">
        <v>10</v>
      </c>
    </row>
    <row r="1280" spans="1:26" x14ac:dyDescent="0.3">
      <c r="A1280">
        <v>51</v>
      </c>
      <c r="B1280">
        <v>80</v>
      </c>
      <c r="C1280" t="s">
        <v>26</v>
      </c>
      <c r="D1280">
        <v>10.796200000000001</v>
      </c>
      <c r="E1280">
        <v>9.26</v>
      </c>
      <c r="F1280">
        <v>6.78</v>
      </c>
      <c r="G1280">
        <v>81.319999999999993</v>
      </c>
      <c r="H1280">
        <v>1.37</v>
      </c>
      <c r="I1280">
        <v>5</v>
      </c>
      <c r="J1280">
        <v>177.6</v>
      </c>
      <c r="K1280">
        <v>50.28</v>
      </c>
      <c r="L1280">
        <v>13.75</v>
      </c>
      <c r="M1280">
        <v>3</v>
      </c>
      <c r="N1280">
        <v>33.57</v>
      </c>
      <c r="O1280">
        <v>22138.42</v>
      </c>
      <c r="P1280">
        <v>72.989999999999995</v>
      </c>
      <c r="Q1280">
        <v>204.16</v>
      </c>
      <c r="R1280">
        <v>24.57</v>
      </c>
      <c r="S1280">
        <v>17.37</v>
      </c>
      <c r="T1280">
        <v>1500.18</v>
      </c>
      <c r="U1280">
        <v>0.71</v>
      </c>
      <c r="V1280">
        <v>0.75</v>
      </c>
      <c r="W1280">
        <v>1.1399999999999999</v>
      </c>
      <c r="X1280">
        <v>0.09</v>
      </c>
      <c r="Y1280">
        <v>1</v>
      </c>
      <c r="Z1280">
        <v>10</v>
      </c>
    </row>
    <row r="1281" spans="1:26" x14ac:dyDescent="0.3">
      <c r="A1281">
        <v>52</v>
      </c>
      <c r="B1281">
        <v>80</v>
      </c>
      <c r="C1281" t="s">
        <v>26</v>
      </c>
      <c r="D1281">
        <v>10.8024</v>
      </c>
      <c r="E1281">
        <v>9.26</v>
      </c>
      <c r="F1281">
        <v>6.77</v>
      </c>
      <c r="G1281">
        <v>81.260000000000005</v>
      </c>
      <c r="H1281">
        <v>1.4</v>
      </c>
      <c r="I1281">
        <v>5</v>
      </c>
      <c r="J1281">
        <v>177.97</v>
      </c>
      <c r="K1281">
        <v>50.28</v>
      </c>
      <c r="L1281">
        <v>14</v>
      </c>
      <c r="M1281">
        <v>3</v>
      </c>
      <c r="N1281">
        <v>33.69</v>
      </c>
      <c r="O1281">
        <v>22184.13</v>
      </c>
      <c r="P1281">
        <v>72.61</v>
      </c>
      <c r="Q1281">
        <v>204.14</v>
      </c>
      <c r="R1281">
        <v>24.44</v>
      </c>
      <c r="S1281">
        <v>17.37</v>
      </c>
      <c r="T1281">
        <v>1436.85</v>
      </c>
      <c r="U1281">
        <v>0.71</v>
      </c>
      <c r="V1281">
        <v>0.75</v>
      </c>
      <c r="W1281">
        <v>1.1399999999999999</v>
      </c>
      <c r="X1281">
        <v>0.08</v>
      </c>
      <c r="Y1281">
        <v>1</v>
      </c>
      <c r="Z1281">
        <v>10</v>
      </c>
    </row>
    <row r="1282" spans="1:26" x14ac:dyDescent="0.3">
      <c r="A1282">
        <v>53</v>
      </c>
      <c r="B1282">
        <v>80</v>
      </c>
      <c r="C1282" t="s">
        <v>26</v>
      </c>
      <c r="D1282">
        <v>10.7949</v>
      </c>
      <c r="E1282">
        <v>9.26</v>
      </c>
      <c r="F1282">
        <v>6.78</v>
      </c>
      <c r="G1282">
        <v>81.34</v>
      </c>
      <c r="H1282">
        <v>1.42</v>
      </c>
      <c r="I1282">
        <v>5</v>
      </c>
      <c r="J1282">
        <v>178.34</v>
      </c>
      <c r="K1282">
        <v>50.28</v>
      </c>
      <c r="L1282">
        <v>14.25</v>
      </c>
      <c r="M1282">
        <v>3</v>
      </c>
      <c r="N1282">
        <v>33.82</v>
      </c>
      <c r="O1282">
        <v>22229.88</v>
      </c>
      <c r="P1282">
        <v>72.489999999999995</v>
      </c>
      <c r="Q1282">
        <v>204.14</v>
      </c>
      <c r="R1282">
        <v>24.55</v>
      </c>
      <c r="S1282">
        <v>17.37</v>
      </c>
      <c r="T1282">
        <v>1494.25</v>
      </c>
      <c r="U1282">
        <v>0.71</v>
      </c>
      <c r="V1282">
        <v>0.75</v>
      </c>
      <c r="W1282">
        <v>1.1499999999999999</v>
      </c>
      <c r="X1282">
        <v>0.09</v>
      </c>
      <c r="Y1282">
        <v>1</v>
      </c>
      <c r="Z1282">
        <v>10</v>
      </c>
    </row>
    <row r="1283" spans="1:26" x14ac:dyDescent="0.3">
      <c r="A1283">
        <v>54</v>
      </c>
      <c r="B1283">
        <v>80</v>
      </c>
      <c r="C1283" t="s">
        <v>26</v>
      </c>
      <c r="D1283">
        <v>10.803000000000001</v>
      </c>
      <c r="E1283">
        <v>9.26</v>
      </c>
      <c r="F1283">
        <v>6.77</v>
      </c>
      <c r="G1283">
        <v>81.25</v>
      </c>
      <c r="H1283">
        <v>1.44</v>
      </c>
      <c r="I1283">
        <v>5</v>
      </c>
      <c r="J1283">
        <v>178.72</v>
      </c>
      <c r="K1283">
        <v>50.28</v>
      </c>
      <c r="L1283">
        <v>14.5</v>
      </c>
      <c r="M1283">
        <v>3</v>
      </c>
      <c r="N1283">
        <v>33.94</v>
      </c>
      <c r="O1283">
        <v>22275.67</v>
      </c>
      <c r="P1283">
        <v>72.09</v>
      </c>
      <c r="Q1283">
        <v>204.14</v>
      </c>
      <c r="R1283">
        <v>24.42</v>
      </c>
      <c r="S1283">
        <v>17.37</v>
      </c>
      <c r="T1283">
        <v>1427.67</v>
      </c>
      <c r="U1283">
        <v>0.71</v>
      </c>
      <c r="V1283">
        <v>0.75</v>
      </c>
      <c r="W1283">
        <v>1.1399999999999999</v>
      </c>
      <c r="X1283">
        <v>0.08</v>
      </c>
      <c r="Y1283">
        <v>1</v>
      </c>
      <c r="Z1283">
        <v>10</v>
      </c>
    </row>
    <row r="1284" spans="1:26" x14ac:dyDescent="0.3">
      <c r="A1284">
        <v>55</v>
      </c>
      <c r="B1284">
        <v>80</v>
      </c>
      <c r="C1284" t="s">
        <v>26</v>
      </c>
      <c r="D1284">
        <v>10.8095</v>
      </c>
      <c r="E1284">
        <v>9.25</v>
      </c>
      <c r="F1284">
        <v>6.77</v>
      </c>
      <c r="G1284">
        <v>81.19</v>
      </c>
      <c r="H1284">
        <v>1.46</v>
      </c>
      <c r="I1284">
        <v>5</v>
      </c>
      <c r="J1284">
        <v>179.09</v>
      </c>
      <c r="K1284">
        <v>50.28</v>
      </c>
      <c r="L1284">
        <v>14.75</v>
      </c>
      <c r="M1284">
        <v>3</v>
      </c>
      <c r="N1284">
        <v>34.06</v>
      </c>
      <c r="O1284">
        <v>22321.5</v>
      </c>
      <c r="P1284">
        <v>71.66</v>
      </c>
      <c r="Q1284">
        <v>204.14</v>
      </c>
      <c r="R1284">
        <v>24.14</v>
      </c>
      <c r="S1284">
        <v>17.37</v>
      </c>
      <c r="T1284">
        <v>1285.96</v>
      </c>
      <c r="U1284">
        <v>0.72</v>
      </c>
      <c r="V1284">
        <v>0.75</v>
      </c>
      <c r="W1284">
        <v>1.1399999999999999</v>
      </c>
      <c r="X1284">
        <v>7.0000000000000007E-2</v>
      </c>
      <c r="Y1284">
        <v>1</v>
      </c>
      <c r="Z1284">
        <v>10</v>
      </c>
    </row>
    <row r="1285" spans="1:26" x14ac:dyDescent="0.3">
      <c r="A1285">
        <v>56</v>
      </c>
      <c r="B1285">
        <v>80</v>
      </c>
      <c r="C1285" t="s">
        <v>26</v>
      </c>
      <c r="D1285">
        <v>10.812099999999999</v>
      </c>
      <c r="E1285">
        <v>9.25</v>
      </c>
      <c r="F1285">
        <v>6.76</v>
      </c>
      <c r="G1285">
        <v>81.16</v>
      </c>
      <c r="H1285">
        <v>1.48</v>
      </c>
      <c r="I1285">
        <v>5</v>
      </c>
      <c r="J1285">
        <v>179.46</v>
      </c>
      <c r="K1285">
        <v>50.28</v>
      </c>
      <c r="L1285">
        <v>15</v>
      </c>
      <c r="M1285">
        <v>3</v>
      </c>
      <c r="N1285">
        <v>34.18</v>
      </c>
      <c r="O1285">
        <v>22367.38</v>
      </c>
      <c r="P1285">
        <v>71.010000000000005</v>
      </c>
      <c r="Q1285">
        <v>204.14</v>
      </c>
      <c r="R1285">
        <v>24.02</v>
      </c>
      <c r="S1285">
        <v>17.37</v>
      </c>
      <c r="T1285">
        <v>1225.6099999999999</v>
      </c>
      <c r="U1285">
        <v>0.72</v>
      </c>
      <c r="V1285">
        <v>0.76</v>
      </c>
      <c r="W1285">
        <v>1.1499999999999999</v>
      </c>
      <c r="X1285">
        <v>7.0000000000000007E-2</v>
      </c>
      <c r="Y1285">
        <v>1</v>
      </c>
      <c r="Z1285">
        <v>10</v>
      </c>
    </row>
    <row r="1286" spans="1:26" x14ac:dyDescent="0.3">
      <c r="A1286">
        <v>57</v>
      </c>
      <c r="B1286">
        <v>80</v>
      </c>
      <c r="C1286" t="s">
        <v>26</v>
      </c>
      <c r="D1286">
        <v>10.8072</v>
      </c>
      <c r="E1286">
        <v>9.25</v>
      </c>
      <c r="F1286">
        <v>6.77</v>
      </c>
      <c r="G1286">
        <v>81.209999999999994</v>
      </c>
      <c r="H1286">
        <v>1.5</v>
      </c>
      <c r="I1286">
        <v>5</v>
      </c>
      <c r="J1286">
        <v>179.83</v>
      </c>
      <c r="K1286">
        <v>50.28</v>
      </c>
      <c r="L1286">
        <v>15.25</v>
      </c>
      <c r="M1286">
        <v>3</v>
      </c>
      <c r="N1286">
        <v>34.299999999999997</v>
      </c>
      <c r="O1286">
        <v>22413.29</v>
      </c>
      <c r="P1286">
        <v>70.33</v>
      </c>
      <c r="Q1286">
        <v>204.14</v>
      </c>
      <c r="R1286">
        <v>24.22</v>
      </c>
      <c r="S1286">
        <v>17.37</v>
      </c>
      <c r="T1286">
        <v>1326.03</v>
      </c>
      <c r="U1286">
        <v>0.72</v>
      </c>
      <c r="V1286">
        <v>0.75</v>
      </c>
      <c r="W1286">
        <v>1.1399999999999999</v>
      </c>
      <c r="X1286">
        <v>0.08</v>
      </c>
      <c r="Y1286">
        <v>1</v>
      </c>
      <c r="Z1286">
        <v>10</v>
      </c>
    </row>
    <row r="1287" spans="1:26" x14ac:dyDescent="0.3">
      <c r="A1287">
        <v>58</v>
      </c>
      <c r="B1287">
        <v>80</v>
      </c>
      <c r="C1287" t="s">
        <v>26</v>
      </c>
      <c r="D1287">
        <v>10.8063</v>
      </c>
      <c r="E1287">
        <v>9.25</v>
      </c>
      <c r="F1287">
        <v>6.77</v>
      </c>
      <c r="G1287">
        <v>81.22</v>
      </c>
      <c r="H1287">
        <v>1.53</v>
      </c>
      <c r="I1287">
        <v>5</v>
      </c>
      <c r="J1287">
        <v>180.2</v>
      </c>
      <c r="K1287">
        <v>50.28</v>
      </c>
      <c r="L1287">
        <v>15.5</v>
      </c>
      <c r="M1287">
        <v>3</v>
      </c>
      <c r="N1287">
        <v>34.43</v>
      </c>
      <c r="O1287">
        <v>22459.24</v>
      </c>
      <c r="P1287">
        <v>69.989999999999995</v>
      </c>
      <c r="Q1287">
        <v>204.15</v>
      </c>
      <c r="R1287">
        <v>24.21</v>
      </c>
      <c r="S1287">
        <v>17.37</v>
      </c>
      <c r="T1287">
        <v>1323.79</v>
      </c>
      <c r="U1287">
        <v>0.72</v>
      </c>
      <c r="V1287">
        <v>0.75</v>
      </c>
      <c r="W1287">
        <v>1.1499999999999999</v>
      </c>
      <c r="X1287">
        <v>0.08</v>
      </c>
      <c r="Y1287">
        <v>1</v>
      </c>
      <c r="Z1287">
        <v>10</v>
      </c>
    </row>
    <row r="1288" spans="1:26" x14ac:dyDescent="0.3">
      <c r="A1288">
        <v>59</v>
      </c>
      <c r="B1288">
        <v>80</v>
      </c>
      <c r="C1288" t="s">
        <v>26</v>
      </c>
      <c r="D1288">
        <v>10.803000000000001</v>
      </c>
      <c r="E1288">
        <v>9.26</v>
      </c>
      <c r="F1288">
        <v>6.77</v>
      </c>
      <c r="G1288">
        <v>81.25</v>
      </c>
      <c r="H1288">
        <v>1.55</v>
      </c>
      <c r="I1288">
        <v>5</v>
      </c>
      <c r="J1288">
        <v>180.58</v>
      </c>
      <c r="K1288">
        <v>50.28</v>
      </c>
      <c r="L1288">
        <v>15.75</v>
      </c>
      <c r="M1288">
        <v>3</v>
      </c>
      <c r="N1288">
        <v>34.549999999999997</v>
      </c>
      <c r="O1288">
        <v>22505.24</v>
      </c>
      <c r="P1288">
        <v>69.77</v>
      </c>
      <c r="Q1288">
        <v>204.14</v>
      </c>
      <c r="R1288">
        <v>24.36</v>
      </c>
      <c r="S1288">
        <v>17.37</v>
      </c>
      <c r="T1288">
        <v>1396.69</v>
      </c>
      <c r="U1288">
        <v>0.71</v>
      </c>
      <c r="V1288">
        <v>0.75</v>
      </c>
      <c r="W1288">
        <v>1.1399999999999999</v>
      </c>
      <c r="X1288">
        <v>0.08</v>
      </c>
      <c r="Y1288">
        <v>1</v>
      </c>
      <c r="Z1288">
        <v>10</v>
      </c>
    </row>
    <row r="1289" spans="1:26" x14ac:dyDescent="0.3">
      <c r="A1289">
        <v>60</v>
      </c>
      <c r="B1289">
        <v>80</v>
      </c>
      <c r="C1289" t="s">
        <v>26</v>
      </c>
      <c r="D1289">
        <v>10.804</v>
      </c>
      <c r="E1289">
        <v>9.26</v>
      </c>
      <c r="F1289">
        <v>6.77</v>
      </c>
      <c r="G1289">
        <v>81.239999999999995</v>
      </c>
      <c r="H1289">
        <v>1.57</v>
      </c>
      <c r="I1289">
        <v>5</v>
      </c>
      <c r="J1289">
        <v>180.95</v>
      </c>
      <c r="K1289">
        <v>50.28</v>
      </c>
      <c r="L1289">
        <v>16</v>
      </c>
      <c r="M1289">
        <v>3</v>
      </c>
      <c r="N1289">
        <v>34.67</v>
      </c>
      <c r="O1289">
        <v>22551.279999999999</v>
      </c>
      <c r="P1289">
        <v>69.319999999999993</v>
      </c>
      <c r="Q1289">
        <v>204.14</v>
      </c>
      <c r="R1289">
        <v>24.27</v>
      </c>
      <c r="S1289">
        <v>17.37</v>
      </c>
      <c r="T1289">
        <v>1352.51</v>
      </c>
      <c r="U1289">
        <v>0.72</v>
      </c>
      <c r="V1289">
        <v>0.75</v>
      </c>
      <c r="W1289">
        <v>1.1499999999999999</v>
      </c>
      <c r="X1289">
        <v>0.08</v>
      </c>
      <c r="Y1289">
        <v>1</v>
      </c>
      <c r="Z1289">
        <v>10</v>
      </c>
    </row>
    <row r="1290" spans="1:26" x14ac:dyDescent="0.3">
      <c r="A1290">
        <v>61</v>
      </c>
      <c r="B1290">
        <v>80</v>
      </c>
      <c r="C1290" t="s">
        <v>26</v>
      </c>
      <c r="D1290">
        <v>10.8111</v>
      </c>
      <c r="E1290">
        <v>9.25</v>
      </c>
      <c r="F1290">
        <v>6.76</v>
      </c>
      <c r="G1290">
        <v>81.17</v>
      </c>
      <c r="H1290">
        <v>1.59</v>
      </c>
      <c r="I1290">
        <v>5</v>
      </c>
      <c r="J1290">
        <v>181.32</v>
      </c>
      <c r="K1290">
        <v>50.28</v>
      </c>
      <c r="L1290">
        <v>16.25</v>
      </c>
      <c r="M1290">
        <v>3</v>
      </c>
      <c r="N1290">
        <v>34.79</v>
      </c>
      <c r="O1290">
        <v>22597.360000000001</v>
      </c>
      <c r="P1290">
        <v>68.48</v>
      </c>
      <c r="Q1290">
        <v>204.14</v>
      </c>
      <c r="R1290">
        <v>24.08</v>
      </c>
      <c r="S1290">
        <v>17.37</v>
      </c>
      <c r="T1290">
        <v>1256.8900000000001</v>
      </c>
      <c r="U1290">
        <v>0.72</v>
      </c>
      <c r="V1290">
        <v>0.75</v>
      </c>
      <c r="W1290">
        <v>1.1399999999999999</v>
      </c>
      <c r="X1290">
        <v>7.0000000000000007E-2</v>
      </c>
      <c r="Y1290">
        <v>1</v>
      </c>
      <c r="Z1290">
        <v>10</v>
      </c>
    </row>
    <row r="1291" spans="1:26" x14ac:dyDescent="0.3">
      <c r="A1291">
        <v>62</v>
      </c>
      <c r="B1291">
        <v>80</v>
      </c>
      <c r="C1291" t="s">
        <v>26</v>
      </c>
      <c r="D1291">
        <v>10.8742</v>
      </c>
      <c r="E1291">
        <v>9.1999999999999993</v>
      </c>
      <c r="F1291">
        <v>6.74</v>
      </c>
      <c r="G1291">
        <v>101.14</v>
      </c>
      <c r="H1291">
        <v>1.61</v>
      </c>
      <c r="I1291">
        <v>4</v>
      </c>
      <c r="J1291">
        <v>181.7</v>
      </c>
      <c r="K1291">
        <v>50.28</v>
      </c>
      <c r="L1291">
        <v>16.5</v>
      </c>
      <c r="M1291">
        <v>2</v>
      </c>
      <c r="N1291">
        <v>34.92</v>
      </c>
      <c r="O1291">
        <v>22643.61</v>
      </c>
      <c r="P1291">
        <v>68.150000000000006</v>
      </c>
      <c r="Q1291">
        <v>204.14</v>
      </c>
      <c r="R1291">
        <v>23.46</v>
      </c>
      <c r="S1291">
        <v>17.37</v>
      </c>
      <c r="T1291">
        <v>953.06</v>
      </c>
      <c r="U1291">
        <v>0.74</v>
      </c>
      <c r="V1291">
        <v>0.76</v>
      </c>
      <c r="W1291">
        <v>1.1399999999999999</v>
      </c>
      <c r="X1291">
        <v>0.05</v>
      </c>
      <c r="Y1291">
        <v>1</v>
      </c>
      <c r="Z1291">
        <v>10</v>
      </c>
    </row>
    <row r="1292" spans="1:26" x14ac:dyDescent="0.3">
      <c r="A1292">
        <v>63</v>
      </c>
      <c r="B1292">
        <v>80</v>
      </c>
      <c r="C1292" t="s">
        <v>26</v>
      </c>
      <c r="D1292">
        <v>10.8683</v>
      </c>
      <c r="E1292">
        <v>9.1999999999999993</v>
      </c>
      <c r="F1292">
        <v>6.75</v>
      </c>
      <c r="G1292">
        <v>101.22</v>
      </c>
      <c r="H1292">
        <v>1.63</v>
      </c>
      <c r="I1292">
        <v>4</v>
      </c>
      <c r="J1292">
        <v>182.07</v>
      </c>
      <c r="K1292">
        <v>50.28</v>
      </c>
      <c r="L1292">
        <v>16.75</v>
      </c>
      <c r="M1292">
        <v>2</v>
      </c>
      <c r="N1292">
        <v>35.04</v>
      </c>
      <c r="O1292">
        <v>22689.77</v>
      </c>
      <c r="P1292">
        <v>68.489999999999995</v>
      </c>
      <c r="Q1292">
        <v>204.14</v>
      </c>
      <c r="R1292">
        <v>23.65</v>
      </c>
      <c r="S1292">
        <v>17.37</v>
      </c>
      <c r="T1292">
        <v>1048.72</v>
      </c>
      <c r="U1292">
        <v>0.73</v>
      </c>
      <c r="V1292">
        <v>0.76</v>
      </c>
      <c r="W1292">
        <v>1.1399999999999999</v>
      </c>
      <c r="X1292">
        <v>0.06</v>
      </c>
      <c r="Y1292">
        <v>1</v>
      </c>
      <c r="Z1292">
        <v>10</v>
      </c>
    </row>
    <row r="1293" spans="1:26" x14ac:dyDescent="0.3">
      <c r="A1293">
        <v>64</v>
      </c>
      <c r="B1293">
        <v>80</v>
      </c>
      <c r="C1293" t="s">
        <v>26</v>
      </c>
      <c r="D1293">
        <v>10.864599999999999</v>
      </c>
      <c r="E1293">
        <v>9.1999999999999993</v>
      </c>
      <c r="F1293">
        <v>6.75</v>
      </c>
      <c r="G1293">
        <v>101.26</v>
      </c>
      <c r="H1293">
        <v>1.65</v>
      </c>
      <c r="I1293">
        <v>4</v>
      </c>
      <c r="J1293">
        <v>182.45</v>
      </c>
      <c r="K1293">
        <v>50.28</v>
      </c>
      <c r="L1293">
        <v>17</v>
      </c>
      <c r="M1293">
        <v>2</v>
      </c>
      <c r="N1293">
        <v>35.17</v>
      </c>
      <c r="O1293">
        <v>22735.98</v>
      </c>
      <c r="P1293">
        <v>68.459999999999994</v>
      </c>
      <c r="Q1293">
        <v>204.14</v>
      </c>
      <c r="R1293">
        <v>23.69</v>
      </c>
      <c r="S1293">
        <v>17.37</v>
      </c>
      <c r="T1293">
        <v>1069.18</v>
      </c>
      <c r="U1293">
        <v>0.73</v>
      </c>
      <c r="V1293">
        <v>0.76</v>
      </c>
      <c r="W1293">
        <v>1.1399999999999999</v>
      </c>
      <c r="X1293">
        <v>0.06</v>
      </c>
      <c r="Y1293">
        <v>1</v>
      </c>
      <c r="Z1293">
        <v>10</v>
      </c>
    </row>
    <row r="1294" spans="1:26" x14ac:dyDescent="0.3">
      <c r="A1294">
        <v>65</v>
      </c>
      <c r="B1294">
        <v>80</v>
      </c>
      <c r="C1294" t="s">
        <v>26</v>
      </c>
      <c r="D1294">
        <v>10.870200000000001</v>
      </c>
      <c r="E1294">
        <v>9.1999999999999993</v>
      </c>
      <c r="F1294">
        <v>6.75</v>
      </c>
      <c r="G1294">
        <v>101.19</v>
      </c>
      <c r="H1294">
        <v>1.67</v>
      </c>
      <c r="I1294">
        <v>4</v>
      </c>
      <c r="J1294">
        <v>182.82</v>
      </c>
      <c r="K1294">
        <v>50.28</v>
      </c>
      <c r="L1294">
        <v>17.25</v>
      </c>
      <c r="M1294">
        <v>2</v>
      </c>
      <c r="N1294">
        <v>35.29</v>
      </c>
      <c r="O1294">
        <v>22782.23</v>
      </c>
      <c r="P1294">
        <v>68.63</v>
      </c>
      <c r="Q1294">
        <v>204.14</v>
      </c>
      <c r="R1294">
        <v>23.56</v>
      </c>
      <c r="S1294">
        <v>17.37</v>
      </c>
      <c r="T1294">
        <v>1004.77</v>
      </c>
      <c r="U1294">
        <v>0.74</v>
      </c>
      <c r="V1294">
        <v>0.76</v>
      </c>
      <c r="W1294">
        <v>1.1399999999999999</v>
      </c>
      <c r="X1294">
        <v>0.06</v>
      </c>
      <c r="Y1294">
        <v>1</v>
      </c>
      <c r="Z1294">
        <v>10</v>
      </c>
    </row>
    <row r="1295" spans="1:26" x14ac:dyDescent="0.3">
      <c r="A1295">
        <v>66</v>
      </c>
      <c r="B1295">
        <v>80</v>
      </c>
      <c r="C1295" t="s">
        <v>26</v>
      </c>
      <c r="D1295">
        <v>10.8751</v>
      </c>
      <c r="E1295">
        <v>9.1999999999999993</v>
      </c>
      <c r="F1295">
        <v>6.74</v>
      </c>
      <c r="G1295">
        <v>101.13</v>
      </c>
      <c r="H1295">
        <v>1.69</v>
      </c>
      <c r="I1295">
        <v>4</v>
      </c>
      <c r="J1295">
        <v>183.2</v>
      </c>
      <c r="K1295">
        <v>50.28</v>
      </c>
      <c r="L1295">
        <v>17.5</v>
      </c>
      <c r="M1295">
        <v>1</v>
      </c>
      <c r="N1295">
        <v>35.42</v>
      </c>
      <c r="O1295">
        <v>22828.53</v>
      </c>
      <c r="P1295">
        <v>68.59</v>
      </c>
      <c r="Q1295">
        <v>204.14</v>
      </c>
      <c r="R1295">
        <v>23.4</v>
      </c>
      <c r="S1295">
        <v>17.37</v>
      </c>
      <c r="T1295">
        <v>919.9</v>
      </c>
      <c r="U1295">
        <v>0.74</v>
      </c>
      <c r="V1295">
        <v>0.76</v>
      </c>
      <c r="W1295">
        <v>1.1399999999999999</v>
      </c>
      <c r="X1295">
        <v>0.05</v>
      </c>
      <c r="Y1295">
        <v>1</v>
      </c>
      <c r="Z1295">
        <v>10</v>
      </c>
    </row>
    <row r="1296" spans="1:26" x14ac:dyDescent="0.3">
      <c r="A1296">
        <v>67</v>
      </c>
      <c r="B1296">
        <v>80</v>
      </c>
      <c r="C1296" t="s">
        <v>26</v>
      </c>
      <c r="D1296">
        <v>10.871499999999999</v>
      </c>
      <c r="E1296">
        <v>9.1999999999999993</v>
      </c>
      <c r="F1296">
        <v>6.75</v>
      </c>
      <c r="G1296">
        <v>101.17</v>
      </c>
      <c r="H1296">
        <v>1.72</v>
      </c>
      <c r="I1296">
        <v>4</v>
      </c>
      <c r="J1296">
        <v>183.57</v>
      </c>
      <c r="K1296">
        <v>50.28</v>
      </c>
      <c r="L1296">
        <v>17.75</v>
      </c>
      <c r="M1296">
        <v>1</v>
      </c>
      <c r="N1296">
        <v>35.54</v>
      </c>
      <c r="O1296">
        <v>22874.86</v>
      </c>
      <c r="P1296">
        <v>68.540000000000006</v>
      </c>
      <c r="Q1296">
        <v>204.14</v>
      </c>
      <c r="R1296">
        <v>23.54</v>
      </c>
      <c r="S1296">
        <v>17.37</v>
      </c>
      <c r="T1296">
        <v>990.55</v>
      </c>
      <c r="U1296">
        <v>0.74</v>
      </c>
      <c r="V1296">
        <v>0.76</v>
      </c>
      <c r="W1296">
        <v>1.1399999999999999</v>
      </c>
      <c r="X1296">
        <v>0.05</v>
      </c>
      <c r="Y1296">
        <v>1</v>
      </c>
      <c r="Z1296">
        <v>10</v>
      </c>
    </row>
    <row r="1297" spans="1:26" x14ac:dyDescent="0.3">
      <c r="A1297">
        <v>68</v>
      </c>
      <c r="B1297">
        <v>80</v>
      </c>
      <c r="C1297" t="s">
        <v>26</v>
      </c>
      <c r="D1297">
        <v>10.870200000000001</v>
      </c>
      <c r="E1297">
        <v>9.1999999999999993</v>
      </c>
      <c r="F1297">
        <v>6.75</v>
      </c>
      <c r="G1297">
        <v>101.19</v>
      </c>
      <c r="H1297">
        <v>1.74</v>
      </c>
      <c r="I1297">
        <v>4</v>
      </c>
      <c r="J1297">
        <v>183.95</v>
      </c>
      <c r="K1297">
        <v>50.28</v>
      </c>
      <c r="L1297">
        <v>18</v>
      </c>
      <c r="M1297">
        <v>1</v>
      </c>
      <c r="N1297">
        <v>35.67</v>
      </c>
      <c r="O1297">
        <v>22921.24</v>
      </c>
      <c r="P1297">
        <v>68.48</v>
      </c>
      <c r="Q1297">
        <v>204.14</v>
      </c>
      <c r="R1297">
        <v>23.55</v>
      </c>
      <c r="S1297">
        <v>17.37</v>
      </c>
      <c r="T1297">
        <v>994.86</v>
      </c>
      <c r="U1297">
        <v>0.74</v>
      </c>
      <c r="V1297">
        <v>0.76</v>
      </c>
      <c r="W1297">
        <v>1.1399999999999999</v>
      </c>
      <c r="X1297">
        <v>0.06</v>
      </c>
      <c r="Y1297">
        <v>1</v>
      </c>
      <c r="Z1297">
        <v>10</v>
      </c>
    </row>
    <row r="1298" spans="1:26" x14ac:dyDescent="0.3">
      <c r="A1298">
        <v>69</v>
      </c>
      <c r="B1298">
        <v>80</v>
      </c>
      <c r="C1298" t="s">
        <v>26</v>
      </c>
      <c r="D1298">
        <v>10.868600000000001</v>
      </c>
      <c r="E1298">
        <v>9.1999999999999993</v>
      </c>
      <c r="F1298">
        <v>6.75</v>
      </c>
      <c r="G1298">
        <v>101.21</v>
      </c>
      <c r="H1298">
        <v>1.76</v>
      </c>
      <c r="I1298">
        <v>4</v>
      </c>
      <c r="J1298">
        <v>184.33</v>
      </c>
      <c r="K1298">
        <v>50.28</v>
      </c>
      <c r="L1298">
        <v>18.25</v>
      </c>
      <c r="M1298">
        <v>1</v>
      </c>
      <c r="N1298">
        <v>35.799999999999997</v>
      </c>
      <c r="O1298">
        <v>22967.66</v>
      </c>
      <c r="P1298">
        <v>68.48</v>
      </c>
      <c r="Q1298">
        <v>204.14</v>
      </c>
      <c r="R1298">
        <v>23.6</v>
      </c>
      <c r="S1298">
        <v>17.37</v>
      </c>
      <c r="T1298">
        <v>1020.73</v>
      </c>
      <c r="U1298">
        <v>0.74</v>
      </c>
      <c r="V1298">
        <v>0.76</v>
      </c>
      <c r="W1298">
        <v>1.1399999999999999</v>
      </c>
      <c r="X1298">
        <v>0.06</v>
      </c>
      <c r="Y1298">
        <v>1</v>
      </c>
      <c r="Z1298">
        <v>10</v>
      </c>
    </row>
    <row r="1299" spans="1:26" x14ac:dyDescent="0.3">
      <c r="A1299">
        <v>70</v>
      </c>
      <c r="B1299">
        <v>80</v>
      </c>
      <c r="C1299" t="s">
        <v>26</v>
      </c>
      <c r="D1299">
        <v>10.863300000000001</v>
      </c>
      <c r="E1299">
        <v>9.2100000000000009</v>
      </c>
      <c r="F1299">
        <v>6.75</v>
      </c>
      <c r="G1299">
        <v>101.28</v>
      </c>
      <c r="H1299">
        <v>1.78</v>
      </c>
      <c r="I1299">
        <v>4</v>
      </c>
      <c r="J1299">
        <v>184.7</v>
      </c>
      <c r="K1299">
        <v>50.28</v>
      </c>
      <c r="L1299">
        <v>18.5</v>
      </c>
      <c r="M1299">
        <v>0</v>
      </c>
      <c r="N1299">
        <v>35.92</v>
      </c>
      <c r="O1299">
        <v>23014.13</v>
      </c>
      <c r="P1299">
        <v>68.61</v>
      </c>
      <c r="Q1299">
        <v>204.18</v>
      </c>
      <c r="R1299">
        <v>23.68</v>
      </c>
      <c r="S1299">
        <v>17.37</v>
      </c>
      <c r="T1299">
        <v>1059.9100000000001</v>
      </c>
      <c r="U1299">
        <v>0.73</v>
      </c>
      <c r="V1299">
        <v>0.76</v>
      </c>
      <c r="W1299">
        <v>1.1399999999999999</v>
      </c>
      <c r="X1299">
        <v>0.06</v>
      </c>
      <c r="Y1299">
        <v>1</v>
      </c>
      <c r="Z1299">
        <v>10</v>
      </c>
    </row>
    <row r="1300" spans="1:26" x14ac:dyDescent="0.3">
      <c r="A1300">
        <v>0</v>
      </c>
      <c r="B1300">
        <v>115</v>
      </c>
      <c r="C1300" t="s">
        <v>26</v>
      </c>
      <c r="D1300">
        <v>6.4396000000000004</v>
      </c>
      <c r="E1300">
        <v>15.53</v>
      </c>
      <c r="F1300">
        <v>8.65</v>
      </c>
      <c r="G1300">
        <v>5.41</v>
      </c>
      <c r="H1300">
        <v>0.08</v>
      </c>
      <c r="I1300">
        <v>96</v>
      </c>
      <c r="J1300">
        <v>222.93</v>
      </c>
      <c r="K1300">
        <v>56.94</v>
      </c>
      <c r="L1300">
        <v>1</v>
      </c>
      <c r="M1300">
        <v>94</v>
      </c>
      <c r="N1300">
        <v>49.99</v>
      </c>
      <c r="O1300">
        <v>27728.69</v>
      </c>
      <c r="P1300">
        <v>131.86000000000001</v>
      </c>
      <c r="Q1300">
        <v>204.26</v>
      </c>
      <c r="R1300">
        <v>82.68</v>
      </c>
      <c r="S1300">
        <v>17.37</v>
      </c>
      <c r="T1300">
        <v>30102.47</v>
      </c>
      <c r="U1300">
        <v>0.21</v>
      </c>
      <c r="V1300">
        <v>0.59</v>
      </c>
      <c r="W1300">
        <v>1.3</v>
      </c>
      <c r="X1300">
        <v>1.96</v>
      </c>
      <c r="Y1300">
        <v>1</v>
      </c>
      <c r="Z1300">
        <v>10</v>
      </c>
    </row>
    <row r="1301" spans="1:26" x14ac:dyDescent="0.3">
      <c r="A1301">
        <v>1</v>
      </c>
      <c r="B1301">
        <v>115</v>
      </c>
      <c r="C1301" t="s">
        <v>26</v>
      </c>
      <c r="D1301">
        <v>7.1685999999999996</v>
      </c>
      <c r="E1301">
        <v>13.95</v>
      </c>
      <c r="F1301">
        <v>8.1300000000000008</v>
      </c>
      <c r="G1301">
        <v>6.77</v>
      </c>
      <c r="H1301">
        <v>0.1</v>
      </c>
      <c r="I1301">
        <v>72</v>
      </c>
      <c r="J1301">
        <v>223.35</v>
      </c>
      <c r="K1301">
        <v>56.94</v>
      </c>
      <c r="L1301">
        <v>1.25</v>
      </c>
      <c r="M1301">
        <v>70</v>
      </c>
      <c r="N1301">
        <v>50.15</v>
      </c>
      <c r="O1301">
        <v>27780.03</v>
      </c>
      <c r="P1301">
        <v>123.7</v>
      </c>
      <c r="Q1301">
        <v>204.32</v>
      </c>
      <c r="R1301">
        <v>66.47</v>
      </c>
      <c r="S1301">
        <v>17.37</v>
      </c>
      <c r="T1301">
        <v>22117.99</v>
      </c>
      <c r="U1301">
        <v>0.26</v>
      </c>
      <c r="V1301">
        <v>0.63</v>
      </c>
      <c r="W1301">
        <v>1.25</v>
      </c>
      <c r="X1301">
        <v>1.43</v>
      </c>
      <c r="Y1301">
        <v>1</v>
      </c>
      <c r="Z1301">
        <v>10</v>
      </c>
    </row>
    <row r="1302" spans="1:26" x14ac:dyDescent="0.3">
      <c r="A1302">
        <v>2</v>
      </c>
      <c r="B1302">
        <v>115</v>
      </c>
      <c r="C1302" t="s">
        <v>26</v>
      </c>
      <c r="D1302">
        <v>7.6094999999999997</v>
      </c>
      <c r="E1302">
        <v>13.14</v>
      </c>
      <c r="F1302">
        <v>7.89</v>
      </c>
      <c r="G1302">
        <v>8.02</v>
      </c>
      <c r="H1302">
        <v>0.12</v>
      </c>
      <c r="I1302">
        <v>59</v>
      </c>
      <c r="J1302">
        <v>223.76</v>
      </c>
      <c r="K1302">
        <v>56.94</v>
      </c>
      <c r="L1302">
        <v>1.5</v>
      </c>
      <c r="M1302">
        <v>57</v>
      </c>
      <c r="N1302">
        <v>50.32</v>
      </c>
      <c r="O1302">
        <v>27831.42</v>
      </c>
      <c r="P1302">
        <v>119.96</v>
      </c>
      <c r="Q1302">
        <v>204.19</v>
      </c>
      <c r="R1302">
        <v>59.1</v>
      </c>
      <c r="S1302">
        <v>17.37</v>
      </c>
      <c r="T1302">
        <v>18497.439999999999</v>
      </c>
      <c r="U1302">
        <v>0.28999999999999998</v>
      </c>
      <c r="V1302">
        <v>0.65</v>
      </c>
      <c r="W1302">
        <v>1.24</v>
      </c>
      <c r="X1302">
        <v>1.2</v>
      </c>
      <c r="Y1302">
        <v>1</v>
      </c>
      <c r="Z1302">
        <v>10</v>
      </c>
    </row>
    <row r="1303" spans="1:26" x14ac:dyDescent="0.3">
      <c r="A1303">
        <v>3</v>
      </c>
      <c r="B1303">
        <v>115</v>
      </c>
      <c r="C1303" t="s">
        <v>26</v>
      </c>
      <c r="D1303">
        <v>8.0092999999999996</v>
      </c>
      <c r="E1303">
        <v>12.49</v>
      </c>
      <c r="F1303">
        <v>7.67</v>
      </c>
      <c r="G1303">
        <v>9.4</v>
      </c>
      <c r="H1303">
        <v>0.14000000000000001</v>
      </c>
      <c r="I1303">
        <v>49</v>
      </c>
      <c r="J1303">
        <v>224.18</v>
      </c>
      <c r="K1303">
        <v>56.94</v>
      </c>
      <c r="L1303">
        <v>1.75</v>
      </c>
      <c r="M1303">
        <v>47</v>
      </c>
      <c r="N1303">
        <v>50.49</v>
      </c>
      <c r="O1303">
        <v>27882.87</v>
      </c>
      <c r="P1303">
        <v>116.53</v>
      </c>
      <c r="Q1303">
        <v>204.15</v>
      </c>
      <c r="R1303">
        <v>52.69</v>
      </c>
      <c r="S1303">
        <v>17.37</v>
      </c>
      <c r="T1303">
        <v>15342.11</v>
      </c>
      <c r="U1303">
        <v>0.33</v>
      </c>
      <c r="V1303">
        <v>0.67</v>
      </c>
      <c r="W1303">
        <v>1.21</v>
      </c>
      <c r="X1303">
        <v>0.98</v>
      </c>
      <c r="Y1303">
        <v>1</v>
      </c>
      <c r="Z1303">
        <v>10</v>
      </c>
    </row>
    <row r="1304" spans="1:26" x14ac:dyDescent="0.3">
      <c r="A1304">
        <v>4</v>
      </c>
      <c r="B1304">
        <v>115</v>
      </c>
      <c r="C1304" t="s">
        <v>26</v>
      </c>
      <c r="D1304">
        <v>8.3126999999999995</v>
      </c>
      <c r="E1304">
        <v>12.03</v>
      </c>
      <c r="F1304">
        <v>7.53</v>
      </c>
      <c r="G1304">
        <v>10.75</v>
      </c>
      <c r="H1304">
        <v>0.16</v>
      </c>
      <c r="I1304">
        <v>42</v>
      </c>
      <c r="J1304">
        <v>224.6</v>
      </c>
      <c r="K1304">
        <v>56.94</v>
      </c>
      <c r="L1304">
        <v>2</v>
      </c>
      <c r="M1304">
        <v>40</v>
      </c>
      <c r="N1304">
        <v>50.65</v>
      </c>
      <c r="O1304">
        <v>27934.37</v>
      </c>
      <c r="P1304">
        <v>114.15</v>
      </c>
      <c r="Q1304">
        <v>204.18</v>
      </c>
      <c r="R1304">
        <v>47.54</v>
      </c>
      <c r="S1304">
        <v>17.37</v>
      </c>
      <c r="T1304">
        <v>12804.45</v>
      </c>
      <c r="U1304">
        <v>0.37</v>
      </c>
      <c r="V1304">
        <v>0.68</v>
      </c>
      <c r="W1304">
        <v>1.21</v>
      </c>
      <c r="X1304">
        <v>0.83</v>
      </c>
      <c r="Y1304">
        <v>1</v>
      </c>
      <c r="Z1304">
        <v>10</v>
      </c>
    </row>
    <row r="1305" spans="1:26" x14ac:dyDescent="0.3">
      <c r="A1305">
        <v>5</v>
      </c>
      <c r="B1305">
        <v>115</v>
      </c>
      <c r="C1305" t="s">
        <v>26</v>
      </c>
      <c r="D1305">
        <v>8.5489999999999995</v>
      </c>
      <c r="E1305">
        <v>11.7</v>
      </c>
      <c r="F1305">
        <v>7.41</v>
      </c>
      <c r="G1305">
        <v>12.02</v>
      </c>
      <c r="H1305">
        <v>0.18</v>
      </c>
      <c r="I1305">
        <v>37</v>
      </c>
      <c r="J1305">
        <v>225.01</v>
      </c>
      <c r="K1305">
        <v>56.94</v>
      </c>
      <c r="L1305">
        <v>2.25</v>
      </c>
      <c r="M1305">
        <v>35</v>
      </c>
      <c r="N1305">
        <v>50.82</v>
      </c>
      <c r="O1305">
        <v>27985.94</v>
      </c>
      <c r="P1305">
        <v>112.29</v>
      </c>
      <c r="Q1305">
        <v>204.17</v>
      </c>
      <c r="R1305">
        <v>44.37</v>
      </c>
      <c r="S1305">
        <v>17.37</v>
      </c>
      <c r="T1305">
        <v>11244.74</v>
      </c>
      <c r="U1305">
        <v>0.39</v>
      </c>
      <c r="V1305">
        <v>0.69</v>
      </c>
      <c r="W1305">
        <v>1.19</v>
      </c>
      <c r="X1305">
        <v>0.72</v>
      </c>
      <c r="Y1305">
        <v>1</v>
      </c>
      <c r="Z1305">
        <v>10</v>
      </c>
    </row>
    <row r="1306" spans="1:26" x14ac:dyDescent="0.3">
      <c r="A1306">
        <v>6</v>
      </c>
      <c r="B1306">
        <v>115</v>
      </c>
      <c r="C1306" t="s">
        <v>26</v>
      </c>
      <c r="D1306">
        <v>8.7406000000000006</v>
      </c>
      <c r="E1306">
        <v>11.44</v>
      </c>
      <c r="F1306">
        <v>7.33</v>
      </c>
      <c r="G1306">
        <v>13.33</v>
      </c>
      <c r="H1306">
        <v>0.2</v>
      </c>
      <c r="I1306">
        <v>33</v>
      </c>
      <c r="J1306">
        <v>225.43</v>
      </c>
      <c r="K1306">
        <v>56.94</v>
      </c>
      <c r="L1306">
        <v>2.5</v>
      </c>
      <c r="M1306">
        <v>31</v>
      </c>
      <c r="N1306">
        <v>50.99</v>
      </c>
      <c r="O1306">
        <v>28037.57</v>
      </c>
      <c r="P1306">
        <v>110.95</v>
      </c>
      <c r="Q1306">
        <v>204.15</v>
      </c>
      <c r="R1306">
        <v>41.56</v>
      </c>
      <c r="S1306">
        <v>17.37</v>
      </c>
      <c r="T1306">
        <v>9856.2000000000007</v>
      </c>
      <c r="U1306">
        <v>0.42</v>
      </c>
      <c r="V1306">
        <v>0.7</v>
      </c>
      <c r="W1306">
        <v>1.2</v>
      </c>
      <c r="X1306">
        <v>0.64</v>
      </c>
      <c r="Y1306">
        <v>1</v>
      </c>
      <c r="Z1306">
        <v>10</v>
      </c>
    </row>
    <row r="1307" spans="1:26" x14ac:dyDescent="0.3">
      <c r="A1307">
        <v>7</v>
      </c>
      <c r="B1307">
        <v>115</v>
      </c>
      <c r="C1307" t="s">
        <v>26</v>
      </c>
      <c r="D1307">
        <v>8.8866999999999994</v>
      </c>
      <c r="E1307">
        <v>11.25</v>
      </c>
      <c r="F1307">
        <v>7.28</v>
      </c>
      <c r="G1307">
        <v>14.55</v>
      </c>
      <c r="H1307">
        <v>0.22</v>
      </c>
      <c r="I1307">
        <v>30</v>
      </c>
      <c r="J1307">
        <v>225.85</v>
      </c>
      <c r="K1307">
        <v>56.94</v>
      </c>
      <c r="L1307">
        <v>2.75</v>
      </c>
      <c r="M1307">
        <v>28</v>
      </c>
      <c r="N1307">
        <v>51.16</v>
      </c>
      <c r="O1307">
        <v>28089.25</v>
      </c>
      <c r="P1307">
        <v>110</v>
      </c>
      <c r="Q1307">
        <v>204.18</v>
      </c>
      <c r="R1307">
        <v>40.08</v>
      </c>
      <c r="S1307">
        <v>17.37</v>
      </c>
      <c r="T1307">
        <v>9132.65</v>
      </c>
      <c r="U1307">
        <v>0.43</v>
      </c>
      <c r="V1307">
        <v>0.7</v>
      </c>
      <c r="W1307">
        <v>1.18</v>
      </c>
      <c r="X1307">
        <v>0.57999999999999996</v>
      </c>
      <c r="Y1307">
        <v>1</v>
      </c>
      <c r="Z1307">
        <v>10</v>
      </c>
    </row>
    <row r="1308" spans="1:26" x14ac:dyDescent="0.3">
      <c r="A1308">
        <v>8</v>
      </c>
      <c r="B1308">
        <v>115</v>
      </c>
      <c r="C1308" t="s">
        <v>26</v>
      </c>
      <c r="D1308">
        <v>9.0449999999999999</v>
      </c>
      <c r="E1308">
        <v>11.06</v>
      </c>
      <c r="F1308">
        <v>7.21</v>
      </c>
      <c r="G1308">
        <v>16.02</v>
      </c>
      <c r="H1308">
        <v>0.24</v>
      </c>
      <c r="I1308">
        <v>27</v>
      </c>
      <c r="J1308">
        <v>226.27</v>
      </c>
      <c r="K1308">
        <v>56.94</v>
      </c>
      <c r="L1308">
        <v>3</v>
      </c>
      <c r="M1308">
        <v>25</v>
      </c>
      <c r="N1308">
        <v>51.33</v>
      </c>
      <c r="O1308">
        <v>28140.99</v>
      </c>
      <c r="P1308">
        <v>108.85</v>
      </c>
      <c r="Q1308">
        <v>204.27</v>
      </c>
      <c r="R1308">
        <v>38.020000000000003</v>
      </c>
      <c r="S1308">
        <v>17.37</v>
      </c>
      <c r="T1308">
        <v>8115.36</v>
      </c>
      <c r="U1308">
        <v>0.46</v>
      </c>
      <c r="V1308">
        <v>0.71</v>
      </c>
      <c r="W1308">
        <v>1.18</v>
      </c>
      <c r="X1308">
        <v>0.52</v>
      </c>
      <c r="Y1308">
        <v>1</v>
      </c>
      <c r="Z1308">
        <v>10</v>
      </c>
    </row>
    <row r="1309" spans="1:26" x14ac:dyDescent="0.3">
      <c r="A1309">
        <v>9</v>
      </c>
      <c r="B1309">
        <v>115</v>
      </c>
      <c r="C1309" t="s">
        <v>26</v>
      </c>
      <c r="D1309">
        <v>9.1397999999999993</v>
      </c>
      <c r="E1309">
        <v>10.94</v>
      </c>
      <c r="F1309">
        <v>7.18</v>
      </c>
      <c r="G1309">
        <v>17.239999999999998</v>
      </c>
      <c r="H1309">
        <v>0.25</v>
      </c>
      <c r="I1309">
        <v>25</v>
      </c>
      <c r="J1309">
        <v>226.69</v>
      </c>
      <c r="K1309">
        <v>56.94</v>
      </c>
      <c r="L1309">
        <v>3.25</v>
      </c>
      <c r="M1309">
        <v>23</v>
      </c>
      <c r="N1309">
        <v>51.5</v>
      </c>
      <c r="O1309">
        <v>28192.799999999999</v>
      </c>
      <c r="P1309">
        <v>108.35</v>
      </c>
      <c r="Q1309">
        <v>204.15</v>
      </c>
      <c r="R1309">
        <v>37.03</v>
      </c>
      <c r="S1309">
        <v>17.37</v>
      </c>
      <c r="T1309">
        <v>7632.1</v>
      </c>
      <c r="U1309">
        <v>0.47</v>
      </c>
      <c r="V1309">
        <v>0.71</v>
      </c>
      <c r="W1309">
        <v>1.18</v>
      </c>
      <c r="X1309">
        <v>0.49</v>
      </c>
      <c r="Y1309">
        <v>1</v>
      </c>
      <c r="Z1309">
        <v>10</v>
      </c>
    </row>
    <row r="1310" spans="1:26" x14ac:dyDescent="0.3">
      <c r="A1310">
        <v>10</v>
      </c>
      <c r="B1310">
        <v>115</v>
      </c>
      <c r="C1310" t="s">
        <v>26</v>
      </c>
      <c r="D1310">
        <v>9.2523999999999997</v>
      </c>
      <c r="E1310">
        <v>10.81</v>
      </c>
      <c r="F1310">
        <v>7.14</v>
      </c>
      <c r="G1310">
        <v>18.62</v>
      </c>
      <c r="H1310">
        <v>0.27</v>
      </c>
      <c r="I1310">
        <v>23</v>
      </c>
      <c r="J1310">
        <v>227.11</v>
      </c>
      <c r="K1310">
        <v>56.94</v>
      </c>
      <c r="L1310">
        <v>3.5</v>
      </c>
      <c r="M1310">
        <v>21</v>
      </c>
      <c r="N1310">
        <v>51.67</v>
      </c>
      <c r="O1310">
        <v>28244.66</v>
      </c>
      <c r="P1310">
        <v>107.52</v>
      </c>
      <c r="Q1310">
        <v>204.28</v>
      </c>
      <c r="R1310">
        <v>35.75</v>
      </c>
      <c r="S1310">
        <v>17.37</v>
      </c>
      <c r="T1310">
        <v>7003.97</v>
      </c>
      <c r="U1310">
        <v>0.49</v>
      </c>
      <c r="V1310">
        <v>0.72</v>
      </c>
      <c r="W1310">
        <v>1.18</v>
      </c>
      <c r="X1310">
        <v>0.45</v>
      </c>
      <c r="Y1310">
        <v>1</v>
      </c>
      <c r="Z1310">
        <v>10</v>
      </c>
    </row>
    <row r="1311" spans="1:26" x14ac:dyDescent="0.3">
      <c r="A1311">
        <v>11</v>
      </c>
      <c r="B1311">
        <v>115</v>
      </c>
      <c r="C1311" t="s">
        <v>26</v>
      </c>
      <c r="D1311">
        <v>9.3040000000000003</v>
      </c>
      <c r="E1311">
        <v>10.75</v>
      </c>
      <c r="F1311">
        <v>7.12</v>
      </c>
      <c r="G1311">
        <v>19.420000000000002</v>
      </c>
      <c r="H1311">
        <v>0.28999999999999998</v>
      </c>
      <c r="I1311">
        <v>22</v>
      </c>
      <c r="J1311">
        <v>227.53</v>
      </c>
      <c r="K1311">
        <v>56.94</v>
      </c>
      <c r="L1311">
        <v>3.75</v>
      </c>
      <c r="M1311">
        <v>20</v>
      </c>
      <c r="N1311">
        <v>51.84</v>
      </c>
      <c r="O1311">
        <v>28296.58</v>
      </c>
      <c r="P1311">
        <v>107.19</v>
      </c>
      <c r="Q1311">
        <v>204.15</v>
      </c>
      <c r="R1311">
        <v>35.090000000000003</v>
      </c>
      <c r="S1311">
        <v>17.37</v>
      </c>
      <c r="T1311">
        <v>6677.02</v>
      </c>
      <c r="U1311">
        <v>0.5</v>
      </c>
      <c r="V1311">
        <v>0.72</v>
      </c>
      <c r="W1311">
        <v>1.18</v>
      </c>
      <c r="X1311">
        <v>0.43</v>
      </c>
      <c r="Y1311">
        <v>1</v>
      </c>
      <c r="Z1311">
        <v>10</v>
      </c>
    </row>
    <row r="1312" spans="1:26" x14ac:dyDescent="0.3">
      <c r="A1312">
        <v>12</v>
      </c>
      <c r="B1312">
        <v>115</v>
      </c>
      <c r="C1312" t="s">
        <v>26</v>
      </c>
      <c r="D1312">
        <v>9.4387000000000008</v>
      </c>
      <c r="E1312">
        <v>10.59</v>
      </c>
      <c r="F1312">
        <v>7.06</v>
      </c>
      <c r="G1312">
        <v>21.17</v>
      </c>
      <c r="H1312">
        <v>0.31</v>
      </c>
      <c r="I1312">
        <v>20</v>
      </c>
      <c r="J1312">
        <v>227.95</v>
      </c>
      <c r="K1312">
        <v>56.94</v>
      </c>
      <c r="L1312">
        <v>4</v>
      </c>
      <c r="M1312">
        <v>18</v>
      </c>
      <c r="N1312">
        <v>52.01</v>
      </c>
      <c r="O1312">
        <v>28348.560000000001</v>
      </c>
      <c r="P1312">
        <v>106.05</v>
      </c>
      <c r="Q1312">
        <v>204.14</v>
      </c>
      <c r="R1312">
        <v>33.29</v>
      </c>
      <c r="S1312">
        <v>17.37</v>
      </c>
      <c r="T1312">
        <v>5789.39</v>
      </c>
      <c r="U1312">
        <v>0.52</v>
      </c>
      <c r="V1312">
        <v>0.72</v>
      </c>
      <c r="W1312">
        <v>1.1599999999999999</v>
      </c>
      <c r="X1312">
        <v>0.36</v>
      </c>
      <c r="Y1312">
        <v>1</v>
      </c>
      <c r="Z1312">
        <v>10</v>
      </c>
    </row>
    <row r="1313" spans="1:26" x14ac:dyDescent="0.3">
      <c r="A1313">
        <v>13</v>
      </c>
      <c r="B1313">
        <v>115</v>
      </c>
      <c r="C1313" t="s">
        <v>26</v>
      </c>
      <c r="D1313">
        <v>9.4918999999999993</v>
      </c>
      <c r="E1313">
        <v>10.54</v>
      </c>
      <c r="F1313">
        <v>7.04</v>
      </c>
      <c r="G1313">
        <v>22.23</v>
      </c>
      <c r="H1313">
        <v>0.33</v>
      </c>
      <c r="I1313">
        <v>19</v>
      </c>
      <c r="J1313">
        <v>228.38</v>
      </c>
      <c r="K1313">
        <v>56.94</v>
      </c>
      <c r="L1313">
        <v>4.25</v>
      </c>
      <c r="M1313">
        <v>17</v>
      </c>
      <c r="N1313">
        <v>52.18</v>
      </c>
      <c r="O1313">
        <v>28400.61</v>
      </c>
      <c r="P1313">
        <v>105.67</v>
      </c>
      <c r="Q1313">
        <v>204.16</v>
      </c>
      <c r="R1313">
        <v>32.86</v>
      </c>
      <c r="S1313">
        <v>17.37</v>
      </c>
      <c r="T1313">
        <v>5577.34</v>
      </c>
      <c r="U1313">
        <v>0.53</v>
      </c>
      <c r="V1313">
        <v>0.73</v>
      </c>
      <c r="W1313">
        <v>1.1599999999999999</v>
      </c>
      <c r="X1313">
        <v>0.35</v>
      </c>
      <c r="Y1313">
        <v>1</v>
      </c>
      <c r="Z1313">
        <v>10</v>
      </c>
    </row>
    <row r="1314" spans="1:26" x14ac:dyDescent="0.3">
      <c r="A1314">
        <v>14</v>
      </c>
      <c r="B1314">
        <v>115</v>
      </c>
      <c r="C1314" t="s">
        <v>26</v>
      </c>
      <c r="D1314">
        <v>9.5432000000000006</v>
      </c>
      <c r="E1314">
        <v>10.48</v>
      </c>
      <c r="F1314">
        <v>7.03</v>
      </c>
      <c r="G1314">
        <v>23.43</v>
      </c>
      <c r="H1314">
        <v>0.35</v>
      </c>
      <c r="I1314">
        <v>18</v>
      </c>
      <c r="J1314">
        <v>228.8</v>
      </c>
      <c r="K1314">
        <v>56.94</v>
      </c>
      <c r="L1314">
        <v>4.5</v>
      </c>
      <c r="M1314">
        <v>16</v>
      </c>
      <c r="N1314">
        <v>52.36</v>
      </c>
      <c r="O1314">
        <v>28452.71</v>
      </c>
      <c r="P1314">
        <v>105.43</v>
      </c>
      <c r="Q1314">
        <v>204.17</v>
      </c>
      <c r="R1314">
        <v>32.29</v>
      </c>
      <c r="S1314">
        <v>17.37</v>
      </c>
      <c r="T1314">
        <v>5298.4</v>
      </c>
      <c r="U1314">
        <v>0.54</v>
      </c>
      <c r="V1314">
        <v>0.73</v>
      </c>
      <c r="W1314">
        <v>1.17</v>
      </c>
      <c r="X1314">
        <v>0.34</v>
      </c>
      <c r="Y1314">
        <v>1</v>
      </c>
      <c r="Z1314">
        <v>10</v>
      </c>
    </row>
    <row r="1315" spans="1:26" x14ac:dyDescent="0.3">
      <c r="A1315">
        <v>15</v>
      </c>
      <c r="B1315">
        <v>115</v>
      </c>
      <c r="C1315" t="s">
        <v>26</v>
      </c>
      <c r="D1315">
        <v>9.5949000000000009</v>
      </c>
      <c r="E1315">
        <v>10.42</v>
      </c>
      <c r="F1315">
        <v>7.02</v>
      </c>
      <c r="G1315">
        <v>24.76</v>
      </c>
      <c r="H1315">
        <v>0.37</v>
      </c>
      <c r="I1315">
        <v>17</v>
      </c>
      <c r="J1315">
        <v>229.22</v>
      </c>
      <c r="K1315">
        <v>56.94</v>
      </c>
      <c r="L1315">
        <v>4.75</v>
      </c>
      <c r="M1315">
        <v>15</v>
      </c>
      <c r="N1315">
        <v>52.53</v>
      </c>
      <c r="O1315">
        <v>28504.87</v>
      </c>
      <c r="P1315">
        <v>105.04</v>
      </c>
      <c r="Q1315">
        <v>204.15</v>
      </c>
      <c r="R1315">
        <v>31.71</v>
      </c>
      <c r="S1315">
        <v>17.37</v>
      </c>
      <c r="T1315">
        <v>5014.63</v>
      </c>
      <c r="U1315">
        <v>0.55000000000000004</v>
      </c>
      <c r="V1315">
        <v>0.73</v>
      </c>
      <c r="W1315">
        <v>1.17</v>
      </c>
      <c r="X1315">
        <v>0.32</v>
      </c>
      <c r="Y1315">
        <v>1</v>
      </c>
      <c r="Z1315">
        <v>10</v>
      </c>
    </row>
    <row r="1316" spans="1:26" x14ac:dyDescent="0.3">
      <c r="A1316">
        <v>16</v>
      </c>
      <c r="B1316">
        <v>115</v>
      </c>
      <c r="C1316" t="s">
        <v>26</v>
      </c>
      <c r="D1316">
        <v>9.6534999999999993</v>
      </c>
      <c r="E1316">
        <v>10.36</v>
      </c>
      <c r="F1316">
        <v>7</v>
      </c>
      <c r="G1316">
        <v>26.23</v>
      </c>
      <c r="H1316">
        <v>0.39</v>
      </c>
      <c r="I1316">
        <v>16</v>
      </c>
      <c r="J1316">
        <v>229.65</v>
      </c>
      <c r="K1316">
        <v>56.94</v>
      </c>
      <c r="L1316">
        <v>5</v>
      </c>
      <c r="M1316">
        <v>14</v>
      </c>
      <c r="N1316">
        <v>52.7</v>
      </c>
      <c r="O1316">
        <v>28557.1</v>
      </c>
      <c r="P1316">
        <v>104.74</v>
      </c>
      <c r="Q1316">
        <v>204.16</v>
      </c>
      <c r="R1316">
        <v>31.23</v>
      </c>
      <c r="S1316">
        <v>17.37</v>
      </c>
      <c r="T1316">
        <v>4775.84</v>
      </c>
      <c r="U1316">
        <v>0.56000000000000005</v>
      </c>
      <c r="V1316">
        <v>0.73</v>
      </c>
      <c r="W1316">
        <v>1.1599999999999999</v>
      </c>
      <c r="X1316">
        <v>0.3</v>
      </c>
      <c r="Y1316">
        <v>1</v>
      </c>
      <c r="Z1316">
        <v>10</v>
      </c>
    </row>
    <row r="1317" spans="1:26" x14ac:dyDescent="0.3">
      <c r="A1317">
        <v>17</v>
      </c>
      <c r="B1317">
        <v>115</v>
      </c>
      <c r="C1317" t="s">
        <v>26</v>
      </c>
      <c r="D1317">
        <v>9.6374999999999993</v>
      </c>
      <c r="E1317">
        <v>10.38</v>
      </c>
      <c r="F1317">
        <v>7.01</v>
      </c>
      <c r="G1317">
        <v>26.3</v>
      </c>
      <c r="H1317">
        <v>0.41</v>
      </c>
      <c r="I1317">
        <v>16</v>
      </c>
      <c r="J1317">
        <v>230.07</v>
      </c>
      <c r="K1317">
        <v>56.94</v>
      </c>
      <c r="L1317">
        <v>5.25</v>
      </c>
      <c r="M1317">
        <v>14</v>
      </c>
      <c r="N1317">
        <v>52.88</v>
      </c>
      <c r="O1317">
        <v>28609.38</v>
      </c>
      <c r="P1317">
        <v>104.89</v>
      </c>
      <c r="Q1317">
        <v>204.18</v>
      </c>
      <c r="R1317">
        <v>31.88</v>
      </c>
      <c r="S1317">
        <v>17.37</v>
      </c>
      <c r="T1317">
        <v>5102.91</v>
      </c>
      <c r="U1317">
        <v>0.54</v>
      </c>
      <c r="V1317">
        <v>0.73</v>
      </c>
      <c r="W1317">
        <v>1.1599999999999999</v>
      </c>
      <c r="X1317">
        <v>0.32</v>
      </c>
      <c r="Y1317">
        <v>1</v>
      </c>
      <c r="Z1317">
        <v>10</v>
      </c>
    </row>
    <row r="1318" spans="1:26" x14ac:dyDescent="0.3">
      <c r="A1318">
        <v>18</v>
      </c>
      <c r="B1318">
        <v>115</v>
      </c>
      <c r="C1318" t="s">
        <v>26</v>
      </c>
      <c r="D1318">
        <v>9.7279</v>
      </c>
      <c r="E1318">
        <v>10.28</v>
      </c>
      <c r="F1318">
        <v>6.96</v>
      </c>
      <c r="G1318">
        <v>27.84</v>
      </c>
      <c r="H1318">
        <v>0.42</v>
      </c>
      <c r="I1318">
        <v>15</v>
      </c>
      <c r="J1318">
        <v>230.49</v>
      </c>
      <c r="K1318">
        <v>56.94</v>
      </c>
      <c r="L1318">
        <v>5.5</v>
      </c>
      <c r="M1318">
        <v>13</v>
      </c>
      <c r="N1318">
        <v>53.05</v>
      </c>
      <c r="O1318">
        <v>28661.73</v>
      </c>
      <c r="P1318">
        <v>103.96</v>
      </c>
      <c r="Q1318">
        <v>204.14</v>
      </c>
      <c r="R1318">
        <v>30.24</v>
      </c>
      <c r="S1318">
        <v>17.37</v>
      </c>
      <c r="T1318">
        <v>4286.3999999999996</v>
      </c>
      <c r="U1318">
        <v>0.56999999999999995</v>
      </c>
      <c r="V1318">
        <v>0.73</v>
      </c>
      <c r="W1318">
        <v>1.1599999999999999</v>
      </c>
      <c r="X1318">
        <v>0.27</v>
      </c>
      <c r="Y1318">
        <v>1</v>
      </c>
      <c r="Z1318">
        <v>10</v>
      </c>
    </row>
    <row r="1319" spans="1:26" x14ac:dyDescent="0.3">
      <c r="A1319">
        <v>19</v>
      </c>
      <c r="B1319">
        <v>115</v>
      </c>
      <c r="C1319" t="s">
        <v>26</v>
      </c>
      <c r="D1319">
        <v>9.7759999999999998</v>
      </c>
      <c r="E1319">
        <v>10.23</v>
      </c>
      <c r="F1319">
        <v>6.95</v>
      </c>
      <c r="G1319">
        <v>29.8</v>
      </c>
      <c r="H1319">
        <v>0.44</v>
      </c>
      <c r="I1319">
        <v>14</v>
      </c>
      <c r="J1319">
        <v>230.92</v>
      </c>
      <c r="K1319">
        <v>56.94</v>
      </c>
      <c r="L1319">
        <v>5.75</v>
      </c>
      <c r="M1319">
        <v>12</v>
      </c>
      <c r="N1319">
        <v>53.23</v>
      </c>
      <c r="O1319">
        <v>28714.14</v>
      </c>
      <c r="P1319">
        <v>103.69</v>
      </c>
      <c r="Q1319">
        <v>204.19</v>
      </c>
      <c r="R1319">
        <v>30.08</v>
      </c>
      <c r="S1319">
        <v>17.37</v>
      </c>
      <c r="T1319">
        <v>4210.62</v>
      </c>
      <c r="U1319">
        <v>0.57999999999999996</v>
      </c>
      <c r="V1319">
        <v>0.73</v>
      </c>
      <c r="W1319">
        <v>1.1599999999999999</v>
      </c>
      <c r="X1319">
        <v>0.26</v>
      </c>
      <c r="Y1319">
        <v>1</v>
      </c>
      <c r="Z1319">
        <v>10</v>
      </c>
    </row>
    <row r="1320" spans="1:26" x14ac:dyDescent="0.3">
      <c r="A1320">
        <v>20</v>
      </c>
      <c r="B1320">
        <v>115</v>
      </c>
      <c r="C1320" t="s">
        <v>26</v>
      </c>
      <c r="D1320">
        <v>9.7838999999999992</v>
      </c>
      <c r="E1320">
        <v>10.220000000000001</v>
      </c>
      <c r="F1320">
        <v>6.95</v>
      </c>
      <c r="G1320">
        <v>29.77</v>
      </c>
      <c r="H1320">
        <v>0.46</v>
      </c>
      <c r="I1320">
        <v>14</v>
      </c>
      <c r="J1320">
        <v>231.34</v>
      </c>
      <c r="K1320">
        <v>56.94</v>
      </c>
      <c r="L1320">
        <v>6</v>
      </c>
      <c r="M1320">
        <v>12</v>
      </c>
      <c r="N1320">
        <v>53.4</v>
      </c>
      <c r="O1320">
        <v>28766.61</v>
      </c>
      <c r="P1320">
        <v>103.54</v>
      </c>
      <c r="Q1320">
        <v>204.16</v>
      </c>
      <c r="R1320">
        <v>29.68</v>
      </c>
      <c r="S1320">
        <v>17.37</v>
      </c>
      <c r="T1320">
        <v>4012.79</v>
      </c>
      <c r="U1320">
        <v>0.59</v>
      </c>
      <c r="V1320">
        <v>0.74</v>
      </c>
      <c r="W1320">
        <v>1.1599999999999999</v>
      </c>
      <c r="X1320">
        <v>0.25</v>
      </c>
      <c r="Y1320">
        <v>1</v>
      </c>
      <c r="Z1320">
        <v>10</v>
      </c>
    </row>
    <row r="1321" spans="1:26" x14ac:dyDescent="0.3">
      <c r="A1321">
        <v>21</v>
      </c>
      <c r="B1321">
        <v>115</v>
      </c>
      <c r="C1321" t="s">
        <v>26</v>
      </c>
      <c r="D1321">
        <v>9.8416999999999994</v>
      </c>
      <c r="E1321">
        <v>10.16</v>
      </c>
      <c r="F1321">
        <v>6.93</v>
      </c>
      <c r="G1321">
        <v>31.98</v>
      </c>
      <c r="H1321">
        <v>0.48</v>
      </c>
      <c r="I1321">
        <v>13</v>
      </c>
      <c r="J1321">
        <v>231.77</v>
      </c>
      <c r="K1321">
        <v>56.94</v>
      </c>
      <c r="L1321">
        <v>6.25</v>
      </c>
      <c r="M1321">
        <v>11</v>
      </c>
      <c r="N1321">
        <v>53.58</v>
      </c>
      <c r="O1321">
        <v>28819.14</v>
      </c>
      <c r="P1321">
        <v>103.17</v>
      </c>
      <c r="Q1321">
        <v>204.14</v>
      </c>
      <c r="R1321">
        <v>29.32</v>
      </c>
      <c r="S1321">
        <v>17.37</v>
      </c>
      <c r="T1321">
        <v>3835.26</v>
      </c>
      <c r="U1321">
        <v>0.59</v>
      </c>
      <c r="V1321">
        <v>0.74</v>
      </c>
      <c r="W1321">
        <v>1.1499999999999999</v>
      </c>
      <c r="X1321">
        <v>0.24</v>
      </c>
      <c r="Y1321">
        <v>1</v>
      </c>
      <c r="Z1321">
        <v>10</v>
      </c>
    </row>
    <row r="1322" spans="1:26" x14ac:dyDescent="0.3">
      <c r="A1322">
        <v>22</v>
      </c>
      <c r="B1322">
        <v>115</v>
      </c>
      <c r="C1322" t="s">
        <v>26</v>
      </c>
      <c r="D1322">
        <v>9.8474000000000004</v>
      </c>
      <c r="E1322">
        <v>10.15</v>
      </c>
      <c r="F1322">
        <v>6.92</v>
      </c>
      <c r="G1322">
        <v>31.96</v>
      </c>
      <c r="H1322">
        <v>0.5</v>
      </c>
      <c r="I1322">
        <v>13</v>
      </c>
      <c r="J1322">
        <v>232.2</v>
      </c>
      <c r="K1322">
        <v>56.94</v>
      </c>
      <c r="L1322">
        <v>6.5</v>
      </c>
      <c r="M1322">
        <v>11</v>
      </c>
      <c r="N1322">
        <v>53.75</v>
      </c>
      <c r="O1322">
        <v>28871.74</v>
      </c>
      <c r="P1322">
        <v>103.03</v>
      </c>
      <c r="Q1322">
        <v>204.17</v>
      </c>
      <c r="R1322">
        <v>28.97</v>
      </c>
      <c r="S1322">
        <v>17.37</v>
      </c>
      <c r="T1322">
        <v>3663.95</v>
      </c>
      <c r="U1322">
        <v>0.6</v>
      </c>
      <c r="V1322">
        <v>0.74</v>
      </c>
      <c r="W1322">
        <v>1.1599999999999999</v>
      </c>
      <c r="X1322">
        <v>0.23</v>
      </c>
      <c r="Y1322">
        <v>1</v>
      </c>
      <c r="Z1322">
        <v>10</v>
      </c>
    </row>
    <row r="1323" spans="1:26" x14ac:dyDescent="0.3">
      <c r="A1323">
        <v>23</v>
      </c>
      <c r="B1323">
        <v>115</v>
      </c>
      <c r="C1323" t="s">
        <v>26</v>
      </c>
      <c r="D1323">
        <v>9.8995999999999995</v>
      </c>
      <c r="E1323">
        <v>10.1</v>
      </c>
      <c r="F1323">
        <v>6.91</v>
      </c>
      <c r="G1323">
        <v>34.57</v>
      </c>
      <c r="H1323">
        <v>0.52</v>
      </c>
      <c r="I1323">
        <v>12</v>
      </c>
      <c r="J1323">
        <v>232.62</v>
      </c>
      <c r="K1323">
        <v>56.94</v>
      </c>
      <c r="L1323">
        <v>6.75</v>
      </c>
      <c r="M1323">
        <v>10</v>
      </c>
      <c r="N1323">
        <v>53.93</v>
      </c>
      <c r="O1323">
        <v>28924.39</v>
      </c>
      <c r="P1323">
        <v>102.73</v>
      </c>
      <c r="Q1323">
        <v>204.14</v>
      </c>
      <c r="R1323">
        <v>28.81</v>
      </c>
      <c r="S1323">
        <v>17.37</v>
      </c>
      <c r="T1323">
        <v>3585.89</v>
      </c>
      <c r="U1323">
        <v>0.6</v>
      </c>
      <c r="V1323">
        <v>0.74</v>
      </c>
      <c r="W1323">
        <v>1.1499999999999999</v>
      </c>
      <c r="X1323">
        <v>0.22</v>
      </c>
      <c r="Y1323">
        <v>1</v>
      </c>
      <c r="Z1323">
        <v>10</v>
      </c>
    </row>
    <row r="1324" spans="1:26" x14ac:dyDescent="0.3">
      <c r="A1324">
        <v>24</v>
      </c>
      <c r="B1324">
        <v>115</v>
      </c>
      <c r="C1324" t="s">
        <v>26</v>
      </c>
      <c r="D1324">
        <v>9.8979999999999997</v>
      </c>
      <c r="E1324">
        <v>10.1</v>
      </c>
      <c r="F1324">
        <v>6.92</v>
      </c>
      <c r="G1324">
        <v>34.58</v>
      </c>
      <c r="H1324">
        <v>0.53</v>
      </c>
      <c r="I1324">
        <v>12</v>
      </c>
      <c r="J1324">
        <v>233.05</v>
      </c>
      <c r="K1324">
        <v>56.94</v>
      </c>
      <c r="L1324">
        <v>7</v>
      </c>
      <c r="M1324">
        <v>10</v>
      </c>
      <c r="N1324">
        <v>54.11</v>
      </c>
      <c r="O1324">
        <v>28977.11</v>
      </c>
      <c r="P1324">
        <v>102.71</v>
      </c>
      <c r="Q1324">
        <v>204.17</v>
      </c>
      <c r="R1324">
        <v>28.85</v>
      </c>
      <c r="S1324">
        <v>17.37</v>
      </c>
      <c r="T1324">
        <v>3605.58</v>
      </c>
      <c r="U1324">
        <v>0.6</v>
      </c>
      <c r="V1324">
        <v>0.74</v>
      </c>
      <c r="W1324">
        <v>1.1499999999999999</v>
      </c>
      <c r="X1324">
        <v>0.22</v>
      </c>
      <c r="Y1324">
        <v>1</v>
      </c>
      <c r="Z1324">
        <v>10</v>
      </c>
    </row>
    <row r="1325" spans="1:26" x14ac:dyDescent="0.3">
      <c r="A1325">
        <v>25</v>
      </c>
      <c r="B1325">
        <v>115</v>
      </c>
      <c r="C1325" t="s">
        <v>26</v>
      </c>
      <c r="D1325">
        <v>9.8963999999999999</v>
      </c>
      <c r="E1325">
        <v>10.1</v>
      </c>
      <c r="F1325">
        <v>6.92</v>
      </c>
      <c r="G1325">
        <v>34.590000000000003</v>
      </c>
      <c r="H1325">
        <v>0.55000000000000004</v>
      </c>
      <c r="I1325">
        <v>12</v>
      </c>
      <c r="J1325">
        <v>233.48</v>
      </c>
      <c r="K1325">
        <v>56.94</v>
      </c>
      <c r="L1325">
        <v>7.25</v>
      </c>
      <c r="M1325">
        <v>10</v>
      </c>
      <c r="N1325">
        <v>54.29</v>
      </c>
      <c r="O1325">
        <v>29029.89</v>
      </c>
      <c r="P1325">
        <v>102.47</v>
      </c>
      <c r="Q1325">
        <v>204.14</v>
      </c>
      <c r="R1325">
        <v>28.67</v>
      </c>
      <c r="S1325">
        <v>17.37</v>
      </c>
      <c r="T1325">
        <v>3517.75</v>
      </c>
      <c r="U1325">
        <v>0.61</v>
      </c>
      <c r="V1325">
        <v>0.74</v>
      </c>
      <c r="W1325">
        <v>1.1599999999999999</v>
      </c>
      <c r="X1325">
        <v>0.23</v>
      </c>
      <c r="Y1325">
        <v>1</v>
      </c>
      <c r="Z1325">
        <v>10</v>
      </c>
    </row>
    <row r="1326" spans="1:26" x14ac:dyDescent="0.3">
      <c r="A1326">
        <v>26</v>
      </c>
      <c r="B1326">
        <v>115</v>
      </c>
      <c r="C1326" t="s">
        <v>26</v>
      </c>
      <c r="D1326">
        <v>9.9709000000000003</v>
      </c>
      <c r="E1326">
        <v>10.029999999999999</v>
      </c>
      <c r="F1326">
        <v>6.89</v>
      </c>
      <c r="G1326">
        <v>37.56</v>
      </c>
      <c r="H1326">
        <v>0.56999999999999995</v>
      </c>
      <c r="I1326">
        <v>11</v>
      </c>
      <c r="J1326">
        <v>233.91</v>
      </c>
      <c r="K1326">
        <v>56.94</v>
      </c>
      <c r="L1326">
        <v>7.5</v>
      </c>
      <c r="M1326">
        <v>9</v>
      </c>
      <c r="N1326">
        <v>54.46</v>
      </c>
      <c r="O1326">
        <v>29082.74</v>
      </c>
      <c r="P1326">
        <v>101.85</v>
      </c>
      <c r="Q1326">
        <v>204.14</v>
      </c>
      <c r="R1326">
        <v>27.88</v>
      </c>
      <c r="S1326">
        <v>17.37</v>
      </c>
      <c r="T1326">
        <v>3126.1</v>
      </c>
      <c r="U1326">
        <v>0.62</v>
      </c>
      <c r="V1326">
        <v>0.74</v>
      </c>
      <c r="W1326">
        <v>1.1499999999999999</v>
      </c>
      <c r="X1326">
        <v>0.19</v>
      </c>
      <c r="Y1326">
        <v>1</v>
      </c>
      <c r="Z1326">
        <v>10</v>
      </c>
    </row>
    <row r="1327" spans="1:26" x14ac:dyDescent="0.3">
      <c r="A1327">
        <v>27</v>
      </c>
      <c r="B1327">
        <v>115</v>
      </c>
      <c r="C1327" t="s">
        <v>26</v>
      </c>
      <c r="D1327">
        <v>9.9689999999999994</v>
      </c>
      <c r="E1327">
        <v>10.029999999999999</v>
      </c>
      <c r="F1327">
        <v>6.89</v>
      </c>
      <c r="G1327">
        <v>37.57</v>
      </c>
      <c r="H1327">
        <v>0.59</v>
      </c>
      <c r="I1327">
        <v>11</v>
      </c>
      <c r="J1327">
        <v>234.34</v>
      </c>
      <c r="K1327">
        <v>56.94</v>
      </c>
      <c r="L1327">
        <v>7.75</v>
      </c>
      <c r="M1327">
        <v>9</v>
      </c>
      <c r="N1327">
        <v>54.64</v>
      </c>
      <c r="O1327">
        <v>29135.65</v>
      </c>
      <c r="P1327">
        <v>101.83</v>
      </c>
      <c r="Q1327">
        <v>204.14</v>
      </c>
      <c r="R1327">
        <v>27.94</v>
      </c>
      <c r="S1327">
        <v>17.37</v>
      </c>
      <c r="T1327">
        <v>3158.71</v>
      </c>
      <c r="U1327">
        <v>0.62</v>
      </c>
      <c r="V1327">
        <v>0.74</v>
      </c>
      <c r="W1327">
        <v>1.1499999999999999</v>
      </c>
      <c r="X1327">
        <v>0.2</v>
      </c>
      <c r="Y1327">
        <v>1</v>
      </c>
      <c r="Z1327">
        <v>10</v>
      </c>
    </row>
    <row r="1328" spans="1:26" x14ac:dyDescent="0.3">
      <c r="A1328">
        <v>28</v>
      </c>
      <c r="B1328">
        <v>115</v>
      </c>
      <c r="C1328" t="s">
        <v>26</v>
      </c>
      <c r="D1328">
        <v>9.9693000000000005</v>
      </c>
      <c r="E1328">
        <v>10.029999999999999</v>
      </c>
      <c r="F1328">
        <v>6.89</v>
      </c>
      <c r="G1328">
        <v>37.57</v>
      </c>
      <c r="H1328">
        <v>0.61</v>
      </c>
      <c r="I1328">
        <v>11</v>
      </c>
      <c r="J1328">
        <v>234.77</v>
      </c>
      <c r="K1328">
        <v>56.94</v>
      </c>
      <c r="L1328">
        <v>8</v>
      </c>
      <c r="M1328">
        <v>9</v>
      </c>
      <c r="N1328">
        <v>54.82</v>
      </c>
      <c r="O1328">
        <v>29188.62</v>
      </c>
      <c r="P1328">
        <v>101.58</v>
      </c>
      <c r="Q1328">
        <v>204.14</v>
      </c>
      <c r="R1328">
        <v>27.94</v>
      </c>
      <c r="S1328">
        <v>17.37</v>
      </c>
      <c r="T1328">
        <v>3158.1</v>
      </c>
      <c r="U1328">
        <v>0.62</v>
      </c>
      <c r="V1328">
        <v>0.74</v>
      </c>
      <c r="W1328">
        <v>1.1499999999999999</v>
      </c>
      <c r="X1328">
        <v>0.2</v>
      </c>
      <c r="Y1328">
        <v>1</v>
      </c>
      <c r="Z1328">
        <v>10</v>
      </c>
    </row>
    <row r="1329" spans="1:26" x14ac:dyDescent="0.3">
      <c r="A1329">
        <v>29</v>
      </c>
      <c r="B1329">
        <v>115</v>
      </c>
      <c r="C1329" t="s">
        <v>26</v>
      </c>
      <c r="D1329">
        <v>10.0351</v>
      </c>
      <c r="E1329">
        <v>9.9600000000000009</v>
      </c>
      <c r="F1329">
        <v>6.87</v>
      </c>
      <c r="G1329">
        <v>41.19</v>
      </c>
      <c r="H1329">
        <v>0.62</v>
      </c>
      <c r="I1329">
        <v>10</v>
      </c>
      <c r="J1329">
        <v>235.2</v>
      </c>
      <c r="K1329">
        <v>56.94</v>
      </c>
      <c r="L1329">
        <v>8.25</v>
      </c>
      <c r="M1329">
        <v>8</v>
      </c>
      <c r="N1329">
        <v>55</v>
      </c>
      <c r="O1329">
        <v>29241.66</v>
      </c>
      <c r="P1329">
        <v>101.09</v>
      </c>
      <c r="Q1329">
        <v>204.15</v>
      </c>
      <c r="R1329">
        <v>27.29</v>
      </c>
      <c r="S1329">
        <v>17.37</v>
      </c>
      <c r="T1329">
        <v>2835.11</v>
      </c>
      <c r="U1329">
        <v>0.64</v>
      </c>
      <c r="V1329">
        <v>0.74</v>
      </c>
      <c r="W1329">
        <v>1.1499999999999999</v>
      </c>
      <c r="X1329">
        <v>0.17</v>
      </c>
      <c r="Y1329">
        <v>1</v>
      </c>
      <c r="Z1329">
        <v>10</v>
      </c>
    </row>
    <row r="1330" spans="1:26" x14ac:dyDescent="0.3">
      <c r="A1330">
        <v>30</v>
      </c>
      <c r="B1330">
        <v>115</v>
      </c>
      <c r="C1330" t="s">
        <v>26</v>
      </c>
      <c r="D1330">
        <v>10.038500000000001</v>
      </c>
      <c r="E1330">
        <v>9.9600000000000009</v>
      </c>
      <c r="F1330">
        <v>6.86</v>
      </c>
      <c r="G1330">
        <v>41.17</v>
      </c>
      <c r="H1330">
        <v>0.64</v>
      </c>
      <c r="I1330">
        <v>10</v>
      </c>
      <c r="J1330">
        <v>235.63</v>
      </c>
      <c r="K1330">
        <v>56.94</v>
      </c>
      <c r="L1330">
        <v>8.5</v>
      </c>
      <c r="M1330">
        <v>8</v>
      </c>
      <c r="N1330">
        <v>55.18</v>
      </c>
      <c r="O1330">
        <v>29294.76</v>
      </c>
      <c r="P1330">
        <v>101.06</v>
      </c>
      <c r="Q1330">
        <v>204.15</v>
      </c>
      <c r="R1330">
        <v>27.22</v>
      </c>
      <c r="S1330">
        <v>17.37</v>
      </c>
      <c r="T1330">
        <v>2804.42</v>
      </c>
      <c r="U1330">
        <v>0.64</v>
      </c>
      <c r="V1330">
        <v>0.74</v>
      </c>
      <c r="W1330">
        <v>1.1499999999999999</v>
      </c>
      <c r="X1330">
        <v>0.17</v>
      </c>
      <c r="Y1330">
        <v>1</v>
      </c>
      <c r="Z1330">
        <v>10</v>
      </c>
    </row>
    <row r="1331" spans="1:26" x14ac:dyDescent="0.3">
      <c r="A1331">
        <v>31</v>
      </c>
      <c r="B1331">
        <v>115</v>
      </c>
      <c r="C1331" t="s">
        <v>26</v>
      </c>
      <c r="D1331">
        <v>10.0413</v>
      </c>
      <c r="E1331">
        <v>9.9600000000000009</v>
      </c>
      <c r="F1331">
        <v>6.86</v>
      </c>
      <c r="G1331">
        <v>41.16</v>
      </c>
      <c r="H1331">
        <v>0.66</v>
      </c>
      <c r="I1331">
        <v>10</v>
      </c>
      <c r="J1331">
        <v>236.06</v>
      </c>
      <c r="K1331">
        <v>56.94</v>
      </c>
      <c r="L1331">
        <v>8.75</v>
      </c>
      <c r="M1331">
        <v>8</v>
      </c>
      <c r="N1331">
        <v>55.36</v>
      </c>
      <c r="O1331">
        <v>29347.919999999998</v>
      </c>
      <c r="P1331">
        <v>101.02</v>
      </c>
      <c r="Q1331">
        <v>204.14</v>
      </c>
      <c r="R1331">
        <v>27.01</v>
      </c>
      <c r="S1331">
        <v>17.37</v>
      </c>
      <c r="T1331">
        <v>2697.35</v>
      </c>
      <c r="U1331">
        <v>0.64</v>
      </c>
      <c r="V1331">
        <v>0.74</v>
      </c>
      <c r="W1331">
        <v>1.1499999999999999</v>
      </c>
      <c r="X1331">
        <v>0.17</v>
      </c>
      <c r="Y1331">
        <v>1</v>
      </c>
      <c r="Z1331">
        <v>10</v>
      </c>
    </row>
    <row r="1332" spans="1:26" x14ac:dyDescent="0.3">
      <c r="A1332">
        <v>32</v>
      </c>
      <c r="B1332">
        <v>115</v>
      </c>
      <c r="C1332" t="s">
        <v>26</v>
      </c>
      <c r="D1332">
        <v>10.103</v>
      </c>
      <c r="E1332">
        <v>9.9</v>
      </c>
      <c r="F1332">
        <v>6.84</v>
      </c>
      <c r="G1332">
        <v>45.61</v>
      </c>
      <c r="H1332">
        <v>0.68</v>
      </c>
      <c r="I1332">
        <v>9</v>
      </c>
      <c r="J1332">
        <v>236.49</v>
      </c>
      <c r="K1332">
        <v>56.94</v>
      </c>
      <c r="L1332">
        <v>9</v>
      </c>
      <c r="M1332">
        <v>7</v>
      </c>
      <c r="N1332">
        <v>55.55</v>
      </c>
      <c r="O1332">
        <v>29401.15</v>
      </c>
      <c r="P1332">
        <v>100.32</v>
      </c>
      <c r="Q1332">
        <v>204.14</v>
      </c>
      <c r="R1332">
        <v>26.54</v>
      </c>
      <c r="S1332">
        <v>17.37</v>
      </c>
      <c r="T1332">
        <v>2468.86</v>
      </c>
      <c r="U1332">
        <v>0.65</v>
      </c>
      <c r="V1332">
        <v>0.75</v>
      </c>
      <c r="W1332">
        <v>1.1499999999999999</v>
      </c>
      <c r="X1332">
        <v>0.15</v>
      </c>
      <c r="Y1332">
        <v>1</v>
      </c>
      <c r="Z1332">
        <v>10</v>
      </c>
    </row>
    <row r="1333" spans="1:26" x14ac:dyDescent="0.3">
      <c r="A1333">
        <v>33</v>
      </c>
      <c r="B1333">
        <v>115</v>
      </c>
      <c r="C1333" t="s">
        <v>26</v>
      </c>
      <c r="D1333">
        <v>10.086600000000001</v>
      </c>
      <c r="E1333">
        <v>9.91</v>
      </c>
      <c r="F1333">
        <v>6.86</v>
      </c>
      <c r="G1333">
        <v>45.72</v>
      </c>
      <c r="H1333">
        <v>0.69</v>
      </c>
      <c r="I1333">
        <v>9</v>
      </c>
      <c r="J1333">
        <v>236.92</v>
      </c>
      <c r="K1333">
        <v>56.94</v>
      </c>
      <c r="L1333">
        <v>9.25</v>
      </c>
      <c r="M1333">
        <v>7</v>
      </c>
      <c r="N1333">
        <v>55.73</v>
      </c>
      <c r="O1333">
        <v>29454.44</v>
      </c>
      <c r="P1333">
        <v>100.82</v>
      </c>
      <c r="Q1333">
        <v>204.14</v>
      </c>
      <c r="R1333">
        <v>27.06</v>
      </c>
      <c r="S1333">
        <v>17.37</v>
      </c>
      <c r="T1333">
        <v>2729.59</v>
      </c>
      <c r="U1333">
        <v>0.64</v>
      </c>
      <c r="V1333">
        <v>0.74</v>
      </c>
      <c r="W1333">
        <v>1.1499999999999999</v>
      </c>
      <c r="X1333">
        <v>0.17</v>
      </c>
      <c r="Y1333">
        <v>1</v>
      </c>
      <c r="Z1333">
        <v>10</v>
      </c>
    </row>
    <row r="1334" spans="1:26" x14ac:dyDescent="0.3">
      <c r="A1334">
        <v>34</v>
      </c>
      <c r="B1334">
        <v>115</v>
      </c>
      <c r="C1334" t="s">
        <v>26</v>
      </c>
      <c r="D1334">
        <v>10.0877</v>
      </c>
      <c r="E1334">
        <v>9.91</v>
      </c>
      <c r="F1334">
        <v>6.86</v>
      </c>
      <c r="G1334">
        <v>45.71</v>
      </c>
      <c r="H1334">
        <v>0.71</v>
      </c>
      <c r="I1334">
        <v>9</v>
      </c>
      <c r="J1334">
        <v>237.35</v>
      </c>
      <c r="K1334">
        <v>56.94</v>
      </c>
      <c r="L1334">
        <v>9.5</v>
      </c>
      <c r="M1334">
        <v>7</v>
      </c>
      <c r="N1334">
        <v>55.91</v>
      </c>
      <c r="O1334">
        <v>29507.8</v>
      </c>
      <c r="P1334">
        <v>100.92</v>
      </c>
      <c r="Q1334">
        <v>204.16</v>
      </c>
      <c r="R1334">
        <v>26.94</v>
      </c>
      <c r="S1334">
        <v>17.37</v>
      </c>
      <c r="T1334">
        <v>2667.86</v>
      </c>
      <c r="U1334">
        <v>0.64</v>
      </c>
      <c r="V1334">
        <v>0.74</v>
      </c>
      <c r="W1334">
        <v>1.1499999999999999</v>
      </c>
      <c r="X1334">
        <v>0.17</v>
      </c>
      <c r="Y1334">
        <v>1</v>
      </c>
      <c r="Z1334">
        <v>10</v>
      </c>
    </row>
    <row r="1335" spans="1:26" x14ac:dyDescent="0.3">
      <c r="A1335">
        <v>35</v>
      </c>
      <c r="B1335">
        <v>115</v>
      </c>
      <c r="C1335" t="s">
        <v>26</v>
      </c>
      <c r="D1335">
        <v>10.088800000000001</v>
      </c>
      <c r="E1335">
        <v>9.91</v>
      </c>
      <c r="F1335">
        <v>6.86</v>
      </c>
      <c r="G1335">
        <v>45.71</v>
      </c>
      <c r="H1335">
        <v>0.73</v>
      </c>
      <c r="I1335">
        <v>9</v>
      </c>
      <c r="J1335">
        <v>237.79</v>
      </c>
      <c r="K1335">
        <v>56.94</v>
      </c>
      <c r="L1335">
        <v>9.75</v>
      </c>
      <c r="M1335">
        <v>7</v>
      </c>
      <c r="N1335">
        <v>56.09</v>
      </c>
      <c r="O1335">
        <v>29561.22</v>
      </c>
      <c r="P1335">
        <v>100.59</v>
      </c>
      <c r="Q1335">
        <v>204.15</v>
      </c>
      <c r="R1335">
        <v>27.02</v>
      </c>
      <c r="S1335">
        <v>17.37</v>
      </c>
      <c r="T1335">
        <v>2709.82</v>
      </c>
      <c r="U1335">
        <v>0.64</v>
      </c>
      <c r="V1335">
        <v>0.74</v>
      </c>
      <c r="W1335">
        <v>1.1499999999999999</v>
      </c>
      <c r="X1335">
        <v>0.16</v>
      </c>
      <c r="Y1335">
        <v>1</v>
      </c>
      <c r="Z1335">
        <v>10</v>
      </c>
    </row>
    <row r="1336" spans="1:26" x14ac:dyDescent="0.3">
      <c r="A1336">
        <v>36</v>
      </c>
      <c r="B1336">
        <v>115</v>
      </c>
      <c r="C1336" t="s">
        <v>26</v>
      </c>
      <c r="D1336">
        <v>10.0905</v>
      </c>
      <c r="E1336">
        <v>9.91</v>
      </c>
      <c r="F1336">
        <v>6.85</v>
      </c>
      <c r="G1336">
        <v>45.7</v>
      </c>
      <c r="H1336">
        <v>0.75</v>
      </c>
      <c r="I1336">
        <v>9</v>
      </c>
      <c r="J1336">
        <v>238.22</v>
      </c>
      <c r="K1336">
        <v>56.94</v>
      </c>
      <c r="L1336">
        <v>10</v>
      </c>
      <c r="M1336">
        <v>7</v>
      </c>
      <c r="N1336">
        <v>56.28</v>
      </c>
      <c r="O1336">
        <v>29614.71</v>
      </c>
      <c r="P1336">
        <v>100.39</v>
      </c>
      <c r="Q1336">
        <v>204.14</v>
      </c>
      <c r="R1336">
        <v>26.99</v>
      </c>
      <c r="S1336">
        <v>17.37</v>
      </c>
      <c r="T1336">
        <v>2691.08</v>
      </c>
      <c r="U1336">
        <v>0.64</v>
      </c>
      <c r="V1336">
        <v>0.75</v>
      </c>
      <c r="W1336">
        <v>1.1499999999999999</v>
      </c>
      <c r="X1336">
        <v>0.16</v>
      </c>
      <c r="Y1336">
        <v>1</v>
      </c>
      <c r="Z1336">
        <v>10</v>
      </c>
    </row>
    <row r="1337" spans="1:26" x14ac:dyDescent="0.3">
      <c r="A1337">
        <v>37</v>
      </c>
      <c r="B1337">
        <v>115</v>
      </c>
      <c r="C1337" t="s">
        <v>26</v>
      </c>
      <c r="D1337">
        <v>10.1531</v>
      </c>
      <c r="E1337">
        <v>9.85</v>
      </c>
      <c r="F1337">
        <v>6.84</v>
      </c>
      <c r="G1337">
        <v>51.28</v>
      </c>
      <c r="H1337">
        <v>0.76</v>
      </c>
      <c r="I1337">
        <v>8</v>
      </c>
      <c r="J1337">
        <v>238.66</v>
      </c>
      <c r="K1337">
        <v>56.94</v>
      </c>
      <c r="L1337">
        <v>10.25</v>
      </c>
      <c r="M1337">
        <v>6</v>
      </c>
      <c r="N1337">
        <v>56.46</v>
      </c>
      <c r="O1337">
        <v>29668.27</v>
      </c>
      <c r="P1337">
        <v>99.87</v>
      </c>
      <c r="Q1337">
        <v>204.21</v>
      </c>
      <c r="R1337">
        <v>26.36</v>
      </c>
      <c r="S1337">
        <v>17.37</v>
      </c>
      <c r="T1337">
        <v>2382.08</v>
      </c>
      <c r="U1337">
        <v>0.66</v>
      </c>
      <c r="V1337">
        <v>0.75</v>
      </c>
      <c r="W1337">
        <v>1.1499999999999999</v>
      </c>
      <c r="X1337">
        <v>0.15</v>
      </c>
      <c r="Y1337">
        <v>1</v>
      </c>
      <c r="Z1337">
        <v>10</v>
      </c>
    </row>
    <row r="1338" spans="1:26" x14ac:dyDescent="0.3">
      <c r="A1338">
        <v>38</v>
      </c>
      <c r="B1338">
        <v>115</v>
      </c>
      <c r="C1338" t="s">
        <v>26</v>
      </c>
      <c r="D1338">
        <v>10.1692</v>
      </c>
      <c r="E1338">
        <v>9.83</v>
      </c>
      <c r="F1338">
        <v>6.82</v>
      </c>
      <c r="G1338">
        <v>51.16</v>
      </c>
      <c r="H1338">
        <v>0.78</v>
      </c>
      <c r="I1338">
        <v>8</v>
      </c>
      <c r="J1338">
        <v>239.09</v>
      </c>
      <c r="K1338">
        <v>56.94</v>
      </c>
      <c r="L1338">
        <v>10.5</v>
      </c>
      <c r="M1338">
        <v>6</v>
      </c>
      <c r="N1338">
        <v>56.65</v>
      </c>
      <c r="O1338">
        <v>29721.89</v>
      </c>
      <c r="P1338">
        <v>99.65</v>
      </c>
      <c r="Q1338">
        <v>204.14</v>
      </c>
      <c r="R1338">
        <v>25.81</v>
      </c>
      <c r="S1338">
        <v>17.37</v>
      </c>
      <c r="T1338">
        <v>2105.75</v>
      </c>
      <c r="U1338">
        <v>0.67</v>
      </c>
      <c r="V1338">
        <v>0.75</v>
      </c>
      <c r="W1338">
        <v>1.1499999999999999</v>
      </c>
      <c r="X1338">
        <v>0.13</v>
      </c>
      <c r="Y1338">
        <v>1</v>
      </c>
      <c r="Z1338">
        <v>10</v>
      </c>
    </row>
    <row r="1339" spans="1:26" x14ac:dyDescent="0.3">
      <c r="A1339">
        <v>39</v>
      </c>
      <c r="B1339">
        <v>115</v>
      </c>
      <c r="C1339" t="s">
        <v>26</v>
      </c>
      <c r="D1339">
        <v>10.1683</v>
      </c>
      <c r="E1339">
        <v>9.83</v>
      </c>
      <c r="F1339">
        <v>6.82</v>
      </c>
      <c r="G1339">
        <v>51.17</v>
      </c>
      <c r="H1339">
        <v>0.8</v>
      </c>
      <c r="I1339">
        <v>8</v>
      </c>
      <c r="J1339">
        <v>239.53</v>
      </c>
      <c r="K1339">
        <v>56.94</v>
      </c>
      <c r="L1339">
        <v>10.75</v>
      </c>
      <c r="M1339">
        <v>6</v>
      </c>
      <c r="N1339">
        <v>56.83</v>
      </c>
      <c r="O1339">
        <v>29775.57</v>
      </c>
      <c r="P1339">
        <v>99.48</v>
      </c>
      <c r="Q1339">
        <v>204.15</v>
      </c>
      <c r="R1339">
        <v>25.9</v>
      </c>
      <c r="S1339">
        <v>17.37</v>
      </c>
      <c r="T1339">
        <v>2151.58</v>
      </c>
      <c r="U1339">
        <v>0.67</v>
      </c>
      <c r="V1339">
        <v>0.75</v>
      </c>
      <c r="W1339">
        <v>1.1499999999999999</v>
      </c>
      <c r="X1339">
        <v>0.13</v>
      </c>
      <c r="Y1339">
        <v>1</v>
      </c>
      <c r="Z1339">
        <v>10</v>
      </c>
    </row>
    <row r="1340" spans="1:26" x14ac:dyDescent="0.3">
      <c r="A1340">
        <v>40</v>
      </c>
      <c r="B1340">
        <v>115</v>
      </c>
      <c r="C1340" t="s">
        <v>26</v>
      </c>
      <c r="D1340">
        <v>10.1557</v>
      </c>
      <c r="E1340">
        <v>9.85</v>
      </c>
      <c r="F1340">
        <v>6.83</v>
      </c>
      <c r="G1340">
        <v>51.26</v>
      </c>
      <c r="H1340">
        <v>0.82</v>
      </c>
      <c r="I1340">
        <v>8</v>
      </c>
      <c r="J1340">
        <v>239.96</v>
      </c>
      <c r="K1340">
        <v>56.94</v>
      </c>
      <c r="L1340">
        <v>11</v>
      </c>
      <c r="M1340">
        <v>6</v>
      </c>
      <c r="N1340">
        <v>57.02</v>
      </c>
      <c r="O1340">
        <v>29829.32</v>
      </c>
      <c r="P1340">
        <v>99.52</v>
      </c>
      <c r="Q1340">
        <v>204.15</v>
      </c>
      <c r="R1340">
        <v>26.29</v>
      </c>
      <c r="S1340">
        <v>17.37</v>
      </c>
      <c r="T1340">
        <v>2349.8000000000002</v>
      </c>
      <c r="U1340">
        <v>0.66</v>
      </c>
      <c r="V1340">
        <v>0.75</v>
      </c>
      <c r="W1340">
        <v>1.1499999999999999</v>
      </c>
      <c r="X1340">
        <v>0.14000000000000001</v>
      </c>
      <c r="Y1340">
        <v>1</v>
      </c>
      <c r="Z1340">
        <v>10</v>
      </c>
    </row>
    <row r="1341" spans="1:26" x14ac:dyDescent="0.3">
      <c r="A1341">
        <v>41</v>
      </c>
      <c r="B1341">
        <v>115</v>
      </c>
      <c r="C1341" t="s">
        <v>26</v>
      </c>
      <c r="D1341">
        <v>10.1655</v>
      </c>
      <c r="E1341">
        <v>9.84</v>
      </c>
      <c r="F1341">
        <v>6.83</v>
      </c>
      <c r="G1341">
        <v>51.19</v>
      </c>
      <c r="H1341">
        <v>0.83</v>
      </c>
      <c r="I1341">
        <v>8</v>
      </c>
      <c r="J1341">
        <v>240.4</v>
      </c>
      <c r="K1341">
        <v>56.94</v>
      </c>
      <c r="L1341">
        <v>11.25</v>
      </c>
      <c r="M1341">
        <v>6</v>
      </c>
      <c r="N1341">
        <v>57.21</v>
      </c>
      <c r="O1341">
        <v>29883.27</v>
      </c>
      <c r="P1341">
        <v>99.31</v>
      </c>
      <c r="Q1341">
        <v>204.14</v>
      </c>
      <c r="R1341">
        <v>26.07</v>
      </c>
      <c r="S1341">
        <v>17.37</v>
      </c>
      <c r="T1341">
        <v>2238.1799999999998</v>
      </c>
      <c r="U1341">
        <v>0.67</v>
      </c>
      <c r="V1341">
        <v>0.75</v>
      </c>
      <c r="W1341">
        <v>1.1499999999999999</v>
      </c>
      <c r="X1341">
        <v>0.13</v>
      </c>
      <c r="Y1341">
        <v>1</v>
      </c>
      <c r="Z1341">
        <v>10</v>
      </c>
    </row>
    <row r="1342" spans="1:26" x14ac:dyDescent="0.3">
      <c r="A1342">
        <v>42</v>
      </c>
      <c r="B1342">
        <v>115</v>
      </c>
      <c r="C1342" t="s">
        <v>26</v>
      </c>
      <c r="D1342">
        <v>10.1609</v>
      </c>
      <c r="E1342">
        <v>9.84</v>
      </c>
      <c r="F1342">
        <v>6.83</v>
      </c>
      <c r="G1342">
        <v>51.22</v>
      </c>
      <c r="H1342">
        <v>0.85</v>
      </c>
      <c r="I1342">
        <v>8</v>
      </c>
      <c r="J1342">
        <v>240.84</v>
      </c>
      <c r="K1342">
        <v>56.94</v>
      </c>
      <c r="L1342">
        <v>11.5</v>
      </c>
      <c r="M1342">
        <v>6</v>
      </c>
      <c r="N1342">
        <v>57.39</v>
      </c>
      <c r="O1342">
        <v>29937.16</v>
      </c>
      <c r="P1342">
        <v>99.14</v>
      </c>
      <c r="Q1342">
        <v>204.14</v>
      </c>
      <c r="R1342">
        <v>26.14</v>
      </c>
      <c r="S1342">
        <v>17.37</v>
      </c>
      <c r="T1342">
        <v>2273.3200000000002</v>
      </c>
      <c r="U1342">
        <v>0.66</v>
      </c>
      <c r="V1342">
        <v>0.75</v>
      </c>
      <c r="W1342">
        <v>1.1499999999999999</v>
      </c>
      <c r="X1342">
        <v>0.14000000000000001</v>
      </c>
      <c r="Y1342">
        <v>1</v>
      </c>
      <c r="Z1342">
        <v>10</v>
      </c>
    </row>
    <row r="1343" spans="1:26" x14ac:dyDescent="0.3">
      <c r="A1343">
        <v>43</v>
      </c>
      <c r="B1343">
        <v>115</v>
      </c>
      <c r="C1343" t="s">
        <v>26</v>
      </c>
      <c r="D1343">
        <v>10.2372</v>
      </c>
      <c r="E1343">
        <v>9.77</v>
      </c>
      <c r="F1343">
        <v>6.8</v>
      </c>
      <c r="G1343">
        <v>58.29</v>
      </c>
      <c r="H1343">
        <v>0.87</v>
      </c>
      <c r="I1343">
        <v>7</v>
      </c>
      <c r="J1343">
        <v>241.27</v>
      </c>
      <c r="K1343">
        <v>56.94</v>
      </c>
      <c r="L1343">
        <v>11.75</v>
      </c>
      <c r="M1343">
        <v>5</v>
      </c>
      <c r="N1343">
        <v>57.58</v>
      </c>
      <c r="O1343">
        <v>29991.11</v>
      </c>
      <c r="P1343">
        <v>98.38</v>
      </c>
      <c r="Q1343">
        <v>204.14</v>
      </c>
      <c r="R1343">
        <v>25.24</v>
      </c>
      <c r="S1343">
        <v>17.37</v>
      </c>
      <c r="T1343">
        <v>1828.72</v>
      </c>
      <c r="U1343">
        <v>0.69</v>
      </c>
      <c r="V1343">
        <v>0.75</v>
      </c>
      <c r="W1343">
        <v>1.1499999999999999</v>
      </c>
      <c r="X1343">
        <v>0.11</v>
      </c>
      <c r="Y1343">
        <v>1</v>
      </c>
      <c r="Z1343">
        <v>10</v>
      </c>
    </row>
    <row r="1344" spans="1:26" x14ac:dyDescent="0.3">
      <c r="A1344">
        <v>44</v>
      </c>
      <c r="B1344">
        <v>115</v>
      </c>
      <c r="C1344" t="s">
        <v>26</v>
      </c>
      <c r="D1344">
        <v>10.232799999999999</v>
      </c>
      <c r="E1344">
        <v>9.77</v>
      </c>
      <c r="F1344">
        <v>6.8</v>
      </c>
      <c r="G1344">
        <v>58.32</v>
      </c>
      <c r="H1344">
        <v>0.88</v>
      </c>
      <c r="I1344">
        <v>7</v>
      </c>
      <c r="J1344">
        <v>241.71</v>
      </c>
      <c r="K1344">
        <v>56.94</v>
      </c>
      <c r="L1344">
        <v>12</v>
      </c>
      <c r="M1344">
        <v>5</v>
      </c>
      <c r="N1344">
        <v>57.77</v>
      </c>
      <c r="O1344">
        <v>30045.13</v>
      </c>
      <c r="P1344">
        <v>98.64</v>
      </c>
      <c r="Q1344">
        <v>204.14</v>
      </c>
      <c r="R1344">
        <v>25.29</v>
      </c>
      <c r="S1344">
        <v>17.37</v>
      </c>
      <c r="T1344">
        <v>1853.49</v>
      </c>
      <c r="U1344">
        <v>0.69</v>
      </c>
      <c r="V1344">
        <v>0.75</v>
      </c>
      <c r="W1344">
        <v>1.1499999999999999</v>
      </c>
      <c r="X1344">
        <v>0.11</v>
      </c>
      <c r="Y1344">
        <v>1</v>
      </c>
      <c r="Z1344">
        <v>10</v>
      </c>
    </row>
    <row r="1345" spans="1:26" x14ac:dyDescent="0.3">
      <c r="A1345">
        <v>45</v>
      </c>
      <c r="B1345">
        <v>115</v>
      </c>
      <c r="C1345" t="s">
        <v>26</v>
      </c>
      <c r="D1345">
        <v>10.230499999999999</v>
      </c>
      <c r="E1345">
        <v>9.77</v>
      </c>
      <c r="F1345">
        <v>6.81</v>
      </c>
      <c r="G1345">
        <v>58.34</v>
      </c>
      <c r="H1345">
        <v>0.9</v>
      </c>
      <c r="I1345">
        <v>7</v>
      </c>
      <c r="J1345">
        <v>242.15</v>
      </c>
      <c r="K1345">
        <v>56.94</v>
      </c>
      <c r="L1345">
        <v>12.25</v>
      </c>
      <c r="M1345">
        <v>5</v>
      </c>
      <c r="N1345">
        <v>57.96</v>
      </c>
      <c r="O1345">
        <v>30099.23</v>
      </c>
      <c r="P1345">
        <v>98.78</v>
      </c>
      <c r="Q1345">
        <v>204.18</v>
      </c>
      <c r="R1345">
        <v>25.43</v>
      </c>
      <c r="S1345">
        <v>17.37</v>
      </c>
      <c r="T1345">
        <v>1922.16</v>
      </c>
      <c r="U1345">
        <v>0.68</v>
      </c>
      <c r="V1345">
        <v>0.75</v>
      </c>
      <c r="W1345">
        <v>1.1499999999999999</v>
      </c>
      <c r="X1345">
        <v>0.12</v>
      </c>
      <c r="Y1345">
        <v>1</v>
      </c>
      <c r="Z1345">
        <v>10</v>
      </c>
    </row>
    <row r="1346" spans="1:26" x14ac:dyDescent="0.3">
      <c r="A1346">
        <v>46</v>
      </c>
      <c r="B1346">
        <v>115</v>
      </c>
      <c r="C1346" t="s">
        <v>26</v>
      </c>
      <c r="D1346">
        <v>10.228999999999999</v>
      </c>
      <c r="E1346">
        <v>9.7799999999999994</v>
      </c>
      <c r="F1346">
        <v>6.81</v>
      </c>
      <c r="G1346">
        <v>58.35</v>
      </c>
      <c r="H1346">
        <v>0.92</v>
      </c>
      <c r="I1346">
        <v>7</v>
      </c>
      <c r="J1346">
        <v>242.59</v>
      </c>
      <c r="K1346">
        <v>56.94</v>
      </c>
      <c r="L1346">
        <v>12.5</v>
      </c>
      <c r="M1346">
        <v>5</v>
      </c>
      <c r="N1346">
        <v>58.15</v>
      </c>
      <c r="O1346">
        <v>30153.38</v>
      </c>
      <c r="P1346">
        <v>98.86</v>
      </c>
      <c r="Q1346">
        <v>204.14</v>
      </c>
      <c r="R1346">
        <v>25.47</v>
      </c>
      <c r="S1346">
        <v>17.37</v>
      </c>
      <c r="T1346">
        <v>1941.75</v>
      </c>
      <c r="U1346">
        <v>0.68</v>
      </c>
      <c r="V1346">
        <v>0.75</v>
      </c>
      <c r="W1346">
        <v>1.1499999999999999</v>
      </c>
      <c r="X1346">
        <v>0.12</v>
      </c>
      <c r="Y1346">
        <v>1</v>
      </c>
      <c r="Z1346">
        <v>10</v>
      </c>
    </row>
    <row r="1347" spans="1:26" x14ac:dyDescent="0.3">
      <c r="A1347">
        <v>47</v>
      </c>
      <c r="B1347">
        <v>115</v>
      </c>
      <c r="C1347" t="s">
        <v>26</v>
      </c>
      <c r="D1347">
        <v>10.223800000000001</v>
      </c>
      <c r="E1347">
        <v>9.7799999999999994</v>
      </c>
      <c r="F1347">
        <v>6.81</v>
      </c>
      <c r="G1347">
        <v>58.4</v>
      </c>
      <c r="H1347">
        <v>0.93</v>
      </c>
      <c r="I1347">
        <v>7</v>
      </c>
      <c r="J1347">
        <v>243.03</v>
      </c>
      <c r="K1347">
        <v>56.94</v>
      </c>
      <c r="L1347">
        <v>12.75</v>
      </c>
      <c r="M1347">
        <v>5</v>
      </c>
      <c r="N1347">
        <v>58.34</v>
      </c>
      <c r="O1347">
        <v>30207.61</v>
      </c>
      <c r="P1347">
        <v>98.88</v>
      </c>
      <c r="Q1347">
        <v>204.17</v>
      </c>
      <c r="R1347">
        <v>25.62</v>
      </c>
      <c r="S1347">
        <v>17.37</v>
      </c>
      <c r="T1347">
        <v>2018.53</v>
      </c>
      <c r="U1347">
        <v>0.68</v>
      </c>
      <c r="V1347">
        <v>0.75</v>
      </c>
      <c r="W1347">
        <v>1.1499999999999999</v>
      </c>
      <c r="X1347">
        <v>0.12</v>
      </c>
      <c r="Y1347">
        <v>1</v>
      </c>
      <c r="Z1347">
        <v>10</v>
      </c>
    </row>
    <row r="1348" spans="1:26" x14ac:dyDescent="0.3">
      <c r="A1348">
        <v>48</v>
      </c>
      <c r="B1348">
        <v>115</v>
      </c>
      <c r="C1348" t="s">
        <v>26</v>
      </c>
      <c r="D1348">
        <v>10.2258</v>
      </c>
      <c r="E1348">
        <v>9.7799999999999994</v>
      </c>
      <c r="F1348">
        <v>6.81</v>
      </c>
      <c r="G1348">
        <v>58.38</v>
      </c>
      <c r="H1348">
        <v>0.95</v>
      </c>
      <c r="I1348">
        <v>7</v>
      </c>
      <c r="J1348">
        <v>243.47</v>
      </c>
      <c r="K1348">
        <v>56.94</v>
      </c>
      <c r="L1348">
        <v>13</v>
      </c>
      <c r="M1348">
        <v>5</v>
      </c>
      <c r="N1348">
        <v>58.53</v>
      </c>
      <c r="O1348">
        <v>30261.91</v>
      </c>
      <c r="P1348">
        <v>98.61</v>
      </c>
      <c r="Q1348">
        <v>204.15</v>
      </c>
      <c r="R1348">
        <v>25.62</v>
      </c>
      <c r="S1348">
        <v>17.37</v>
      </c>
      <c r="T1348">
        <v>2017.11</v>
      </c>
      <c r="U1348">
        <v>0.68</v>
      </c>
      <c r="V1348">
        <v>0.75</v>
      </c>
      <c r="W1348">
        <v>1.1499999999999999</v>
      </c>
      <c r="X1348">
        <v>0.12</v>
      </c>
      <c r="Y1348">
        <v>1</v>
      </c>
      <c r="Z1348">
        <v>10</v>
      </c>
    </row>
    <row r="1349" spans="1:26" x14ac:dyDescent="0.3">
      <c r="A1349">
        <v>49</v>
      </c>
      <c r="B1349">
        <v>115</v>
      </c>
      <c r="C1349" t="s">
        <v>26</v>
      </c>
      <c r="D1349">
        <v>10.225199999999999</v>
      </c>
      <c r="E1349">
        <v>9.7799999999999994</v>
      </c>
      <c r="F1349">
        <v>6.81</v>
      </c>
      <c r="G1349">
        <v>58.39</v>
      </c>
      <c r="H1349">
        <v>0.97</v>
      </c>
      <c r="I1349">
        <v>7</v>
      </c>
      <c r="J1349">
        <v>243.91</v>
      </c>
      <c r="K1349">
        <v>56.94</v>
      </c>
      <c r="L1349">
        <v>13.25</v>
      </c>
      <c r="M1349">
        <v>5</v>
      </c>
      <c r="N1349">
        <v>58.72</v>
      </c>
      <c r="O1349">
        <v>30316.27</v>
      </c>
      <c r="P1349">
        <v>98.4</v>
      </c>
      <c r="Q1349">
        <v>204.14</v>
      </c>
      <c r="R1349">
        <v>25.64</v>
      </c>
      <c r="S1349">
        <v>17.37</v>
      </c>
      <c r="T1349">
        <v>2025.47</v>
      </c>
      <c r="U1349">
        <v>0.68</v>
      </c>
      <c r="V1349">
        <v>0.75</v>
      </c>
      <c r="W1349">
        <v>1.1499999999999999</v>
      </c>
      <c r="X1349">
        <v>0.12</v>
      </c>
      <c r="Y1349">
        <v>1</v>
      </c>
      <c r="Z1349">
        <v>10</v>
      </c>
    </row>
    <row r="1350" spans="1:26" x14ac:dyDescent="0.3">
      <c r="A1350">
        <v>50</v>
      </c>
      <c r="B1350">
        <v>115</v>
      </c>
      <c r="C1350" t="s">
        <v>26</v>
      </c>
      <c r="D1350">
        <v>10.2186</v>
      </c>
      <c r="E1350">
        <v>9.7899999999999991</v>
      </c>
      <c r="F1350">
        <v>6.82</v>
      </c>
      <c r="G1350">
        <v>58.44</v>
      </c>
      <c r="H1350">
        <v>0.98</v>
      </c>
      <c r="I1350">
        <v>7</v>
      </c>
      <c r="J1350">
        <v>244.35</v>
      </c>
      <c r="K1350">
        <v>56.94</v>
      </c>
      <c r="L1350">
        <v>13.5</v>
      </c>
      <c r="M1350">
        <v>5</v>
      </c>
      <c r="N1350">
        <v>58.91</v>
      </c>
      <c r="O1350">
        <v>30370.7</v>
      </c>
      <c r="P1350">
        <v>98.29</v>
      </c>
      <c r="Q1350">
        <v>204.14</v>
      </c>
      <c r="R1350">
        <v>25.81</v>
      </c>
      <c r="S1350">
        <v>17.37</v>
      </c>
      <c r="T1350">
        <v>2111.19</v>
      </c>
      <c r="U1350">
        <v>0.67</v>
      </c>
      <c r="V1350">
        <v>0.75</v>
      </c>
      <c r="W1350">
        <v>1.1499999999999999</v>
      </c>
      <c r="X1350">
        <v>0.13</v>
      </c>
      <c r="Y1350">
        <v>1</v>
      </c>
      <c r="Z1350">
        <v>10</v>
      </c>
    </row>
    <row r="1351" spans="1:26" x14ac:dyDescent="0.3">
      <c r="A1351">
        <v>51</v>
      </c>
      <c r="B1351">
        <v>115</v>
      </c>
      <c r="C1351" t="s">
        <v>26</v>
      </c>
      <c r="D1351">
        <v>10.2247</v>
      </c>
      <c r="E1351">
        <v>9.7799999999999994</v>
      </c>
      <c r="F1351">
        <v>6.81</v>
      </c>
      <c r="G1351">
        <v>58.39</v>
      </c>
      <c r="H1351">
        <v>1</v>
      </c>
      <c r="I1351">
        <v>7</v>
      </c>
      <c r="J1351">
        <v>244.79</v>
      </c>
      <c r="K1351">
        <v>56.94</v>
      </c>
      <c r="L1351">
        <v>13.75</v>
      </c>
      <c r="M1351">
        <v>5</v>
      </c>
      <c r="N1351">
        <v>59.1</v>
      </c>
      <c r="O1351">
        <v>30425.200000000001</v>
      </c>
      <c r="P1351">
        <v>97.94</v>
      </c>
      <c r="Q1351">
        <v>204.14</v>
      </c>
      <c r="R1351">
        <v>25.55</v>
      </c>
      <c r="S1351">
        <v>17.37</v>
      </c>
      <c r="T1351">
        <v>1983.69</v>
      </c>
      <c r="U1351">
        <v>0.68</v>
      </c>
      <c r="V1351">
        <v>0.75</v>
      </c>
      <c r="W1351">
        <v>1.1499999999999999</v>
      </c>
      <c r="X1351">
        <v>0.12</v>
      </c>
      <c r="Y1351">
        <v>1</v>
      </c>
      <c r="Z1351">
        <v>10</v>
      </c>
    </row>
    <row r="1352" spans="1:26" x14ac:dyDescent="0.3">
      <c r="A1352">
        <v>52</v>
      </c>
      <c r="B1352">
        <v>115</v>
      </c>
      <c r="C1352" t="s">
        <v>26</v>
      </c>
      <c r="D1352">
        <v>10.302199999999999</v>
      </c>
      <c r="E1352">
        <v>9.7100000000000009</v>
      </c>
      <c r="F1352">
        <v>6.78</v>
      </c>
      <c r="G1352">
        <v>67.83</v>
      </c>
      <c r="H1352">
        <v>1.02</v>
      </c>
      <c r="I1352">
        <v>6</v>
      </c>
      <c r="J1352">
        <v>245.23</v>
      </c>
      <c r="K1352">
        <v>56.94</v>
      </c>
      <c r="L1352">
        <v>14</v>
      </c>
      <c r="M1352">
        <v>4</v>
      </c>
      <c r="N1352">
        <v>59.29</v>
      </c>
      <c r="O1352">
        <v>30479.78</v>
      </c>
      <c r="P1352">
        <v>97.28</v>
      </c>
      <c r="Q1352">
        <v>204.14</v>
      </c>
      <c r="R1352">
        <v>24.72</v>
      </c>
      <c r="S1352">
        <v>17.37</v>
      </c>
      <c r="T1352">
        <v>1571.1</v>
      </c>
      <c r="U1352">
        <v>0.7</v>
      </c>
      <c r="V1352">
        <v>0.75</v>
      </c>
      <c r="W1352">
        <v>1.1399999999999999</v>
      </c>
      <c r="X1352">
        <v>0.09</v>
      </c>
      <c r="Y1352">
        <v>1</v>
      </c>
      <c r="Z1352">
        <v>10</v>
      </c>
    </row>
    <row r="1353" spans="1:26" x14ac:dyDescent="0.3">
      <c r="A1353">
        <v>53</v>
      </c>
      <c r="B1353">
        <v>115</v>
      </c>
      <c r="C1353" t="s">
        <v>26</v>
      </c>
      <c r="D1353">
        <v>10.2987</v>
      </c>
      <c r="E1353">
        <v>9.7100000000000009</v>
      </c>
      <c r="F1353">
        <v>6.79</v>
      </c>
      <c r="G1353">
        <v>67.86</v>
      </c>
      <c r="H1353">
        <v>1.03</v>
      </c>
      <c r="I1353">
        <v>6</v>
      </c>
      <c r="J1353">
        <v>245.68</v>
      </c>
      <c r="K1353">
        <v>56.94</v>
      </c>
      <c r="L1353">
        <v>14.25</v>
      </c>
      <c r="M1353">
        <v>4</v>
      </c>
      <c r="N1353">
        <v>59.48</v>
      </c>
      <c r="O1353">
        <v>30534.42</v>
      </c>
      <c r="P1353">
        <v>97.37</v>
      </c>
      <c r="Q1353">
        <v>204.16</v>
      </c>
      <c r="R1353">
        <v>24.73</v>
      </c>
      <c r="S1353">
        <v>17.37</v>
      </c>
      <c r="T1353">
        <v>1576.97</v>
      </c>
      <c r="U1353">
        <v>0.7</v>
      </c>
      <c r="V1353">
        <v>0.75</v>
      </c>
      <c r="W1353">
        <v>1.1499999999999999</v>
      </c>
      <c r="X1353">
        <v>0.09</v>
      </c>
      <c r="Y1353">
        <v>1</v>
      </c>
      <c r="Z1353">
        <v>10</v>
      </c>
    </row>
    <row r="1354" spans="1:26" x14ac:dyDescent="0.3">
      <c r="A1354">
        <v>54</v>
      </c>
      <c r="B1354">
        <v>115</v>
      </c>
      <c r="C1354" t="s">
        <v>26</v>
      </c>
      <c r="D1354">
        <v>10.297499999999999</v>
      </c>
      <c r="E1354">
        <v>9.7100000000000009</v>
      </c>
      <c r="F1354">
        <v>6.79</v>
      </c>
      <c r="G1354">
        <v>67.87</v>
      </c>
      <c r="H1354">
        <v>1.05</v>
      </c>
      <c r="I1354">
        <v>6</v>
      </c>
      <c r="J1354">
        <v>246.12</v>
      </c>
      <c r="K1354">
        <v>56.94</v>
      </c>
      <c r="L1354">
        <v>14.5</v>
      </c>
      <c r="M1354">
        <v>4</v>
      </c>
      <c r="N1354">
        <v>59.68</v>
      </c>
      <c r="O1354">
        <v>30589.13</v>
      </c>
      <c r="P1354">
        <v>97.34</v>
      </c>
      <c r="Q1354">
        <v>204.15</v>
      </c>
      <c r="R1354">
        <v>24.87</v>
      </c>
      <c r="S1354">
        <v>17.37</v>
      </c>
      <c r="T1354">
        <v>1647.52</v>
      </c>
      <c r="U1354">
        <v>0.7</v>
      </c>
      <c r="V1354">
        <v>0.75</v>
      </c>
      <c r="W1354">
        <v>1.1399999999999999</v>
      </c>
      <c r="X1354">
        <v>0.1</v>
      </c>
      <c r="Y1354">
        <v>1</v>
      </c>
      <c r="Z1354">
        <v>10</v>
      </c>
    </row>
    <row r="1355" spans="1:26" x14ac:dyDescent="0.3">
      <c r="A1355">
        <v>55</v>
      </c>
      <c r="B1355">
        <v>115</v>
      </c>
      <c r="C1355" t="s">
        <v>26</v>
      </c>
      <c r="D1355">
        <v>10.297800000000001</v>
      </c>
      <c r="E1355">
        <v>9.7100000000000009</v>
      </c>
      <c r="F1355">
        <v>6.79</v>
      </c>
      <c r="G1355">
        <v>67.87</v>
      </c>
      <c r="H1355">
        <v>1.06</v>
      </c>
      <c r="I1355">
        <v>6</v>
      </c>
      <c r="J1355">
        <v>246.57</v>
      </c>
      <c r="K1355">
        <v>56.94</v>
      </c>
      <c r="L1355">
        <v>14.75</v>
      </c>
      <c r="M1355">
        <v>4</v>
      </c>
      <c r="N1355">
        <v>59.87</v>
      </c>
      <c r="O1355">
        <v>30643.91</v>
      </c>
      <c r="P1355">
        <v>97.47</v>
      </c>
      <c r="Q1355">
        <v>204.14</v>
      </c>
      <c r="R1355">
        <v>24.88</v>
      </c>
      <c r="S1355">
        <v>17.37</v>
      </c>
      <c r="T1355">
        <v>1653.94</v>
      </c>
      <c r="U1355">
        <v>0.7</v>
      </c>
      <c r="V1355">
        <v>0.75</v>
      </c>
      <c r="W1355">
        <v>1.1399999999999999</v>
      </c>
      <c r="X1355">
        <v>0.1</v>
      </c>
      <c r="Y1355">
        <v>1</v>
      </c>
      <c r="Z1355">
        <v>10</v>
      </c>
    </row>
    <row r="1356" spans="1:26" x14ac:dyDescent="0.3">
      <c r="A1356">
        <v>56</v>
      </c>
      <c r="B1356">
        <v>115</v>
      </c>
      <c r="C1356" t="s">
        <v>26</v>
      </c>
      <c r="D1356">
        <v>10.293900000000001</v>
      </c>
      <c r="E1356">
        <v>9.7100000000000009</v>
      </c>
      <c r="F1356">
        <v>6.79</v>
      </c>
      <c r="G1356">
        <v>67.900000000000006</v>
      </c>
      <c r="H1356">
        <v>1.08</v>
      </c>
      <c r="I1356">
        <v>6</v>
      </c>
      <c r="J1356">
        <v>247.01</v>
      </c>
      <c r="K1356">
        <v>56.94</v>
      </c>
      <c r="L1356">
        <v>15</v>
      </c>
      <c r="M1356">
        <v>4</v>
      </c>
      <c r="N1356">
        <v>60.07</v>
      </c>
      <c r="O1356">
        <v>30698.76</v>
      </c>
      <c r="P1356">
        <v>97.53</v>
      </c>
      <c r="Q1356">
        <v>204.15</v>
      </c>
      <c r="R1356">
        <v>24.98</v>
      </c>
      <c r="S1356">
        <v>17.37</v>
      </c>
      <c r="T1356">
        <v>1703.42</v>
      </c>
      <c r="U1356">
        <v>0.7</v>
      </c>
      <c r="V1356">
        <v>0.75</v>
      </c>
      <c r="W1356">
        <v>1.1399999999999999</v>
      </c>
      <c r="X1356">
        <v>0.1</v>
      </c>
      <c r="Y1356">
        <v>1</v>
      </c>
      <c r="Z1356">
        <v>10</v>
      </c>
    </row>
    <row r="1357" spans="1:26" x14ac:dyDescent="0.3">
      <c r="A1357">
        <v>57</v>
      </c>
      <c r="B1357">
        <v>115</v>
      </c>
      <c r="C1357" t="s">
        <v>26</v>
      </c>
      <c r="D1357">
        <v>10.3028</v>
      </c>
      <c r="E1357">
        <v>9.7100000000000009</v>
      </c>
      <c r="F1357">
        <v>6.78</v>
      </c>
      <c r="G1357">
        <v>67.819999999999993</v>
      </c>
      <c r="H1357">
        <v>1.1000000000000001</v>
      </c>
      <c r="I1357">
        <v>6</v>
      </c>
      <c r="J1357">
        <v>247.46</v>
      </c>
      <c r="K1357">
        <v>56.94</v>
      </c>
      <c r="L1357">
        <v>15.25</v>
      </c>
      <c r="M1357">
        <v>4</v>
      </c>
      <c r="N1357">
        <v>60.26</v>
      </c>
      <c r="O1357">
        <v>30753.68</v>
      </c>
      <c r="P1357">
        <v>97.36</v>
      </c>
      <c r="Q1357">
        <v>204.15</v>
      </c>
      <c r="R1357">
        <v>24.63</v>
      </c>
      <c r="S1357">
        <v>17.37</v>
      </c>
      <c r="T1357">
        <v>1526.3</v>
      </c>
      <c r="U1357">
        <v>0.71</v>
      </c>
      <c r="V1357">
        <v>0.75</v>
      </c>
      <c r="W1357">
        <v>1.1499999999999999</v>
      </c>
      <c r="X1357">
        <v>0.09</v>
      </c>
      <c r="Y1357">
        <v>1</v>
      </c>
      <c r="Z1357">
        <v>10</v>
      </c>
    </row>
    <row r="1358" spans="1:26" x14ac:dyDescent="0.3">
      <c r="A1358">
        <v>58</v>
      </c>
      <c r="B1358">
        <v>115</v>
      </c>
      <c r="C1358" t="s">
        <v>26</v>
      </c>
      <c r="D1358">
        <v>10.3004</v>
      </c>
      <c r="E1358">
        <v>9.7100000000000009</v>
      </c>
      <c r="F1358">
        <v>6.78</v>
      </c>
      <c r="G1358">
        <v>67.84</v>
      </c>
      <c r="H1358">
        <v>1.1100000000000001</v>
      </c>
      <c r="I1358">
        <v>6</v>
      </c>
      <c r="J1358">
        <v>247.9</v>
      </c>
      <c r="K1358">
        <v>56.94</v>
      </c>
      <c r="L1358">
        <v>15.5</v>
      </c>
      <c r="M1358">
        <v>4</v>
      </c>
      <c r="N1358">
        <v>60.46</v>
      </c>
      <c r="O1358">
        <v>30808.68</v>
      </c>
      <c r="P1358">
        <v>97.1</v>
      </c>
      <c r="Q1358">
        <v>204.14</v>
      </c>
      <c r="R1358">
        <v>24.71</v>
      </c>
      <c r="S1358">
        <v>17.37</v>
      </c>
      <c r="T1358">
        <v>1566.2</v>
      </c>
      <c r="U1358">
        <v>0.7</v>
      </c>
      <c r="V1358">
        <v>0.75</v>
      </c>
      <c r="W1358">
        <v>1.1499999999999999</v>
      </c>
      <c r="X1358">
        <v>0.09</v>
      </c>
      <c r="Y1358">
        <v>1</v>
      </c>
      <c r="Z1358">
        <v>10</v>
      </c>
    </row>
    <row r="1359" spans="1:26" x14ac:dyDescent="0.3">
      <c r="A1359">
        <v>59</v>
      </c>
      <c r="B1359">
        <v>115</v>
      </c>
      <c r="C1359" t="s">
        <v>26</v>
      </c>
      <c r="D1359">
        <v>10.296900000000001</v>
      </c>
      <c r="E1359">
        <v>9.7100000000000009</v>
      </c>
      <c r="F1359">
        <v>6.79</v>
      </c>
      <c r="G1359">
        <v>67.88</v>
      </c>
      <c r="H1359">
        <v>1.1299999999999999</v>
      </c>
      <c r="I1359">
        <v>6</v>
      </c>
      <c r="J1359">
        <v>248.35</v>
      </c>
      <c r="K1359">
        <v>56.94</v>
      </c>
      <c r="L1359">
        <v>15.75</v>
      </c>
      <c r="M1359">
        <v>4</v>
      </c>
      <c r="N1359">
        <v>60.66</v>
      </c>
      <c r="O1359">
        <v>30863.74</v>
      </c>
      <c r="P1359">
        <v>96.96</v>
      </c>
      <c r="Q1359">
        <v>204.14</v>
      </c>
      <c r="R1359">
        <v>24.84</v>
      </c>
      <c r="S1359">
        <v>17.37</v>
      </c>
      <c r="T1359">
        <v>1630.59</v>
      </c>
      <c r="U1359">
        <v>0.7</v>
      </c>
      <c r="V1359">
        <v>0.75</v>
      </c>
      <c r="W1359">
        <v>1.1499999999999999</v>
      </c>
      <c r="X1359">
        <v>0.1</v>
      </c>
      <c r="Y1359">
        <v>1</v>
      </c>
      <c r="Z1359">
        <v>10</v>
      </c>
    </row>
    <row r="1360" spans="1:26" x14ac:dyDescent="0.3">
      <c r="A1360">
        <v>60</v>
      </c>
      <c r="B1360">
        <v>115</v>
      </c>
      <c r="C1360" t="s">
        <v>26</v>
      </c>
      <c r="D1360">
        <v>10.293900000000001</v>
      </c>
      <c r="E1360">
        <v>9.7100000000000009</v>
      </c>
      <c r="F1360">
        <v>6.79</v>
      </c>
      <c r="G1360">
        <v>67.900000000000006</v>
      </c>
      <c r="H1360">
        <v>1.1399999999999999</v>
      </c>
      <c r="I1360">
        <v>6</v>
      </c>
      <c r="J1360">
        <v>248.79</v>
      </c>
      <c r="K1360">
        <v>56.94</v>
      </c>
      <c r="L1360">
        <v>16</v>
      </c>
      <c r="M1360">
        <v>4</v>
      </c>
      <c r="N1360">
        <v>60.85</v>
      </c>
      <c r="O1360">
        <v>30918.880000000001</v>
      </c>
      <c r="P1360">
        <v>96.9</v>
      </c>
      <c r="Q1360">
        <v>204.15</v>
      </c>
      <c r="R1360">
        <v>25.02</v>
      </c>
      <c r="S1360">
        <v>17.37</v>
      </c>
      <c r="T1360">
        <v>1721.3</v>
      </c>
      <c r="U1360">
        <v>0.69</v>
      </c>
      <c r="V1360">
        <v>0.75</v>
      </c>
      <c r="W1360">
        <v>1.1399999999999999</v>
      </c>
      <c r="X1360">
        <v>0.1</v>
      </c>
      <c r="Y1360">
        <v>1</v>
      </c>
      <c r="Z1360">
        <v>10</v>
      </c>
    </row>
    <row r="1361" spans="1:26" x14ac:dyDescent="0.3">
      <c r="A1361">
        <v>61</v>
      </c>
      <c r="B1361">
        <v>115</v>
      </c>
      <c r="C1361" t="s">
        <v>26</v>
      </c>
      <c r="D1361">
        <v>10.297800000000001</v>
      </c>
      <c r="E1361">
        <v>9.7100000000000009</v>
      </c>
      <c r="F1361">
        <v>6.79</v>
      </c>
      <c r="G1361">
        <v>67.87</v>
      </c>
      <c r="H1361">
        <v>1.1599999999999999</v>
      </c>
      <c r="I1361">
        <v>6</v>
      </c>
      <c r="J1361">
        <v>249.24</v>
      </c>
      <c r="K1361">
        <v>56.94</v>
      </c>
      <c r="L1361">
        <v>16.25</v>
      </c>
      <c r="M1361">
        <v>4</v>
      </c>
      <c r="N1361">
        <v>61.05</v>
      </c>
      <c r="O1361">
        <v>30974.09</v>
      </c>
      <c r="P1361">
        <v>96.62</v>
      </c>
      <c r="Q1361">
        <v>204.14</v>
      </c>
      <c r="R1361">
        <v>24.86</v>
      </c>
      <c r="S1361">
        <v>17.37</v>
      </c>
      <c r="T1361">
        <v>1640.02</v>
      </c>
      <c r="U1361">
        <v>0.7</v>
      </c>
      <c r="V1361">
        <v>0.75</v>
      </c>
      <c r="W1361">
        <v>1.1399999999999999</v>
      </c>
      <c r="X1361">
        <v>0.1</v>
      </c>
      <c r="Y1361">
        <v>1</v>
      </c>
      <c r="Z1361">
        <v>10</v>
      </c>
    </row>
    <row r="1362" spans="1:26" x14ac:dyDescent="0.3">
      <c r="A1362">
        <v>62</v>
      </c>
      <c r="B1362">
        <v>115</v>
      </c>
      <c r="C1362" t="s">
        <v>26</v>
      </c>
      <c r="D1362">
        <v>10.299799999999999</v>
      </c>
      <c r="E1362">
        <v>9.7100000000000009</v>
      </c>
      <c r="F1362">
        <v>6.78</v>
      </c>
      <c r="G1362">
        <v>67.849999999999994</v>
      </c>
      <c r="H1362">
        <v>1.18</v>
      </c>
      <c r="I1362">
        <v>6</v>
      </c>
      <c r="J1362">
        <v>249.69</v>
      </c>
      <c r="K1362">
        <v>56.94</v>
      </c>
      <c r="L1362">
        <v>16.5</v>
      </c>
      <c r="M1362">
        <v>4</v>
      </c>
      <c r="N1362">
        <v>61.25</v>
      </c>
      <c r="O1362">
        <v>31029.37</v>
      </c>
      <c r="P1362">
        <v>96.58</v>
      </c>
      <c r="Q1362">
        <v>204.14</v>
      </c>
      <c r="R1362">
        <v>24.78</v>
      </c>
      <c r="S1362">
        <v>17.37</v>
      </c>
      <c r="T1362">
        <v>1603.25</v>
      </c>
      <c r="U1362">
        <v>0.7</v>
      </c>
      <c r="V1362">
        <v>0.75</v>
      </c>
      <c r="W1362">
        <v>1.1399999999999999</v>
      </c>
      <c r="X1362">
        <v>0.09</v>
      </c>
      <c r="Y1362">
        <v>1</v>
      </c>
      <c r="Z1362">
        <v>10</v>
      </c>
    </row>
    <row r="1363" spans="1:26" x14ac:dyDescent="0.3">
      <c r="A1363">
        <v>63</v>
      </c>
      <c r="B1363">
        <v>115</v>
      </c>
      <c r="C1363" t="s">
        <v>26</v>
      </c>
      <c r="D1363">
        <v>10.297800000000001</v>
      </c>
      <c r="E1363">
        <v>9.7100000000000009</v>
      </c>
      <c r="F1363">
        <v>6.79</v>
      </c>
      <c r="G1363">
        <v>67.87</v>
      </c>
      <c r="H1363">
        <v>1.19</v>
      </c>
      <c r="I1363">
        <v>6</v>
      </c>
      <c r="J1363">
        <v>250.14</v>
      </c>
      <c r="K1363">
        <v>56.94</v>
      </c>
      <c r="L1363">
        <v>16.75</v>
      </c>
      <c r="M1363">
        <v>4</v>
      </c>
      <c r="N1363">
        <v>61.45</v>
      </c>
      <c r="O1363">
        <v>31084.720000000001</v>
      </c>
      <c r="P1363">
        <v>96.43</v>
      </c>
      <c r="Q1363">
        <v>204.14</v>
      </c>
      <c r="R1363">
        <v>24.82</v>
      </c>
      <c r="S1363">
        <v>17.37</v>
      </c>
      <c r="T1363">
        <v>1623.55</v>
      </c>
      <c r="U1363">
        <v>0.7</v>
      </c>
      <c r="V1363">
        <v>0.75</v>
      </c>
      <c r="W1363">
        <v>1.1499999999999999</v>
      </c>
      <c r="X1363">
        <v>0.1</v>
      </c>
      <c r="Y1363">
        <v>1</v>
      </c>
      <c r="Z1363">
        <v>10</v>
      </c>
    </row>
    <row r="1364" spans="1:26" x14ac:dyDescent="0.3">
      <c r="A1364">
        <v>64</v>
      </c>
      <c r="B1364">
        <v>115</v>
      </c>
      <c r="C1364" t="s">
        <v>26</v>
      </c>
      <c r="D1364">
        <v>10.292199999999999</v>
      </c>
      <c r="E1364">
        <v>9.7200000000000006</v>
      </c>
      <c r="F1364">
        <v>6.79</v>
      </c>
      <c r="G1364">
        <v>67.92</v>
      </c>
      <c r="H1364">
        <v>1.21</v>
      </c>
      <c r="I1364">
        <v>6</v>
      </c>
      <c r="J1364">
        <v>250.59</v>
      </c>
      <c r="K1364">
        <v>56.94</v>
      </c>
      <c r="L1364">
        <v>17</v>
      </c>
      <c r="M1364">
        <v>4</v>
      </c>
      <c r="N1364">
        <v>61.65</v>
      </c>
      <c r="O1364">
        <v>31140.15</v>
      </c>
      <c r="P1364">
        <v>96.02</v>
      </c>
      <c r="Q1364">
        <v>204.14</v>
      </c>
      <c r="R1364">
        <v>25.05</v>
      </c>
      <c r="S1364">
        <v>17.37</v>
      </c>
      <c r="T1364">
        <v>1736.34</v>
      </c>
      <c r="U1364">
        <v>0.69</v>
      </c>
      <c r="V1364">
        <v>0.75</v>
      </c>
      <c r="W1364">
        <v>1.1399999999999999</v>
      </c>
      <c r="X1364">
        <v>0.1</v>
      </c>
      <c r="Y1364">
        <v>1</v>
      </c>
      <c r="Z1364">
        <v>10</v>
      </c>
    </row>
    <row r="1365" spans="1:26" x14ac:dyDescent="0.3">
      <c r="A1365">
        <v>65</v>
      </c>
      <c r="B1365">
        <v>115</v>
      </c>
      <c r="C1365" t="s">
        <v>26</v>
      </c>
      <c r="D1365">
        <v>10.359400000000001</v>
      </c>
      <c r="E1365">
        <v>9.65</v>
      </c>
      <c r="F1365">
        <v>6.77</v>
      </c>
      <c r="G1365">
        <v>81.27</v>
      </c>
      <c r="H1365">
        <v>1.22</v>
      </c>
      <c r="I1365">
        <v>5</v>
      </c>
      <c r="J1365">
        <v>251.04</v>
      </c>
      <c r="K1365">
        <v>56.94</v>
      </c>
      <c r="L1365">
        <v>17.25</v>
      </c>
      <c r="M1365">
        <v>3</v>
      </c>
      <c r="N1365">
        <v>61.85</v>
      </c>
      <c r="O1365">
        <v>31195.65</v>
      </c>
      <c r="P1365">
        <v>95.53</v>
      </c>
      <c r="Q1365">
        <v>204.14</v>
      </c>
      <c r="R1365">
        <v>24.37</v>
      </c>
      <c r="S1365">
        <v>17.37</v>
      </c>
      <c r="T1365">
        <v>1402.32</v>
      </c>
      <c r="U1365">
        <v>0.71</v>
      </c>
      <c r="V1365">
        <v>0.75</v>
      </c>
      <c r="W1365">
        <v>1.1399999999999999</v>
      </c>
      <c r="X1365">
        <v>0.08</v>
      </c>
      <c r="Y1365">
        <v>1</v>
      </c>
      <c r="Z1365">
        <v>10</v>
      </c>
    </row>
    <row r="1366" spans="1:26" x14ac:dyDescent="0.3">
      <c r="A1366">
        <v>66</v>
      </c>
      <c r="B1366">
        <v>115</v>
      </c>
      <c r="C1366" t="s">
        <v>26</v>
      </c>
      <c r="D1366">
        <v>10.356400000000001</v>
      </c>
      <c r="E1366">
        <v>9.66</v>
      </c>
      <c r="F1366">
        <v>6.78</v>
      </c>
      <c r="G1366">
        <v>81.31</v>
      </c>
      <c r="H1366">
        <v>1.24</v>
      </c>
      <c r="I1366">
        <v>5</v>
      </c>
      <c r="J1366">
        <v>251.49</v>
      </c>
      <c r="K1366">
        <v>56.94</v>
      </c>
      <c r="L1366">
        <v>17.5</v>
      </c>
      <c r="M1366">
        <v>3</v>
      </c>
      <c r="N1366">
        <v>62.05</v>
      </c>
      <c r="O1366">
        <v>31251.22</v>
      </c>
      <c r="P1366">
        <v>95.88</v>
      </c>
      <c r="Q1366">
        <v>204.14</v>
      </c>
      <c r="R1366">
        <v>24.49</v>
      </c>
      <c r="S1366">
        <v>17.37</v>
      </c>
      <c r="T1366">
        <v>1461.38</v>
      </c>
      <c r="U1366">
        <v>0.71</v>
      </c>
      <c r="V1366">
        <v>0.75</v>
      </c>
      <c r="W1366">
        <v>1.1399999999999999</v>
      </c>
      <c r="X1366">
        <v>0.08</v>
      </c>
      <c r="Y1366">
        <v>1</v>
      </c>
      <c r="Z1366">
        <v>10</v>
      </c>
    </row>
    <row r="1367" spans="1:26" x14ac:dyDescent="0.3">
      <c r="A1367">
        <v>67</v>
      </c>
      <c r="B1367">
        <v>115</v>
      </c>
      <c r="C1367" t="s">
        <v>26</v>
      </c>
      <c r="D1367">
        <v>10.3576</v>
      </c>
      <c r="E1367">
        <v>9.65</v>
      </c>
      <c r="F1367">
        <v>6.77</v>
      </c>
      <c r="G1367">
        <v>81.290000000000006</v>
      </c>
      <c r="H1367">
        <v>1.25</v>
      </c>
      <c r="I1367">
        <v>5</v>
      </c>
      <c r="J1367">
        <v>251.94</v>
      </c>
      <c r="K1367">
        <v>56.94</v>
      </c>
      <c r="L1367">
        <v>17.75</v>
      </c>
      <c r="M1367">
        <v>3</v>
      </c>
      <c r="N1367">
        <v>62.25</v>
      </c>
      <c r="O1367">
        <v>31306.86</v>
      </c>
      <c r="P1367">
        <v>95.99</v>
      </c>
      <c r="Q1367">
        <v>204.14</v>
      </c>
      <c r="R1367">
        <v>24.48</v>
      </c>
      <c r="S1367">
        <v>17.37</v>
      </c>
      <c r="T1367">
        <v>1459.68</v>
      </c>
      <c r="U1367">
        <v>0.71</v>
      </c>
      <c r="V1367">
        <v>0.75</v>
      </c>
      <c r="W1367">
        <v>1.1399999999999999</v>
      </c>
      <c r="X1367">
        <v>0.08</v>
      </c>
      <c r="Y1367">
        <v>1</v>
      </c>
      <c r="Z1367">
        <v>10</v>
      </c>
    </row>
    <row r="1368" spans="1:26" x14ac:dyDescent="0.3">
      <c r="A1368">
        <v>68</v>
      </c>
      <c r="B1368">
        <v>115</v>
      </c>
      <c r="C1368" t="s">
        <v>26</v>
      </c>
      <c r="D1368">
        <v>10.3612</v>
      </c>
      <c r="E1368">
        <v>9.65</v>
      </c>
      <c r="F1368">
        <v>6.77</v>
      </c>
      <c r="G1368">
        <v>81.25</v>
      </c>
      <c r="H1368">
        <v>1.27</v>
      </c>
      <c r="I1368">
        <v>5</v>
      </c>
      <c r="J1368">
        <v>252.39</v>
      </c>
      <c r="K1368">
        <v>56.94</v>
      </c>
      <c r="L1368">
        <v>18</v>
      </c>
      <c r="M1368">
        <v>3</v>
      </c>
      <c r="N1368">
        <v>62.45</v>
      </c>
      <c r="O1368">
        <v>31362.58</v>
      </c>
      <c r="P1368">
        <v>96.1</v>
      </c>
      <c r="Q1368">
        <v>204.17</v>
      </c>
      <c r="R1368">
        <v>24.35</v>
      </c>
      <c r="S1368">
        <v>17.37</v>
      </c>
      <c r="T1368">
        <v>1390.21</v>
      </c>
      <c r="U1368">
        <v>0.71</v>
      </c>
      <c r="V1368">
        <v>0.75</v>
      </c>
      <c r="W1368">
        <v>1.1399999999999999</v>
      </c>
      <c r="X1368">
        <v>0.08</v>
      </c>
      <c r="Y1368">
        <v>1</v>
      </c>
      <c r="Z1368">
        <v>10</v>
      </c>
    </row>
    <row r="1369" spans="1:26" x14ac:dyDescent="0.3">
      <c r="A1369">
        <v>69</v>
      </c>
      <c r="B1369">
        <v>115</v>
      </c>
      <c r="C1369" t="s">
        <v>26</v>
      </c>
      <c r="D1369">
        <v>10.3573</v>
      </c>
      <c r="E1369">
        <v>9.65</v>
      </c>
      <c r="F1369">
        <v>6.77</v>
      </c>
      <c r="G1369">
        <v>81.3</v>
      </c>
      <c r="H1369">
        <v>1.28</v>
      </c>
      <c r="I1369">
        <v>5</v>
      </c>
      <c r="J1369">
        <v>252.84</v>
      </c>
      <c r="K1369">
        <v>56.94</v>
      </c>
      <c r="L1369">
        <v>18.25</v>
      </c>
      <c r="M1369">
        <v>3</v>
      </c>
      <c r="N1369">
        <v>62.65</v>
      </c>
      <c r="O1369">
        <v>31418.38</v>
      </c>
      <c r="P1369">
        <v>96.16</v>
      </c>
      <c r="Q1369">
        <v>204.15</v>
      </c>
      <c r="R1369">
        <v>24.53</v>
      </c>
      <c r="S1369">
        <v>17.37</v>
      </c>
      <c r="T1369">
        <v>1484.33</v>
      </c>
      <c r="U1369">
        <v>0.71</v>
      </c>
      <c r="V1369">
        <v>0.75</v>
      </c>
      <c r="W1369">
        <v>1.1399999999999999</v>
      </c>
      <c r="X1369">
        <v>0.08</v>
      </c>
      <c r="Y1369">
        <v>1</v>
      </c>
      <c r="Z1369">
        <v>10</v>
      </c>
    </row>
    <row r="1370" spans="1:26" x14ac:dyDescent="0.3">
      <c r="A1370">
        <v>70</v>
      </c>
      <c r="B1370">
        <v>115</v>
      </c>
      <c r="C1370" t="s">
        <v>26</v>
      </c>
      <c r="D1370">
        <v>10.3591</v>
      </c>
      <c r="E1370">
        <v>9.65</v>
      </c>
      <c r="F1370">
        <v>6.77</v>
      </c>
      <c r="G1370">
        <v>81.28</v>
      </c>
      <c r="H1370">
        <v>1.3</v>
      </c>
      <c r="I1370">
        <v>5</v>
      </c>
      <c r="J1370">
        <v>253.3</v>
      </c>
      <c r="K1370">
        <v>56.94</v>
      </c>
      <c r="L1370">
        <v>18.5</v>
      </c>
      <c r="M1370">
        <v>3</v>
      </c>
      <c r="N1370">
        <v>62.86</v>
      </c>
      <c r="O1370">
        <v>31474.25</v>
      </c>
      <c r="P1370">
        <v>95.96</v>
      </c>
      <c r="Q1370">
        <v>204.14</v>
      </c>
      <c r="R1370">
        <v>24.36</v>
      </c>
      <c r="S1370">
        <v>17.37</v>
      </c>
      <c r="T1370">
        <v>1395.61</v>
      </c>
      <c r="U1370">
        <v>0.71</v>
      </c>
      <c r="V1370">
        <v>0.75</v>
      </c>
      <c r="W1370">
        <v>1.1499999999999999</v>
      </c>
      <c r="X1370">
        <v>0.08</v>
      </c>
      <c r="Y1370">
        <v>1</v>
      </c>
      <c r="Z1370">
        <v>10</v>
      </c>
    </row>
    <row r="1371" spans="1:26" x14ac:dyDescent="0.3">
      <c r="A1371">
        <v>71</v>
      </c>
      <c r="B1371">
        <v>115</v>
      </c>
      <c r="C1371" t="s">
        <v>26</v>
      </c>
      <c r="D1371">
        <v>10.3576</v>
      </c>
      <c r="E1371">
        <v>9.65</v>
      </c>
      <c r="F1371">
        <v>6.77</v>
      </c>
      <c r="G1371">
        <v>81.290000000000006</v>
      </c>
      <c r="H1371">
        <v>1.31</v>
      </c>
      <c r="I1371">
        <v>5</v>
      </c>
      <c r="J1371">
        <v>253.75</v>
      </c>
      <c r="K1371">
        <v>56.94</v>
      </c>
      <c r="L1371">
        <v>18.75</v>
      </c>
      <c r="M1371">
        <v>3</v>
      </c>
      <c r="N1371">
        <v>63.06</v>
      </c>
      <c r="O1371">
        <v>31530.19</v>
      </c>
      <c r="P1371">
        <v>95.95</v>
      </c>
      <c r="Q1371">
        <v>204.15</v>
      </c>
      <c r="R1371">
        <v>24.48</v>
      </c>
      <c r="S1371">
        <v>17.37</v>
      </c>
      <c r="T1371">
        <v>1456.53</v>
      </c>
      <c r="U1371">
        <v>0.71</v>
      </c>
      <c r="V1371">
        <v>0.75</v>
      </c>
      <c r="W1371">
        <v>1.1399999999999999</v>
      </c>
      <c r="X1371">
        <v>0.08</v>
      </c>
      <c r="Y1371">
        <v>1</v>
      </c>
      <c r="Z1371">
        <v>10</v>
      </c>
    </row>
    <row r="1372" spans="1:26" x14ac:dyDescent="0.3">
      <c r="A1372">
        <v>72</v>
      </c>
      <c r="B1372">
        <v>115</v>
      </c>
      <c r="C1372" t="s">
        <v>26</v>
      </c>
      <c r="D1372">
        <v>10.354100000000001</v>
      </c>
      <c r="E1372">
        <v>9.66</v>
      </c>
      <c r="F1372">
        <v>6.78</v>
      </c>
      <c r="G1372">
        <v>81.33</v>
      </c>
      <c r="H1372">
        <v>1.33</v>
      </c>
      <c r="I1372">
        <v>5</v>
      </c>
      <c r="J1372">
        <v>254.21</v>
      </c>
      <c r="K1372">
        <v>56.94</v>
      </c>
      <c r="L1372">
        <v>19</v>
      </c>
      <c r="M1372">
        <v>3</v>
      </c>
      <c r="N1372">
        <v>63.26</v>
      </c>
      <c r="O1372">
        <v>31586.21</v>
      </c>
      <c r="P1372">
        <v>95.97</v>
      </c>
      <c r="Q1372">
        <v>204.14</v>
      </c>
      <c r="R1372">
        <v>24.54</v>
      </c>
      <c r="S1372">
        <v>17.37</v>
      </c>
      <c r="T1372">
        <v>1489.8</v>
      </c>
      <c r="U1372">
        <v>0.71</v>
      </c>
      <c r="V1372">
        <v>0.75</v>
      </c>
      <c r="W1372">
        <v>1.1499999999999999</v>
      </c>
      <c r="X1372">
        <v>0.09</v>
      </c>
      <c r="Y1372">
        <v>1</v>
      </c>
      <c r="Z1372">
        <v>10</v>
      </c>
    </row>
    <row r="1373" spans="1:26" x14ac:dyDescent="0.3">
      <c r="A1373">
        <v>73</v>
      </c>
      <c r="B1373">
        <v>115</v>
      </c>
      <c r="C1373" t="s">
        <v>26</v>
      </c>
      <c r="D1373">
        <v>10.3621</v>
      </c>
      <c r="E1373">
        <v>9.65</v>
      </c>
      <c r="F1373">
        <v>6.77</v>
      </c>
      <c r="G1373">
        <v>81.239999999999995</v>
      </c>
      <c r="H1373">
        <v>1.34</v>
      </c>
      <c r="I1373">
        <v>5</v>
      </c>
      <c r="J1373">
        <v>254.66</v>
      </c>
      <c r="K1373">
        <v>56.94</v>
      </c>
      <c r="L1373">
        <v>19.25</v>
      </c>
      <c r="M1373">
        <v>3</v>
      </c>
      <c r="N1373">
        <v>63.47</v>
      </c>
      <c r="O1373">
        <v>31642.3</v>
      </c>
      <c r="P1373">
        <v>95.69</v>
      </c>
      <c r="Q1373">
        <v>204.14</v>
      </c>
      <c r="R1373">
        <v>24.36</v>
      </c>
      <c r="S1373">
        <v>17.37</v>
      </c>
      <c r="T1373">
        <v>1398.05</v>
      </c>
      <c r="U1373">
        <v>0.71</v>
      </c>
      <c r="V1373">
        <v>0.75</v>
      </c>
      <c r="W1373">
        <v>1.1399999999999999</v>
      </c>
      <c r="X1373">
        <v>0.08</v>
      </c>
      <c r="Y1373">
        <v>1</v>
      </c>
      <c r="Z1373">
        <v>10</v>
      </c>
    </row>
    <row r="1374" spans="1:26" x14ac:dyDescent="0.3">
      <c r="A1374">
        <v>74</v>
      </c>
      <c r="B1374">
        <v>115</v>
      </c>
      <c r="C1374" t="s">
        <v>26</v>
      </c>
      <c r="D1374">
        <v>10.3612</v>
      </c>
      <c r="E1374">
        <v>9.65</v>
      </c>
      <c r="F1374">
        <v>6.77</v>
      </c>
      <c r="G1374">
        <v>81.25</v>
      </c>
      <c r="H1374">
        <v>1.36</v>
      </c>
      <c r="I1374">
        <v>5</v>
      </c>
      <c r="J1374">
        <v>255.12</v>
      </c>
      <c r="K1374">
        <v>56.94</v>
      </c>
      <c r="L1374">
        <v>19.5</v>
      </c>
      <c r="M1374">
        <v>3</v>
      </c>
      <c r="N1374">
        <v>63.67</v>
      </c>
      <c r="O1374">
        <v>31698.47</v>
      </c>
      <c r="P1374">
        <v>95.58</v>
      </c>
      <c r="Q1374">
        <v>204.14</v>
      </c>
      <c r="R1374">
        <v>24.4</v>
      </c>
      <c r="S1374">
        <v>17.37</v>
      </c>
      <c r="T1374">
        <v>1417.63</v>
      </c>
      <c r="U1374">
        <v>0.71</v>
      </c>
      <c r="V1374">
        <v>0.75</v>
      </c>
      <c r="W1374">
        <v>1.1399999999999999</v>
      </c>
      <c r="X1374">
        <v>0.08</v>
      </c>
      <c r="Y1374">
        <v>1</v>
      </c>
      <c r="Z1374">
        <v>10</v>
      </c>
    </row>
    <row r="1375" spans="1:26" x14ac:dyDescent="0.3">
      <c r="A1375">
        <v>75</v>
      </c>
      <c r="B1375">
        <v>115</v>
      </c>
      <c r="C1375" t="s">
        <v>26</v>
      </c>
      <c r="D1375">
        <v>10.365399999999999</v>
      </c>
      <c r="E1375">
        <v>9.65</v>
      </c>
      <c r="F1375">
        <v>6.77</v>
      </c>
      <c r="G1375">
        <v>81.209999999999994</v>
      </c>
      <c r="H1375">
        <v>1.37</v>
      </c>
      <c r="I1375">
        <v>5</v>
      </c>
      <c r="J1375">
        <v>255.57</v>
      </c>
      <c r="K1375">
        <v>56.94</v>
      </c>
      <c r="L1375">
        <v>19.75</v>
      </c>
      <c r="M1375">
        <v>3</v>
      </c>
      <c r="N1375">
        <v>63.88</v>
      </c>
      <c r="O1375">
        <v>31754.720000000001</v>
      </c>
      <c r="P1375">
        <v>95.28</v>
      </c>
      <c r="Q1375">
        <v>204.15</v>
      </c>
      <c r="R1375">
        <v>24.18</v>
      </c>
      <c r="S1375">
        <v>17.37</v>
      </c>
      <c r="T1375">
        <v>1308.58</v>
      </c>
      <c r="U1375">
        <v>0.72</v>
      </c>
      <c r="V1375">
        <v>0.75</v>
      </c>
      <c r="W1375">
        <v>1.1399999999999999</v>
      </c>
      <c r="X1375">
        <v>0.08</v>
      </c>
      <c r="Y1375">
        <v>1</v>
      </c>
      <c r="Z1375">
        <v>10</v>
      </c>
    </row>
    <row r="1376" spans="1:26" x14ac:dyDescent="0.3">
      <c r="A1376">
        <v>76</v>
      </c>
      <c r="B1376">
        <v>115</v>
      </c>
      <c r="C1376" t="s">
        <v>26</v>
      </c>
      <c r="D1376">
        <v>10.3681</v>
      </c>
      <c r="E1376">
        <v>9.64</v>
      </c>
      <c r="F1376">
        <v>6.76</v>
      </c>
      <c r="G1376">
        <v>81.180000000000007</v>
      </c>
      <c r="H1376">
        <v>1.39</v>
      </c>
      <c r="I1376">
        <v>5</v>
      </c>
      <c r="J1376">
        <v>256.02999999999997</v>
      </c>
      <c r="K1376">
        <v>56.94</v>
      </c>
      <c r="L1376">
        <v>20</v>
      </c>
      <c r="M1376">
        <v>3</v>
      </c>
      <c r="N1376">
        <v>64.09</v>
      </c>
      <c r="O1376">
        <v>31811.040000000001</v>
      </c>
      <c r="P1376">
        <v>94.94</v>
      </c>
      <c r="Q1376">
        <v>204.14</v>
      </c>
      <c r="R1376">
        <v>24.11</v>
      </c>
      <c r="S1376">
        <v>17.37</v>
      </c>
      <c r="T1376">
        <v>1274.01</v>
      </c>
      <c r="U1376">
        <v>0.72</v>
      </c>
      <c r="V1376">
        <v>0.75</v>
      </c>
      <c r="W1376">
        <v>1.1399999999999999</v>
      </c>
      <c r="X1376">
        <v>7.0000000000000007E-2</v>
      </c>
      <c r="Y1376">
        <v>1</v>
      </c>
      <c r="Z1376">
        <v>10</v>
      </c>
    </row>
    <row r="1377" spans="1:26" x14ac:dyDescent="0.3">
      <c r="A1377">
        <v>77</v>
      </c>
      <c r="B1377">
        <v>115</v>
      </c>
      <c r="C1377" t="s">
        <v>26</v>
      </c>
      <c r="D1377">
        <v>10.369899999999999</v>
      </c>
      <c r="E1377">
        <v>9.64</v>
      </c>
      <c r="F1377">
        <v>6.76</v>
      </c>
      <c r="G1377">
        <v>81.16</v>
      </c>
      <c r="H1377">
        <v>1.4</v>
      </c>
      <c r="I1377">
        <v>5</v>
      </c>
      <c r="J1377">
        <v>256.49</v>
      </c>
      <c r="K1377">
        <v>56.94</v>
      </c>
      <c r="L1377">
        <v>20.25</v>
      </c>
      <c r="M1377">
        <v>3</v>
      </c>
      <c r="N1377">
        <v>64.290000000000006</v>
      </c>
      <c r="O1377">
        <v>31867.439999999999</v>
      </c>
      <c r="P1377">
        <v>94.63</v>
      </c>
      <c r="Q1377">
        <v>204.14</v>
      </c>
      <c r="R1377">
        <v>24.05</v>
      </c>
      <c r="S1377">
        <v>17.37</v>
      </c>
      <c r="T1377">
        <v>1242.4100000000001</v>
      </c>
      <c r="U1377">
        <v>0.72</v>
      </c>
      <c r="V1377">
        <v>0.76</v>
      </c>
      <c r="W1377">
        <v>1.1399999999999999</v>
      </c>
      <c r="X1377">
        <v>7.0000000000000007E-2</v>
      </c>
      <c r="Y1377">
        <v>1</v>
      </c>
      <c r="Z1377">
        <v>10</v>
      </c>
    </row>
    <row r="1378" spans="1:26" x14ac:dyDescent="0.3">
      <c r="A1378">
        <v>78</v>
      </c>
      <c r="B1378">
        <v>115</v>
      </c>
      <c r="C1378" t="s">
        <v>26</v>
      </c>
      <c r="D1378">
        <v>10.365399999999999</v>
      </c>
      <c r="E1378">
        <v>9.65</v>
      </c>
      <c r="F1378">
        <v>6.77</v>
      </c>
      <c r="G1378">
        <v>81.209999999999994</v>
      </c>
      <c r="H1378">
        <v>1.42</v>
      </c>
      <c r="I1378">
        <v>5</v>
      </c>
      <c r="J1378">
        <v>256.94</v>
      </c>
      <c r="K1378">
        <v>56.94</v>
      </c>
      <c r="L1378">
        <v>20.5</v>
      </c>
      <c r="M1378">
        <v>3</v>
      </c>
      <c r="N1378">
        <v>64.5</v>
      </c>
      <c r="O1378">
        <v>31924.04</v>
      </c>
      <c r="P1378">
        <v>94.29</v>
      </c>
      <c r="Q1378">
        <v>204.14</v>
      </c>
      <c r="R1378">
        <v>24.18</v>
      </c>
      <c r="S1378">
        <v>17.37</v>
      </c>
      <c r="T1378">
        <v>1305.17</v>
      </c>
      <c r="U1378">
        <v>0.72</v>
      </c>
      <c r="V1378">
        <v>0.75</v>
      </c>
      <c r="W1378">
        <v>1.1399999999999999</v>
      </c>
      <c r="X1378">
        <v>0.08</v>
      </c>
      <c r="Y1378">
        <v>1</v>
      </c>
      <c r="Z1378">
        <v>10</v>
      </c>
    </row>
    <row r="1379" spans="1:26" x14ac:dyDescent="0.3">
      <c r="A1379">
        <v>79</v>
      </c>
      <c r="B1379">
        <v>115</v>
      </c>
      <c r="C1379" t="s">
        <v>26</v>
      </c>
      <c r="D1379">
        <v>10.3675</v>
      </c>
      <c r="E1379">
        <v>9.65</v>
      </c>
      <c r="F1379">
        <v>6.77</v>
      </c>
      <c r="G1379">
        <v>81.180000000000007</v>
      </c>
      <c r="H1379">
        <v>1.43</v>
      </c>
      <c r="I1379">
        <v>5</v>
      </c>
      <c r="J1379">
        <v>257.39999999999998</v>
      </c>
      <c r="K1379">
        <v>56.94</v>
      </c>
      <c r="L1379">
        <v>20.75</v>
      </c>
      <c r="M1379">
        <v>3</v>
      </c>
      <c r="N1379">
        <v>64.709999999999994</v>
      </c>
      <c r="O1379">
        <v>31980.59</v>
      </c>
      <c r="P1379">
        <v>93.95</v>
      </c>
      <c r="Q1379">
        <v>204.14</v>
      </c>
      <c r="R1379">
        <v>24.16</v>
      </c>
      <c r="S1379">
        <v>17.37</v>
      </c>
      <c r="T1379">
        <v>1298.99</v>
      </c>
      <c r="U1379">
        <v>0.72</v>
      </c>
      <c r="V1379">
        <v>0.75</v>
      </c>
      <c r="W1379">
        <v>1.1399999999999999</v>
      </c>
      <c r="X1379">
        <v>7.0000000000000007E-2</v>
      </c>
      <c r="Y1379">
        <v>1</v>
      </c>
      <c r="Z1379">
        <v>10</v>
      </c>
    </row>
    <row r="1380" spans="1:26" x14ac:dyDescent="0.3">
      <c r="A1380">
        <v>80</v>
      </c>
      <c r="B1380">
        <v>115</v>
      </c>
      <c r="C1380" t="s">
        <v>26</v>
      </c>
      <c r="D1380">
        <v>10.364800000000001</v>
      </c>
      <c r="E1380">
        <v>9.65</v>
      </c>
      <c r="F1380">
        <v>6.77</v>
      </c>
      <c r="G1380">
        <v>81.209999999999994</v>
      </c>
      <c r="H1380">
        <v>1.45</v>
      </c>
      <c r="I1380">
        <v>5</v>
      </c>
      <c r="J1380">
        <v>257.86</v>
      </c>
      <c r="K1380">
        <v>56.94</v>
      </c>
      <c r="L1380">
        <v>21</v>
      </c>
      <c r="M1380">
        <v>3</v>
      </c>
      <c r="N1380">
        <v>64.92</v>
      </c>
      <c r="O1380">
        <v>32037.22</v>
      </c>
      <c r="P1380">
        <v>93.82</v>
      </c>
      <c r="Q1380">
        <v>204.16</v>
      </c>
      <c r="R1380">
        <v>24.25</v>
      </c>
      <c r="S1380">
        <v>17.37</v>
      </c>
      <c r="T1380">
        <v>1342.4</v>
      </c>
      <c r="U1380">
        <v>0.72</v>
      </c>
      <c r="V1380">
        <v>0.75</v>
      </c>
      <c r="W1380">
        <v>1.1399999999999999</v>
      </c>
      <c r="X1380">
        <v>0.08</v>
      </c>
      <c r="Y1380">
        <v>1</v>
      </c>
      <c r="Z1380">
        <v>10</v>
      </c>
    </row>
    <row r="1381" spans="1:26" x14ac:dyDescent="0.3">
      <c r="A1381">
        <v>81</v>
      </c>
      <c r="B1381">
        <v>115</v>
      </c>
      <c r="C1381" t="s">
        <v>26</v>
      </c>
      <c r="D1381">
        <v>10.3651</v>
      </c>
      <c r="E1381">
        <v>9.65</v>
      </c>
      <c r="F1381">
        <v>6.77</v>
      </c>
      <c r="G1381">
        <v>81.209999999999994</v>
      </c>
      <c r="H1381">
        <v>1.46</v>
      </c>
      <c r="I1381">
        <v>5</v>
      </c>
      <c r="J1381">
        <v>258.32</v>
      </c>
      <c r="K1381">
        <v>56.94</v>
      </c>
      <c r="L1381">
        <v>21.25</v>
      </c>
      <c r="M1381">
        <v>3</v>
      </c>
      <c r="N1381">
        <v>65.13</v>
      </c>
      <c r="O1381">
        <v>32093.94</v>
      </c>
      <c r="P1381">
        <v>93.75</v>
      </c>
      <c r="Q1381">
        <v>204.14</v>
      </c>
      <c r="R1381">
        <v>24.27</v>
      </c>
      <c r="S1381">
        <v>17.37</v>
      </c>
      <c r="T1381">
        <v>1353.15</v>
      </c>
      <c r="U1381">
        <v>0.72</v>
      </c>
      <c r="V1381">
        <v>0.75</v>
      </c>
      <c r="W1381">
        <v>1.1399999999999999</v>
      </c>
      <c r="X1381">
        <v>0.08</v>
      </c>
      <c r="Y1381">
        <v>1</v>
      </c>
      <c r="Z1381">
        <v>10</v>
      </c>
    </row>
    <row r="1382" spans="1:26" x14ac:dyDescent="0.3">
      <c r="A1382">
        <v>82</v>
      </c>
      <c r="B1382">
        <v>115</v>
      </c>
      <c r="C1382" t="s">
        <v>26</v>
      </c>
      <c r="D1382">
        <v>10.3567</v>
      </c>
      <c r="E1382">
        <v>9.66</v>
      </c>
      <c r="F1382">
        <v>6.78</v>
      </c>
      <c r="G1382">
        <v>81.3</v>
      </c>
      <c r="H1382">
        <v>1.48</v>
      </c>
      <c r="I1382">
        <v>5</v>
      </c>
      <c r="J1382">
        <v>258.77999999999997</v>
      </c>
      <c r="K1382">
        <v>56.94</v>
      </c>
      <c r="L1382">
        <v>21.5</v>
      </c>
      <c r="M1382">
        <v>3</v>
      </c>
      <c r="N1382">
        <v>65.34</v>
      </c>
      <c r="O1382">
        <v>32150.720000000001</v>
      </c>
      <c r="P1382">
        <v>93.7</v>
      </c>
      <c r="Q1382">
        <v>204.14</v>
      </c>
      <c r="R1382">
        <v>24.42</v>
      </c>
      <c r="S1382">
        <v>17.37</v>
      </c>
      <c r="T1382">
        <v>1427.84</v>
      </c>
      <c r="U1382">
        <v>0.71</v>
      </c>
      <c r="V1382">
        <v>0.75</v>
      </c>
      <c r="W1382">
        <v>1.1499999999999999</v>
      </c>
      <c r="X1382">
        <v>0.08</v>
      </c>
      <c r="Y1382">
        <v>1</v>
      </c>
      <c r="Z1382">
        <v>10</v>
      </c>
    </row>
    <row r="1383" spans="1:26" x14ac:dyDescent="0.3">
      <c r="A1383">
        <v>83</v>
      </c>
      <c r="B1383">
        <v>115</v>
      </c>
      <c r="C1383" t="s">
        <v>26</v>
      </c>
      <c r="D1383">
        <v>10.3645</v>
      </c>
      <c r="E1383">
        <v>9.65</v>
      </c>
      <c r="F1383">
        <v>6.77</v>
      </c>
      <c r="G1383">
        <v>81.22</v>
      </c>
      <c r="H1383">
        <v>1.49</v>
      </c>
      <c r="I1383">
        <v>5</v>
      </c>
      <c r="J1383">
        <v>259.24</v>
      </c>
      <c r="K1383">
        <v>56.94</v>
      </c>
      <c r="L1383">
        <v>21.75</v>
      </c>
      <c r="M1383">
        <v>3</v>
      </c>
      <c r="N1383">
        <v>65.55</v>
      </c>
      <c r="O1383">
        <v>32207.59</v>
      </c>
      <c r="P1383">
        <v>93.21</v>
      </c>
      <c r="Q1383">
        <v>204.14</v>
      </c>
      <c r="R1383">
        <v>24.24</v>
      </c>
      <c r="S1383">
        <v>17.37</v>
      </c>
      <c r="T1383">
        <v>1337.64</v>
      </c>
      <c r="U1383">
        <v>0.72</v>
      </c>
      <c r="V1383">
        <v>0.75</v>
      </c>
      <c r="W1383">
        <v>1.1399999999999999</v>
      </c>
      <c r="X1383">
        <v>0.08</v>
      </c>
      <c r="Y1383">
        <v>1</v>
      </c>
      <c r="Z1383">
        <v>10</v>
      </c>
    </row>
    <row r="1384" spans="1:26" x14ac:dyDescent="0.3">
      <c r="A1384">
        <v>84</v>
      </c>
      <c r="B1384">
        <v>115</v>
      </c>
      <c r="C1384" t="s">
        <v>26</v>
      </c>
      <c r="D1384">
        <v>10.3696</v>
      </c>
      <c r="E1384">
        <v>9.64</v>
      </c>
      <c r="F1384">
        <v>6.76</v>
      </c>
      <c r="G1384">
        <v>81.16</v>
      </c>
      <c r="H1384">
        <v>1.51</v>
      </c>
      <c r="I1384">
        <v>5</v>
      </c>
      <c r="J1384">
        <v>259.70999999999998</v>
      </c>
      <c r="K1384">
        <v>56.94</v>
      </c>
      <c r="L1384">
        <v>22</v>
      </c>
      <c r="M1384">
        <v>3</v>
      </c>
      <c r="N1384">
        <v>65.760000000000005</v>
      </c>
      <c r="O1384">
        <v>32264.54</v>
      </c>
      <c r="P1384">
        <v>92.76</v>
      </c>
      <c r="Q1384">
        <v>204.14</v>
      </c>
      <c r="R1384">
        <v>24.11</v>
      </c>
      <c r="S1384">
        <v>17.37</v>
      </c>
      <c r="T1384">
        <v>1270.51</v>
      </c>
      <c r="U1384">
        <v>0.72</v>
      </c>
      <c r="V1384">
        <v>0.76</v>
      </c>
      <c r="W1384">
        <v>1.1399999999999999</v>
      </c>
      <c r="X1384">
        <v>7.0000000000000007E-2</v>
      </c>
      <c r="Y1384">
        <v>1</v>
      </c>
      <c r="Z1384">
        <v>10</v>
      </c>
    </row>
    <row r="1385" spans="1:26" x14ac:dyDescent="0.3">
      <c r="A1385">
        <v>85</v>
      </c>
      <c r="B1385">
        <v>115</v>
      </c>
      <c r="C1385" t="s">
        <v>26</v>
      </c>
      <c r="D1385">
        <v>10.4384</v>
      </c>
      <c r="E1385">
        <v>9.58</v>
      </c>
      <c r="F1385">
        <v>6.74</v>
      </c>
      <c r="G1385">
        <v>101.15</v>
      </c>
      <c r="H1385">
        <v>1.52</v>
      </c>
      <c r="I1385">
        <v>4</v>
      </c>
      <c r="J1385">
        <v>260.17</v>
      </c>
      <c r="K1385">
        <v>56.94</v>
      </c>
      <c r="L1385">
        <v>22.25</v>
      </c>
      <c r="M1385">
        <v>2</v>
      </c>
      <c r="N1385">
        <v>65.98</v>
      </c>
      <c r="O1385">
        <v>32321.56</v>
      </c>
      <c r="P1385">
        <v>92.33</v>
      </c>
      <c r="Q1385">
        <v>204.14</v>
      </c>
      <c r="R1385">
        <v>23.45</v>
      </c>
      <c r="S1385">
        <v>17.37</v>
      </c>
      <c r="T1385">
        <v>948.58</v>
      </c>
      <c r="U1385">
        <v>0.74</v>
      </c>
      <c r="V1385">
        <v>0.76</v>
      </c>
      <c r="W1385">
        <v>1.1399999999999999</v>
      </c>
      <c r="X1385">
        <v>0.05</v>
      </c>
      <c r="Y1385">
        <v>1</v>
      </c>
      <c r="Z1385">
        <v>10</v>
      </c>
    </row>
    <row r="1386" spans="1:26" x14ac:dyDescent="0.3">
      <c r="A1386">
        <v>86</v>
      </c>
      <c r="B1386">
        <v>115</v>
      </c>
      <c r="C1386" t="s">
        <v>26</v>
      </c>
      <c r="D1386">
        <v>10.4384</v>
      </c>
      <c r="E1386">
        <v>9.58</v>
      </c>
      <c r="F1386">
        <v>6.74</v>
      </c>
      <c r="G1386">
        <v>101.15</v>
      </c>
      <c r="H1386">
        <v>1.54</v>
      </c>
      <c r="I1386">
        <v>4</v>
      </c>
      <c r="J1386">
        <v>260.63</v>
      </c>
      <c r="K1386">
        <v>56.94</v>
      </c>
      <c r="L1386">
        <v>22.5</v>
      </c>
      <c r="M1386">
        <v>2</v>
      </c>
      <c r="N1386">
        <v>66.19</v>
      </c>
      <c r="O1386">
        <v>32378.67</v>
      </c>
      <c r="P1386">
        <v>92.47</v>
      </c>
      <c r="Q1386">
        <v>204.14</v>
      </c>
      <c r="R1386">
        <v>23.47</v>
      </c>
      <c r="S1386">
        <v>17.37</v>
      </c>
      <c r="T1386">
        <v>954.96</v>
      </c>
      <c r="U1386">
        <v>0.74</v>
      </c>
      <c r="V1386">
        <v>0.76</v>
      </c>
      <c r="W1386">
        <v>1.1399999999999999</v>
      </c>
      <c r="X1386">
        <v>0.05</v>
      </c>
      <c r="Y1386">
        <v>1</v>
      </c>
      <c r="Z1386">
        <v>10</v>
      </c>
    </row>
    <row r="1387" spans="1:26" x14ac:dyDescent="0.3">
      <c r="A1387">
        <v>87</v>
      </c>
      <c r="B1387">
        <v>115</v>
      </c>
      <c r="C1387" t="s">
        <v>26</v>
      </c>
      <c r="D1387">
        <v>10.432399999999999</v>
      </c>
      <c r="E1387">
        <v>9.59</v>
      </c>
      <c r="F1387">
        <v>6.75</v>
      </c>
      <c r="G1387">
        <v>101.24</v>
      </c>
      <c r="H1387">
        <v>1.55</v>
      </c>
      <c r="I1387">
        <v>4</v>
      </c>
      <c r="J1387">
        <v>261.08999999999997</v>
      </c>
      <c r="K1387">
        <v>56.94</v>
      </c>
      <c r="L1387">
        <v>22.75</v>
      </c>
      <c r="M1387">
        <v>2</v>
      </c>
      <c r="N1387">
        <v>66.400000000000006</v>
      </c>
      <c r="O1387">
        <v>32435.86</v>
      </c>
      <c r="P1387">
        <v>92.72</v>
      </c>
      <c r="Q1387">
        <v>204.14</v>
      </c>
      <c r="R1387">
        <v>23.64</v>
      </c>
      <c r="S1387">
        <v>17.37</v>
      </c>
      <c r="T1387">
        <v>1044.6600000000001</v>
      </c>
      <c r="U1387">
        <v>0.73</v>
      </c>
      <c r="V1387">
        <v>0.76</v>
      </c>
      <c r="W1387">
        <v>1.1399999999999999</v>
      </c>
      <c r="X1387">
        <v>0.06</v>
      </c>
      <c r="Y1387">
        <v>1</v>
      </c>
      <c r="Z1387">
        <v>10</v>
      </c>
    </row>
    <row r="1388" spans="1:26" x14ac:dyDescent="0.3">
      <c r="A1388">
        <v>88</v>
      </c>
      <c r="B1388">
        <v>115</v>
      </c>
      <c r="C1388" t="s">
        <v>26</v>
      </c>
      <c r="D1388">
        <v>10.432700000000001</v>
      </c>
      <c r="E1388">
        <v>9.59</v>
      </c>
      <c r="F1388">
        <v>6.75</v>
      </c>
      <c r="G1388">
        <v>101.23</v>
      </c>
      <c r="H1388">
        <v>1.56</v>
      </c>
      <c r="I1388">
        <v>4</v>
      </c>
      <c r="J1388">
        <v>261.56</v>
      </c>
      <c r="K1388">
        <v>56.94</v>
      </c>
      <c r="L1388">
        <v>23</v>
      </c>
      <c r="M1388">
        <v>2</v>
      </c>
      <c r="N1388">
        <v>66.62</v>
      </c>
      <c r="O1388">
        <v>32493.119999999999</v>
      </c>
      <c r="P1388">
        <v>92.83</v>
      </c>
      <c r="Q1388">
        <v>204.14</v>
      </c>
      <c r="R1388">
        <v>23.66</v>
      </c>
      <c r="S1388">
        <v>17.37</v>
      </c>
      <c r="T1388">
        <v>1051.1199999999999</v>
      </c>
      <c r="U1388">
        <v>0.73</v>
      </c>
      <c r="V1388">
        <v>0.76</v>
      </c>
      <c r="W1388">
        <v>1.1399999999999999</v>
      </c>
      <c r="X1388">
        <v>0.06</v>
      </c>
      <c r="Y1388">
        <v>1</v>
      </c>
      <c r="Z1388">
        <v>10</v>
      </c>
    </row>
    <row r="1389" spans="1:26" x14ac:dyDescent="0.3">
      <c r="A1389">
        <v>89</v>
      </c>
      <c r="B1389">
        <v>115</v>
      </c>
      <c r="C1389" t="s">
        <v>26</v>
      </c>
      <c r="D1389">
        <v>10.4312</v>
      </c>
      <c r="E1389">
        <v>9.59</v>
      </c>
      <c r="F1389">
        <v>6.75</v>
      </c>
      <c r="G1389">
        <v>101.25</v>
      </c>
      <c r="H1389">
        <v>1.58</v>
      </c>
      <c r="I1389">
        <v>4</v>
      </c>
      <c r="J1389">
        <v>262.02</v>
      </c>
      <c r="K1389">
        <v>56.94</v>
      </c>
      <c r="L1389">
        <v>23.25</v>
      </c>
      <c r="M1389">
        <v>2</v>
      </c>
      <c r="N1389">
        <v>66.83</v>
      </c>
      <c r="O1389">
        <v>32550.47</v>
      </c>
      <c r="P1389">
        <v>92.92</v>
      </c>
      <c r="Q1389">
        <v>204.14</v>
      </c>
      <c r="R1389">
        <v>23.69</v>
      </c>
      <c r="S1389">
        <v>17.37</v>
      </c>
      <c r="T1389">
        <v>1066.02</v>
      </c>
      <c r="U1389">
        <v>0.73</v>
      </c>
      <c r="V1389">
        <v>0.76</v>
      </c>
      <c r="W1389">
        <v>1.1399999999999999</v>
      </c>
      <c r="X1389">
        <v>0.06</v>
      </c>
      <c r="Y1389">
        <v>1</v>
      </c>
      <c r="Z1389">
        <v>10</v>
      </c>
    </row>
    <row r="1390" spans="1:26" x14ac:dyDescent="0.3">
      <c r="A1390">
        <v>90</v>
      </c>
      <c r="B1390">
        <v>115</v>
      </c>
      <c r="C1390" t="s">
        <v>26</v>
      </c>
      <c r="D1390">
        <v>10.430899999999999</v>
      </c>
      <c r="E1390">
        <v>9.59</v>
      </c>
      <c r="F1390">
        <v>6.75</v>
      </c>
      <c r="G1390">
        <v>101.26</v>
      </c>
      <c r="H1390">
        <v>1.59</v>
      </c>
      <c r="I1390">
        <v>4</v>
      </c>
      <c r="J1390">
        <v>262.49</v>
      </c>
      <c r="K1390">
        <v>56.94</v>
      </c>
      <c r="L1390">
        <v>23.5</v>
      </c>
      <c r="M1390">
        <v>2</v>
      </c>
      <c r="N1390">
        <v>67.05</v>
      </c>
      <c r="O1390">
        <v>32607.89</v>
      </c>
      <c r="P1390">
        <v>93.09</v>
      </c>
      <c r="Q1390">
        <v>204.14</v>
      </c>
      <c r="R1390">
        <v>23.68</v>
      </c>
      <c r="S1390">
        <v>17.37</v>
      </c>
      <c r="T1390">
        <v>1060.08</v>
      </c>
      <c r="U1390">
        <v>0.73</v>
      </c>
      <c r="V1390">
        <v>0.76</v>
      </c>
      <c r="W1390">
        <v>1.1399999999999999</v>
      </c>
      <c r="X1390">
        <v>0.06</v>
      </c>
      <c r="Y1390">
        <v>1</v>
      </c>
      <c r="Z1390">
        <v>10</v>
      </c>
    </row>
    <row r="1391" spans="1:26" x14ac:dyDescent="0.3">
      <c r="A1391">
        <v>91</v>
      </c>
      <c r="B1391">
        <v>115</v>
      </c>
      <c r="C1391" t="s">
        <v>26</v>
      </c>
      <c r="D1391">
        <v>10.432700000000001</v>
      </c>
      <c r="E1391">
        <v>9.59</v>
      </c>
      <c r="F1391">
        <v>6.75</v>
      </c>
      <c r="G1391">
        <v>101.23</v>
      </c>
      <c r="H1391">
        <v>1.61</v>
      </c>
      <c r="I1391">
        <v>4</v>
      </c>
      <c r="J1391">
        <v>262.95999999999998</v>
      </c>
      <c r="K1391">
        <v>56.94</v>
      </c>
      <c r="L1391">
        <v>23.75</v>
      </c>
      <c r="M1391">
        <v>2</v>
      </c>
      <c r="N1391">
        <v>67.260000000000005</v>
      </c>
      <c r="O1391">
        <v>32665.4</v>
      </c>
      <c r="P1391">
        <v>93.18</v>
      </c>
      <c r="Q1391">
        <v>204.14</v>
      </c>
      <c r="R1391">
        <v>23.59</v>
      </c>
      <c r="S1391">
        <v>17.37</v>
      </c>
      <c r="T1391">
        <v>1015.23</v>
      </c>
      <c r="U1391">
        <v>0.74</v>
      </c>
      <c r="V1391">
        <v>0.76</v>
      </c>
      <c r="W1391">
        <v>1.1399999999999999</v>
      </c>
      <c r="X1391">
        <v>0.06</v>
      </c>
      <c r="Y1391">
        <v>1</v>
      </c>
      <c r="Z1391">
        <v>10</v>
      </c>
    </row>
    <row r="1392" spans="1:26" x14ac:dyDescent="0.3">
      <c r="A1392">
        <v>92</v>
      </c>
      <c r="B1392">
        <v>115</v>
      </c>
      <c r="C1392" t="s">
        <v>26</v>
      </c>
      <c r="D1392">
        <v>10.4399</v>
      </c>
      <c r="E1392">
        <v>9.58</v>
      </c>
      <c r="F1392">
        <v>6.74</v>
      </c>
      <c r="G1392">
        <v>101.13</v>
      </c>
      <c r="H1392">
        <v>1.62</v>
      </c>
      <c r="I1392">
        <v>4</v>
      </c>
      <c r="J1392">
        <v>263.42</v>
      </c>
      <c r="K1392">
        <v>56.94</v>
      </c>
      <c r="L1392">
        <v>24</v>
      </c>
      <c r="M1392">
        <v>2</v>
      </c>
      <c r="N1392">
        <v>67.48</v>
      </c>
      <c r="O1392">
        <v>32722.99</v>
      </c>
      <c r="P1392">
        <v>93.17</v>
      </c>
      <c r="Q1392">
        <v>204.14</v>
      </c>
      <c r="R1392">
        <v>23.41</v>
      </c>
      <c r="S1392">
        <v>17.37</v>
      </c>
      <c r="T1392">
        <v>928.04</v>
      </c>
      <c r="U1392">
        <v>0.74</v>
      </c>
      <c r="V1392">
        <v>0.76</v>
      </c>
      <c r="W1392">
        <v>1.1399999999999999</v>
      </c>
      <c r="X1392">
        <v>0.05</v>
      </c>
      <c r="Y1392">
        <v>1</v>
      </c>
      <c r="Z1392">
        <v>10</v>
      </c>
    </row>
    <row r="1393" spans="1:26" x14ac:dyDescent="0.3">
      <c r="A1393">
        <v>93</v>
      </c>
      <c r="B1393">
        <v>115</v>
      </c>
      <c r="C1393" t="s">
        <v>26</v>
      </c>
      <c r="D1393">
        <v>10.436</v>
      </c>
      <c r="E1393">
        <v>9.58</v>
      </c>
      <c r="F1393">
        <v>6.75</v>
      </c>
      <c r="G1393">
        <v>101.19</v>
      </c>
      <c r="H1393">
        <v>1.64</v>
      </c>
      <c r="I1393">
        <v>4</v>
      </c>
      <c r="J1393">
        <v>263.89</v>
      </c>
      <c r="K1393">
        <v>56.94</v>
      </c>
      <c r="L1393">
        <v>24.25</v>
      </c>
      <c r="M1393">
        <v>2</v>
      </c>
      <c r="N1393">
        <v>67.7</v>
      </c>
      <c r="O1393">
        <v>32780.660000000003</v>
      </c>
      <c r="P1393">
        <v>93.2</v>
      </c>
      <c r="Q1393">
        <v>204.14</v>
      </c>
      <c r="R1393">
        <v>23.53</v>
      </c>
      <c r="S1393">
        <v>17.37</v>
      </c>
      <c r="T1393">
        <v>988.29</v>
      </c>
      <c r="U1393">
        <v>0.74</v>
      </c>
      <c r="V1393">
        <v>0.76</v>
      </c>
      <c r="W1393">
        <v>1.1399999999999999</v>
      </c>
      <c r="X1393">
        <v>0.05</v>
      </c>
      <c r="Y1393">
        <v>1</v>
      </c>
      <c r="Z1393">
        <v>10</v>
      </c>
    </row>
    <row r="1394" spans="1:26" x14ac:dyDescent="0.3">
      <c r="A1394">
        <v>94</v>
      </c>
      <c r="B1394">
        <v>115</v>
      </c>
      <c r="C1394" t="s">
        <v>26</v>
      </c>
      <c r="D1394">
        <v>10.4351</v>
      </c>
      <c r="E1394">
        <v>9.58</v>
      </c>
      <c r="F1394">
        <v>6.75</v>
      </c>
      <c r="G1394">
        <v>101.2</v>
      </c>
      <c r="H1394">
        <v>1.65</v>
      </c>
      <c r="I1394">
        <v>4</v>
      </c>
      <c r="J1394">
        <v>264.36</v>
      </c>
      <c r="K1394">
        <v>56.94</v>
      </c>
      <c r="L1394">
        <v>24.5</v>
      </c>
      <c r="M1394">
        <v>2</v>
      </c>
      <c r="N1394">
        <v>67.92</v>
      </c>
      <c r="O1394">
        <v>32838.42</v>
      </c>
      <c r="P1394">
        <v>93.13</v>
      </c>
      <c r="Q1394">
        <v>204.15</v>
      </c>
      <c r="R1394">
        <v>23.56</v>
      </c>
      <c r="S1394">
        <v>17.37</v>
      </c>
      <c r="T1394">
        <v>1002.83</v>
      </c>
      <c r="U1394">
        <v>0.74</v>
      </c>
      <c r="V1394">
        <v>0.76</v>
      </c>
      <c r="W1394">
        <v>1.1399999999999999</v>
      </c>
      <c r="X1394">
        <v>0.06</v>
      </c>
      <c r="Y1394">
        <v>1</v>
      </c>
      <c r="Z1394">
        <v>10</v>
      </c>
    </row>
    <row r="1395" spans="1:26" x14ac:dyDescent="0.3">
      <c r="A1395">
        <v>95</v>
      </c>
      <c r="B1395">
        <v>115</v>
      </c>
      <c r="C1395" t="s">
        <v>26</v>
      </c>
      <c r="D1395">
        <v>10.429</v>
      </c>
      <c r="E1395">
        <v>9.59</v>
      </c>
      <c r="F1395">
        <v>6.75</v>
      </c>
      <c r="G1395">
        <v>101.28</v>
      </c>
      <c r="H1395">
        <v>1.66</v>
      </c>
      <c r="I1395">
        <v>4</v>
      </c>
      <c r="J1395">
        <v>264.83</v>
      </c>
      <c r="K1395">
        <v>56.94</v>
      </c>
      <c r="L1395">
        <v>24.75</v>
      </c>
      <c r="M1395">
        <v>2</v>
      </c>
      <c r="N1395">
        <v>68.13</v>
      </c>
      <c r="O1395">
        <v>32896.26</v>
      </c>
      <c r="P1395">
        <v>93.18</v>
      </c>
      <c r="Q1395">
        <v>204.15</v>
      </c>
      <c r="R1395">
        <v>23.74</v>
      </c>
      <c r="S1395">
        <v>17.37</v>
      </c>
      <c r="T1395">
        <v>1094.0999999999999</v>
      </c>
      <c r="U1395">
        <v>0.73</v>
      </c>
      <c r="V1395">
        <v>0.76</v>
      </c>
      <c r="W1395">
        <v>1.1399999999999999</v>
      </c>
      <c r="X1395">
        <v>0.06</v>
      </c>
      <c r="Y1395">
        <v>1</v>
      </c>
      <c r="Z1395">
        <v>10</v>
      </c>
    </row>
    <row r="1396" spans="1:26" x14ac:dyDescent="0.3">
      <c r="A1396">
        <v>96</v>
      </c>
      <c r="B1396">
        <v>115</v>
      </c>
      <c r="C1396" t="s">
        <v>26</v>
      </c>
      <c r="D1396">
        <v>10.4321</v>
      </c>
      <c r="E1396">
        <v>9.59</v>
      </c>
      <c r="F1396">
        <v>6.75</v>
      </c>
      <c r="G1396">
        <v>101.24</v>
      </c>
      <c r="H1396">
        <v>1.68</v>
      </c>
      <c r="I1396">
        <v>4</v>
      </c>
      <c r="J1396">
        <v>265.3</v>
      </c>
      <c r="K1396">
        <v>56.94</v>
      </c>
      <c r="L1396">
        <v>25</v>
      </c>
      <c r="M1396">
        <v>2</v>
      </c>
      <c r="N1396">
        <v>68.349999999999994</v>
      </c>
      <c r="O1396">
        <v>32954.18</v>
      </c>
      <c r="P1396">
        <v>93.06</v>
      </c>
      <c r="Q1396">
        <v>204.14</v>
      </c>
      <c r="R1396">
        <v>23.73</v>
      </c>
      <c r="S1396">
        <v>17.37</v>
      </c>
      <c r="T1396">
        <v>1085.3699999999999</v>
      </c>
      <c r="U1396">
        <v>0.73</v>
      </c>
      <c r="V1396">
        <v>0.76</v>
      </c>
      <c r="W1396">
        <v>1.1399999999999999</v>
      </c>
      <c r="X1396">
        <v>0.06</v>
      </c>
      <c r="Y1396">
        <v>1</v>
      </c>
      <c r="Z1396">
        <v>10</v>
      </c>
    </row>
    <row r="1397" spans="1:26" x14ac:dyDescent="0.3">
      <c r="A1397">
        <v>97</v>
      </c>
      <c r="B1397">
        <v>115</v>
      </c>
      <c r="C1397" t="s">
        <v>26</v>
      </c>
      <c r="D1397">
        <v>10.432399999999999</v>
      </c>
      <c r="E1397">
        <v>9.59</v>
      </c>
      <c r="F1397">
        <v>6.75</v>
      </c>
      <c r="G1397">
        <v>101.24</v>
      </c>
      <c r="H1397">
        <v>1.69</v>
      </c>
      <c r="I1397">
        <v>4</v>
      </c>
      <c r="J1397">
        <v>265.77</v>
      </c>
      <c r="K1397">
        <v>56.94</v>
      </c>
      <c r="L1397">
        <v>25.25</v>
      </c>
      <c r="M1397">
        <v>2</v>
      </c>
      <c r="N1397">
        <v>68.569999999999993</v>
      </c>
      <c r="O1397">
        <v>33012.18</v>
      </c>
      <c r="P1397">
        <v>93.03</v>
      </c>
      <c r="Q1397">
        <v>204.15</v>
      </c>
      <c r="R1397">
        <v>23.66</v>
      </c>
      <c r="S1397">
        <v>17.37</v>
      </c>
      <c r="T1397">
        <v>1052.93</v>
      </c>
      <c r="U1397">
        <v>0.73</v>
      </c>
      <c r="V1397">
        <v>0.76</v>
      </c>
      <c r="W1397">
        <v>1.1399999999999999</v>
      </c>
      <c r="X1397">
        <v>0.06</v>
      </c>
      <c r="Y1397">
        <v>1</v>
      </c>
      <c r="Z1397">
        <v>10</v>
      </c>
    </row>
    <row r="1398" spans="1:26" x14ac:dyDescent="0.3">
      <c r="A1398">
        <v>98</v>
      </c>
      <c r="B1398">
        <v>115</v>
      </c>
      <c r="C1398" t="s">
        <v>26</v>
      </c>
      <c r="D1398">
        <v>10.4354</v>
      </c>
      <c r="E1398">
        <v>9.58</v>
      </c>
      <c r="F1398">
        <v>6.75</v>
      </c>
      <c r="G1398">
        <v>101.2</v>
      </c>
      <c r="H1398">
        <v>1.7</v>
      </c>
      <c r="I1398">
        <v>4</v>
      </c>
      <c r="J1398">
        <v>266.24</v>
      </c>
      <c r="K1398">
        <v>56.94</v>
      </c>
      <c r="L1398">
        <v>25.5</v>
      </c>
      <c r="M1398">
        <v>2</v>
      </c>
      <c r="N1398">
        <v>68.8</v>
      </c>
      <c r="O1398">
        <v>33070.26</v>
      </c>
      <c r="P1398">
        <v>92.82</v>
      </c>
      <c r="Q1398">
        <v>204.14</v>
      </c>
      <c r="R1398">
        <v>23.55</v>
      </c>
      <c r="S1398">
        <v>17.37</v>
      </c>
      <c r="T1398">
        <v>997.44</v>
      </c>
      <c r="U1398">
        <v>0.74</v>
      </c>
      <c r="V1398">
        <v>0.76</v>
      </c>
      <c r="W1398">
        <v>1.1399999999999999</v>
      </c>
      <c r="X1398">
        <v>0.06</v>
      </c>
      <c r="Y1398">
        <v>1</v>
      </c>
      <c r="Z1398">
        <v>10</v>
      </c>
    </row>
    <row r="1399" spans="1:26" x14ac:dyDescent="0.3">
      <c r="A1399">
        <v>99</v>
      </c>
      <c r="B1399">
        <v>115</v>
      </c>
      <c r="C1399" t="s">
        <v>26</v>
      </c>
      <c r="D1399">
        <v>10.436299999999999</v>
      </c>
      <c r="E1399">
        <v>9.58</v>
      </c>
      <c r="F1399">
        <v>6.75</v>
      </c>
      <c r="G1399">
        <v>101.18</v>
      </c>
      <c r="H1399">
        <v>1.72</v>
      </c>
      <c r="I1399">
        <v>4</v>
      </c>
      <c r="J1399">
        <v>266.70999999999998</v>
      </c>
      <c r="K1399">
        <v>56.94</v>
      </c>
      <c r="L1399">
        <v>25.75</v>
      </c>
      <c r="M1399">
        <v>2</v>
      </c>
      <c r="N1399">
        <v>69.02</v>
      </c>
      <c r="O1399">
        <v>33128.44</v>
      </c>
      <c r="P1399">
        <v>92.8</v>
      </c>
      <c r="Q1399">
        <v>204.14</v>
      </c>
      <c r="R1399">
        <v>23.54</v>
      </c>
      <c r="S1399">
        <v>17.37</v>
      </c>
      <c r="T1399">
        <v>990.16</v>
      </c>
      <c r="U1399">
        <v>0.74</v>
      </c>
      <c r="V1399">
        <v>0.76</v>
      </c>
      <c r="W1399">
        <v>1.1399999999999999</v>
      </c>
      <c r="X1399">
        <v>0.05</v>
      </c>
      <c r="Y1399">
        <v>1</v>
      </c>
      <c r="Z1399">
        <v>10</v>
      </c>
    </row>
    <row r="1400" spans="1:26" x14ac:dyDescent="0.3">
      <c r="A1400">
        <v>100</v>
      </c>
      <c r="B1400">
        <v>115</v>
      </c>
      <c r="C1400" t="s">
        <v>26</v>
      </c>
      <c r="D1400">
        <v>10.439299999999999</v>
      </c>
      <c r="E1400">
        <v>9.58</v>
      </c>
      <c r="F1400">
        <v>6.74</v>
      </c>
      <c r="G1400">
        <v>101.14</v>
      </c>
      <c r="H1400">
        <v>1.73</v>
      </c>
      <c r="I1400">
        <v>4</v>
      </c>
      <c r="J1400">
        <v>267.18</v>
      </c>
      <c r="K1400">
        <v>56.94</v>
      </c>
      <c r="L1400">
        <v>26</v>
      </c>
      <c r="M1400">
        <v>2</v>
      </c>
      <c r="N1400">
        <v>69.239999999999995</v>
      </c>
      <c r="O1400">
        <v>33186.69</v>
      </c>
      <c r="P1400">
        <v>92.61</v>
      </c>
      <c r="Q1400">
        <v>204.15</v>
      </c>
      <c r="R1400">
        <v>23.43</v>
      </c>
      <c r="S1400">
        <v>17.37</v>
      </c>
      <c r="T1400">
        <v>935.09</v>
      </c>
      <c r="U1400">
        <v>0.74</v>
      </c>
      <c r="V1400">
        <v>0.76</v>
      </c>
      <c r="W1400">
        <v>1.1399999999999999</v>
      </c>
      <c r="X1400">
        <v>0.05</v>
      </c>
      <c r="Y1400">
        <v>1</v>
      </c>
      <c r="Z1400">
        <v>10</v>
      </c>
    </row>
    <row r="1401" spans="1:26" x14ac:dyDescent="0.3">
      <c r="A1401">
        <v>101</v>
      </c>
      <c r="B1401">
        <v>115</v>
      </c>
      <c r="C1401" t="s">
        <v>26</v>
      </c>
      <c r="D1401">
        <v>10.440200000000001</v>
      </c>
      <c r="E1401">
        <v>9.58</v>
      </c>
      <c r="F1401">
        <v>6.74</v>
      </c>
      <c r="G1401">
        <v>101.13</v>
      </c>
      <c r="H1401">
        <v>1.75</v>
      </c>
      <c r="I1401">
        <v>4</v>
      </c>
      <c r="J1401">
        <v>267.66000000000003</v>
      </c>
      <c r="K1401">
        <v>56.94</v>
      </c>
      <c r="L1401">
        <v>26.25</v>
      </c>
      <c r="M1401">
        <v>2</v>
      </c>
      <c r="N1401">
        <v>69.459999999999994</v>
      </c>
      <c r="O1401">
        <v>33245.03</v>
      </c>
      <c r="P1401">
        <v>92.45</v>
      </c>
      <c r="Q1401">
        <v>204.14</v>
      </c>
      <c r="R1401">
        <v>23.38</v>
      </c>
      <c r="S1401">
        <v>17.37</v>
      </c>
      <c r="T1401">
        <v>910.24</v>
      </c>
      <c r="U1401">
        <v>0.74</v>
      </c>
      <c r="V1401">
        <v>0.76</v>
      </c>
      <c r="W1401">
        <v>1.1399999999999999</v>
      </c>
      <c r="X1401">
        <v>0.05</v>
      </c>
      <c r="Y1401">
        <v>1</v>
      </c>
      <c r="Z1401">
        <v>10</v>
      </c>
    </row>
    <row r="1402" spans="1:26" x14ac:dyDescent="0.3">
      <c r="A1402">
        <v>102</v>
      </c>
      <c r="B1402">
        <v>115</v>
      </c>
      <c r="C1402" t="s">
        <v>26</v>
      </c>
      <c r="D1402">
        <v>10.436</v>
      </c>
      <c r="E1402">
        <v>9.58</v>
      </c>
      <c r="F1402">
        <v>6.75</v>
      </c>
      <c r="G1402">
        <v>101.19</v>
      </c>
      <c r="H1402">
        <v>1.76</v>
      </c>
      <c r="I1402">
        <v>4</v>
      </c>
      <c r="J1402">
        <v>268.13</v>
      </c>
      <c r="K1402">
        <v>56.94</v>
      </c>
      <c r="L1402">
        <v>26.5</v>
      </c>
      <c r="M1402">
        <v>2</v>
      </c>
      <c r="N1402">
        <v>69.69</v>
      </c>
      <c r="O1402">
        <v>33303.46</v>
      </c>
      <c r="P1402">
        <v>92.34</v>
      </c>
      <c r="Q1402">
        <v>204.14</v>
      </c>
      <c r="R1402">
        <v>23.45</v>
      </c>
      <c r="S1402">
        <v>17.37</v>
      </c>
      <c r="T1402">
        <v>948.55</v>
      </c>
      <c r="U1402">
        <v>0.74</v>
      </c>
      <c r="V1402">
        <v>0.76</v>
      </c>
      <c r="W1402">
        <v>1.1399999999999999</v>
      </c>
      <c r="X1402">
        <v>0.05</v>
      </c>
      <c r="Y1402">
        <v>1</v>
      </c>
      <c r="Z1402">
        <v>10</v>
      </c>
    </row>
    <row r="1403" spans="1:26" x14ac:dyDescent="0.3">
      <c r="A1403">
        <v>103</v>
      </c>
      <c r="B1403">
        <v>115</v>
      </c>
      <c r="C1403" t="s">
        <v>26</v>
      </c>
      <c r="D1403">
        <v>10.440799999999999</v>
      </c>
      <c r="E1403">
        <v>9.58</v>
      </c>
      <c r="F1403">
        <v>6.74</v>
      </c>
      <c r="G1403">
        <v>101.12</v>
      </c>
      <c r="H1403">
        <v>1.77</v>
      </c>
      <c r="I1403">
        <v>4</v>
      </c>
      <c r="J1403">
        <v>268.60000000000002</v>
      </c>
      <c r="K1403">
        <v>56.94</v>
      </c>
      <c r="L1403">
        <v>26.75</v>
      </c>
      <c r="M1403">
        <v>2</v>
      </c>
      <c r="N1403">
        <v>69.91</v>
      </c>
      <c r="O1403">
        <v>33361.97</v>
      </c>
      <c r="P1403">
        <v>92.04</v>
      </c>
      <c r="Q1403">
        <v>204.14</v>
      </c>
      <c r="R1403">
        <v>23.37</v>
      </c>
      <c r="S1403">
        <v>17.37</v>
      </c>
      <c r="T1403">
        <v>906.62</v>
      </c>
      <c r="U1403">
        <v>0.74</v>
      </c>
      <c r="V1403">
        <v>0.76</v>
      </c>
      <c r="W1403">
        <v>1.1399999999999999</v>
      </c>
      <c r="X1403">
        <v>0.05</v>
      </c>
      <c r="Y1403">
        <v>1</v>
      </c>
      <c r="Z1403">
        <v>10</v>
      </c>
    </row>
    <row r="1404" spans="1:26" x14ac:dyDescent="0.3">
      <c r="A1404">
        <v>104</v>
      </c>
      <c r="B1404">
        <v>115</v>
      </c>
      <c r="C1404" t="s">
        <v>26</v>
      </c>
      <c r="D1404">
        <v>10.438700000000001</v>
      </c>
      <c r="E1404">
        <v>9.58</v>
      </c>
      <c r="F1404">
        <v>6.74</v>
      </c>
      <c r="G1404">
        <v>101.15</v>
      </c>
      <c r="H1404">
        <v>1.79</v>
      </c>
      <c r="I1404">
        <v>4</v>
      </c>
      <c r="J1404">
        <v>269.08</v>
      </c>
      <c r="K1404">
        <v>56.94</v>
      </c>
      <c r="L1404">
        <v>27</v>
      </c>
      <c r="M1404">
        <v>2</v>
      </c>
      <c r="N1404">
        <v>70.14</v>
      </c>
      <c r="O1404">
        <v>33420.559999999998</v>
      </c>
      <c r="P1404">
        <v>91.94</v>
      </c>
      <c r="Q1404">
        <v>204.14</v>
      </c>
      <c r="R1404">
        <v>23.41</v>
      </c>
      <c r="S1404">
        <v>17.37</v>
      </c>
      <c r="T1404">
        <v>925.93</v>
      </c>
      <c r="U1404">
        <v>0.74</v>
      </c>
      <c r="V1404">
        <v>0.76</v>
      </c>
      <c r="W1404">
        <v>1.1399999999999999</v>
      </c>
      <c r="X1404">
        <v>0.05</v>
      </c>
      <c r="Y1404">
        <v>1</v>
      </c>
      <c r="Z1404">
        <v>10</v>
      </c>
    </row>
    <row r="1405" spans="1:26" x14ac:dyDescent="0.3">
      <c r="A1405">
        <v>105</v>
      </c>
      <c r="B1405">
        <v>115</v>
      </c>
      <c r="C1405" t="s">
        <v>26</v>
      </c>
      <c r="D1405">
        <v>10.4411</v>
      </c>
      <c r="E1405">
        <v>9.58</v>
      </c>
      <c r="F1405">
        <v>6.74</v>
      </c>
      <c r="G1405">
        <v>101.12</v>
      </c>
      <c r="H1405">
        <v>1.8</v>
      </c>
      <c r="I1405">
        <v>4</v>
      </c>
      <c r="J1405">
        <v>269.55</v>
      </c>
      <c r="K1405">
        <v>56.94</v>
      </c>
      <c r="L1405">
        <v>27.25</v>
      </c>
      <c r="M1405">
        <v>2</v>
      </c>
      <c r="N1405">
        <v>70.36</v>
      </c>
      <c r="O1405">
        <v>33479.25</v>
      </c>
      <c r="P1405">
        <v>91.57</v>
      </c>
      <c r="Q1405">
        <v>204.15</v>
      </c>
      <c r="R1405">
        <v>23.4</v>
      </c>
      <c r="S1405">
        <v>17.37</v>
      </c>
      <c r="T1405">
        <v>921.75</v>
      </c>
      <c r="U1405">
        <v>0.74</v>
      </c>
      <c r="V1405">
        <v>0.76</v>
      </c>
      <c r="W1405">
        <v>1.1399999999999999</v>
      </c>
      <c r="X1405">
        <v>0.05</v>
      </c>
      <c r="Y1405">
        <v>1</v>
      </c>
      <c r="Z1405">
        <v>10</v>
      </c>
    </row>
    <row r="1406" spans="1:26" x14ac:dyDescent="0.3">
      <c r="A1406">
        <v>106</v>
      </c>
      <c r="B1406">
        <v>115</v>
      </c>
      <c r="C1406" t="s">
        <v>26</v>
      </c>
      <c r="D1406">
        <v>10.4451</v>
      </c>
      <c r="E1406">
        <v>9.57</v>
      </c>
      <c r="F1406">
        <v>6.74</v>
      </c>
      <c r="G1406">
        <v>101.06</v>
      </c>
      <c r="H1406">
        <v>1.81</v>
      </c>
      <c r="I1406">
        <v>4</v>
      </c>
      <c r="J1406">
        <v>270.02999999999997</v>
      </c>
      <c r="K1406">
        <v>56.94</v>
      </c>
      <c r="L1406">
        <v>27.5</v>
      </c>
      <c r="M1406">
        <v>2</v>
      </c>
      <c r="N1406">
        <v>70.59</v>
      </c>
      <c r="O1406">
        <v>33538.019999999997</v>
      </c>
      <c r="P1406">
        <v>91.38</v>
      </c>
      <c r="Q1406">
        <v>204.14</v>
      </c>
      <c r="R1406">
        <v>23.28</v>
      </c>
      <c r="S1406">
        <v>17.37</v>
      </c>
      <c r="T1406">
        <v>864.09</v>
      </c>
      <c r="U1406">
        <v>0.75</v>
      </c>
      <c r="V1406">
        <v>0.76</v>
      </c>
      <c r="W1406">
        <v>1.1399999999999999</v>
      </c>
      <c r="X1406">
        <v>0.05</v>
      </c>
      <c r="Y1406">
        <v>1</v>
      </c>
      <c r="Z1406">
        <v>10</v>
      </c>
    </row>
    <row r="1407" spans="1:26" x14ac:dyDescent="0.3">
      <c r="A1407">
        <v>107</v>
      </c>
      <c r="B1407">
        <v>115</v>
      </c>
      <c r="C1407" t="s">
        <v>26</v>
      </c>
      <c r="D1407">
        <v>10.4457</v>
      </c>
      <c r="E1407">
        <v>9.57</v>
      </c>
      <c r="F1407">
        <v>6.74</v>
      </c>
      <c r="G1407">
        <v>101.05</v>
      </c>
      <c r="H1407">
        <v>1.83</v>
      </c>
      <c r="I1407">
        <v>4</v>
      </c>
      <c r="J1407">
        <v>270.51</v>
      </c>
      <c r="K1407">
        <v>56.94</v>
      </c>
      <c r="L1407">
        <v>27.75</v>
      </c>
      <c r="M1407">
        <v>2</v>
      </c>
      <c r="N1407">
        <v>70.819999999999993</v>
      </c>
      <c r="O1407">
        <v>33596.870000000003</v>
      </c>
      <c r="P1407">
        <v>91.08</v>
      </c>
      <c r="Q1407">
        <v>204.14</v>
      </c>
      <c r="R1407">
        <v>23.17</v>
      </c>
      <c r="S1407">
        <v>17.37</v>
      </c>
      <c r="T1407">
        <v>807.62</v>
      </c>
      <c r="U1407">
        <v>0.75</v>
      </c>
      <c r="V1407">
        <v>0.76</v>
      </c>
      <c r="W1407">
        <v>1.1399999999999999</v>
      </c>
      <c r="X1407">
        <v>0.05</v>
      </c>
      <c r="Y1407">
        <v>1</v>
      </c>
      <c r="Z1407">
        <v>10</v>
      </c>
    </row>
    <row r="1408" spans="1:26" x14ac:dyDescent="0.3">
      <c r="A1408">
        <v>108</v>
      </c>
      <c r="B1408">
        <v>115</v>
      </c>
      <c r="C1408" t="s">
        <v>26</v>
      </c>
      <c r="D1408">
        <v>10.449299999999999</v>
      </c>
      <c r="E1408">
        <v>9.57</v>
      </c>
      <c r="F1408">
        <v>6.73</v>
      </c>
      <c r="G1408">
        <v>101</v>
      </c>
      <c r="H1408">
        <v>1.84</v>
      </c>
      <c r="I1408">
        <v>4</v>
      </c>
      <c r="J1408">
        <v>270.99</v>
      </c>
      <c r="K1408">
        <v>56.94</v>
      </c>
      <c r="L1408">
        <v>28</v>
      </c>
      <c r="M1408">
        <v>2</v>
      </c>
      <c r="N1408">
        <v>71.040000000000006</v>
      </c>
      <c r="O1408">
        <v>33655.82</v>
      </c>
      <c r="P1408">
        <v>90.81</v>
      </c>
      <c r="Q1408">
        <v>204.14</v>
      </c>
      <c r="R1408">
        <v>23.1</v>
      </c>
      <c r="S1408">
        <v>17.37</v>
      </c>
      <c r="T1408">
        <v>770.75</v>
      </c>
      <c r="U1408">
        <v>0.75</v>
      </c>
      <c r="V1408">
        <v>0.76</v>
      </c>
      <c r="W1408">
        <v>1.1399999999999999</v>
      </c>
      <c r="X1408">
        <v>0.04</v>
      </c>
      <c r="Y1408">
        <v>1</v>
      </c>
      <c r="Z1408">
        <v>10</v>
      </c>
    </row>
    <row r="1409" spans="1:26" x14ac:dyDescent="0.3">
      <c r="A1409">
        <v>109</v>
      </c>
      <c r="B1409">
        <v>115</v>
      </c>
      <c r="C1409" t="s">
        <v>26</v>
      </c>
      <c r="D1409">
        <v>10.4445</v>
      </c>
      <c r="E1409">
        <v>9.57</v>
      </c>
      <c r="F1409">
        <v>6.74</v>
      </c>
      <c r="G1409">
        <v>101.07</v>
      </c>
      <c r="H1409">
        <v>1.85</v>
      </c>
      <c r="I1409">
        <v>4</v>
      </c>
      <c r="J1409">
        <v>271.45999999999998</v>
      </c>
      <c r="K1409">
        <v>56.94</v>
      </c>
      <c r="L1409">
        <v>28.25</v>
      </c>
      <c r="M1409">
        <v>2</v>
      </c>
      <c r="N1409">
        <v>71.27</v>
      </c>
      <c r="O1409">
        <v>33714.85</v>
      </c>
      <c r="P1409">
        <v>90.6</v>
      </c>
      <c r="Q1409">
        <v>204.14</v>
      </c>
      <c r="R1409">
        <v>23.2</v>
      </c>
      <c r="S1409">
        <v>17.37</v>
      </c>
      <c r="T1409">
        <v>821.37</v>
      </c>
      <c r="U1409">
        <v>0.75</v>
      </c>
      <c r="V1409">
        <v>0.76</v>
      </c>
      <c r="W1409">
        <v>1.1399999999999999</v>
      </c>
      <c r="X1409">
        <v>0.05</v>
      </c>
      <c r="Y1409">
        <v>1</v>
      </c>
      <c r="Z1409">
        <v>10</v>
      </c>
    </row>
    <row r="1410" spans="1:26" x14ac:dyDescent="0.3">
      <c r="A1410">
        <v>110</v>
      </c>
      <c r="B1410">
        <v>115</v>
      </c>
      <c r="C1410" t="s">
        <v>26</v>
      </c>
      <c r="D1410">
        <v>10.4451</v>
      </c>
      <c r="E1410">
        <v>9.57</v>
      </c>
      <c r="F1410">
        <v>6.74</v>
      </c>
      <c r="G1410">
        <v>101.06</v>
      </c>
      <c r="H1410">
        <v>1.87</v>
      </c>
      <c r="I1410">
        <v>4</v>
      </c>
      <c r="J1410">
        <v>271.94</v>
      </c>
      <c r="K1410">
        <v>56.94</v>
      </c>
      <c r="L1410">
        <v>28.5</v>
      </c>
      <c r="M1410">
        <v>2</v>
      </c>
      <c r="N1410">
        <v>71.5</v>
      </c>
      <c r="O1410">
        <v>33773.97</v>
      </c>
      <c r="P1410">
        <v>90.39</v>
      </c>
      <c r="Q1410">
        <v>204.14</v>
      </c>
      <c r="R1410">
        <v>23.23</v>
      </c>
      <c r="S1410">
        <v>17.37</v>
      </c>
      <c r="T1410">
        <v>837.17</v>
      </c>
      <c r="U1410">
        <v>0.75</v>
      </c>
      <c r="V1410">
        <v>0.76</v>
      </c>
      <c r="W1410">
        <v>1.1399999999999999</v>
      </c>
      <c r="X1410">
        <v>0.05</v>
      </c>
      <c r="Y1410">
        <v>1</v>
      </c>
      <c r="Z1410">
        <v>10</v>
      </c>
    </row>
    <row r="1411" spans="1:26" x14ac:dyDescent="0.3">
      <c r="A1411">
        <v>111</v>
      </c>
      <c r="B1411">
        <v>115</v>
      </c>
      <c r="C1411" t="s">
        <v>26</v>
      </c>
      <c r="D1411">
        <v>10.4427</v>
      </c>
      <c r="E1411">
        <v>9.58</v>
      </c>
      <c r="F1411">
        <v>6.74</v>
      </c>
      <c r="G1411">
        <v>101.1</v>
      </c>
      <c r="H1411">
        <v>1.88</v>
      </c>
      <c r="I1411">
        <v>4</v>
      </c>
      <c r="J1411">
        <v>272.43</v>
      </c>
      <c r="K1411">
        <v>56.94</v>
      </c>
      <c r="L1411">
        <v>28.75</v>
      </c>
      <c r="M1411">
        <v>2</v>
      </c>
      <c r="N1411">
        <v>71.73</v>
      </c>
      <c r="O1411">
        <v>33833.300000000003</v>
      </c>
      <c r="P1411">
        <v>90.22</v>
      </c>
      <c r="Q1411">
        <v>204.14</v>
      </c>
      <c r="R1411">
        <v>23.26</v>
      </c>
      <c r="S1411">
        <v>17.37</v>
      </c>
      <c r="T1411">
        <v>852.03</v>
      </c>
      <c r="U1411">
        <v>0.75</v>
      </c>
      <c r="V1411">
        <v>0.76</v>
      </c>
      <c r="W1411">
        <v>1.1399999999999999</v>
      </c>
      <c r="X1411">
        <v>0.05</v>
      </c>
      <c r="Y1411">
        <v>1</v>
      </c>
      <c r="Z1411">
        <v>10</v>
      </c>
    </row>
    <row r="1412" spans="1:26" x14ac:dyDescent="0.3">
      <c r="A1412">
        <v>112</v>
      </c>
      <c r="B1412">
        <v>115</v>
      </c>
      <c r="C1412" t="s">
        <v>26</v>
      </c>
      <c r="D1412">
        <v>10.439299999999999</v>
      </c>
      <c r="E1412">
        <v>9.58</v>
      </c>
      <c r="F1412">
        <v>6.74</v>
      </c>
      <c r="G1412">
        <v>101.14</v>
      </c>
      <c r="H1412">
        <v>1.89</v>
      </c>
      <c r="I1412">
        <v>4</v>
      </c>
      <c r="J1412">
        <v>272.91000000000003</v>
      </c>
      <c r="K1412">
        <v>56.94</v>
      </c>
      <c r="L1412">
        <v>29</v>
      </c>
      <c r="M1412">
        <v>2</v>
      </c>
      <c r="N1412">
        <v>71.959999999999994</v>
      </c>
      <c r="O1412">
        <v>33892.61</v>
      </c>
      <c r="P1412">
        <v>89.96</v>
      </c>
      <c r="Q1412">
        <v>204.14</v>
      </c>
      <c r="R1412">
        <v>23.42</v>
      </c>
      <c r="S1412">
        <v>17.37</v>
      </c>
      <c r="T1412">
        <v>934.28</v>
      </c>
      <c r="U1412">
        <v>0.74</v>
      </c>
      <c r="V1412">
        <v>0.76</v>
      </c>
      <c r="W1412">
        <v>1.1399999999999999</v>
      </c>
      <c r="X1412">
        <v>0.05</v>
      </c>
      <c r="Y1412">
        <v>1</v>
      </c>
      <c r="Z1412">
        <v>10</v>
      </c>
    </row>
    <row r="1413" spans="1:26" x14ac:dyDescent="0.3">
      <c r="A1413">
        <v>113</v>
      </c>
      <c r="B1413">
        <v>115</v>
      </c>
      <c r="C1413" t="s">
        <v>26</v>
      </c>
      <c r="D1413">
        <v>10.440799999999999</v>
      </c>
      <c r="E1413">
        <v>9.58</v>
      </c>
      <c r="F1413">
        <v>6.74</v>
      </c>
      <c r="G1413">
        <v>101.12</v>
      </c>
      <c r="H1413">
        <v>1.9</v>
      </c>
      <c r="I1413">
        <v>4</v>
      </c>
      <c r="J1413">
        <v>273.39</v>
      </c>
      <c r="K1413">
        <v>56.94</v>
      </c>
      <c r="L1413">
        <v>29.25</v>
      </c>
      <c r="M1413">
        <v>2</v>
      </c>
      <c r="N1413">
        <v>72.19</v>
      </c>
      <c r="O1413">
        <v>33952</v>
      </c>
      <c r="P1413">
        <v>89.62</v>
      </c>
      <c r="Q1413">
        <v>204.14</v>
      </c>
      <c r="R1413">
        <v>23.39</v>
      </c>
      <c r="S1413">
        <v>17.37</v>
      </c>
      <c r="T1413">
        <v>916.08</v>
      </c>
      <c r="U1413">
        <v>0.74</v>
      </c>
      <c r="V1413">
        <v>0.76</v>
      </c>
      <c r="W1413">
        <v>1.1399999999999999</v>
      </c>
      <c r="X1413">
        <v>0.05</v>
      </c>
      <c r="Y1413">
        <v>1</v>
      </c>
      <c r="Z1413">
        <v>10</v>
      </c>
    </row>
    <row r="1414" spans="1:26" x14ac:dyDescent="0.3">
      <c r="A1414">
        <v>114</v>
      </c>
      <c r="B1414">
        <v>115</v>
      </c>
      <c r="C1414" t="s">
        <v>26</v>
      </c>
      <c r="D1414">
        <v>10.4442</v>
      </c>
      <c r="E1414">
        <v>9.57</v>
      </c>
      <c r="F1414">
        <v>6.74</v>
      </c>
      <c r="G1414">
        <v>101.08</v>
      </c>
      <c r="H1414">
        <v>1.92</v>
      </c>
      <c r="I1414">
        <v>4</v>
      </c>
      <c r="J1414">
        <v>273.87</v>
      </c>
      <c r="K1414">
        <v>56.94</v>
      </c>
      <c r="L1414">
        <v>29.5</v>
      </c>
      <c r="M1414">
        <v>2</v>
      </c>
      <c r="N1414">
        <v>72.430000000000007</v>
      </c>
      <c r="O1414">
        <v>34011.480000000003</v>
      </c>
      <c r="P1414">
        <v>89.27</v>
      </c>
      <c r="Q1414">
        <v>204.14</v>
      </c>
      <c r="R1414">
        <v>23.24</v>
      </c>
      <c r="S1414">
        <v>17.37</v>
      </c>
      <c r="T1414">
        <v>842.59</v>
      </c>
      <c r="U1414">
        <v>0.75</v>
      </c>
      <c r="V1414">
        <v>0.76</v>
      </c>
      <c r="W1414">
        <v>1.1399999999999999</v>
      </c>
      <c r="X1414">
        <v>0.05</v>
      </c>
      <c r="Y1414">
        <v>1</v>
      </c>
      <c r="Z1414">
        <v>10</v>
      </c>
    </row>
    <row r="1415" spans="1:26" x14ac:dyDescent="0.3">
      <c r="A1415">
        <v>115</v>
      </c>
      <c r="B1415">
        <v>115</v>
      </c>
      <c r="C1415" t="s">
        <v>26</v>
      </c>
      <c r="D1415">
        <v>10.4442</v>
      </c>
      <c r="E1415">
        <v>9.57</v>
      </c>
      <c r="F1415">
        <v>6.74</v>
      </c>
      <c r="G1415">
        <v>101.08</v>
      </c>
      <c r="H1415">
        <v>1.93</v>
      </c>
      <c r="I1415">
        <v>4</v>
      </c>
      <c r="J1415">
        <v>274.35000000000002</v>
      </c>
      <c r="K1415">
        <v>56.94</v>
      </c>
      <c r="L1415">
        <v>29.75</v>
      </c>
      <c r="M1415">
        <v>2</v>
      </c>
      <c r="N1415">
        <v>72.66</v>
      </c>
      <c r="O1415">
        <v>34071.050000000003</v>
      </c>
      <c r="P1415">
        <v>89.06</v>
      </c>
      <c r="Q1415">
        <v>204.14</v>
      </c>
      <c r="R1415">
        <v>23.27</v>
      </c>
      <c r="S1415">
        <v>17.37</v>
      </c>
      <c r="T1415">
        <v>856.66</v>
      </c>
      <c r="U1415">
        <v>0.75</v>
      </c>
      <c r="V1415">
        <v>0.76</v>
      </c>
      <c r="W1415">
        <v>1.1399999999999999</v>
      </c>
      <c r="X1415">
        <v>0.05</v>
      </c>
      <c r="Y1415">
        <v>1</v>
      </c>
      <c r="Z1415">
        <v>10</v>
      </c>
    </row>
    <row r="1416" spans="1:26" x14ac:dyDescent="0.3">
      <c r="A1416">
        <v>116</v>
      </c>
      <c r="B1416">
        <v>115</v>
      </c>
      <c r="C1416" t="s">
        <v>26</v>
      </c>
      <c r="D1416">
        <v>10.4414</v>
      </c>
      <c r="E1416">
        <v>9.58</v>
      </c>
      <c r="F1416">
        <v>6.74</v>
      </c>
      <c r="G1416">
        <v>101.11</v>
      </c>
      <c r="H1416">
        <v>1.94</v>
      </c>
      <c r="I1416">
        <v>4</v>
      </c>
      <c r="J1416">
        <v>274.83999999999997</v>
      </c>
      <c r="K1416">
        <v>56.94</v>
      </c>
      <c r="L1416">
        <v>30</v>
      </c>
      <c r="M1416">
        <v>2</v>
      </c>
      <c r="N1416">
        <v>72.89</v>
      </c>
      <c r="O1416">
        <v>34130.71</v>
      </c>
      <c r="P1416">
        <v>88.96</v>
      </c>
      <c r="Q1416">
        <v>204.14</v>
      </c>
      <c r="R1416">
        <v>23.33</v>
      </c>
      <c r="S1416">
        <v>17.37</v>
      </c>
      <c r="T1416">
        <v>885.46</v>
      </c>
      <c r="U1416">
        <v>0.74</v>
      </c>
      <c r="V1416">
        <v>0.76</v>
      </c>
      <c r="W1416">
        <v>1.1399999999999999</v>
      </c>
      <c r="X1416">
        <v>0.05</v>
      </c>
      <c r="Y1416">
        <v>1</v>
      </c>
      <c r="Z1416">
        <v>10</v>
      </c>
    </row>
    <row r="1417" spans="1:26" x14ac:dyDescent="0.3">
      <c r="A1417">
        <v>117</v>
      </c>
      <c r="B1417">
        <v>115</v>
      </c>
      <c r="C1417" t="s">
        <v>26</v>
      </c>
      <c r="D1417">
        <v>10.4436</v>
      </c>
      <c r="E1417">
        <v>9.58</v>
      </c>
      <c r="F1417">
        <v>6.74</v>
      </c>
      <c r="G1417">
        <v>101.08</v>
      </c>
      <c r="H1417">
        <v>1.96</v>
      </c>
      <c r="I1417">
        <v>4</v>
      </c>
      <c r="J1417">
        <v>275.32</v>
      </c>
      <c r="K1417">
        <v>56.94</v>
      </c>
      <c r="L1417">
        <v>30.25</v>
      </c>
      <c r="M1417">
        <v>2</v>
      </c>
      <c r="N1417">
        <v>73.13</v>
      </c>
      <c r="O1417">
        <v>34190.46</v>
      </c>
      <c r="P1417">
        <v>88.58</v>
      </c>
      <c r="Q1417">
        <v>204.14</v>
      </c>
      <c r="R1417">
        <v>23.34</v>
      </c>
      <c r="S1417">
        <v>17.37</v>
      </c>
      <c r="T1417">
        <v>890.01</v>
      </c>
      <c r="U1417">
        <v>0.74</v>
      </c>
      <c r="V1417">
        <v>0.76</v>
      </c>
      <c r="W1417">
        <v>1.1399999999999999</v>
      </c>
      <c r="X1417">
        <v>0.05</v>
      </c>
      <c r="Y1417">
        <v>1</v>
      </c>
      <c r="Z1417">
        <v>10</v>
      </c>
    </row>
    <row r="1418" spans="1:26" x14ac:dyDescent="0.3">
      <c r="A1418">
        <v>118</v>
      </c>
      <c r="B1418">
        <v>115</v>
      </c>
      <c r="C1418" t="s">
        <v>26</v>
      </c>
      <c r="D1418">
        <v>10.4384</v>
      </c>
      <c r="E1418">
        <v>9.58</v>
      </c>
      <c r="F1418">
        <v>6.74</v>
      </c>
      <c r="G1418">
        <v>101.15</v>
      </c>
      <c r="H1418">
        <v>1.97</v>
      </c>
      <c r="I1418">
        <v>4</v>
      </c>
      <c r="J1418">
        <v>275.81</v>
      </c>
      <c r="K1418">
        <v>56.94</v>
      </c>
      <c r="L1418">
        <v>30.5</v>
      </c>
      <c r="M1418">
        <v>2</v>
      </c>
      <c r="N1418">
        <v>73.36</v>
      </c>
      <c r="O1418">
        <v>34250.31</v>
      </c>
      <c r="P1418">
        <v>88.25</v>
      </c>
      <c r="Q1418">
        <v>204.14</v>
      </c>
      <c r="R1418">
        <v>23.43</v>
      </c>
      <c r="S1418">
        <v>17.37</v>
      </c>
      <c r="T1418">
        <v>937.27</v>
      </c>
      <c r="U1418">
        <v>0.74</v>
      </c>
      <c r="V1418">
        <v>0.76</v>
      </c>
      <c r="W1418">
        <v>1.1399999999999999</v>
      </c>
      <c r="X1418">
        <v>0.05</v>
      </c>
      <c r="Y1418">
        <v>1</v>
      </c>
      <c r="Z1418">
        <v>10</v>
      </c>
    </row>
    <row r="1419" spans="1:26" x14ac:dyDescent="0.3">
      <c r="A1419">
        <v>119</v>
      </c>
      <c r="B1419">
        <v>115</v>
      </c>
      <c r="C1419" t="s">
        <v>26</v>
      </c>
      <c r="D1419">
        <v>10.439299999999999</v>
      </c>
      <c r="E1419">
        <v>9.58</v>
      </c>
      <c r="F1419">
        <v>6.74</v>
      </c>
      <c r="G1419">
        <v>101.14</v>
      </c>
      <c r="H1419">
        <v>1.98</v>
      </c>
      <c r="I1419">
        <v>4</v>
      </c>
      <c r="J1419">
        <v>276.29000000000002</v>
      </c>
      <c r="K1419">
        <v>56.94</v>
      </c>
      <c r="L1419">
        <v>30.75</v>
      </c>
      <c r="M1419">
        <v>2</v>
      </c>
      <c r="N1419">
        <v>73.599999999999994</v>
      </c>
      <c r="O1419">
        <v>34310.239999999998</v>
      </c>
      <c r="P1419">
        <v>87.79</v>
      </c>
      <c r="Q1419">
        <v>204.14</v>
      </c>
      <c r="R1419">
        <v>23.4</v>
      </c>
      <c r="S1419">
        <v>17.37</v>
      </c>
      <c r="T1419">
        <v>923.99</v>
      </c>
      <c r="U1419">
        <v>0.74</v>
      </c>
      <c r="V1419">
        <v>0.76</v>
      </c>
      <c r="W1419">
        <v>1.1399999999999999</v>
      </c>
      <c r="X1419">
        <v>0.05</v>
      </c>
      <c r="Y1419">
        <v>1</v>
      </c>
      <c r="Z1419">
        <v>10</v>
      </c>
    </row>
    <row r="1420" spans="1:26" x14ac:dyDescent="0.3">
      <c r="A1420">
        <v>120</v>
      </c>
      <c r="B1420">
        <v>115</v>
      </c>
      <c r="C1420" t="s">
        <v>26</v>
      </c>
      <c r="D1420">
        <v>10.444800000000001</v>
      </c>
      <c r="E1420">
        <v>9.57</v>
      </c>
      <c r="F1420">
        <v>6.74</v>
      </c>
      <c r="G1420">
        <v>101.07</v>
      </c>
      <c r="H1420">
        <v>1.99</v>
      </c>
      <c r="I1420">
        <v>4</v>
      </c>
      <c r="J1420">
        <v>276.77999999999997</v>
      </c>
      <c r="K1420">
        <v>56.94</v>
      </c>
      <c r="L1420">
        <v>31</v>
      </c>
      <c r="M1420">
        <v>2</v>
      </c>
      <c r="N1420">
        <v>73.84</v>
      </c>
      <c r="O1420">
        <v>34370.269999999997</v>
      </c>
      <c r="P1420">
        <v>87.13</v>
      </c>
      <c r="Q1420">
        <v>204.14</v>
      </c>
      <c r="R1420">
        <v>23.21</v>
      </c>
      <c r="S1420">
        <v>17.37</v>
      </c>
      <c r="T1420">
        <v>826.7</v>
      </c>
      <c r="U1420">
        <v>0.75</v>
      </c>
      <c r="V1420">
        <v>0.76</v>
      </c>
      <c r="W1420">
        <v>1.1399999999999999</v>
      </c>
      <c r="X1420">
        <v>0.05</v>
      </c>
      <c r="Y1420">
        <v>1</v>
      </c>
      <c r="Z1420">
        <v>10</v>
      </c>
    </row>
    <row r="1421" spans="1:26" x14ac:dyDescent="0.3">
      <c r="A1421">
        <v>121</v>
      </c>
      <c r="B1421">
        <v>115</v>
      </c>
      <c r="C1421" t="s">
        <v>26</v>
      </c>
      <c r="D1421">
        <v>10.5159</v>
      </c>
      <c r="E1421">
        <v>9.51</v>
      </c>
      <c r="F1421">
        <v>6.72</v>
      </c>
      <c r="G1421">
        <v>134.34</v>
      </c>
      <c r="H1421">
        <v>2.0099999999999998</v>
      </c>
      <c r="I1421">
        <v>3</v>
      </c>
      <c r="J1421">
        <v>277.27</v>
      </c>
      <c r="K1421">
        <v>56.94</v>
      </c>
      <c r="L1421">
        <v>31.25</v>
      </c>
      <c r="M1421">
        <v>1</v>
      </c>
      <c r="N1421">
        <v>74.069999999999993</v>
      </c>
      <c r="O1421">
        <v>34430.39</v>
      </c>
      <c r="P1421">
        <v>87.02</v>
      </c>
      <c r="Q1421">
        <v>204.14</v>
      </c>
      <c r="R1421">
        <v>22.62</v>
      </c>
      <c r="S1421">
        <v>17.37</v>
      </c>
      <c r="T1421">
        <v>538.37</v>
      </c>
      <c r="U1421">
        <v>0.77</v>
      </c>
      <c r="V1421">
        <v>0.76</v>
      </c>
      <c r="W1421">
        <v>1.1399999999999999</v>
      </c>
      <c r="X1421">
        <v>0.03</v>
      </c>
      <c r="Y1421">
        <v>1</v>
      </c>
      <c r="Z1421">
        <v>10</v>
      </c>
    </row>
    <row r="1422" spans="1:26" x14ac:dyDescent="0.3">
      <c r="A1422">
        <v>122</v>
      </c>
      <c r="B1422">
        <v>115</v>
      </c>
      <c r="C1422" t="s">
        <v>26</v>
      </c>
      <c r="D1422">
        <v>10.514900000000001</v>
      </c>
      <c r="E1422">
        <v>9.51</v>
      </c>
      <c r="F1422">
        <v>6.72</v>
      </c>
      <c r="G1422">
        <v>134.36000000000001</v>
      </c>
      <c r="H1422">
        <v>2.02</v>
      </c>
      <c r="I1422">
        <v>3</v>
      </c>
      <c r="J1422">
        <v>277.75</v>
      </c>
      <c r="K1422">
        <v>56.94</v>
      </c>
      <c r="L1422">
        <v>31.5</v>
      </c>
      <c r="M1422">
        <v>1</v>
      </c>
      <c r="N1422">
        <v>74.31</v>
      </c>
      <c r="O1422">
        <v>34490.61</v>
      </c>
      <c r="P1422">
        <v>87.21</v>
      </c>
      <c r="Q1422">
        <v>204.14</v>
      </c>
      <c r="R1422">
        <v>22.66</v>
      </c>
      <c r="S1422">
        <v>17.37</v>
      </c>
      <c r="T1422">
        <v>555.9</v>
      </c>
      <c r="U1422">
        <v>0.77</v>
      </c>
      <c r="V1422">
        <v>0.76</v>
      </c>
      <c r="W1422">
        <v>1.1399999999999999</v>
      </c>
      <c r="X1422">
        <v>0.03</v>
      </c>
      <c r="Y1422">
        <v>1</v>
      </c>
      <c r="Z1422">
        <v>10</v>
      </c>
    </row>
    <row r="1423" spans="1:26" x14ac:dyDescent="0.3">
      <c r="A1423">
        <v>123</v>
      </c>
      <c r="B1423">
        <v>115</v>
      </c>
      <c r="C1423" t="s">
        <v>26</v>
      </c>
      <c r="D1423">
        <v>10.5137</v>
      </c>
      <c r="E1423">
        <v>9.51</v>
      </c>
      <c r="F1423">
        <v>6.72</v>
      </c>
      <c r="G1423">
        <v>134.38</v>
      </c>
      <c r="H1423">
        <v>2.0299999999999998</v>
      </c>
      <c r="I1423">
        <v>3</v>
      </c>
      <c r="J1423">
        <v>278.24</v>
      </c>
      <c r="K1423">
        <v>56.94</v>
      </c>
      <c r="L1423">
        <v>31.75</v>
      </c>
      <c r="M1423">
        <v>1</v>
      </c>
      <c r="N1423">
        <v>74.55</v>
      </c>
      <c r="O1423">
        <v>34550.910000000003</v>
      </c>
      <c r="P1423">
        <v>87.51</v>
      </c>
      <c r="Q1423">
        <v>204.14</v>
      </c>
      <c r="R1423">
        <v>22.66</v>
      </c>
      <c r="S1423">
        <v>17.37</v>
      </c>
      <c r="T1423">
        <v>555.53</v>
      </c>
      <c r="U1423">
        <v>0.77</v>
      </c>
      <c r="V1423">
        <v>0.76</v>
      </c>
      <c r="W1423">
        <v>1.1399999999999999</v>
      </c>
      <c r="X1423">
        <v>0.03</v>
      </c>
      <c r="Y1423">
        <v>1</v>
      </c>
      <c r="Z1423">
        <v>10</v>
      </c>
    </row>
    <row r="1424" spans="1:26" x14ac:dyDescent="0.3">
      <c r="A1424">
        <v>124</v>
      </c>
      <c r="B1424">
        <v>115</v>
      </c>
      <c r="C1424" t="s">
        <v>26</v>
      </c>
      <c r="D1424">
        <v>10.5128</v>
      </c>
      <c r="E1424">
        <v>9.51</v>
      </c>
      <c r="F1424">
        <v>6.72</v>
      </c>
      <c r="G1424">
        <v>134.38999999999999</v>
      </c>
      <c r="H1424">
        <v>2.04</v>
      </c>
      <c r="I1424">
        <v>3</v>
      </c>
      <c r="J1424">
        <v>278.73</v>
      </c>
      <c r="K1424">
        <v>56.94</v>
      </c>
      <c r="L1424">
        <v>32</v>
      </c>
      <c r="M1424">
        <v>1</v>
      </c>
      <c r="N1424">
        <v>74.790000000000006</v>
      </c>
      <c r="O1424">
        <v>34611.32</v>
      </c>
      <c r="P1424">
        <v>87.56</v>
      </c>
      <c r="Q1424">
        <v>204.14</v>
      </c>
      <c r="R1424">
        <v>22.69</v>
      </c>
      <c r="S1424">
        <v>17.37</v>
      </c>
      <c r="T1424">
        <v>570.37</v>
      </c>
      <c r="U1424">
        <v>0.77</v>
      </c>
      <c r="V1424">
        <v>0.76</v>
      </c>
      <c r="W1424">
        <v>1.1399999999999999</v>
      </c>
      <c r="X1424">
        <v>0.03</v>
      </c>
      <c r="Y1424">
        <v>1</v>
      </c>
      <c r="Z1424">
        <v>10</v>
      </c>
    </row>
    <row r="1425" spans="1:26" x14ac:dyDescent="0.3">
      <c r="A1425">
        <v>125</v>
      </c>
      <c r="B1425">
        <v>115</v>
      </c>
      <c r="C1425" t="s">
        <v>26</v>
      </c>
      <c r="D1425">
        <v>10.515599999999999</v>
      </c>
      <c r="E1425">
        <v>9.51</v>
      </c>
      <c r="F1425">
        <v>6.72</v>
      </c>
      <c r="G1425">
        <v>134.34</v>
      </c>
      <c r="H1425">
        <v>2.06</v>
      </c>
      <c r="I1425">
        <v>3</v>
      </c>
      <c r="J1425">
        <v>279.22000000000003</v>
      </c>
      <c r="K1425">
        <v>56.94</v>
      </c>
      <c r="L1425">
        <v>32.25</v>
      </c>
      <c r="M1425">
        <v>1</v>
      </c>
      <c r="N1425">
        <v>75.03</v>
      </c>
      <c r="O1425">
        <v>34671.81</v>
      </c>
      <c r="P1425">
        <v>87.79</v>
      </c>
      <c r="Q1425">
        <v>204.14</v>
      </c>
      <c r="R1425">
        <v>22.6</v>
      </c>
      <c r="S1425">
        <v>17.37</v>
      </c>
      <c r="T1425">
        <v>529.62</v>
      </c>
      <c r="U1425">
        <v>0.77</v>
      </c>
      <c r="V1425">
        <v>0.76</v>
      </c>
      <c r="W1425">
        <v>1.1399999999999999</v>
      </c>
      <c r="X1425">
        <v>0.03</v>
      </c>
      <c r="Y1425">
        <v>1</v>
      </c>
      <c r="Z1425">
        <v>10</v>
      </c>
    </row>
    <row r="1426" spans="1:26" x14ac:dyDescent="0.3">
      <c r="A1426">
        <v>126</v>
      </c>
      <c r="B1426">
        <v>115</v>
      </c>
      <c r="C1426" t="s">
        <v>26</v>
      </c>
      <c r="D1426">
        <v>10.514900000000001</v>
      </c>
      <c r="E1426">
        <v>9.51</v>
      </c>
      <c r="F1426">
        <v>6.72</v>
      </c>
      <c r="G1426">
        <v>134.36000000000001</v>
      </c>
      <c r="H1426">
        <v>2.0699999999999998</v>
      </c>
      <c r="I1426">
        <v>3</v>
      </c>
      <c r="J1426">
        <v>279.72000000000003</v>
      </c>
      <c r="K1426">
        <v>56.94</v>
      </c>
      <c r="L1426">
        <v>32.5</v>
      </c>
      <c r="M1426">
        <v>1</v>
      </c>
      <c r="N1426">
        <v>75.27</v>
      </c>
      <c r="O1426">
        <v>34732.410000000003</v>
      </c>
      <c r="P1426">
        <v>87.92</v>
      </c>
      <c r="Q1426">
        <v>204.14</v>
      </c>
      <c r="R1426">
        <v>22.61</v>
      </c>
      <c r="S1426">
        <v>17.37</v>
      </c>
      <c r="T1426">
        <v>532.63</v>
      </c>
      <c r="U1426">
        <v>0.77</v>
      </c>
      <c r="V1426">
        <v>0.76</v>
      </c>
      <c r="W1426">
        <v>1.1399999999999999</v>
      </c>
      <c r="X1426">
        <v>0.03</v>
      </c>
      <c r="Y1426">
        <v>1</v>
      </c>
      <c r="Z1426">
        <v>10</v>
      </c>
    </row>
    <row r="1427" spans="1:26" x14ac:dyDescent="0.3">
      <c r="A1427">
        <v>127</v>
      </c>
      <c r="B1427">
        <v>115</v>
      </c>
      <c r="C1427" t="s">
        <v>26</v>
      </c>
      <c r="D1427">
        <v>10.5128</v>
      </c>
      <c r="E1427">
        <v>9.51</v>
      </c>
      <c r="F1427">
        <v>6.72</v>
      </c>
      <c r="G1427">
        <v>134.38999999999999</v>
      </c>
      <c r="H1427">
        <v>2.08</v>
      </c>
      <c r="I1427">
        <v>3</v>
      </c>
      <c r="J1427">
        <v>280.20999999999998</v>
      </c>
      <c r="K1427">
        <v>56.94</v>
      </c>
      <c r="L1427">
        <v>32.75</v>
      </c>
      <c r="M1427">
        <v>0</v>
      </c>
      <c r="N1427">
        <v>75.510000000000005</v>
      </c>
      <c r="O1427">
        <v>34793.089999999997</v>
      </c>
      <c r="P1427">
        <v>88.06</v>
      </c>
      <c r="Q1427">
        <v>204.14</v>
      </c>
      <c r="R1427">
        <v>22.62</v>
      </c>
      <c r="S1427">
        <v>17.37</v>
      </c>
      <c r="T1427">
        <v>539.72</v>
      </c>
      <c r="U1427">
        <v>0.77</v>
      </c>
      <c r="V1427">
        <v>0.76</v>
      </c>
      <c r="W1427">
        <v>1.1399999999999999</v>
      </c>
      <c r="X1427">
        <v>0.03</v>
      </c>
      <c r="Y1427">
        <v>1</v>
      </c>
      <c r="Z1427">
        <v>10</v>
      </c>
    </row>
    <row r="1428" spans="1:26" x14ac:dyDescent="0.3">
      <c r="A1428">
        <v>0</v>
      </c>
      <c r="B1428">
        <v>35</v>
      </c>
      <c r="C1428" t="s">
        <v>26</v>
      </c>
      <c r="D1428">
        <v>9.8376999999999999</v>
      </c>
      <c r="E1428">
        <v>10.16</v>
      </c>
      <c r="F1428">
        <v>7.53</v>
      </c>
      <c r="G1428">
        <v>10.51</v>
      </c>
      <c r="H1428">
        <v>0.22</v>
      </c>
      <c r="I1428">
        <v>43</v>
      </c>
      <c r="J1428">
        <v>80.84</v>
      </c>
      <c r="K1428">
        <v>35.1</v>
      </c>
      <c r="L1428">
        <v>1</v>
      </c>
      <c r="M1428">
        <v>41</v>
      </c>
      <c r="N1428">
        <v>9.74</v>
      </c>
      <c r="O1428">
        <v>10204.209999999999</v>
      </c>
      <c r="P1428">
        <v>57.91</v>
      </c>
      <c r="Q1428">
        <v>204.16</v>
      </c>
      <c r="R1428">
        <v>48.25</v>
      </c>
      <c r="S1428">
        <v>17.37</v>
      </c>
      <c r="T1428">
        <v>13154.31</v>
      </c>
      <c r="U1428">
        <v>0.36</v>
      </c>
      <c r="V1428">
        <v>0.68</v>
      </c>
      <c r="W1428">
        <v>1.2</v>
      </c>
      <c r="X1428">
        <v>0.84</v>
      </c>
      <c r="Y1428">
        <v>1</v>
      </c>
      <c r="Z1428">
        <v>10</v>
      </c>
    </row>
    <row r="1429" spans="1:26" x14ac:dyDescent="0.3">
      <c r="A1429">
        <v>1</v>
      </c>
      <c r="B1429">
        <v>35</v>
      </c>
      <c r="C1429" t="s">
        <v>26</v>
      </c>
      <c r="D1429">
        <v>10.2102</v>
      </c>
      <c r="E1429">
        <v>9.7899999999999991</v>
      </c>
      <c r="F1429">
        <v>7.33</v>
      </c>
      <c r="G1429">
        <v>13.33</v>
      </c>
      <c r="H1429">
        <v>0.27</v>
      </c>
      <c r="I1429">
        <v>33</v>
      </c>
      <c r="J1429">
        <v>81.14</v>
      </c>
      <c r="K1429">
        <v>35.1</v>
      </c>
      <c r="L1429">
        <v>1.25</v>
      </c>
      <c r="M1429">
        <v>31</v>
      </c>
      <c r="N1429">
        <v>9.7899999999999991</v>
      </c>
      <c r="O1429">
        <v>10241.25</v>
      </c>
      <c r="P1429">
        <v>55.86</v>
      </c>
      <c r="Q1429">
        <v>204.16</v>
      </c>
      <c r="R1429">
        <v>41.63</v>
      </c>
      <c r="S1429">
        <v>17.37</v>
      </c>
      <c r="T1429">
        <v>9894.1299999999992</v>
      </c>
      <c r="U1429">
        <v>0.42</v>
      </c>
      <c r="V1429">
        <v>0.7</v>
      </c>
      <c r="W1429">
        <v>1.2</v>
      </c>
      <c r="X1429">
        <v>0.64</v>
      </c>
      <c r="Y1429">
        <v>1</v>
      </c>
      <c r="Z1429">
        <v>10</v>
      </c>
    </row>
    <row r="1430" spans="1:26" x14ac:dyDescent="0.3">
      <c r="A1430">
        <v>2</v>
      </c>
      <c r="B1430">
        <v>35</v>
      </c>
      <c r="C1430" t="s">
        <v>26</v>
      </c>
      <c r="D1430">
        <v>10.449299999999999</v>
      </c>
      <c r="E1430">
        <v>9.57</v>
      </c>
      <c r="F1430">
        <v>7.21</v>
      </c>
      <c r="G1430">
        <v>16.03</v>
      </c>
      <c r="H1430">
        <v>0.32</v>
      </c>
      <c r="I1430">
        <v>27</v>
      </c>
      <c r="J1430">
        <v>81.44</v>
      </c>
      <c r="K1430">
        <v>35.1</v>
      </c>
      <c r="L1430">
        <v>1.5</v>
      </c>
      <c r="M1430">
        <v>25</v>
      </c>
      <c r="N1430">
        <v>9.84</v>
      </c>
      <c r="O1430">
        <v>10278.32</v>
      </c>
      <c r="P1430">
        <v>54.43</v>
      </c>
      <c r="Q1430">
        <v>204.15</v>
      </c>
      <c r="R1430">
        <v>38</v>
      </c>
      <c r="S1430">
        <v>17.37</v>
      </c>
      <c r="T1430">
        <v>8105.34</v>
      </c>
      <c r="U1430">
        <v>0.46</v>
      </c>
      <c r="V1430">
        <v>0.71</v>
      </c>
      <c r="W1430">
        <v>1.18</v>
      </c>
      <c r="X1430">
        <v>0.52</v>
      </c>
      <c r="Y1430">
        <v>1</v>
      </c>
      <c r="Z1430">
        <v>10</v>
      </c>
    </row>
    <row r="1431" spans="1:26" x14ac:dyDescent="0.3">
      <c r="A1431">
        <v>3</v>
      </c>
      <c r="B1431">
        <v>35</v>
      </c>
      <c r="C1431" t="s">
        <v>26</v>
      </c>
      <c r="D1431">
        <v>10.6198</v>
      </c>
      <c r="E1431">
        <v>9.42</v>
      </c>
      <c r="F1431">
        <v>7.13</v>
      </c>
      <c r="G1431">
        <v>18.600000000000001</v>
      </c>
      <c r="H1431">
        <v>0.38</v>
      </c>
      <c r="I1431">
        <v>23</v>
      </c>
      <c r="J1431">
        <v>81.739999999999995</v>
      </c>
      <c r="K1431">
        <v>35.1</v>
      </c>
      <c r="L1431">
        <v>1.75</v>
      </c>
      <c r="M1431">
        <v>21</v>
      </c>
      <c r="N1431">
        <v>9.89</v>
      </c>
      <c r="O1431">
        <v>10315.41</v>
      </c>
      <c r="P1431">
        <v>53.34</v>
      </c>
      <c r="Q1431">
        <v>204.19</v>
      </c>
      <c r="R1431">
        <v>35.68</v>
      </c>
      <c r="S1431">
        <v>17.37</v>
      </c>
      <c r="T1431">
        <v>6965.96</v>
      </c>
      <c r="U1431">
        <v>0.49</v>
      </c>
      <c r="V1431">
        <v>0.72</v>
      </c>
      <c r="W1431">
        <v>1.17</v>
      </c>
      <c r="X1431">
        <v>0.44</v>
      </c>
      <c r="Y1431">
        <v>1</v>
      </c>
      <c r="Z1431">
        <v>10</v>
      </c>
    </row>
    <row r="1432" spans="1:26" x14ac:dyDescent="0.3">
      <c r="A1432">
        <v>4</v>
      </c>
      <c r="B1432">
        <v>35</v>
      </c>
      <c r="C1432" t="s">
        <v>26</v>
      </c>
      <c r="D1432">
        <v>10.7386</v>
      </c>
      <c r="E1432">
        <v>9.31</v>
      </c>
      <c r="F1432">
        <v>7.08</v>
      </c>
      <c r="G1432">
        <v>21.23</v>
      </c>
      <c r="H1432">
        <v>0.43</v>
      </c>
      <c r="I1432">
        <v>20</v>
      </c>
      <c r="J1432">
        <v>82.04</v>
      </c>
      <c r="K1432">
        <v>35.1</v>
      </c>
      <c r="L1432">
        <v>2</v>
      </c>
      <c r="M1432">
        <v>18</v>
      </c>
      <c r="N1432">
        <v>9.94</v>
      </c>
      <c r="O1432">
        <v>10352.530000000001</v>
      </c>
      <c r="P1432">
        <v>52.56</v>
      </c>
      <c r="Q1432">
        <v>204.18</v>
      </c>
      <c r="R1432">
        <v>33.83</v>
      </c>
      <c r="S1432">
        <v>17.37</v>
      </c>
      <c r="T1432">
        <v>6059.5</v>
      </c>
      <c r="U1432">
        <v>0.51</v>
      </c>
      <c r="V1432">
        <v>0.72</v>
      </c>
      <c r="W1432">
        <v>1.17</v>
      </c>
      <c r="X1432">
        <v>0.38</v>
      </c>
      <c r="Y1432">
        <v>1</v>
      </c>
      <c r="Z1432">
        <v>10</v>
      </c>
    </row>
    <row r="1433" spans="1:26" x14ac:dyDescent="0.3">
      <c r="A1433">
        <v>5</v>
      </c>
      <c r="B1433">
        <v>35</v>
      </c>
      <c r="C1433" t="s">
        <v>26</v>
      </c>
      <c r="D1433">
        <v>10.8316</v>
      </c>
      <c r="E1433">
        <v>9.23</v>
      </c>
      <c r="F1433">
        <v>7.03</v>
      </c>
      <c r="G1433">
        <v>23.43</v>
      </c>
      <c r="H1433">
        <v>0.48</v>
      </c>
      <c r="I1433">
        <v>18</v>
      </c>
      <c r="J1433">
        <v>82.34</v>
      </c>
      <c r="K1433">
        <v>35.1</v>
      </c>
      <c r="L1433">
        <v>2.25</v>
      </c>
      <c r="M1433">
        <v>16</v>
      </c>
      <c r="N1433">
        <v>9.99</v>
      </c>
      <c r="O1433">
        <v>10389.66</v>
      </c>
      <c r="P1433">
        <v>51.52</v>
      </c>
      <c r="Q1433">
        <v>204.15</v>
      </c>
      <c r="R1433">
        <v>32.51</v>
      </c>
      <c r="S1433">
        <v>17.37</v>
      </c>
      <c r="T1433">
        <v>5407.13</v>
      </c>
      <c r="U1433">
        <v>0.53</v>
      </c>
      <c r="V1433">
        <v>0.73</v>
      </c>
      <c r="W1433">
        <v>1.1599999999999999</v>
      </c>
      <c r="X1433">
        <v>0.34</v>
      </c>
      <c r="Y1433">
        <v>1</v>
      </c>
      <c r="Z1433">
        <v>10</v>
      </c>
    </row>
    <row r="1434" spans="1:26" x14ac:dyDescent="0.3">
      <c r="A1434">
        <v>6</v>
      </c>
      <c r="B1434">
        <v>35</v>
      </c>
      <c r="C1434" t="s">
        <v>26</v>
      </c>
      <c r="D1434">
        <v>10.9055</v>
      </c>
      <c r="E1434">
        <v>9.17</v>
      </c>
      <c r="F1434">
        <v>7</v>
      </c>
      <c r="G1434">
        <v>26.26</v>
      </c>
      <c r="H1434">
        <v>0.53</v>
      </c>
      <c r="I1434">
        <v>16</v>
      </c>
      <c r="J1434">
        <v>82.65</v>
      </c>
      <c r="K1434">
        <v>35.1</v>
      </c>
      <c r="L1434">
        <v>2.5</v>
      </c>
      <c r="M1434">
        <v>14</v>
      </c>
      <c r="N1434">
        <v>10.039999999999999</v>
      </c>
      <c r="O1434">
        <v>10426.82</v>
      </c>
      <c r="P1434">
        <v>50.9</v>
      </c>
      <c r="Q1434">
        <v>204.14</v>
      </c>
      <c r="R1434">
        <v>31.43</v>
      </c>
      <c r="S1434">
        <v>17.37</v>
      </c>
      <c r="T1434">
        <v>4877.08</v>
      </c>
      <c r="U1434">
        <v>0.55000000000000004</v>
      </c>
      <c r="V1434">
        <v>0.73</v>
      </c>
      <c r="W1434">
        <v>1.17</v>
      </c>
      <c r="X1434">
        <v>0.31</v>
      </c>
      <c r="Y1434">
        <v>1</v>
      </c>
      <c r="Z1434">
        <v>10</v>
      </c>
    </row>
    <row r="1435" spans="1:26" x14ac:dyDescent="0.3">
      <c r="A1435">
        <v>7</v>
      </c>
      <c r="B1435">
        <v>35</v>
      </c>
      <c r="C1435" t="s">
        <v>26</v>
      </c>
      <c r="D1435">
        <v>10.9519</v>
      </c>
      <c r="E1435">
        <v>9.1300000000000008</v>
      </c>
      <c r="F1435">
        <v>6.98</v>
      </c>
      <c r="G1435">
        <v>27.92</v>
      </c>
      <c r="H1435">
        <v>0.57999999999999996</v>
      </c>
      <c r="I1435">
        <v>15</v>
      </c>
      <c r="J1435">
        <v>82.95</v>
      </c>
      <c r="K1435">
        <v>35.1</v>
      </c>
      <c r="L1435">
        <v>2.75</v>
      </c>
      <c r="M1435">
        <v>13</v>
      </c>
      <c r="N1435">
        <v>10.1</v>
      </c>
      <c r="O1435">
        <v>10463.99</v>
      </c>
      <c r="P1435">
        <v>50.19</v>
      </c>
      <c r="Q1435">
        <v>204.14</v>
      </c>
      <c r="R1435">
        <v>30.87</v>
      </c>
      <c r="S1435">
        <v>17.37</v>
      </c>
      <c r="T1435">
        <v>4601.49</v>
      </c>
      <c r="U1435">
        <v>0.56000000000000005</v>
      </c>
      <c r="V1435">
        <v>0.73</v>
      </c>
      <c r="W1435">
        <v>1.1599999999999999</v>
      </c>
      <c r="X1435">
        <v>0.28999999999999998</v>
      </c>
      <c r="Y1435">
        <v>1</v>
      </c>
      <c r="Z1435">
        <v>10</v>
      </c>
    </row>
    <row r="1436" spans="1:26" x14ac:dyDescent="0.3">
      <c r="A1436">
        <v>8</v>
      </c>
      <c r="B1436">
        <v>35</v>
      </c>
      <c r="C1436" t="s">
        <v>26</v>
      </c>
      <c r="D1436">
        <v>11.0579</v>
      </c>
      <c r="E1436">
        <v>9.0399999999999991</v>
      </c>
      <c r="F1436">
        <v>6.93</v>
      </c>
      <c r="G1436">
        <v>31.97</v>
      </c>
      <c r="H1436">
        <v>0.63</v>
      </c>
      <c r="I1436">
        <v>13</v>
      </c>
      <c r="J1436">
        <v>83.25</v>
      </c>
      <c r="K1436">
        <v>35.1</v>
      </c>
      <c r="L1436">
        <v>3</v>
      </c>
      <c r="M1436">
        <v>11</v>
      </c>
      <c r="N1436">
        <v>10.15</v>
      </c>
      <c r="O1436">
        <v>10501.19</v>
      </c>
      <c r="P1436">
        <v>49.4</v>
      </c>
      <c r="Q1436">
        <v>204.14</v>
      </c>
      <c r="R1436">
        <v>29.26</v>
      </c>
      <c r="S1436">
        <v>17.37</v>
      </c>
      <c r="T1436">
        <v>3804.89</v>
      </c>
      <c r="U1436">
        <v>0.59</v>
      </c>
      <c r="V1436">
        <v>0.74</v>
      </c>
      <c r="W1436">
        <v>1.1499999999999999</v>
      </c>
      <c r="X1436">
        <v>0.24</v>
      </c>
      <c r="Y1436">
        <v>1</v>
      </c>
      <c r="Z1436">
        <v>10</v>
      </c>
    </row>
    <row r="1437" spans="1:26" x14ac:dyDescent="0.3">
      <c r="A1437">
        <v>9</v>
      </c>
      <c r="B1437">
        <v>35</v>
      </c>
      <c r="C1437" t="s">
        <v>26</v>
      </c>
      <c r="D1437">
        <v>11.0909</v>
      </c>
      <c r="E1437">
        <v>9.02</v>
      </c>
      <c r="F1437">
        <v>6.92</v>
      </c>
      <c r="G1437">
        <v>34.590000000000003</v>
      </c>
      <c r="H1437">
        <v>0.68</v>
      </c>
      <c r="I1437">
        <v>12</v>
      </c>
      <c r="J1437">
        <v>83.55</v>
      </c>
      <c r="K1437">
        <v>35.1</v>
      </c>
      <c r="L1437">
        <v>3.25</v>
      </c>
      <c r="M1437">
        <v>10</v>
      </c>
      <c r="N1437">
        <v>10.199999999999999</v>
      </c>
      <c r="O1437">
        <v>10538.42</v>
      </c>
      <c r="P1437">
        <v>48.92</v>
      </c>
      <c r="Q1437">
        <v>204.16</v>
      </c>
      <c r="R1437">
        <v>28.88</v>
      </c>
      <c r="S1437">
        <v>17.37</v>
      </c>
      <c r="T1437">
        <v>3620.27</v>
      </c>
      <c r="U1437">
        <v>0.6</v>
      </c>
      <c r="V1437">
        <v>0.74</v>
      </c>
      <c r="W1437">
        <v>1.1599999999999999</v>
      </c>
      <c r="X1437">
        <v>0.23</v>
      </c>
      <c r="Y1437">
        <v>1</v>
      </c>
      <c r="Z1437">
        <v>10</v>
      </c>
    </row>
    <row r="1438" spans="1:26" x14ac:dyDescent="0.3">
      <c r="A1438">
        <v>10</v>
      </c>
      <c r="B1438">
        <v>35</v>
      </c>
      <c r="C1438" t="s">
        <v>26</v>
      </c>
      <c r="D1438">
        <v>11.1462</v>
      </c>
      <c r="E1438">
        <v>8.9700000000000006</v>
      </c>
      <c r="F1438">
        <v>6.89</v>
      </c>
      <c r="G1438">
        <v>37.58</v>
      </c>
      <c r="H1438">
        <v>0.73</v>
      </c>
      <c r="I1438">
        <v>11</v>
      </c>
      <c r="J1438">
        <v>83.85</v>
      </c>
      <c r="K1438">
        <v>35.1</v>
      </c>
      <c r="L1438">
        <v>3.5</v>
      </c>
      <c r="M1438">
        <v>9</v>
      </c>
      <c r="N1438">
        <v>10.25</v>
      </c>
      <c r="O1438">
        <v>10575.66</v>
      </c>
      <c r="P1438">
        <v>47.87</v>
      </c>
      <c r="Q1438">
        <v>204.14</v>
      </c>
      <c r="R1438">
        <v>27.89</v>
      </c>
      <c r="S1438">
        <v>17.37</v>
      </c>
      <c r="T1438">
        <v>3132.84</v>
      </c>
      <c r="U1438">
        <v>0.62</v>
      </c>
      <c r="V1438">
        <v>0.74</v>
      </c>
      <c r="W1438">
        <v>1.1599999999999999</v>
      </c>
      <c r="X1438">
        <v>0.2</v>
      </c>
      <c r="Y1438">
        <v>1</v>
      </c>
      <c r="Z1438">
        <v>10</v>
      </c>
    </row>
    <row r="1439" spans="1:26" x14ac:dyDescent="0.3">
      <c r="A1439">
        <v>11</v>
      </c>
      <c r="B1439">
        <v>35</v>
      </c>
      <c r="C1439" t="s">
        <v>26</v>
      </c>
      <c r="D1439">
        <v>11.2027</v>
      </c>
      <c r="E1439">
        <v>8.93</v>
      </c>
      <c r="F1439">
        <v>6.86</v>
      </c>
      <c r="G1439">
        <v>41.17</v>
      </c>
      <c r="H1439">
        <v>0.78</v>
      </c>
      <c r="I1439">
        <v>10</v>
      </c>
      <c r="J1439">
        <v>84.15</v>
      </c>
      <c r="K1439">
        <v>35.1</v>
      </c>
      <c r="L1439">
        <v>3.75</v>
      </c>
      <c r="M1439">
        <v>8</v>
      </c>
      <c r="N1439">
        <v>10.3</v>
      </c>
      <c r="O1439">
        <v>10612.93</v>
      </c>
      <c r="P1439">
        <v>46.84</v>
      </c>
      <c r="Q1439">
        <v>204.16</v>
      </c>
      <c r="R1439">
        <v>27.15</v>
      </c>
      <c r="S1439">
        <v>17.37</v>
      </c>
      <c r="T1439">
        <v>2765.54</v>
      </c>
      <c r="U1439">
        <v>0.64</v>
      </c>
      <c r="V1439">
        <v>0.74</v>
      </c>
      <c r="W1439">
        <v>1.1499999999999999</v>
      </c>
      <c r="X1439">
        <v>0.17</v>
      </c>
      <c r="Y1439">
        <v>1</v>
      </c>
      <c r="Z1439">
        <v>10</v>
      </c>
    </row>
    <row r="1440" spans="1:26" x14ac:dyDescent="0.3">
      <c r="A1440">
        <v>12</v>
      </c>
      <c r="B1440">
        <v>35</v>
      </c>
      <c r="C1440" t="s">
        <v>26</v>
      </c>
      <c r="D1440">
        <v>11.2013</v>
      </c>
      <c r="E1440">
        <v>8.93</v>
      </c>
      <c r="F1440">
        <v>6.86</v>
      </c>
      <c r="G1440">
        <v>41.18</v>
      </c>
      <c r="H1440">
        <v>0.83</v>
      </c>
      <c r="I1440">
        <v>10</v>
      </c>
      <c r="J1440">
        <v>84.46</v>
      </c>
      <c r="K1440">
        <v>35.1</v>
      </c>
      <c r="L1440">
        <v>4</v>
      </c>
      <c r="M1440">
        <v>8</v>
      </c>
      <c r="N1440">
        <v>10.36</v>
      </c>
      <c r="O1440">
        <v>10650.22</v>
      </c>
      <c r="P1440">
        <v>46.84</v>
      </c>
      <c r="Q1440">
        <v>204.14</v>
      </c>
      <c r="R1440">
        <v>27.15</v>
      </c>
      <c r="S1440">
        <v>17.37</v>
      </c>
      <c r="T1440">
        <v>2768.92</v>
      </c>
      <c r="U1440">
        <v>0.64</v>
      </c>
      <c r="V1440">
        <v>0.74</v>
      </c>
      <c r="W1440">
        <v>1.1499999999999999</v>
      </c>
      <c r="X1440">
        <v>0.17</v>
      </c>
      <c r="Y1440">
        <v>1</v>
      </c>
      <c r="Z1440">
        <v>10</v>
      </c>
    </row>
    <row r="1441" spans="1:26" x14ac:dyDescent="0.3">
      <c r="A1441">
        <v>13</v>
      </c>
      <c r="B1441">
        <v>35</v>
      </c>
      <c r="C1441" t="s">
        <v>26</v>
      </c>
      <c r="D1441">
        <v>11.223000000000001</v>
      </c>
      <c r="E1441">
        <v>8.91</v>
      </c>
      <c r="F1441">
        <v>6.86</v>
      </c>
      <c r="G1441">
        <v>45.76</v>
      </c>
      <c r="H1441">
        <v>0.88</v>
      </c>
      <c r="I1441">
        <v>9</v>
      </c>
      <c r="J1441">
        <v>84.76</v>
      </c>
      <c r="K1441">
        <v>35.1</v>
      </c>
      <c r="L1441">
        <v>4.25</v>
      </c>
      <c r="M1441">
        <v>7</v>
      </c>
      <c r="N1441">
        <v>10.41</v>
      </c>
      <c r="O1441">
        <v>10687.53</v>
      </c>
      <c r="P1441">
        <v>46.4</v>
      </c>
      <c r="Q1441">
        <v>204.17</v>
      </c>
      <c r="R1441">
        <v>27.21</v>
      </c>
      <c r="S1441">
        <v>17.37</v>
      </c>
      <c r="T1441">
        <v>2804.44</v>
      </c>
      <c r="U1441">
        <v>0.64</v>
      </c>
      <c r="V1441">
        <v>0.74</v>
      </c>
      <c r="W1441">
        <v>1.1499999999999999</v>
      </c>
      <c r="X1441">
        <v>0.17</v>
      </c>
      <c r="Y1441">
        <v>1</v>
      </c>
      <c r="Z1441">
        <v>10</v>
      </c>
    </row>
    <row r="1442" spans="1:26" x14ac:dyDescent="0.3">
      <c r="A1442">
        <v>14</v>
      </c>
      <c r="B1442">
        <v>35</v>
      </c>
      <c r="C1442" t="s">
        <v>26</v>
      </c>
      <c r="D1442">
        <v>11.2272</v>
      </c>
      <c r="E1442">
        <v>8.91</v>
      </c>
      <c r="F1442">
        <v>6.86</v>
      </c>
      <c r="G1442">
        <v>45.73</v>
      </c>
      <c r="H1442">
        <v>0.93</v>
      </c>
      <c r="I1442">
        <v>9</v>
      </c>
      <c r="J1442">
        <v>85.06</v>
      </c>
      <c r="K1442">
        <v>35.1</v>
      </c>
      <c r="L1442">
        <v>4.5</v>
      </c>
      <c r="M1442">
        <v>7</v>
      </c>
      <c r="N1442">
        <v>10.46</v>
      </c>
      <c r="O1442">
        <v>10724.86</v>
      </c>
      <c r="P1442">
        <v>45.64</v>
      </c>
      <c r="Q1442">
        <v>204.15</v>
      </c>
      <c r="R1442">
        <v>27.07</v>
      </c>
      <c r="S1442">
        <v>17.37</v>
      </c>
      <c r="T1442">
        <v>2734.58</v>
      </c>
      <c r="U1442">
        <v>0.64</v>
      </c>
      <c r="V1442">
        <v>0.74</v>
      </c>
      <c r="W1442">
        <v>1.1499999999999999</v>
      </c>
      <c r="X1442">
        <v>0.17</v>
      </c>
      <c r="Y1442">
        <v>1</v>
      </c>
      <c r="Z1442">
        <v>10</v>
      </c>
    </row>
    <row r="1443" spans="1:26" x14ac:dyDescent="0.3">
      <c r="A1443">
        <v>15</v>
      </c>
      <c r="B1443">
        <v>35</v>
      </c>
      <c r="C1443" t="s">
        <v>26</v>
      </c>
      <c r="D1443">
        <v>11.292</v>
      </c>
      <c r="E1443">
        <v>8.86</v>
      </c>
      <c r="F1443">
        <v>6.83</v>
      </c>
      <c r="G1443">
        <v>51.2</v>
      </c>
      <c r="H1443">
        <v>0.98</v>
      </c>
      <c r="I1443">
        <v>8</v>
      </c>
      <c r="J1443">
        <v>85.36</v>
      </c>
      <c r="K1443">
        <v>35.1</v>
      </c>
      <c r="L1443">
        <v>4.75</v>
      </c>
      <c r="M1443">
        <v>6</v>
      </c>
      <c r="N1443">
        <v>10.51</v>
      </c>
      <c r="O1443">
        <v>10762.22</v>
      </c>
      <c r="P1443">
        <v>44.51</v>
      </c>
      <c r="Q1443">
        <v>204.14</v>
      </c>
      <c r="R1443">
        <v>25.92</v>
      </c>
      <c r="S1443">
        <v>17.37</v>
      </c>
      <c r="T1443">
        <v>2159.96</v>
      </c>
      <c r="U1443">
        <v>0.67</v>
      </c>
      <c r="V1443">
        <v>0.75</v>
      </c>
      <c r="W1443">
        <v>1.1499999999999999</v>
      </c>
      <c r="X1443">
        <v>0.14000000000000001</v>
      </c>
      <c r="Y1443">
        <v>1</v>
      </c>
      <c r="Z1443">
        <v>10</v>
      </c>
    </row>
    <row r="1444" spans="1:26" x14ac:dyDescent="0.3">
      <c r="A1444">
        <v>16</v>
      </c>
      <c r="B1444">
        <v>35</v>
      </c>
      <c r="C1444" t="s">
        <v>26</v>
      </c>
      <c r="D1444">
        <v>11.286</v>
      </c>
      <c r="E1444">
        <v>8.86</v>
      </c>
      <c r="F1444">
        <v>6.83</v>
      </c>
      <c r="G1444">
        <v>51.23</v>
      </c>
      <c r="H1444">
        <v>1.02</v>
      </c>
      <c r="I1444">
        <v>8</v>
      </c>
      <c r="J1444">
        <v>85.67</v>
      </c>
      <c r="K1444">
        <v>35.1</v>
      </c>
      <c r="L1444">
        <v>5</v>
      </c>
      <c r="M1444">
        <v>5</v>
      </c>
      <c r="N1444">
        <v>10.57</v>
      </c>
      <c r="O1444">
        <v>10799.59</v>
      </c>
      <c r="P1444">
        <v>44.17</v>
      </c>
      <c r="Q1444">
        <v>204.16</v>
      </c>
      <c r="R1444">
        <v>26.12</v>
      </c>
      <c r="S1444">
        <v>17.37</v>
      </c>
      <c r="T1444">
        <v>2260.91</v>
      </c>
      <c r="U1444">
        <v>0.67</v>
      </c>
      <c r="V1444">
        <v>0.75</v>
      </c>
      <c r="W1444">
        <v>1.1499999999999999</v>
      </c>
      <c r="X1444">
        <v>0.14000000000000001</v>
      </c>
      <c r="Y1444">
        <v>1</v>
      </c>
      <c r="Z1444">
        <v>10</v>
      </c>
    </row>
    <row r="1445" spans="1:26" x14ac:dyDescent="0.3">
      <c r="A1445">
        <v>17</v>
      </c>
      <c r="B1445">
        <v>35</v>
      </c>
      <c r="C1445" t="s">
        <v>26</v>
      </c>
      <c r="D1445">
        <v>11.283099999999999</v>
      </c>
      <c r="E1445">
        <v>8.86</v>
      </c>
      <c r="F1445">
        <v>6.83</v>
      </c>
      <c r="G1445">
        <v>51.25</v>
      </c>
      <c r="H1445">
        <v>1.07</v>
      </c>
      <c r="I1445">
        <v>8</v>
      </c>
      <c r="J1445">
        <v>85.97</v>
      </c>
      <c r="K1445">
        <v>35.1</v>
      </c>
      <c r="L1445">
        <v>5.25</v>
      </c>
      <c r="M1445">
        <v>2</v>
      </c>
      <c r="N1445">
        <v>10.62</v>
      </c>
      <c r="O1445">
        <v>10836.99</v>
      </c>
      <c r="P1445">
        <v>43.58</v>
      </c>
      <c r="Q1445">
        <v>204.14</v>
      </c>
      <c r="R1445">
        <v>26.24</v>
      </c>
      <c r="S1445">
        <v>17.37</v>
      </c>
      <c r="T1445">
        <v>2320.62</v>
      </c>
      <c r="U1445">
        <v>0.66</v>
      </c>
      <c r="V1445">
        <v>0.75</v>
      </c>
      <c r="W1445">
        <v>1.1499999999999999</v>
      </c>
      <c r="X1445">
        <v>0.14000000000000001</v>
      </c>
      <c r="Y1445">
        <v>1</v>
      </c>
      <c r="Z1445">
        <v>10</v>
      </c>
    </row>
    <row r="1446" spans="1:26" x14ac:dyDescent="0.3">
      <c r="A1446">
        <v>18</v>
      </c>
      <c r="B1446">
        <v>35</v>
      </c>
      <c r="C1446" t="s">
        <v>26</v>
      </c>
      <c r="D1446">
        <v>11.325699999999999</v>
      </c>
      <c r="E1446">
        <v>8.83</v>
      </c>
      <c r="F1446">
        <v>6.82</v>
      </c>
      <c r="G1446">
        <v>58.43</v>
      </c>
      <c r="H1446">
        <v>1.1200000000000001</v>
      </c>
      <c r="I1446">
        <v>7</v>
      </c>
      <c r="J1446">
        <v>86.27</v>
      </c>
      <c r="K1446">
        <v>35.1</v>
      </c>
      <c r="L1446">
        <v>5.5</v>
      </c>
      <c r="M1446">
        <v>1</v>
      </c>
      <c r="N1446">
        <v>10.67</v>
      </c>
      <c r="O1446">
        <v>10874.42</v>
      </c>
      <c r="P1446">
        <v>43.41</v>
      </c>
      <c r="Q1446">
        <v>204.15</v>
      </c>
      <c r="R1446">
        <v>25.68</v>
      </c>
      <c r="S1446">
        <v>17.37</v>
      </c>
      <c r="T1446">
        <v>2046.7</v>
      </c>
      <c r="U1446">
        <v>0.68</v>
      </c>
      <c r="V1446">
        <v>0.75</v>
      </c>
      <c r="W1446">
        <v>1.1499999999999999</v>
      </c>
      <c r="X1446">
        <v>0.13</v>
      </c>
      <c r="Y1446">
        <v>1</v>
      </c>
      <c r="Z1446">
        <v>10</v>
      </c>
    </row>
    <row r="1447" spans="1:26" x14ac:dyDescent="0.3">
      <c r="A1447">
        <v>19</v>
      </c>
      <c r="B1447">
        <v>35</v>
      </c>
      <c r="C1447" t="s">
        <v>26</v>
      </c>
      <c r="D1447">
        <v>11.325699999999999</v>
      </c>
      <c r="E1447">
        <v>8.83</v>
      </c>
      <c r="F1447">
        <v>6.82</v>
      </c>
      <c r="G1447">
        <v>58.43</v>
      </c>
      <c r="H1447">
        <v>1.1599999999999999</v>
      </c>
      <c r="I1447">
        <v>7</v>
      </c>
      <c r="J1447">
        <v>86.58</v>
      </c>
      <c r="K1447">
        <v>35.1</v>
      </c>
      <c r="L1447">
        <v>5.75</v>
      </c>
      <c r="M1447">
        <v>0</v>
      </c>
      <c r="N1447">
        <v>10.73</v>
      </c>
      <c r="O1447">
        <v>10911.86</v>
      </c>
      <c r="P1447">
        <v>43.6</v>
      </c>
      <c r="Q1447">
        <v>204.14</v>
      </c>
      <c r="R1447">
        <v>25.69</v>
      </c>
      <c r="S1447">
        <v>17.37</v>
      </c>
      <c r="T1447">
        <v>2050.3000000000002</v>
      </c>
      <c r="U1447">
        <v>0.68</v>
      </c>
      <c r="V1447">
        <v>0.75</v>
      </c>
      <c r="W1447">
        <v>1.1499999999999999</v>
      </c>
      <c r="X1447">
        <v>0.13</v>
      </c>
      <c r="Y1447">
        <v>1</v>
      </c>
      <c r="Z1447">
        <v>10</v>
      </c>
    </row>
    <row r="1448" spans="1:26" x14ac:dyDescent="0.3">
      <c r="A1448">
        <v>0</v>
      </c>
      <c r="B1448">
        <v>50</v>
      </c>
      <c r="C1448" t="s">
        <v>26</v>
      </c>
      <c r="D1448">
        <v>9.0823999999999998</v>
      </c>
      <c r="E1448">
        <v>11.01</v>
      </c>
      <c r="F1448">
        <v>7.77</v>
      </c>
      <c r="G1448">
        <v>8.64</v>
      </c>
      <c r="H1448">
        <v>0.16</v>
      </c>
      <c r="I1448">
        <v>54</v>
      </c>
      <c r="J1448">
        <v>107.41</v>
      </c>
      <c r="K1448">
        <v>41.65</v>
      </c>
      <c r="L1448">
        <v>1</v>
      </c>
      <c r="M1448">
        <v>52</v>
      </c>
      <c r="N1448">
        <v>14.77</v>
      </c>
      <c r="O1448">
        <v>13481.73</v>
      </c>
      <c r="P1448">
        <v>73.150000000000006</v>
      </c>
      <c r="Q1448">
        <v>204.22</v>
      </c>
      <c r="R1448">
        <v>55.59</v>
      </c>
      <c r="S1448">
        <v>17.37</v>
      </c>
      <c r="T1448">
        <v>16767.77</v>
      </c>
      <c r="U1448">
        <v>0.31</v>
      </c>
      <c r="V1448">
        <v>0.66</v>
      </c>
      <c r="W1448">
        <v>1.23</v>
      </c>
      <c r="X1448">
        <v>1.08</v>
      </c>
      <c r="Y1448">
        <v>1</v>
      </c>
      <c r="Z1448">
        <v>10</v>
      </c>
    </row>
    <row r="1449" spans="1:26" x14ac:dyDescent="0.3">
      <c r="A1449">
        <v>1</v>
      </c>
      <c r="B1449">
        <v>50</v>
      </c>
      <c r="C1449" t="s">
        <v>26</v>
      </c>
      <c r="D1449">
        <v>9.5305999999999997</v>
      </c>
      <c r="E1449">
        <v>10.49</v>
      </c>
      <c r="F1449">
        <v>7.52</v>
      </c>
      <c r="G1449">
        <v>10.75</v>
      </c>
      <c r="H1449">
        <v>0.2</v>
      </c>
      <c r="I1449">
        <v>42</v>
      </c>
      <c r="J1449">
        <v>107.73</v>
      </c>
      <c r="K1449">
        <v>41.65</v>
      </c>
      <c r="L1449">
        <v>1.25</v>
      </c>
      <c r="M1449">
        <v>40</v>
      </c>
      <c r="N1449">
        <v>14.83</v>
      </c>
      <c r="O1449">
        <v>13520.81</v>
      </c>
      <c r="P1449">
        <v>70.45</v>
      </c>
      <c r="Q1449">
        <v>204.18</v>
      </c>
      <c r="R1449">
        <v>47.65</v>
      </c>
      <c r="S1449">
        <v>17.37</v>
      </c>
      <c r="T1449">
        <v>12858.83</v>
      </c>
      <c r="U1449">
        <v>0.36</v>
      </c>
      <c r="V1449">
        <v>0.68</v>
      </c>
      <c r="W1449">
        <v>1.21</v>
      </c>
      <c r="X1449">
        <v>0.83</v>
      </c>
      <c r="Y1449">
        <v>1</v>
      </c>
      <c r="Z1449">
        <v>10</v>
      </c>
    </row>
    <row r="1450" spans="1:26" x14ac:dyDescent="0.3">
      <c r="A1450">
        <v>2</v>
      </c>
      <c r="B1450">
        <v>50</v>
      </c>
      <c r="C1450" t="s">
        <v>26</v>
      </c>
      <c r="D1450">
        <v>9.8495000000000008</v>
      </c>
      <c r="E1450">
        <v>10.15</v>
      </c>
      <c r="F1450">
        <v>7.36</v>
      </c>
      <c r="G1450">
        <v>12.99</v>
      </c>
      <c r="H1450">
        <v>0.24</v>
      </c>
      <c r="I1450">
        <v>34</v>
      </c>
      <c r="J1450">
        <v>108.05</v>
      </c>
      <c r="K1450">
        <v>41.65</v>
      </c>
      <c r="L1450">
        <v>1.5</v>
      </c>
      <c r="M1450">
        <v>32</v>
      </c>
      <c r="N1450">
        <v>14.9</v>
      </c>
      <c r="O1450">
        <v>13559.91</v>
      </c>
      <c r="P1450">
        <v>68.58</v>
      </c>
      <c r="Q1450">
        <v>204.15</v>
      </c>
      <c r="R1450">
        <v>42.61</v>
      </c>
      <c r="S1450">
        <v>17.37</v>
      </c>
      <c r="T1450">
        <v>10375.82</v>
      </c>
      <c r="U1450">
        <v>0.41</v>
      </c>
      <c r="V1450">
        <v>0.69</v>
      </c>
      <c r="W1450">
        <v>1.2</v>
      </c>
      <c r="X1450">
        <v>0.67</v>
      </c>
      <c r="Y1450">
        <v>1</v>
      </c>
      <c r="Z1450">
        <v>10</v>
      </c>
    </row>
    <row r="1451" spans="1:26" x14ac:dyDescent="0.3">
      <c r="A1451">
        <v>3</v>
      </c>
      <c r="B1451">
        <v>50</v>
      </c>
      <c r="C1451" t="s">
        <v>26</v>
      </c>
      <c r="D1451">
        <v>10.0632</v>
      </c>
      <c r="E1451">
        <v>9.94</v>
      </c>
      <c r="F1451">
        <v>7.26</v>
      </c>
      <c r="G1451">
        <v>15.01</v>
      </c>
      <c r="H1451">
        <v>0.28000000000000003</v>
      </c>
      <c r="I1451">
        <v>29</v>
      </c>
      <c r="J1451">
        <v>108.37</v>
      </c>
      <c r="K1451">
        <v>41.65</v>
      </c>
      <c r="L1451">
        <v>1.75</v>
      </c>
      <c r="M1451">
        <v>27</v>
      </c>
      <c r="N1451">
        <v>14.97</v>
      </c>
      <c r="O1451">
        <v>13599.17</v>
      </c>
      <c r="P1451">
        <v>67.31</v>
      </c>
      <c r="Q1451">
        <v>204.21</v>
      </c>
      <c r="R1451">
        <v>39.54</v>
      </c>
      <c r="S1451">
        <v>17.37</v>
      </c>
      <c r="T1451">
        <v>8864.83</v>
      </c>
      <c r="U1451">
        <v>0.44</v>
      </c>
      <c r="V1451">
        <v>0.7</v>
      </c>
      <c r="W1451">
        <v>1.18</v>
      </c>
      <c r="X1451">
        <v>0.56000000000000005</v>
      </c>
      <c r="Y1451">
        <v>1</v>
      </c>
      <c r="Z1451">
        <v>10</v>
      </c>
    </row>
    <row r="1452" spans="1:26" x14ac:dyDescent="0.3">
      <c r="A1452">
        <v>4</v>
      </c>
      <c r="B1452">
        <v>50</v>
      </c>
      <c r="C1452" t="s">
        <v>26</v>
      </c>
      <c r="D1452">
        <v>10.2279</v>
      </c>
      <c r="E1452">
        <v>9.7799999999999994</v>
      </c>
      <c r="F1452">
        <v>7.19</v>
      </c>
      <c r="G1452">
        <v>17.25</v>
      </c>
      <c r="H1452">
        <v>0.32</v>
      </c>
      <c r="I1452">
        <v>25</v>
      </c>
      <c r="J1452">
        <v>108.68</v>
      </c>
      <c r="K1452">
        <v>41.65</v>
      </c>
      <c r="L1452">
        <v>2</v>
      </c>
      <c r="M1452">
        <v>23</v>
      </c>
      <c r="N1452">
        <v>15.03</v>
      </c>
      <c r="O1452">
        <v>13638.32</v>
      </c>
      <c r="P1452">
        <v>66.28</v>
      </c>
      <c r="Q1452">
        <v>204.14</v>
      </c>
      <c r="R1452">
        <v>37.17</v>
      </c>
      <c r="S1452">
        <v>17.37</v>
      </c>
      <c r="T1452">
        <v>7701.1</v>
      </c>
      <c r="U1452">
        <v>0.47</v>
      </c>
      <c r="V1452">
        <v>0.71</v>
      </c>
      <c r="W1452">
        <v>1.18</v>
      </c>
      <c r="X1452">
        <v>0.49</v>
      </c>
      <c r="Y1452">
        <v>1</v>
      </c>
      <c r="Z1452">
        <v>10</v>
      </c>
    </row>
    <row r="1453" spans="1:26" x14ac:dyDescent="0.3">
      <c r="A1453">
        <v>5</v>
      </c>
      <c r="B1453">
        <v>50</v>
      </c>
      <c r="C1453" t="s">
        <v>26</v>
      </c>
      <c r="D1453">
        <v>10.3764</v>
      </c>
      <c r="E1453">
        <v>9.64</v>
      </c>
      <c r="F1453">
        <v>7.11</v>
      </c>
      <c r="G1453">
        <v>19.399999999999999</v>
      </c>
      <c r="H1453">
        <v>0.36</v>
      </c>
      <c r="I1453">
        <v>22</v>
      </c>
      <c r="J1453">
        <v>109</v>
      </c>
      <c r="K1453">
        <v>41.65</v>
      </c>
      <c r="L1453">
        <v>2.25</v>
      </c>
      <c r="M1453">
        <v>20</v>
      </c>
      <c r="N1453">
        <v>15.1</v>
      </c>
      <c r="O1453">
        <v>13677.51</v>
      </c>
      <c r="P1453">
        <v>65.23</v>
      </c>
      <c r="Q1453">
        <v>204.15</v>
      </c>
      <c r="R1453">
        <v>35.1</v>
      </c>
      <c r="S1453">
        <v>17.37</v>
      </c>
      <c r="T1453">
        <v>6680.64</v>
      </c>
      <c r="U1453">
        <v>0.5</v>
      </c>
      <c r="V1453">
        <v>0.72</v>
      </c>
      <c r="W1453">
        <v>1.17</v>
      </c>
      <c r="X1453">
        <v>0.42</v>
      </c>
      <c r="Y1453">
        <v>1</v>
      </c>
      <c r="Z1453">
        <v>10</v>
      </c>
    </row>
    <row r="1454" spans="1:26" x14ac:dyDescent="0.3">
      <c r="A1454">
        <v>6</v>
      </c>
      <c r="B1454">
        <v>50</v>
      </c>
      <c r="C1454" t="s">
        <v>26</v>
      </c>
      <c r="D1454">
        <v>10.465999999999999</v>
      </c>
      <c r="E1454">
        <v>9.5500000000000007</v>
      </c>
      <c r="F1454">
        <v>7.07</v>
      </c>
      <c r="G1454">
        <v>21.22</v>
      </c>
      <c r="H1454">
        <v>0.4</v>
      </c>
      <c r="I1454">
        <v>20</v>
      </c>
      <c r="J1454">
        <v>109.32</v>
      </c>
      <c r="K1454">
        <v>41.65</v>
      </c>
      <c r="L1454">
        <v>2.5</v>
      </c>
      <c r="M1454">
        <v>18</v>
      </c>
      <c r="N1454">
        <v>15.17</v>
      </c>
      <c r="O1454">
        <v>13716.72</v>
      </c>
      <c r="P1454">
        <v>64.56</v>
      </c>
      <c r="Q1454">
        <v>204.19</v>
      </c>
      <c r="R1454">
        <v>33.76</v>
      </c>
      <c r="S1454">
        <v>17.37</v>
      </c>
      <c r="T1454">
        <v>6023.14</v>
      </c>
      <c r="U1454">
        <v>0.51</v>
      </c>
      <c r="V1454">
        <v>0.72</v>
      </c>
      <c r="W1454">
        <v>1.17</v>
      </c>
      <c r="X1454">
        <v>0.38</v>
      </c>
      <c r="Y1454">
        <v>1</v>
      </c>
      <c r="Z1454">
        <v>10</v>
      </c>
    </row>
    <row r="1455" spans="1:26" x14ac:dyDescent="0.3">
      <c r="A1455">
        <v>7</v>
      </c>
      <c r="B1455">
        <v>50</v>
      </c>
      <c r="C1455" t="s">
        <v>26</v>
      </c>
      <c r="D1455">
        <v>10.575799999999999</v>
      </c>
      <c r="E1455">
        <v>9.4600000000000009</v>
      </c>
      <c r="F1455">
        <v>7.02</v>
      </c>
      <c r="G1455">
        <v>23.4</v>
      </c>
      <c r="H1455">
        <v>0.44</v>
      </c>
      <c r="I1455">
        <v>18</v>
      </c>
      <c r="J1455">
        <v>109.64</v>
      </c>
      <c r="K1455">
        <v>41.65</v>
      </c>
      <c r="L1455">
        <v>2.75</v>
      </c>
      <c r="M1455">
        <v>16</v>
      </c>
      <c r="N1455">
        <v>15.24</v>
      </c>
      <c r="O1455">
        <v>13755.95</v>
      </c>
      <c r="P1455">
        <v>63.72</v>
      </c>
      <c r="Q1455">
        <v>204.16</v>
      </c>
      <c r="R1455">
        <v>31.99</v>
      </c>
      <c r="S1455">
        <v>17.37</v>
      </c>
      <c r="T1455">
        <v>5146.01</v>
      </c>
      <c r="U1455">
        <v>0.54</v>
      </c>
      <c r="V1455">
        <v>0.73</v>
      </c>
      <c r="W1455">
        <v>1.17</v>
      </c>
      <c r="X1455">
        <v>0.33</v>
      </c>
      <c r="Y1455">
        <v>1</v>
      </c>
      <c r="Z1455">
        <v>10</v>
      </c>
    </row>
    <row r="1456" spans="1:26" x14ac:dyDescent="0.3">
      <c r="A1456">
        <v>8</v>
      </c>
      <c r="B1456">
        <v>50</v>
      </c>
      <c r="C1456" t="s">
        <v>26</v>
      </c>
      <c r="D1456">
        <v>10.6051</v>
      </c>
      <c r="E1456">
        <v>9.43</v>
      </c>
      <c r="F1456">
        <v>7.02</v>
      </c>
      <c r="G1456">
        <v>24.76</v>
      </c>
      <c r="H1456">
        <v>0.48</v>
      </c>
      <c r="I1456">
        <v>17</v>
      </c>
      <c r="J1456">
        <v>109.96</v>
      </c>
      <c r="K1456">
        <v>41.65</v>
      </c>
      <c r="L1456">
        <v>3</v>
      </c>
      <c r="M1456">
        <v>15</v>
      </c>
      <c r="N1456">
        <v>15.31</v>
      </c>
      <c r="O1456">
        <v>13795.21</v>
      </c>
      <c r="P1456">
        <v>63.4</v>
      </c>
      <c r="Q1456">
        <v>204.26</v>
      </c>
      <c r="R1456">
        <v>31.94</v>
      </c>
      <c r="S1456">
        <v>17.37</v>
      </c>
      <c r="T1456">
        <v>5126.38</v>
      </c>
      <c r="U1456">
        <v>0.54</v>
      </c>
      <c r="V1456">
        <v>0.73</v>
      </c>
      <c r="W1456">
        <v>1.1599999999999999</v>
      </c>
      <c r="X1456">
        <v>0.32</v>
      </c>
      <c r="Y1456">
        <v>1</v>
      </c>
      <c r="Z1456">
        <v>10</v>
      </c>
    </row>
    <row r="1457" spans="1:26" x14ac:dyDescent="0.3">
      <c r="A1457">
        <v>9</v>
      </c>
      <c r="B1457">
        <v>50</v>
      </c>
      <c r="C1457" t="s">
        <v>26</v>
      </c>
      <c r="D1457">
        <v>10.704700000000001</v>
      </c>
      <c r="E1457">
        <v>9.34</v>
      </c>
      <c r="F1457">
        <v>6.97</v>
      </c>
      <c r="G1457">
        <v>27.89</v>
      </c>
      <c r="H1457">
        <v>0.52</v>
      </c>
      <c r="I1457">
        <v>15</v>
      </c>
      <c r="J1457">
        <v>110.27</v>
      </c>
      <c r="K1457">
        <v>41.65</v>
      </c>
      <c r="L1457">
        <v>3.25</v>
      </c>
      <c r="M1457">
        <v>13</v>
      </c>
      <c r="N1457">
        <v>15.37</v>
      </c>
      <c r="O1457">
        <v>13834.5</v>
      </c>
      <c r="P1457">
        <v>62.68</v>
      </c>
      <c r="Q1457">
        <v>204.16</v>
      </c>
      <c r="R1457">
        <v>30.59</v>
      </c>
      <c r="S1457">
        <v>17.37</v>
      </c>
      <c r="T1457">
        <v>4463.66</v>
      </c>
      <c r="U1457">
        <v>0.56999999999999995</v>
      </c>
      <c r="V1457">
        <v>0.73</v>
      </c>
      <c r="W1457">
        <v>1.1599999999999999</v>
      </c>
      <c r="X1457">
        <v>0.28000000000000003</v>
      </c>
      <c r="Y1457">
        <v>1</v>
      </c>
      <c r="Z1457">
        <v>10</v>
      </c>
    </row>
    <row r="1458" spans="1:26" x14ac:dyDescent="0.3">
      <c r="A1458">
        <v>10</v>
      </c>
      <c r="B1458">
        <v>50</v>
      </c>
      <c r="C1458" t="s">
        <v>26</v>
      </c>
      <c r="D1458">
        <v>10.7585</v>
      </c>
      <c r="E1458">
        <v>9.3000000000000007</v>
      </c>
      <c r="F1458">
        <v>6.95</v>
      </c>
      <c r="G1458">
        <v>29.78</v>
      </c>
      <c r="H1458">
        <v>0.56000000000000005</v>
      </c>
      <c r="I1458">
        <v>14</v>
      </c>
      <c r="J1458">
        <v>110.59</v>
      </c>
      <c r="K1458">
        <v>41.65</v>
      </c>
      <c r="L1458">
        <v>3.5</v>
      </c>
      <c r="M1458">
        <v>12</v>
      </c>
      <c r="N1458">
        <v>15.44</v>
      </c>
      <c r="O1458">
        <v>13873.81</v>
      </c>
      <c r="P1458">
        <v>62.02</v>
      </c>
      <c r="Q1458">
        <v>204.15</v>
      </c>
      <c r="R1458">
        <v>29.79</v>
      </c>
      <c r="S1458">
        <v>17.37</v>
      </c>
      <c r="T1458">
        <v>4069.45</v>
      </c>
      <c r="U1458">
        <v>0.57999999999999996</v>
      </c>
      <c r="V1458">
        <v>0.74</v>
      </c>
      <c r="W1458">
        <v>1.1599999999999999</v>
      </c>
      <c r="X1458">
        <v>0.26</v>
      </c>
      <c r="Y1458">
        <v>1</v>
      </c>
      <c r="Z1458">
        <v>10</v>
      </c>
    </row>
    <row r="1459" spans="1:26" x14ac:dyDescent="0.3">
      <c r="A1459">
        <v>11</v>
      </c>
      <c r="B1459">
        <v>50</v>
      </c>
      <c r="C1459" t="s">
        <v>26</v>
      </c>
      <c r="D1459">
        <v>10.803699999999999</v>
      </c>
      <c r="E1459">
        <v>9.26</v>
      </c>
      <c r="F1459">
        <v>6.93</v>
      </c>
      <c r="G1459">
        <v>31.99</v>
      </c>
      <c r="H1459">
        <v>0.6</v>
      </c>
      <c r="I1459">
        <v>13</v>
      </c>
      <c r="J1459">
        <v>110.91</v>
      </c>
      <c r="K1459">
        <v>41.65</v>
      </c>
      <c r="L1459">
        <v>3.75</v>
      </c>
      <c r="M1459">
        <v>11</v>
      </c>
      <c r="N1459">
        <v>15.51</v>
      </c>
      <c r="O1459">
        <v>13913.15</v>
      </c>
      <c r="P1459">
        <v>61.53</v>
      </c>
      <c r="Q1459">
        <v>204.16</v>
      </c>
      <c r="R1459">
        <v>29.29</v>
      </c>
      <c r="S1459">
        <v>17.37</v>
      </c>
      <c r="T1459">
        <v>3819.96</v>
      </c>
      <c r="U1459">
        <v>0.59</v>
      </c>
      <c r="V1459">
        <v>0.74</v>
      </c>
      <c r="W1459">
        <v>1.1599999999999999</v>
      </c>
      <c r="X1459">
        <v>0.24</v>
      </c>
      <c r="Y1459">
        <v>1</v>
      </c>
      <c r="Z1459">
        <v>10</v>
      </c>
    </row>
    <row r="1460" spans="1:26" x14ac:dyDescent="0.3">
      <c r="A1460">
        <v>12</v>
      </c>
      <c r="B1460">
        <v>50</v>
      </c>
      <c r="C1460" t="s">
        <v>26</v>
      </c>
      <c r="D1460">
        <v>10.8538</v>
      </c>
      <c r="E1460">
        <v>9.2100000000000009</v>
      </c>
      <c r="F1460">
        <v>6.91</v>
      </c>
      <c r="G1460">
        <v>34.549999999999997</v>
      </c>
      <c r="H1460">
        <v>0.63</v>
      </c>
      <c r="I1460">
        <v>12</v>
      </c>
      <c r="J1460">
        <v>111.23</v>
      </c>
      <c r="K1460">
        <v>41.65</v>
      </c>
      <c r="L1460">
        <v>4</v>
      </c>
      <c r="M1460">
        <v>10</v>
      </c>
      <c r="N1460">
        <v>15.58</v>
      </c>
      <c r="O1460">
        <v>13952.52</v>
      </c>
      <c r="P1460">
        <v>61.02</v>
      </c>
      <c r="Q1460">
        <v>204.15</v>
      </c>
      <c r="R1460">
        <v>28.71</v>
      </c>
      <c r="S1460">
        <v>17.37</v>
      </c>
      <c r="T1460">
        <v>3534.87</v>
      </c>
      <c r="U1460">
        <v>0.61</v>
      </c>
      <c r="V1460">
        <v>0.74</v>
      </c>
      <c r="W1460">
        <v>1.1499999999999999</v>
      </c>
      <c r="X1460">
        <v>0.22</v>
      </c>
      <c r="Y1460">
        <v>1</v>
      </c>
      <c r="Z1460">
        <v>10</v>
      </c>
    </row>
    <row r="1461" spans="1:26" x14ac:dyDescent="0.3">
      <c r="A1461">
        <v>13</v>
      </c>
      <c r="B1461">
        <v>50</v>
      </c>
      <c r="C1461" t="s">
        <v>26</v>
      </c>
      <c r="D1461">
        <v>10.8561</v>
      </c>
      <c r="E1461">
        <v>9.2100000000000009</v>
      </c>
      <c r="F1461">
        <v>6.91</v>
      </c>
      <c r="G1461">
        <v>34.54</v>
      </c>
      <c r="H1461">
        <v>0.67</v>
      </c>
      <c r="I1461">
        <v>12</v>
      </c>
      <c r="J1461">
        <v>111.55</v>
      </c>
      <c r="K1461">
        <v>41.65</v>
      </c>
      <c r="L1461">
        <v>4.25</v>
      </c>
      <c r="M1461">
        <v>10</v>
      </c>
      <c r="N1461">
        <v>15.65</v>
      </c>
      <c r="O1461">
        <v>13991.91</v>
      </c>
      <c r="P1461">
        <v>60.54</v>
      </c>
      <c r="Q1461">
        <v>204.14</v>
      </c>
      <c r="R1461">
        <v>28.63</v>
      </c>
      <c r="S1461">
        <v>17.37</v>
      </c>
      <c r="T1461">
        <v>3498.47</v>
      </c>
      <c r="U1461">
        <v>0.61</v>
      </c>
      <c r="V1461">
        <v>0.74</v>
      </c>
      <c r="W1461">
        <v>1.1499999999999999</v>
      </c>
      <c r="X1461">
        <v>0.22</v>
      </c>
      <c r="Y1461">
        <v>1</v>
      </c>
      <c r="Z1461">
        <v>10</v>
      </c>
    </row>
    <row r="1462" spans="1:26" x14ac:dyDescent="0.3">
      <c r="A1462">
        <v>14</v>
      </c>
      <c r="B1462">
        <v>50</v>
      </c>
      <c r="C1462" t="s">
        <v>26</v>
      </c>
      <c r="D1462">
        <v>10.9117</v>
      </c>
      <c r="E1462">
        <v>9.16</v>
      </c>
      <c r="F1462">
        <v>6.88</v>
      </c>
      <c r="G1462">
        <v>37.549999999999997</v>
      </c>
      <c r="H1462">
        <v>0.71</v>
      </c>
      <c r="I1462">
        <v>11</v>
      </c>
      <c r="J1462">
        <v>111.87</v>
      </c>
      <c r="K1462">
        <v>41.65</v>
      </c>
      <c r="L1462">
        <v>4.5</v>
      </c>
      <c r="M1462">
        <v>9</v>
      </c>
      <c r="N1462">
        <v>15.72</v>
      </c>
      <c r="O1462">
        <v>14031.33</v>
      </c>
      <c r="P1462">
        <v>60</v>
      </c>
      <c r="Q1462">
        <v>204.14</v>
      </c>
      <c r="R1462">
        <v>27.78</v>
      </c>
      <c r="S1462">
        <v>17.37</v>
      </c>
      <c r="T1462">
        <v>3078.84</v>
      </c>
      <c r="U1462">
        <v>0.63</v>
      </c>
      <c r="V1462">
        <v>0.74</v>
      </c>
      <c r="W1462">
        <v>1.1499999999999999</v>
      </c>
      <c r="X1462">
        <v>0.19</v>
      </c>
      <c r="Y1462">
        <v>1</v>
      </c>
      <c r="Z1462">
        <v>10</v>
      </c>
    </row>
    <row r="1463" spans="1:26" x14ac:dyDescent="0.3">
      <c r="A1463">
        <v>15</v>
      </c>
      <c r="B1463">
        <v>50</v>
      </c>
      <c r="C1463" t="s">
        <v>26</v>
      </c>
      <c r="D1463">
        <v>10.9589</v>
      </c>
      <c r="E1463">
        <v>9.1199999999999992</v>
      </c>
      <c r="F1463">
        <v>6.87</v>
      </c>
      <c r="G1463">
        <v>41.2</v>
      </c>
      <c r="H1463">
        <v>0.75</v>
      </c>
      <c r="I1463">
        <v>10</v>
      </c>
      <c r="J1463">
        <v>112.19</v>
      </c>
      <c r="K1463">
        <v>41.65</v>
      </c>
      <c r="L1463">
        <v>4.75</v>
      </c>
      <c r="M1463">
        <v>8</v>
      </c>
      <c r="N1463">
        <v>15.79</v>
      </c>
      <c r="O1463">
        <v>14070.77</v>
      </c>
      <c r="P1463">
        <v>59.12</v>
      </c>
      <c r="Q1463">
        <v>204.15</v>
      </c>
      <c r="R1463">
        <v>27.24</v>
      </c>
      <c r="S1463">
        <v>17.37</v>
      </c>
      <c r="T1463">
        <v>2811.34</v>
      </c>
      <c r="U1463">
        <v>0.64</v>
      </c>
      <c r="V1463">
        <v>0.74</v>
      </c>
      <c r="W1463">
        <v>1.1499999999999999</v>
      </c>
      <c r="X1463">
        <v>0.17</v>
      </c>
      <c r="Y1463">
        <v>1</v>
      </c>
      <c r="Z1463">
        <v>10</v>
      </c>
    </row>
    <row r="1464" spans="1:26" x14ac:dyDescent="0.3">
      <c r="A1464">
        <v>16</v>
      </c>
      <c r="B1464">
        <v>50</v>
      </c>
      <c r="C1464" t="s">
        <v>26</v>
      </c>
      <c r="D1464">
        <v>10.9526</v>
      </c>
      <c r="E1464">
        <v>9.1300000000000008</v>
      </c>
      <c r="F1464">
        <v>6.87</v>
      </c>
      <c r="G1464">
        <v>41.23</v>
      </c>
      <c r="H1464">
        <v>0.78</v>
      </c>
      <c r="I1464">
        <v>10</v>
      </c>
      <c r="J1464">
        <v>112.51</v>
      </c>
      <c r="K1464">
        <v>41.65</v>
      </c>
      <c r="L1464">
        <v>5</v>
      </c>
      <c r="M1464">
        <v>8</v>
      </c>
      <c r="N1464">
        <v>15.86</v>
      </c>
      <c r="O1464">
        <v>14110.24</v>
      </c>
      <c r="P1464">
        <v>59.09</v>
      </c>
      <c r="Q1464">
        <v>204.17</v>
      </c>
      <c r="R1464">
        <v>27.42</v>
      </c>
      <c r="S1464">
        <v>17.37</v>
      </c>
      <c r="T1464">
        <v>2901.6</v>
      </c>
      <c r="U1464">
        <v>0.63</v>
      </c>
      <c r="V1464">
        <v>0.74</v>
      </c>
      <c r="W1464">
        <v>1.1499999999999999</v>
      </c>
      <c r="X1464">
        <v>0.18</v>
      </c>
      <c r="Y1464">
        <v>1</v>
      </c>
      <c r="Z1464">
        <v>10</v>
      </c>
    </row>
    <row r="1465" spans="1:26" x14ac:dyDescent="0.3">
      <c r="A1465">
        <v>17</v>
      </c>
      <c r="B1465">
        <v>50</v>
      </c>
      <c r="C1465" t="s">
        <v>26</v>
      </c>
      <c r="D1465">
        <v>11.005100000000001</v>
      </c>
      <c r="E1465">
        <v>9.09</v>
      </c>
      <c r="F1465">
        <v>6.85</v>
      </c>
      <c r="G1465">
        <v>45.67</v>
      </c>
      <c r="H1465">
        <v>0.82</v>
      </c>
      <c r="I1465">
        <v>9</v>
      </c>
      <c r="J1465">
        <v>112.83</v>
      </c>
      <c r="K1465">
        <v>41.65</v>
      </c>
      <c r="L1465">
        <v>5.25</v>
      </c>
      <c r="M1465">
        <v>7</v>
      </c>
      <c r="N1465">
        <v>15.93</v>
      </c>
      <c r="O1465">
        <v>14149.74</v>
      </c>
      <c r="P1465">
        <v>58.29</v>
      </c>
      <c r="Q1465">
        <v>204.16</v>
      </c>
      <c r="R1465">
        <v>26.76</v>
      </c>
      <c r="S1465">
        <v>17.37</v>
      </c>
      <c r="T1465">
        <v>2577.4699999999998</v>
      </c>
      <c r="U1465">
        <v>0.65</v>
      </c>
      <c r="V1465">
        <v>0.75</v>
      </c>
      <c r="W1465">
        <v>1.1499999999999999</v>
      </c>
      <c r="X1465">
        <v>0.16</v>
      </c>
      <c r="Y1465">
        <v>1</v>
      </c>
      <c r="Z1465">
        <v>10</v>
      </c>
    </row>
    <row r="1466" spans="1:26" x14ac:dyDescent="0.3">
      <c r="A1466">
        <v>18</v>
      </c>
      <c r="B1466">
        <v>50</v>
      </c>
      <c r="C1466" t="s">
        <v>26</v>
      </c>
      <c r="D1466">
        <v>10.994400000000001</v>
      </c>
      <c r="E1466">
        <v>9.1</v>
      </c>
      <c r="F1466">
        <v>6.86</v>
      </c>
      <c r="G1466">
        <v>45.73</v>
      </c>
      <c r="H1466">
        <v>0.86</v>
      </c>
      <c r="I1466">
        <v>9</v>
      </c>
      <c r="J1466">
        <v>113.15</v>
      </c>
      <c r="K1466">
        <v>41.65</v>
      </c>
      <c r="L1466">
        <v>5.5</v>
      </c>
      <c r="M1466">
        <v>7</v>
      </c>
      <c r="N1466">
        <v>16</v>
      </c>
      <c r="O1466">
        <v>14189.26</v>
      </c>
      <c r="P1466">
        <v>58.69</v>
      </c>
      <c r="Q1466">
        <v>204.14</v>
      </c>
      <c r="R1466">
        <v>27.06</v>
      </c>
      <c r="S1466">
        <v>17.37</v>
      </c>
      <c r="T1466">
        <v>2728.1</v>
      </c>
      <c r="U1466">
        <v>0.64</v>
      </c>
      <c r="V1466">
        <v>0.74</v>
      </c>
      <c r="W1466">
        <v>1.1499999999999999</v>
      </c>
      <c r="X1466">
        <v>0.17</v>
      </c>
      <c r="Y1466">
        <v>1</v>
      </c>
      <c r="Z1466">
        <v>10</v>
      </c>
    </row>
    <row r="1467" spans="1:26" x14ac:dyDescent="0.3">
      <c r="A1467">
        <v>19</v>
      </c>
      <c r="B1467">
        <v>50</v>
      </c>
      <c r="C1467" t="s">
        <v>26</v>
      </c>
      <c r="D1467">
        <v>10.9954</v>
      </c>
      <c r="E1467">
        <v>9.09</v>
      </c>
      <c r="F1467">
        <v>6.86</v>
      </c>
      <c r="G1467">
        <v>45.72</v>
      </c>
      <c r="H1467">
        <v>0.89</v>
      </c>
      <c r="I1467">
        <v>9</v>
      </c>
      <c r="J1467">
        <v>113.47</v>
      </c>
      <c r="K1467">
        <v>41.65</v>
      </c>
      <c r="L1467">
        <v>5.75</v>
      </c>
      <c r="M1467">
        <v>7</v>
      </c>
      <c r="N1467">
        <v>16.07</v>
      </c>
      <c r="O1467">
        <v>14228.81</v>
      </c>
      <c r="P1467">
        <v>57.91</v>
      </c>
      <c r="Q1467">
        <v>204.14</v>
      </c>
      <c r="R1467">
        <v>27.06</v>
      </c>
      <c r="S1467">
        <v>17.37</v>
      </c>
      <c r="T1467">
        <v>2726.3</v>
      </c>
      <c r="U1467">
        <v>0.64</v>
      </c>
      <c r="V1467">
        <v>0.74</v>
      </c>
      <c r="W1467">
        <v>1.1499999999999999</v>
      </c>
      <c r="X1467">
        <v>0.17</v>
      </c>
      <c r="Y1467">
        <v>1</v>
      </c>
      <c r="Z1467">
        <v>10</v>
      </c>
    </row>
    <row r="1468" spans="1:26" x14ac:dyDescent="0.3">
      <c r="A1468">
        <v>20</v>
      </c>
      <c r="B1468">
        <v>50</v>
      </c>
      <c r="C1468" t="s">
        <v>26</v>
      </c>
      <c r="D1468">
        <v>11.069100000000001</v>
      </c>
      <c r="E1468">
        <v>9.0299999999999994</v>
      </c>
      <c r="F1468">
        <v>6.82</v>
      </c>
      <c r="G1468">
        <v>51.15</v>
      </c>
      <c r="H1468">
        <v>0.93</v>
      </c>
      <c r="I1468">
        <v>8</v>
      </c>
      <c r="J1468">
        <v>113.79</v>
      </c>
      <c r="K1468">
        <v>41.65</v>
      </c>
      <c r="L1468">
        <v>6</v>
      </c>
      <c r="M1468">
        <v>6</v>
      </c>
      <c r="N1468">
        <v>16.14</v>
      </c>
      <c r="O1468">
        <v>14268.39</v>
      </c>
      <c r="P1468">
        <v>57.14</v>
      </c>
      <c r="Q1468">
        <v>204.14</v>
      </c>
      <c r="R1468">
        <v>25.84</v>
      </c>
      <c r="S1468">
        <v>17.37</v>
      </c>
      <c r="T1468">
        <v>2124.2600000000002</v>
      </c>
      <c r="U1468">
        <v>0.67</v>
      </c>
      <c r="V1468">
        <v>0.75</v>
      </c>
      <c r="W1468">
        <v>1.1499999999999999</v>
      </c>
      <c r="X1468">
        <v>0.13</v>
      </c>
      <c r="Y1468">
        <v>1</v>
      </c>
      <c r="Z1468">
        <v>10</v>
      </c>
    </row>
    <row r="1469" spans="1:26" x14ac:dyDescent="0.3">
      <c r="A1469">
        <v>21</v>
      </c>
      <c r="B1469">
        <v>50</v>
      </c>
      <c r="C1469" t="s">
        <v>26</v>
      </c>
      <c r="D1469">
        <v>11.0541</v>
      </c>
      <c r="E1469">
        <v>9.0500000000000007</v>
      </c>
      <c r="F1469">
        <v>6.83</v>
      </c>
      <c r="G1469">
        <v>51.24</v>
      </c>
      <c r="H1469">
        <v>0.97</v>
      </c>
      <c r="I1469">
        <v>8</v>
      </c>
      <c r="J1469">
        <v>114.11</v>
      </c>
      <c r="K1469">
        <v>41.65</v>
      </c>
      <c r="L1469">
        <v>6.25</v>
      </c>
      <c r="M1469">
        <v>6</v>
      </c>
      <c r="N1469">
        <v>16.21</v>
      </c>
      <c r="O1469">
        <v>14307.99</v>
      </c>
      <c r="P1469">
        <v>56.6</v>
      </c>
      <c r="Q1469">
        <v>204.14</v>
      </c>
      <c r="R1469">
        <v>26.3</v>
      </c>
      <c r="S1469">
        <v>17.37</v>
      </c>
      <c r="T1469">
        <v>2350.63</v>
      </c>
      <c r="U1469">
        <v>0.66</v>
      </c>
      <c r="V1469">
        <v>0.75</v>
      </c>
      <c r="W1469">
        <v>1.1499999999999999</v>
      </c>
      <c r="X1469">
        <v>0.14000000000000001</v>
      </c>
      <c r="Y1469">
        <v>1</v>
      </c>
      <c r="Z1469">
        <v>10</v>
      </c>
    </row>
    <row r="1470" spans="1:26" x14ac:dyDescent="0.3">
      <c r="A1470">
        <v>22</v>
      </c>
      <c r="B1470">
        <v>50</v>
      </c>
      <c r="C1470" t="s">
        <v>26</v>
      </c>
      <c r="D1470">
        <v>11.0626</v>
      </c>
      <c r="E1470">
        <v>9.0399999999999991</v>
      </c>
      <c r="F1470">
        <v>6.83</v>
      </c>
      <c r="G1470">
        <v>51.19</v>
      </c>
      <c r="H1470">
        <v>1</v>
      </c>
      <c r="I1470">
        <v>8</v>
      </c>
      <c r="J1470">
        <v>114.44</v>
      </c>
      <c r="K1470">
        <v>41.65</v>
      </c>
      <c r="L1470">
        <v>6.5</v>
      </c>
      <c r="M1470">
        <v>6</v>
      </c>
      <c r="N1470">
        <v>16.29</v>
      </c>
      <c r="O1470">
        <v>14347.62</v>
      </c>
      <c r="P1470">
        <v>56.12</v>
      </c>
      <c r="Q1470">
        <v>204.14</v>
      </c>
      <c r="R1470">
        <v>26.09</v>
      </c>
      <c r="S1470">
        <v>17.37</v>
      </c>
      <c r="T1470">
        <v>2247.7199999999998</v>
      </c>
      <c r="U1470">
        <v>0.67</v>
      </c>
      <c r="V1470">
        <v>0.75</v>
      </c>
      <c r="W1470">
        <v>1.1499999999999999</v>
      </c>
      <c r="X1470">
        <v>0.13</v>
      </c>
      <c r="Y1470">
        <v>1</v>
      </c>
      <c r="Z1470">
        <v>10</v>
      </c>
    </row>
    <row r="1471" spans="1:26" x14ac:dyDescent="0.3">
      <c r="A1471">
        <v>23</v>
      </c>
      <c r="B1471">
        <v>50</v>
      </c>
      <c r="C1471" t="s">
        <v>26</v>
      </c>
      <c r="D1471">
        <v>11.123100000000001</v>
      </c>
      <c r="E1471">
        <v>8.99</v>
      </c>
      <c r="F1471">
        <v>6.8</v>
      </c>
      <c r="G1471">
        <v>58.27</v>
      </c>
      <c r="H1471">
        <v>1.04</v>
      </c>
      <c r="I1471">
        <v>7</v>
      </c>
      <c r="J1471">
        <v>114.76</v>
      </c>
      <c r="K1471">
        <v>41.65</v>
      </c>
      <c r="L1471">
        <v>6.75</v>
      </c>
      <c r="M1471">
        <v>5</v>
      </c>
      <c r="N1471">
        <v>16.36</v>
      </c>
      <c r="O1471">
        <v>14387.27</v>
      </c>
      <c r="P1471">
        <v>55.71</v>
      </c>
      <c r="Q1471">
        <v>204.14</v>
      </c>
      <c r="R1471">
        <v>25.21</v>
      </c>
      <c r="S1471">
        <v>17.37</v>
      </c>
      <c r="T1471">
        <v>1811.29</v>
      </c>
      <c r="U1471">
        <v>0.69</v>
      </c>
      <c r="V1471">
        <v>0.75</v>
      </c>
      <c r="W1471">
        <v>1.1499999999999999</v>
      </c>
      <c r="X1471">
        <v>0.11</v>
      </c>
      <c r="Y1471">
        <v>1</v>
      </c>
      <c r="Z1471">
        <v>10</v>
      </c>
    </row>
    <row r="1472" spans="1:26" x14ac:dyDescent="0.3">
      <c r="A1472">
        <v>24</v>
      </c>
      <c r="B1472">
        <v>50</v>
      </c>
      <c r="C1472" t="s">
        <v>26</v>
      </c>
      <c r="D1472">
        <v>11.1084</v>
      </c>
      <c r="E1472">
        <v>9</v>
      </c>
      <c r="F1472">
        <v>6.81</v>
      </c>
      <c r="G1472">
        <v>58.38</v>
      </c>
      <c r="H1472">
        <v>1.07</v>
      </c>
      <c r="I1472">
        <v>7</v>
      </c>
      <c r="J1472">
        <v>115.08</v>
      </c>
      <c r="K1472">
        <v>41.65</v>
      </c>
      <c r="L1472">
        <v>7</v>
      </c>
      <c r="M1472">
        <v>5</v>
      </c>
      <c r="N1472">
        <v>16.43</v>
      </c>
      <c r="O1472">
        <v>14426.96</v>
      </c>
      <c r="P1472">
        <v>55.78</v>
      </c>
      <c r="Q1472">
        <v>204.15</v>
      </c>
      <c r="R1472">
        <v>25.56</v>
      </c>
      <c r="S1472">
        <v>17.37</v>
      </c>
      <c r="T1472">
        <v>1989.41</v>
      </c>
      <c r="U1472">
        <v>0.68</v>
      </c>
      <c r="V1472">
        <v>0.75</v>
      </c>
      <c r="W1472">
        <v>1.1499999999999999</v>
      </c>
      <c r="X1472">
        <v>0.12</v>
      </c>
      <c r="Y1472">
        <v>1</v>
      </c>
      <c r="Z1472">
        <v>10</v>
      </c>
    </row>
    <row r="1473" spans="1:26" x14ac:dyDescent="0.3">
      <c r="A1473">
        <v>25</v>
      </c>
      <c r="B1473">
        <v>50</v>
      </c>
      <c r="C1473" t="s">
        <v>26</v>
      </c>
      <c r="D1473">
        <v>11.106299999999999</v>
      </c>
      <c r="E1473">
        <v>9</v>
      </c>
      <c r="F1473">
        <v>6.81</v>
      </c>
      <c r="G1473">
        <v>58.39</v>
      </c>
      <c r="H1473">
        <v>1.1100000000000001</v>
      </c>
      <c r="I1473">
        <v>7</v>
      </c>
      <c r="J1473">
        <v>115.4</v>
      </c>
      <c r="K1473">
        <v>41.65</v>
      </c>
      <c r="L1473">
        <v>7.25</v>
      </c>
      <c r="M1473">
        <v>5</v>
      </c>
      <c r="N1473">
        <v>16.5</v>
      </c>
      <c r="O1473">
        <v>14466.67</v>
      </c>
      <c r="P1473">
        <v>55.34</v>
      </c>
      <c r="Q1473">
        <v>204.14</v>
      </c>
      <c r="R1473">
        <v>25.61</v>
      </c>
      <c r="S1473">
        <v>17.37</v>
      </c>
      <c r="T1473">
        <v>2013.96</v>
      </c>
      <c r="U1473">
        <v>0.68</v>
      </c>
      <c r="V1473">
        <v>0.75</v>
      </c>
      <c r="W1473">
        <v>1.1499999999999999</v>
      </c>
      <c r="X1473">
        <v>0.12</v>
      </c>
      <c r="Y1473">
        <v>1</v>
      </c>
      <c r="Z1473">
        <v>10</v>
      </c>
    </row>
    <row r="1474" spans="1:26" x14ac:dyDescent="0.3">
      <c r="A1474">
        <v>26</v>
      </c>
      <c r="B1474">
        <v>50</v>
      </c>
      <c r="C1474" t="s">
        <v>26</v>
      </c>
      <c r="D1474">
        <v>11.0998</v>
      </c>
      <c r="E1474">
        <v>9.01</v>
      </c>
      <c r="F1474">
        <v>6.82</v>
      </c>
      <c r="G1474">
        <v>58.44</v>
      </c>
      <c r="H1474">
        <v>1.1399999999999999</v>
      </c>
      <c r="I1474">
        <v>7</v>
      </c>
      <c r="J1474">
        <v>115.72</v>
      </c>
      <c r="K1474">
        <v>41.65</v>
      </c>
      <c r="L1474">
        <v>7.5</v>
      </c>
      <c r="M1474">
        <v>5</v>
      </c>
      <c r="N1474">
        <v>16.57</v>
      </c>
      <c r="O1474">
        <v>14506.4</v>
      </c>
      <c r="P1474">
        <v>54.88</v>
      </c>
      <c r="Q1474">
        <v>204.21</v>
      </c>
      <c r="R1474">
        <v>25.83</v>
      </c>
      <c r="S1474">
        <v>17.37</v>
      </c>
      <c r="T1474">
        <v>2121.58</v>
      </c>
      <c r="U1474">
        <v>0.67</v>
      </c>
      <c r="V1474">
        <v>0.75</v>
      </c>
      <c r="W1474">
        <v>1.1499999999999999</v>
      </c>
      <c r="X1474">
        <v>0.13</v>
      </c>
      <c r="Y1474">
        <v>1</v>
      </c>
      <c r="Z1474">
        <v>10</v>
      </c>
    </row>
    <row r="1475" spans="1:26" x14ac:dyDescent="0.3">
      <c r="A1475">
        <v>27</v>
      </c>
      <c r="B1475">
        <v>50</v>
      </c>
      <c r="C1475" t="s">
        <v>26</v>
      </c>
      <c r="D1475">
        <v>11.1676</v>
      </c>
      <c r="E1475">
        <v>8.9499999999999993</v>
      </c>
      <c r="F1475">
        <v>6.79</v>
      </c>
      <c r="G1475">
        <v>67.849999999999994</v>
      </c>
      <c r="H1475">
        <v>1.18</v>
      </c>
      <c r="I1475">
        <v>6</v>
      </c>
      <c r="J1475">
        <v>116.05</v>
      </c>
      <c r="K1475">
        <v>41.65</v>
      </c>
      <c r="L1475">
        <v>7.75</v>
      </c>
      <c r="M1475">
        <v>4</v>
      </c>
      <c r="N1475">
        <v>16.649999999999999</v>
      </c>
      <c r="O1475">
        <v>14546.17</v>
      </c>
      <c r="P1475">
        <v>53.73</v>
      </c>
      <c r="Q1475">
        <v>204.15</v>
      </c>
      <c r="R1475">
        <v>24.71</v>
      </c>
      <c r="S1475">
        <v>17.37</v>
      </c>
      <c r="T1475">
        <v>1567.4</v>
      </c>
      <c r="U1475">
        <v>0.7</v>
      </c>
      <c r="V1475">
        <v>0.75</v>
      </c>
      <c r="W1475">
        <v>1.1499999999999999</v>
      </c>
      <c r="X1475">
        <v>0.09</v>
      </c>
      <c r="Y1475">
        <v>1</v>
      </c>
      <c r="Z1475">
        <v>10</v>
      </c>
    </row>
    <row r="1476" spans="1:26" x14ac:dyDescent="0.3">
      <c r="A1476">
        <v>28</v>
      </c>
      <c r="B1476">
        <v>50</v>
      </c>
      <c r="C1476" t="s">
        <v>26</v>
      </c>
      <c r="D1476">
        <v>11.162800000000001</v>
      </c>
      <c r="E1476">
        <v>8.9600000000000009</v>
      </c>
      <c r="F1476">
        <v>6.79</v>
      </c>
      <c r="G1476">
        <v>67.89</v>
      </c>
      <c r="H1476">
        <v>1.21</v>
      </c>
      <c r="I1476">
        <v>6</v>
      </c>
      <c r="J1476">
        <v>116.37</v>
      </c>
      <c r="K1476">
        <v>41.65</v>
      </c>
      <c r="L1476">
        <v>8</v>
      </c>
      <c r="M1476">
        <v>4</v>
      </c>
      <c r="N1476">
        <v>16.72</v>
      </c>
      <c r="O1476">
        <v>14585.96</v>
      </c>
      <c r="P1476">
        <v>53.76</v>
      </c>
      <c r="Q1476">
        <v>204.14</v>
      </c>
      <c r="R1476">
        <v>24.8</v>
      </c>
      <c r="S1476">
        <v>17.37</v>
      </c>
      <c r="T1476">
        <v>1614.09</v>
      </c>
      <c r="U1476">
        <v>0.7</v>
      </c>
      <c r="V1476">
        <v>0.75</v>
      </c>
      <c r="W1476">
        <v>1.1499999999999999</v>
      </c>
      <c r="X1476">
        <v>0.1</v>
      </c>
      <c r="Y1476">
        <v>1</v>
      </c>
      <c r="Z1476">
        <v>10</v>
      </c>
    </row>
    <row r="1477" spans="1:26" x14ac:dyDescent="0.3">
      <c r="A1477">
        <v>29</v>
      </c>
      <c r="B1477">
        <v>50</v>
      </c>
      <c r="C1477" t="s">
        <v>26</v>
      </c>
      <c r="D1477">
        <v>11.1676</v>
      </c>
      <c r="E1477">
        <v>8.9499999999999993</v>
      </c>
      <c r="F1477">
        <v>6.79</v>
      </c>
      <c r="G1477">
        <v>67.849999999999994</v>
      </c>
      <c r="H1477">
        <v>1.25</v>
      </c>
      <c r="I1477">
        <v>6</v>
      </c>
      <c r="J1477">
        <v>116.69</v>
      </c>
      <c r="K1477">
        <v>41.65</v>
      </c>
      <c r="L1477">
        <v>8.25</v>
      </c>
      <c r="M1477">
        <v>3</v>
      </c>
      <c r="N1477">
        <v>16.79</v>
      </c>
      <c r="O1477">
        <v>14625.77</v>
      </c>
      <c r="P1477">
        <v>53.52</v>
      </c>
      <c r="Q1477">
        <v>204.14</v>
      </c>
      <c r="R1477">
        <v>24.68</v>
      </c>
      <c r="S1477">
        <v>17.37</v>
      </c>
      <c r="T1477">
        <v>1551.65</v>
      </c>
      <c r="U1477">
        <v>0.7</v>
      </c>
      <c r="V1477">
        <v>0.75</v>
      </c>
      <c r="W1477">
        <v>1.1499999999999999</v>
      </c>
      <c r="X1477">
        <v>0.09</v>
      </c>
      <c r="Y1477">
        <v>1</v>
      </c>
      <c r="Z1477">
        <v>10</v>
      </c>
    </row>
    <row r="1478" spans="1:26" x14ac:dyDescent="0.3">
      <c r="A1478">
        <v>30</v>
      </c>
      <c r="B1478">
        <v>50</v>
      </c>
      <c r="C1478" t="s">
        <v>26</v>
      </c>
      <c r="D1478">
        <v>11.1663</v>
      </c>
      <c r="E1478">
        <v>8.9600000000000009</v>
      </c>
      <c r="F1478">
        <v>6.79</v>
      </c>
      <c r="G1478">
        <v>67.86</v>
      </c>
      <c r="H1478">
        <v>1.28</v>
      </c>
      <c r="I1478">
        <v>6</v>
      </c>
      <c r="J1478">
        <v>117.01</v>
      </c>
      <c r="K1478">
        <v>41.65</v>
      </c>
      <c r="L1478">
        <v>8.5</v>
      </c>
      <c r="M1478">
        <v>3</v>
      </c>
      <c r="N1478">
        <v>16.86</v>
      </c>
      <c r="O1478">
        <v>14665.62</v>
      </c>
      <c r="P1478">
        <v>52.97</v>
      </c>
      <c r="Q1478">
        <v>204.14</v>
      </c>
      <c r="R1478">
        <v>24.81</v>
      </c>
      <c r="S1478">
        <v>17.37</v>
      </c>
      <c r="T1478">
        <v>1617.19</v>
      </c>
      <c r="U1478">
        <v>0.7</v>
      </c>
      <c r="V1478">
        <v>0.75</v>
      </c>
      <c r="W1478">
        <v>1.1499999999999999</v>
      </c>
      <c r="X1478">
        <v>0.1</v>
      </c>
      <c r="Y1478">
        <v>1</v>
      </c>
      <c r="Z1478">
        <v>10</v>
      </c>
    </row>
    <row r="1479" spans="1:26" x14ac:dyDescent="0.3">
      <c r="A1479">
        <v>31</v>
      </c>
      <c r="B1479">
        <v>50</v>
      </c>
      <c r="C1479" t="s">
        <v>26</v>
      </c>
      <c r="D1479">
        <v>11.155200000000001</v>
      </c>
      <c r="E1479">
        <v>8.9600000000000009</v>
      </c>
      <c r="F1479">
        <v>6.79</v>
      </c>
      <c r="G1479">
        <v>67.95</v>
      </c>
      <c r="H1479">
        <v>1.32</v>
      </c>
      <c r="I1479">
        <v>6</v>
      </c>
      <c r="J1479">
        <v>117.34</v>
      </c>
      <c r="K1479">
        <v>41.65</v>
      </c>
      <c r="L1479">
        <v>8.75</v>
      </c>
      <c r="M1479">
        <v>2</v>
      </c>
      <c r="N1479">
        <v>16.940000000000001</v>
      </c>
      <c r="O1479">
        <v>14705.49</v>
      </c>
      <c r="P1479">
        <v>52.95</v>
      </c>
      <c r="Q1479">
        <v>204.14</v>
      </c>
      <c r="R1479">
        <v>25.02</v>
      </c>
      <c r="S1479">
        <v>17.37</v>
      </c>
      <c r="T1479">
        <v>1724.78</v>
      </c>
      <c r="U1479">
        <v>0.69</v>
      </c>
      <c r="V1479">
        <v>0.75</v>
      </c>
      <c r="W1479">
        <v>1.1499999999999999</v>
      </c>
      <c r="X1479">
        <v>0.1</v>
      </c>
      <c r="Y1479">
        <v>1</v>
      </c>
      <c r="Z1479">
        <v>10</v>
      </c>
    </row>
    <row r="1480" spans="1:26" x14ac:dyDescent="0.3">
      <c r="A1480">
        <v>32</v>
      </c>
      <c r="B1480">
        <v>50</v>
      </c>
      <c r="C1480" t="s">
        <v>26</v>
      </c>
      <c r="D1480">
        <v>11.1548</v>
      </c>
      <c r="E1480">
        <v>8.9600000000000009</v>
      </c>
      <c r="F1480">
        <v>6.8</v>
      </c>
      <c r="G1480">
        <v>67.95</v>
      </c>
      <c r="H1480">
        <v>1.35</v>
      </c>
      <c r="I1480">
        <v>6</v>
      </c>
      <c r="J1480">
        <v>117.66</v>
      </c>
      <c r="K1480">
        <v>41.65</v>
      </c>
      <c r="L1480">
        <v>9</v>
      </c>
      <c r="M1480">
        <v>2</v>
      </c>
      <c r="N1480">
        <v>17.010000000000002</v>
      </c>
      <c r="O1480">
        <v>14745.39</v>
      </c>
      <c r="P1480">
        <v>52.8</v>
      </c>
      <c r="Q1480">
        <v>204.14</v>
      </c>
      <c r="R1480">
        <v>25.1</v>
      </c>
      <c r="S1480">
        <v>17.37</v>
      </c>
      <c r="T1480">
        <v>1762.31</v>
      </c>
      <c r="U1480">
        <v>0.69</v>
      </c>
      <c r="V1480">
        <v>0.75</v>
      </c>
      <c r="W1480">
        <v>1.1499999999999999</v>
      </c>
      <c r="X1480">
        <v>0.1</v>
      </c>
      <c r="Y1480">
        <v>1</v>
      </c>
      <c r="Z1480">
        <v>10</v>
      </c>
    </row>
    <row r="1481" spans="1:26" x14ac:dyDescent="0.3">
      <c r="A1481">
        <v>33</v>
      </c>
      <c r="B1481">
        <v>50</v>
      </c>
      <c r="C1481" t="s">
        <v>26</v>
      </c>
      <c r="D1481">
        <v>11.155200000000001</v>
      </c>
      <c r="E1481">
        <v>8.9600000000000009</v>
      </c>
      <c r="F1481">
        <v>6.79</v>
      </c>
      <c r="G1481">
        <v>67.95</v>
      </c>
      <c r="H1481">
        <v>1.38</v>
      </c>
      <c r="I1481">
        <v>6</v>
      </c>
      <c r="J1481">
        <v>117.98</v>
      </c>
      <c r="K1481">
        <v>41.65</v>
      </c>
      <c r="L1481">
        <v>9.25</v>
      </c>
      <c r="M1481">
        <v>1</v>
      </c>
      <c r="N1481">
        <v>17.079999999999998</v>
      </c>
      <c r="O1481">
        <v>14785.31</v>
      </c>
      <c r="P1481">
        <v>52.47</v>
      </c>
      <c r="Q1481">
        <v>204.14</v>
      </c>
      <c r="R1481">
        <v>25.02</v>
      </c>
      <c r="S1481">
        <v>17.37</v>
      </c>
      <c r="T1481">
        <v>1723.87</v>
      </c>
      <c r="U1481">
        <v>0.69</v>
      </c>
      <c r="V1481">
        <v>0.75</v>
      </c>
      <c r="W1481">
        <v>1.1499999999999999</v>
      </c>
      <c r="X1481">
        <v>0.1</v>
      </c>
      <c r="Y1481">
        <v>1</v>
      </c>
      <c r="Z1481">
        <v>10</v>
      </c>
    </row>
    <row r="1482" spans="1:26" x14ac:dyDescent="0.3">
      <c r="A1482">
        <v>34</v>
      </c>
      <c r="B1482">
        <v>50</v>
      </c>
      <c r="C1482" t="s">
        <v>26</v>
      </c>
      <c r="D1482">
        <v>11.157299999999999</v>
      </c>
      <c r="E1482">
        <v>8.9600000000000009</v>
      </c>
      <c r="F1482">
        <v>6.79</v>
      </c>
      <c r="G1482">
        <v>67.930000000000007</v>
      </c>
      <c r="H1482">
        <v>1.42</v>
      </c>
      <c r="I1482">
        <v>6</v>
      </c>
      <c r="J1482">
        <v>118.31</v>
      </c>
      <c r="K1482">
        <v>41.65</v>
      </c>
      <c r="L1482">
        <v>9.5</v>
      </c>
      <c r="M1482">
        <v>1</v>
      </c>
      <c r="N1482">
        <v>17.16</v>
      </c>
      <c r="O1482">
        <v>14825.26</v>
      </c>
      <c r="P1482">
        <v>52.34</v>
      </c>
      <c r="Q1482">
        <v>204.14</v>
      </c>
      <c r="R1482">
        <v>25</v>
      </c>
      <c r="S1482">
        <v>17.37</v>
      </c>
      <c r="T1482">
        <v>1710.93</v>
      </c>
      <c r="U1482">
        <v>0.7</v>
      </c>
      <c r="V1482">
        <v>0.75</v>
      </c>
      <c r="W1482">
        <v>1.1499999999999999</v>
      </c>
      <c r="X1482">
        <v>0.1</v>
      </c>
      <c r="Y1482">
        <v>1</v>
      </c>
      <c r="Z1482">
        <v>10</v>
      </c>
    </row>
    <row r="1483" spans="1:26" x14ac:dyDescent="0.3">
      <c r="A1483">
        <v>35</v>
      </c>
      <c r="B1483">
        <v>50</v>
      </c>
      <c r="C1483" t="s">
        <v>26</v>
      </c>
      <c r="D1483">
        <v>11.158300000000001</v>
      </c>
      <c r="E1483">
        <v>8.9600000000000009</v>
      </c>
      <c r="F1483">
        <v>6.79</v>
      </c>
      <c r="G1483">
        <v>67.92</v>
      </c>
      <c r="H1483">
        <v>1.45</v>
      </c>
      <c r="I1483">
        <v>6</v>
      </c>
      <c r="J1483">
        <v>118.63</v>
      </c>
      <c r="K1483">
        <v>41.65</v>
      </c>
      <c r="L1483">
        <v>9.75</v>
      </c>
      <c r="M1483">
        <v>1</v>
      </c>
      <c r="N1483">
        <v>17.23</v>
      </c>
      <c r="O1483">
        <v>14865.24</v>
      </c>
      <c r="P1483">
        <v>52.19</v>
      </c>
      <c r="Q1483">
        <v>204.14</v>
      </c>
      <c r="R1483">
        <v>24.9</v>
      </c>
      <c r="S1483">
        <v>17.37</v>
      </c>
      <c r="T1483">
        <v>1664.32</v>
      </c>
      <c r="U1483">
        <v>0.7</v>
      </c>
      <c r="V1483">
        <v>0.75</v>
      </c>
      <c r="W1483">
        <v>1.1499999999999999</v>
      </c>
      <c r="X1483">
        <v>0.1</v>
      </c>
      <c r="Y1483">
        <v>1</v>
      </c>
      <c r="Z1483">
        <v>10</v>
      </c>
    </row>
    <row r="1484" spans="1:26" x14ac:dyDescent="0.3">
      <c r="A1484">
        <v>36</v>
      </c>
      <c r="B1484">
        <v>50</v>
      </c>
      <c r="C1484" t="s">
        <v>26</v>
      </c>
      <c r="D1484">
        <v>11.1586</v>
      </c>
      <c r="E1484">
        <v>8.9600000000000009</v>
      </c>
      <c r="F1484">
        <v>6.79</v>
      </c>
      <c r="G1484">
        <v>67.92</v>
      </c>
      <c r="H1484">
        <v>1.48</v>
      </c>
      <c r="I1484">
        <v>6</v>
      </c>
      <c r="J1484">
        <v>118.96</v>
      </c>
      <c r="K1484">
        <v>41.65</v>
      </c>
      <c r="L1484">
        <v>10</v>
      </c>
      <c r="M1484">
        <v>0</v>
      </c>
      <c r="N1484">
        <v>17.309999999999999</v>
      </c>
      <c r="O1484">
        <v>14905.25</v>
      </c>
      <c r="P1484">
        <v>52.21</v>
      </c>
      <c r="Q1484">
        <v>204.14</v>
      </c>
      <c r="R1484">
        <v>24.92</v>
      </c>
      <c r="S1484">
        <v>17.37</v>
      </c>
      <c r="T1484">
        <v>1672.37</v>
      </c>
      <c r="U1484">
        <v>0.7</v>
      </c>
      <c r="V1484">
        <v>0.75</v>
      </c>
      <c r="W1484">
        <v>1.1499999999999999</v>
      </c>
      <c r="X1484">
        <v>0.1</v>
      </c>
      <c r="Y1484">
        <v>1</v>
      </c>
      <c r="Z1484">
        <v>10</v>
      </c>
    </row>
    <row r="1485" spans="1:26" x14ac:dyDescent="0.3">
      <c r="A1485">
        <v>0</v>
      </c>
      <c r="B1485">
        <v>25</v>
      </c>
      <c r="C1485" t="s">
        <v>26</v>
      </c>
      <c r="D1485">
        <v>10.404299999999999</v>
      </c>
      <c r="E1485">
        <v>9.61</v>
      </c>
      <c r="F1485">
        <v>7.34</v>
      </c>
      <c r="G1485">
        <v>12.96</v>
      </c>
      <c r="H1485">
        <v>0.28000000000000003</v>
      </c>
      <c r="I1485">
        <v>34</v>
      </c>
      <c r="J1485">
        <v>61.76</v>
      </c>
      <c r="K1485">
        <v>28.92</v>
      </c>
      <c r="L1485">
        <v>1</v>
      </c>
      <c r="M1485">
        <v>32</v>
      </c>
      <c r="N1485">
        <v>6.84</v>
      </c>
      <c r="O1485">
        <v>7851.41</v>
      </c>
      <c r="P1485">
        <v>45.91</v>
      </c>
      <c r="Q1485">
        <v>204.15</v>
      </c>
      <c r="R1485">
        <v>42.25</v>
      </c>
      <c r="S1485">
        <v>17.37</v>
      </c>
      <c r="T1485">
        <v>10197.17</v>
      </c>
      <c r="U1485">
        <v>0.41</v>
      </c>
      <c r="V1485">
        <v>0.7</v>
      </c>
      <c r="W1485">
        <v>1.19</v>
      </c>
      <c r="X1485">
        <v>0.65</v>
      </c>
      <c r="Y1485">
        <v>1</v>
      </c>
      <c r="Z1485">
        <v>10</v>
      </c>
    </row>
    <row r="1486" spans="1:26" x14ac:dyDescent="0.3">
      <c r="A1486">
        <v>1</v>
      </c>
      <c r="B1486">
        <v>25</v>
      </c>
      <c r="C1486" t="s">
        <v>26</v>
      </c>
      <c r="D1486">
        <v>10.6553</v>
      </c>
      <c r="E1486">
        <v>9.3800000000000008</v>
      </c>
      <c r="F1486">
        <v>7.21</v>
      </c>
      <c r="G1486">
        <v>16.03</v>
      </c>
      <c r="H1486">
        <v>0.35</v>
      </c>
      <c r="I1486">
        <v>27</v>
      </c>
      <c r="J1486">
        <v>62.05</v>
      </c>
      <c r="K1486">
        <v>28.92</v>
      </c>
      <c r="L1486">
        <v>1.25</v>
      </c>
      <c r="M1486">
        <v>25</v>
      </c>
      <c r="N1486">
        <v>6.88</v>
      </c>
      <c r="O1486">
        <v>7887.12</v>
      </c>
      <c r="P1486">
        <v>44.45</v>
      </c>
      <c r="Q1486">
        <v>204.19</v>
      </c>
      <c r="R1486">
        <v>37.979999999999997</v>
      </c>
      <c r="S1486">
        <v>17.37</v>
      </c>
      <c r="T1486">
        <v>8095.35</v>
      </c>
      <c r="U1486">
        <v>0.46</v>
      </c>
      <c r="V1486">
        <v>0.71</v>
      </c>
      <c r="W1486">
        <v>1.18</v>
      </c>
      <c r="X1486">
        <v>0.52</v>
      </c>
      <c r="Y1486">
        <v>1</v>
      </c>
      <c r="Z1486">
        <v>10</v>
      </c>
    </row>
    <row r="1487" spans="1:26" x14ac:dyDescent="0.3">
      <c r="A1487">
        <v>2</v>
      </c>
      <c r="B1487">
        <v>25</v>
      </c>
      <c r="C1487" t="s">
        <v>26</v>
      </c>
      <c r="D1487">
        <v>10.847300000000001</v>
      </c>
      <c r="E1487">
        <v>9.2200000000000006</v>
      </c>
      <c r="F1487">
        <v>7.12</v>
      </c>
      <c r="G1487">
        <v>19.41</v>
      </c>
      <c r="H1487">
        <v>0.42</v>
      </c>
      <c r="I1487">
        <v>22</v>
      </c>
      <c r="J1487">
        <v>62.34</v>
      </c>
      <c r="K1487">
        <v>28.92</v>
      </c>
      <c r="L1487">
        <v>1.5</v>
      </c>
      <c r="M1487">
        <v>20</v>
      </c>
      <c r="N1487">
        <v>6.92</v>
      </c>
      <c r="O1487">
        <v>7922.85</v>
      </c>
      <c r="P1487">
        <v>43.29</v>
      </c>
      <c r="Q1487">
        <v>204.15</v>
      </c>
      <c r="R1487">
        <v>35.090000000000003</v>
      </c>
      <c r="S1487">
        <v>17.37</v>
      </c>
      <c r="T1487">
        <v>6677.52</v>
      </c>
      <c r="U1487">
        <v>0.5</v>
      </c>
      <c r="V1487">
        <v>0.72</v>
      </c>
      <c r="W1487">
        <v>1.17</v>
      </c>
      <c r="X1487">
        <v>0.43</v>
      </c>
      <c r="Y1487">
        <v>1</v>
      </c>
      <c r="Z1487">
        <v>10</v>
      </c>
    </row>
    <row r="1488" spans="1:26" x14ac:dyDescent="0.3">
      <c r="A1488">
        <v>3</v>
      </c>
      <c r="B1488">
        <v>25</v>
      </c>
      <c r="C1488" t="s">
        <v>26</v>
      </c>
      <c r="D1488">
        <v>10.98</v>
      </c>
      <c r="E1488">
        <v>9.11</v>
      </c>
      <c r="F1488">
        <v>7.05</v>
      </c>
      <c r="G1488">
        <v>22.26</v>
      </c>
      <c r="H1488">
        <v>0.49</v>
      </c>
      <c r="I1488">
        <v>19</v>
      </c>
      <c r="J1488">
        <v>62.63</v>
      </c>
      <c r="K1488">
        <v>28.92</v>
      </c>
      <c r="L1488">
        <v>1.75</v>
      </c>
      <c r="M1488">
        <v>17</v>
      </c>
      <c r="N1488">
        <v>6.96</v>
      </c>
      <c r="O1488">
        <v>7958.6</v>
      </c>
      <c r="P1488">
        <v>42.16</v>
      </c>
      <c r="Q1488">
        <v>204.17</v>
      </c>
      <c r="R1488">
        <v>32.97</v>
      </c>
      <c r="S1488">
        <v>17.37</v>
      </c>
      <c r="T1488">
        <v>5630.48</v>
      </c>
      <c r="U1488">
        <v>0.53</v>
      </c>
      <c r="V1488">
        <v>0.72</v>
      </c>
      <c r="W1488">
        <v>1.1599999999999999</v>
      </c>
      <c r="X1488">
        <v>0.36</v>
      </c>
      <c r="Y1488">
        <v>1</v>
      </c>
      <c r="Z1488">
        <v>10</v>
      </c>
    </row>
    <row r="1489" spans="1:26" x14ac:dyDescent="0.3">
      <c r="A1489">
        <v>4</v>
      </c>
      <c r="B1489">
        <v>25</v>
      </c>
      <c r="C1489" t="s">
        <v>26</v>
      </c>
      <c r="D1489">
        <v>11.098100000000001</v>
      </c>
      <c r="E1489">
        <v>9.01</v>
      </c>
      <c r="F1489">
        <v>6.99</v>
      </c>
      <c r="G1489">
        <v>26.22</v>
      </c>
      <c r="H1489">
        <v>0.55000000000000004</v>
      </c>
      <c r="I1489">
        <v>16</v>
      </c>
      <c r="J1489">
        <v>62.92</v>
      </c>
      <c r="K1489">
        <v>28.92</v>
      </c>
      <c r="L1489">
        <v>2</v>
      </c>
      <c r="M1489">
        <v>14</v>
      </c>
      <c r="N1489">
        <v>7</v>
      </c>
      <c r="O1489">
        <v>7994.37</v>
      </c>
      <c r="P1489">
        <v>40.98</v>
      </c>
      <c r="Q1489">
        <v>204.18</v>
      </c>
      <c r="R1489">
        <v>31.38</v>
      </c>
      <c r="S1489">
        <v>17.37</v>
      </c>
      <c r="T1489">
        <v>4851.34</v>
      </c>
      <c r="U1489">
        <v>0.55000000000000004</v>
      </c>
      <c r="V1489">
        <v>0.73</v>
      </c>
      <c r="W1489">
        <v>1.1599999999999999</v>
      </c>
      <c r="X1489">
        <v>0.3</v>
      </c>
      <c r="Y1489">
        <v>1</v>
      </c>
      <c r="Z1489">
        <v>10</v>
      </c>
    </row>
    <row r="1490" spans="1:26" x14ac:dyDescent="0.3">
      <c r="A1490">
        <v>5</v>
      </c>
      <c r="B1490">
        <v>25</v>
      </c>
      <c r="C1490" t="s">
        <v>26</v>
      </c>
      <c r="D1490">
        <v>11.187799999999999</v>
      </c>
      <c r="E1490">
        <v>8.94</v>
      </c>
      <c r="F1490">
        <v>6.95</v>
      </c>
      <c r="G1490">
        <v>29.78</v>
      </c>
      <c r="H1490">
        <v>0.62</v>
      </c>
      <c r="I1490">
        <v>14</v>
      </c>
      <c r="J1490">
        <v>63.21</v>
      </c>
      <c r="K1490">
        <v>28.92</v>
      </c>
      <c r="L1490">
        <v>2.25</v>
      </c>
      <c r="M1490">
        <v>12</v>
      </c>
      <c r="N1490">
        <v>7.04</v>
      </c>
      <c r="O1490">
        <v>8030.17</v>
      </c>
      <c r="P1490">
        <v>40.06</v>
      </c>
      <c r="Q1490">
        <v>204.19</v>
      </c>
      <c r="R1490">
        <v>29.78</v>
      </c>
      <c r="S1490">
        <v>17.37</v>
      </c>
      <c r="T1490">
        <v>4062.75</v>
      </c>
      <c r="U1490">
        <v>0.57999999999999996</v>
      </c>
      <c r="V1490">
        <v>0.74</v>
      </c>
      <c r="W1490">
        <v>1.1599999999999999</v>
      </c>
      <c r="X1490">
        <v>0.26</v>
      </c>
      <c r="Y1490">
        <v>1</v>
      </c>
      <c r="Z1490">
        <v>10</v>
      </c>
    </row>
    <row r="1491" spans="1:26" x14ac:dyDescent="0.3">
      <c r="A1491">
        <v>6</v>
      </c>
      <c r="B1491">
        <v>25</v>
      </c>
      <c r="C1491" t="s">
        <v>26</v>
      </c>
      <c r="D1491">
        <v>11.2188</v>
      </c>
      <c r="E1491">
        <v>8.91</v>
      </c>
      <c r="F1491">
        <v>6.94</v>
      </c>
      <c r="G1491">
        <v>32.020000000000003</v>
      </c>
      <c r="H1491">
        <v>0.69</v>
      </c>
      <c r="I1491">
        <v>13</v>
      </c>
      <c r="J1491">
        <v>63.5</v>
      </c>
      <c r="K1491">
        <v>28.92</v>
      </c>
      <c r="L1491">
        <v>2.5</v>
      </c>
      <c r="M1491">
        <v>11</v>
      </c>
      <c r="N1491">
        <v>7.08</v>
      </c>
      <c r="O1491">
        <v>8065.98</v>
      </c>
      <c r="P1491">
        <v>39.17</v>
      </c>
      <c r="Q1491">
        <v>204.15</v>
      </c>
      <c r="R1491">
        <v>29.42</v>
      </c>
      <c r="S1491">
        <v>17.37</v>
      </c>
      <c r="T1491">
        <v>3885.61</v>
      </c>
      <c r="U1491">
        <v>0.59</v>
      </c>
      <c r="V1491">
        <v>0.74</v>
      </c>
      <c r="W1491">
        <v>1.1599999999999999</v>
      </c>
      <c r="X1491">
        <v>0.25</v>
      </c>
      <c r="Y1491">
        <v>1</v>
      </c>
      <c r="Z1491">
        <v>10</v>
      </c>
    </row>
    <row r="1492" spans="1:26" x14ac:dyDescent="0.3">
      <c r="A1492">
        <v>7</v>
      </c>
      <c r="B1492">
        <v>25</v>
      </c>
      <c r="C1492" t="s">
        <v>26</v>
      </c>
      <c r="D1492">
        <v>11.3208</v>
      </c>
      <c r="E1492">
        <v>8.83</v>
      </c>
      <c r="F1492">
        <v>6.88</v>
      </c>
      <c r="G1492">
        <v>37.549999999999997</v>
      </c>
      <c r="H1492">
        <v>0.75</v>
      </c>
      <c r="I1492">
        <v>11</v>
      </c>
      <c r="J1492">
        <v>63.79</v>
      </c>
      <c r="K1492">
        <v>28.92</v>
      </c>
      <c r="L1492">
        <v>2.75</v>
      </c>
      <c r="M1492">
        <v>8</v>
      </c>
      <c r="N1492">
        <v>7.12</v>
      </c>
      <c r="O1492">
        <v>8101.81</v>
      </c>
      <c r="P1492">
        <v>37.93</v>
      </c>
      <c r="Q1492">
        <v>204.15</v>
      </c>
      <c r="R1492">
        <v>27.78</v>
      </c>
      <c r="S1492">
        <v>17.37</v>
      </c>
      <c r="T1492">
        <v>3075.92</v>
      </c>
      <c r="U1492">
        <v>0.63</v>
      </c>
      <c r="V1492">
        <v>0.74</v>
      </c>
      <c r="W1492">
        <v>1.1599999999999999</v>
      </c>
      <c r="X1492">
        <v>0.19</v>
      </c>
      <c r="Y1492">
        <v>1</v>
      </c>
      <c r="Z1492">
        <v>10</v>
      </c>
    </row>
    <row r="1493" spans="1:26" x14ac:dyDescent="0.3">
      <c r="A1493">
        <v>8</v>
      </c>
      <c r="B1493">
        <v>25</v>
      </c>
      <c r="C1493" t="s">
        <v>26</v>
      </c>
      <c r="D1493">
        <v>11.3597</v>
      </c>
      <c r="E1493">
        <v>8.8000000000000007</v>
      </c>
      <c r="F1493">
        <v>6.87</v>
      </c>
      <c r="G1493">
        <v>41.21</v>
      </c>
      <c r="H1493">
        <v>0.81</v>
      </c>
      <c r="I1493">
        <v>10</v>
      </c>
      <c r="J1493">
        <v>64.08</v>
      </c>
      <c r="K1493">
        <v>28.92</v>
      </c>
      <c r="L1493">
        <v>3</v>
      </c>
      <c r="M1493">
        <v>6</v>
      </c>
      <c r="N1493">
        <v>7.16</v>
      </c>
      <c r="O1493">
        <v>8137.65</v>
      </c>
      <c r="P1493">
        <v>37.1</v>
      </c>
      <c r="Q1493">
        <v>204.15</v>
      </c>
      <c r="R1493">
        <v>27.24</v>
      </c>
      <c r="S1493">
        <v>17.37</v>
      </c>
      <c r="T1493">
        <v>2810.72</v>
      </c>
      <c r="U1493">
        <v>0.64</v>
      </c>
      <c r="V1493">
        <v>0.74</v>
      </c>
      <c r="W1493">
        <v>1.1599999999999999</v>
      </c>
      <c r="X1493">
        <v>0.18</v>
      </c>
      <c r="Y1493">
        <v>1</v>
      </c>
      <c r="Z1493">
        <v>10</v>
      </c>
    </row>
    <row r="1494" spans="1:26" x14ac:dyDescent="0.3">
      <c r="A1494">
        <v>9</v>
      </c>
      <c r="B1494">
        <v>25</v>
      </c>
      <c r="C1494" t="s">
        <v>26</v>
      </c>
      <c r="D1494">
        <v>11.35</v>
      </c>
      <c r="E1494">
        <v>8.81</v>
      </c>
      <c r="F1494">
        <v>6.88</v>
      </c>
      <c r="G1494">
        <v>41.26</v>
      </c>
      <c r="H1494">
        <v>0.88</v>
      </c>
      <c r="I1494">
        <v>10</v>
      </c>
      <c r="J1494">
        <v>64.38</v>
      </c>
      <c r="K1494">
        <v>28.92</v>
      </c>
      <c r="L1494">
        <v>3.25</v>
      </c>
      <c r="M1494">
        <v>3</v>
      </c>
      <c r="N1494">
        <v>7.2</v>
      </c>
      <c r="O1494">
        <v>8173.52</v>
      </c>
      <c r="P1494">
        <v>36.85</v>
      </c>
      <c r="Q1494">
        <v>204.17</v>
      </c>
      <c r="R1494">
        <v>27.35</v>
      </c>
      <c r="S1494">
        <v>17.37</v>
      </c>
      <c r="T1494">
        <v>2864.99</v>
      </c>
      <c r="U1494">
        <v>0.64</v>
      </c>
      <c r="V1494">
        <v>0.74</v>
      </c>
      <c r="W1494">
        <v>1.1599999999999999</v>
      </c>
      <c r="X1494">
        <v>0.18</v>
      </c>
      <c r="Y1494">
        <v>1</v>
      </c>
      <c r="Z1494">
        <v>10</v>
      </c>
    </row>
    <row r="1495" spans="1:26" x14ac:dyDescent="0.3">
      <c r="A1495">
        <v>10</v>
      </c>
      <c r="B1495">
        <v>25</v>
      </c>
      <c r="C1495" t="s">
        <v>26</v>
      </c>
      <c r="D1495">
        <v>11.348599999999999</v>
      </c>
      <c r="E1495">
        <v>8.81</v>
      </c>
      <c r="F1495">
        <v>6.88</v>
      </c>
      <c r="G1495">
        <v>41.26</v>
      </c>
      <c r="H1495">
        <v>0.94</v>
      </c>
      <c r="I1495">
        <v>10</v>
      </c>
      <c r="J1495">
        <v>64.67</v>
      </c>
      <c r="K1495">
        <v>28.92</v>
      </c>
      <c r="L1495">
        <v>3.5</v>
      </c>
      <c r="M1495">
        <v>1</v>
      </c>
      <c r="N1495">
        <v>7.24</v>
      </c>
      <c r="O1495">
        <v>8209.41</v>
      </c>
      <c r="P1495">
        <v>36.89</v>
      </c>
      <c r="Q1495">
        <v>204.14</v>
      </c>
      <c r="R1495">
        <v>27.4</v>
      </c>
      <c r="S1495">
        <v>17.37</v>
      </c>
      <c r="T1495">
        <v>2894.06</v>
      </c>
      <c r="U1495">
        <v>0.63</v>
      </c>
      <c r="V1495">
        <v>0.74</v>
      </c>
      <c r="W1495">
        <v>1.1599999999999999</v>
      </c>
      <c r="X1495">
        <v>0.19</v>
      </c>
      <c r="Y1495">
        <v>1</v>
      </c>
      <c r="Z1495">
        <v>10</v>
      </c>
    </row>
    <row r="1496" spans="1:26" x14ac:dyDescent="0.3">
      <c r="A1496">
        <v>11</v>
      </c>
      <c r="B1496">
        <v>25</v>
      </c>
      <c r="C1496" t="s">
        <v>26</v>
      </c>
      <c r="D1496">
        <v>11.346399999999999</v>
      </c>
      <c r="E1496">
        <v>8.81</v>
      </c>
      <c r="F1496">
        <v>6.88</v>
      </c>
      <c r="G1496">
        <v>41.27</v>
      </c>
      <c r="H1496">
        <v>1.01</v>
      </c>
      <c r="I1496">
        <v>10</v>
      </c>
      <c r="J1496">
        <v>64.959999999999994</v>
      </c>
      <c r="K1496">
        <v>28.92</v>
      </c>
      <c r="L1496">
        <v>3.75</v>
      </c>
      <c r="M1496">
        <v>0</v>
      </c>
      <c r="N1496">
        <v>7.28</v>
      </c>
      <c r="O1496">
        <v>8245.32</v>
      </c>
      <c r="P1496">
        <v>36.9</v>
      </c>
      <c r="Q1496">
        <v>204.14</v>
      </c>
      <c r="R1496">
        <v>27.36</v>
      </c>
      <c r="S1496">
        <v>17.37</v>
      </c>
      <c r="T1496">
        <v>2872.54</v>
      </c>
      <c r="U1496">
        <v>0.63</v>
      </c>
      <c r="V1496">
        <v>0.74</v>
      </c>
      <c r="W1496">
        <v>1.1599999999999999</v>
      </c>
      <c r="X1496">
        <v>0.19</v>
      </c>
      <c r="Y1496">
        <v>1</v>
      </c>
      <c r="Z1496">
        <v>10</v>
      </c>
    </row>
    <row r="1497" spans="1:26" x14ac:dyDescent="0.3">
      <c r="A1497">
        <v>0</v>
      </c>
      <c r="B1497">
        <v>85</v>
      </c>
      <c r="C1497" t="s">
        <v>26</v>
      </c>
      <c r="D1497">
        <v>7.5949</v>
      </c>
      <c r="E1497">
        <v>13.17</v>
      </c>
      <c r="F1497">
        <v>8.2200000000000006</v>
      </c>
      <c r="G1497">
        <v>6.49</v>
      </c>
      <c r="H1497">
        <v>0.11</v>
      </c>
      <c r="I1497">
        <v>76</v>
      </c>
      <c r="J1497">
        <v>167.88</v>
      </c>
      <c r="K1497">
        <v>51.39</v>
      </c>
      <c r="L1497">
        <v>1</v>
      </c>
      <c r="M1497">
        <v>74</v>
      </c>
      <c r="N1497">
        <v>30.49</v>
      </c>
      <c r="O1497">
        <v>20939.59</v>
      </c>
      <c r="P1497">
        <v>104.32</v>
      </c>
      <c r="Q1497">
        <v>204.18</v>
      </c>
      <c r="R1497">
        <v>69.459999999999994</v>
      </c>
      <c r="S1497">
        <v>17.37</v>
      </c>
      <c r="T1497">
        <v>23593.99</v>
      </c>
      <c r="U1497">
        <v>0.25</v>
      </c>
      <c r="V1497">
        <v>0.62</v>
      </c>
      <c r="W1497">
        <v>1.26</v>
      </c>
      <c r="X1497">
        <v>1.53</v>
      </c>
      <c r="Y1497">
        <v>1</v>
      </c>
      <c r="Z1497">
        <v>10</v>
      </c>
    </row>
    <row r="1498" spans="1:26" x14ac:dyDescent="0.3">
      <c r="A1498">
        <v>1</v>
      </c>
      <c r="B1498">
        <v>85</v>
      </c>
      <c r="C1498" t="s">
        <v>26</v>
      </c>
      <c r="D1498">
        <v>8.1546000000000003</v>
      </c>
      <c r="E1498">
        <v>12.26</v>
      </c>
      <c r="F1498">
        <v>7.89</v>
      </c>
      <c r="G1498">
        <v>8.02</v>
      </c>
      <c r="H1498">
        <v>0.13</v>
      </c>
      <c r="I1498">
        <v>59</v>
      </c>
      <c r="J1498">
        <v>168.25</v>
      </c>
      <c r="K1498">
        <v>51.39</v>
      </c>
      <c r="L1498">
        <v>1.25</v>
      </c>
      <c r="M1498">
        <v>57</v>
      </c>
      <c r="N1498">
        <v>30.6</v>
      </c>
      <c r="O1498">
        <v>20984.25</v>
      </c>
      <c r="P1498">
        <v>99.96</v>
      </c>
      <c r="Q1498">
        <v>204.19</v>
      </c>
      <c r="R1498">
        <v>59.09</v>
      </c>
      <c r="S1498">
        <v>17.37</v>
      </c>
      <c r="T1498">
        <v>18493.22</v>
      </c>
      <c r="U1498">
        <v>0.28999999999999998</v>
      </c>
      <c r="V1498">
        <v>0.65</v>
      </c>
      <c r="W1498">
        <v>1.24</v>
      </c>
      <c r="X1498">
        <v>1.2</v>
      </c>
      <c r="Y1498">
        <v>1</v>
      </c>
      <c r="Z1498">
        <v>10</v>
      </c>
    </row>
    <row r="1499" spans="1:26" x14ac:dyDescent="0.3">
      <c r="A1499">
        <v>2</v>
      </c>
      <c r="B1499">
        <v>85</v>
      </c>
      <c r="C1499" t="s">
        <v>26</v>
      </c>
      <c r="D1499">
        <v>8.5774000000000008</v>
      </c>
      <c r="E1499">
        <v>11.66</v>
      </c>
      <c r="F1499">
        <v>7.66</v>
      </c>
      <c r="G1499">
        <v>9.57</v>
      </c>
      <c r="H1499">
        <v>0.16</v>
      </c>
      <c r="I1499">
        <v>48</v>
      </c>
      <c r="J1499">
        <v>168.61</v>
      </c>
      <c r="K1499">
        <v>51.39</v>
      </c>
      <c r="L1499">
        <v>1.5</v>
      </c>
      <c r="M1499">
        <v>46</v>
      </c>
      <c r="N1499">
        <v>30.71</v>
      </c>
      <c r="O1499">
        <v>21028.94</v>
      </c>
      <c r="P1499">
        <v>96.82</v>
      </c>
      <c r="Q1499">
        <v>204.17</v>
      </c>
      <c r="R1499">
        <v>51.63</v>
      </c>
      <c r="S1499">
        <v>17.37</v>
      </c>
      <c r="T1499">
        <v>14816.87</v>
      </c>
      <c r="U1499">
        <v>0.34</v>
      </c>
      <c r="V1499">
        <v>0.67</v>
      </c>
      <c r="W1499">
        <v>1.23</v>
      </c>
      <c r="X1499">
        <v>0.97</v>
      </c>
      <c r="Y1499">
        <v>1</v>
      </c>
      <c r="Z1499">
        <v>10</v>
      </c>
    </row>
    <row r="1500" spans="1:26" x14ac:dyDescent="0.3">
      <c r="A1500">
        <v>3</v>
      </c>
      <c r="B1500">
        <v>85</v>
      </c>
      <c r="C1500" t="s">
        <v>26</v>
      </c>
      <c r="D1500">
        <v>8.9268000000000001</v>
      </c>
      <c r="E1500">
        <v>11.2</v>
      </c>
      <c r="F1500">
        <v>7.47</v>
      </c>
      <c r="G1500">
        <v>11.21</v>
      </c>
      <c r="H1500">
        <v>0.18</v>
      </c>
      <c r="I1500">
        <v>40</v>
      </c>
      <c r="J1500">
        <v>168.97</v>
      </c>
      <c r="K1500">
        <v>51.39</v>
      </c>
      <c r="L1500">
        <v>1.75</v>
      </c>
      <c r="M1500">
        <v>38</v>
      </c>
      <c r="N1500">
        <v>30.83</v>
      </c>
      <c r="O1500">
        <v>21073.68</v>
      </c>
      <c r="P1500">
        <v>94.28</v>
      </c>
      <c r="Q1500">
        <v>204.18</v>
      </c>
      <c r="R1500">
        <v>45.93</v>
      </c>
      <c r="S1500">
        <v>17.37</v>
      </c>
      <c r="T1500">
        <v>12006.27</v>
      </c>
      <c r="U1500">
        <v>0.38</v>
      </c>
      <c r="V1500">
        <v>0.68</v>
      </c>
      <c r="W1500">
        <v>1.21</v>
      </c>
      <c r="X1500">
        <v>0.78</v>
      </c>
      <c r="Y1500">
        <v>1</v>
      </c>
      <c r="Z1500">
        <v>10</v>
      </c>
    </row>
    <row r="1501" spans="1:26" x14ac:dyDescent="0.3">
      <c r="A1501">
        <v>4</v>
      </c>
      <c r="B1501">
        <v>85</v>
      </c>
      <c r="C1501" t="s">
        <v>26</v>
      </c>
      <c r="D1501">
        <v>9.1402999999999999</v>
      </c>
      <c r="E1501">
        <v>10.94</v>
      </c>
      <c r="F1501">
        <v>7.38</v>
      </c>
      <c r="G1501">
        <v>12.65</v>
      </c>
      <c r="H1501">
        <v>0.21</v>
      </c>
      <c r="I1501">
        <v>35</v>
      </c>
      <c r="J1501">
        <v>169.33</v>
      </c>
      <c r="K1501">
        <v>51.39</v>
      </c>
      <c r="L1501">
        <v>2</v>
      </c>
      <c r="M1501">
        <v>33</v>
      </c>
      <c r="N1501">
        <v>30.94</v>
      </c>
      <c r="O1501">
        <v>21118.46</v>
      </c>
      <c r="P1501">
        <v>92.91</v>
      </c>
      <c r="Q1501">
        <v>204.17</v>
      </c>
      <c r="R1501">
        <v>43.18</v>
      </c>
      <c r="S1501">
        <v>17.37</v>
      </c>
      <c r="T1501">
        <v>10659.18</v>
      </c>
      <c r="U1501">
        <v>0.4</v>
      </c>
      <c r="V1501">
        <v>0.69</v>
      </c>
      <c r="W1501">
        <v>1.2</v>
      </c>
      <c r="X1501">
        <v>0.69</v>
      </c>
      <c r="Y1501">
        <v>1</v>
      </c>
      <c r="Z1501">
        <v>10</v>
      </c>
    </row>
    <row r="1502" spans="1:26" x14ac:dyDescent="0.3">
      <c r="A1502">
        <v>5</v>
      </c>
      <c r="B1502">
        <v>85</v>
      </c>
      <c r="C1502" t="s">
        <v>26</v>
      </c>
      <c r="D1502">
        <v>9.3313000000000006</v>
      </c>
      <c r="E1502">
        <v>10.72</v>
      </c>
      <c r="F1502">
        <v>7.29</v>
      </c>
      <c r="G1502">
        <v>14.12</v>
      </c>
      <c r="H1502">
        <v>0.24</v>
      </c>
      <c r="I1502">
        <v>31</v>
      </c>
      <c r="J1502">
        <v>169.7</v>
      </c>
      <c r="K1502">
        <v>51.39</v>
      </c>
      <c r="L1502">
        <v>2.25</v>
      </c>
      <c r="M1502">
        <v>29</v>
      </c>
      <c r="N1502">
        <v>31.05</v>
      </c>
      <c r="O1502">
        <v>21163.27</v>
      </c>
      <c r="P1502">
        <v>91.62</v>
      </c>
      <c r="Q1502">
        <v>204.21</v>
      </c>
      <c r="R1502">
        <v>40.68</v>
      </c>
      <c r="S1502">
        <v>17.37</v>
      </c>
      <c r="T1502">
        <v>9428.64</v>
      </c>
      <c r="U1502">
        <v>0.43</v>
      </c>
      <c r="V1502">
        <v>0.7</v>
      </c>
      <c r="W1502">
        <v>1.18</v>
      </c>
      <c r="X1502">
        <v>0.6</v>
      </c>
      <c r="Y1502">
        <v>1</v>
      </c>
      <c r="Z1502">
        <v>10</v>
      </c>
    </row>
    <row r="1503" spans="1:26" x14ac:dyDescent="0.3">
      <c r="A1503">
        <v>6</v>
      </c>
      <c r="B1503">
        <v>85</v>
      </c>
      <c r="C1503" t="s">
        <v>26</v>
      </c>
      <c r="D1503">
        <v>9.5273000000000003</v>
      </c>
      <c r="E1503">
        <v>10.5</v>
      </c>
      <c r="F1503">
        <v>7.21</v>
      </c>
      <c r="G1503">
        <v>16.02</v>
      </c>
      <c r="H1503">
        <v>0.26</v>
      </c>
      <c r="I1503">
        <v>27</v>
      </c>
      <c r="J1503">
        <v>170.06</v>
      </c>
      <c r="K1503">
        <v>51.39</v>
      </c>
      <c r="L1503">
        <v>2.5</v>
      </c>
      <c r="M1503">
        <v>25</v>
      </c>
      <c r="N1503">
        <v>31.17</v>
      </c>
      <c r="O1503">
        <v>21208.12</v>
      </c>
      <c r="P1503">
        <v>90.33</v>
      </c>
      <c r="Q1503">
        <v>204.3</v>
      </c>
      <c r="R1503">
        <v>37.99</v>
      </c>
      <c r="S1503">
        <v>17.37</v>
      </c>
      <c r="T1503">
        <v>8102.47</v>
      </c>
      <c r="U1503">
        <v>0.46</v>
      </c>
      <c r="V1503">
        <v>0.71</v>
      </c>
      <c r="W1503">
        <v>1.18</v>
      </c>
      <c r="X1503">
        <v>0.52</v>
      </c>
      <c r="Y1503">
        <v>1</v>
      </c>
      <c r="Z1503">
        <v>10</v>
      </c>
    </row>
    <row r="1504" spans="1:26" x14ac:dyDescent="0.3">
      <c r="A1504">
        <v>7</v>
      </c>
      <c r="B1504">
        <v>85</v>
      </c>
      <c r="C1504" t="s">
        <v>26</v>
      </c>
      <c r="D1504">
        <v>9.6336999999999993</v>
      </c>
      <c r="E1504">
        <v>10.38</v>
      </c>
      <c r="F1504">
        <v>7.16</v>
      </c>
      <c r="G1504">
        <v>17.190000000000001</v>
      </c>
      <c r="H1504">
        <v>0.28999999999999998</v>
      </c>
      <c r="I1504">
        <v>25</v>
      </c>
      <c r="J1504">
        <v>170.42</v>
      </c>
      <c r="K1504">
        <v>51.39</v>
      </c>
      <c r="L1504">
        <v>2.75</v>
      </c>
      <c r="M1504">
        <v>23</v>
      </c>
      <c r="N1504">
        <v>31.28</v>
      </c>
      <c r="O1504">
        <v>21253.01</v>
      </c>
      <c r="P1504">
        <v>89.55</v>
      </c>
      <c r="Q1504">
        <v>204.14</v>
      </c>
      <c r="R1504">
        <v>36.700000000000003</v>
      </c>
      <c r="S1504">
        <v>17.37</v>
      </c>
      <c r="T1504">
        <v>7469.29</v>
      </c>
      <c r="U1504">
        <v>0.47</v>
      </c>
      <c r="V1504">
        <v>0.71</v>
      </c>
      <c r="W1504">
        <v>1.17</v>
      </c>
      <c r="X1504">
        <v>0.47</v>
      </c>
      <c r="Y1504">
        <v>1</v>
      </c>
      <c r="Z1504">
        <v>10</v>
      </c>
    </row>
    <row r="1505" spans="1:26" x14ac:dyDescent="0.3">
      <c r="A1505">
        <v>8</v>
      </c>
      <c r="B1505">
        <v>85</v>
      </c>
      <c r="C1505" t="s">
        <v>26</v>
      </c>
      <c r="D1505">
        <v>9.7260000000000009</v>
      </c>
      <c r="E1505">
        <v>10.28</v>
      </c>
      <c r="F1505">
        <v>7.13</v>
      </c>
      <c r="G1505">
        <v>18.600000000000001</v>
      </c>
      <c r="H1505">
        <v>0.31</v>
      </c>
      <c r="I1505">
        <v>23</v>
      </c>
      <c r="J1505">
        <v>170.79</v>
      </c>
      <c r="K1505">
        <v>51.39</v>
      </c>
      <c r="L1505">
        <v>3</v>
      </c>
      <c r="M1505">
        <v>21</v>
      </c>
      <c r="N1505">
        <v>31.4</v>
      </c>
      <c r="O1505">
        <v>21297.94</v>
      </c>
      <c r="P1505">
        <v>88.94</v>
      </c>
      <c r="Q1505">
        <v>204.15</v>
      </c>
      <c r="R1505">
        <v>35.46</v>
      </c>
      <c r="S1505">
        <v>17.37</v>
      </c>
      <c r="T1505">
        <v>6857.55</v>
      </c>
      <c r="U1505">
        <v>0.49</v>
      </c>
      <c r="V1505">
        <v>0.72</v>
      </c>
      <c r="W1505">
        <v>1.17</v>
      </c>
      <c r="X1505">
        <v>0.44</v>
      </c>
      <c r="Y1505">
        <v>1</v>
      </c>
      <c r="Z1505">
        <v>10</v>
      </c>
    </row>
    <row r="1506" spans="1:26" x14ac:dyDescent="0.3">
      <c r="A1506">
        <v>9</v>
      </c>
      <c r="B1506">
        <v>85</v>
      </c>
      <c r="C1506" t="s">
        <v>26</v>
      </c>
      <c r="D1506">
        <v>9.8261000000000003</v>
      </c>
      <c r="E1506">
        <v>10.18</v>
      </c>
      <c r="F1506">
        <v>7.09</v>
      </c>
      <c r="G1506">
        <v>20.27</v>
      </c>
      <c r="H1506">
        <v>0.34</v>
      </c>
      <c r="I1506">
        <v>21</v>
      </c>
      <c r="J1506">
        <v>171.15</v>
      </c>
      <c r="K1506">
        <v>51.39</v>
      </c>
      <c r="L1506">
        <v>3.25</v>
      </c>
      <c r="M1506">
        <v>19</v>
      </c>
      <c r="N1506">
        <v>31.51</v>
      </c>
      <c r="O1506">
        <v>21342.91</v>
      </c>
      <c r="P1506">
        <v>88.29</v>
      </c>
      <c r="Q1506">
        <v>204.17</v>
      </c>
      <c r="R1506">
        <v>34.31</v>
      </c>
      <c r="S1506">
        <v>17.37</v>
      </c>
      <c r="T1506">
        <v>6293.72</v>
      </c>
      <c r="U1506">
        <v>0.51</v>
      </c>
      <c r="V1506">
        <v>0.72</v>
      </c>
      <c r="W1506">
        <v>1.17</v>
      </c>
      <c r="X1506">
        <v>0.4</v>
      </c>
      <c r="Y1506">
        <v>1</v>
      </c>
      <c r="Z1506">
        <v>10</v>
      </c>
    </row>
    <row r="1507" spans="1:26" x14ac:dyDescent="0.3">
      <c r="A1507">
        <v>10</v>
      </c>
      <c r="B1507">
        <v>85</v>
      </c>
      <c r="C1507" t="s">
        <v>26</v>
      </c>
      <c r="D1507">
        <v>9.9353999999999996</v>
      </c>
      <c r="E1507">
        <v>10.06</v>
      </c>
      <c r="F1507">
        <v>7.05</v>
      </c>
      <c r="G1507">
        <v>22.26</v>
      </c>
      <c r="H1507">
        <v>0.36</v>
      </c>
      <c r="I1507">
        <v>19</v>
      </c>
      <c r="J1507">
        <v>171.52</v>
      </c>
      <c r="K1507">
        <v>51.39</v>
      </c>
      <c r="L1507">
        <v>3.5</v>
      </c>
      <c r="M1507">
        <v>17</v>
      </c>
      <c r="N1507">
        <v>31.63</v>
      </c>
      <c r="O1507">
        <v>21387.919999999998</v>
      </c>
      <c r="P1507">
        <v>87.53</v>
      </c>
      <c r="Q1507">
        <v>204.14</v>
      </c>
      <c r="R1507">
        <v>32.9</v>
      </c>
      <c r="S1507">
        <v>17.37</v>
      </c>
      <c r="T1507">
        <v>5597.8</v>
      </c>
      <c r="U1507">
        <v>0.53</v>
      </c>
      <c r="V1507">
        <v>0.72</v>
      </c>
      <c r="W1507">
        <v>1.17</v>
      </c>
      <c r="X1507">
        <v>0.36</v>
      </c>
      <c r="Y1507">
        <v>1</v>
      </c>
      <c r="Z1507">
        <v>10</v>
      </c>
    </row>
    <row r="1508" spans="1:26" x14ac:dyDescent="0.3">
      <c r="A1508">
        <v>11</v>
      </c>
      <c r="B1508">
        <v>85</v>
      </c>
      <c r="C1508" t="s">
        <v>26</v>
      </c>
      <c r="D1508">
        <v>9.9997000000000007</v>
      </c>
      <c r="E1508">
        <v>10</v>
      </c>
      <c r="F1508">
        <v>7.02</v>
      </c>
      <c r="G1508">
        <v>23.39</v>
      </c>
      <c r="H1508">
        <v>0.39</v>
      </c>
      <c r="I1508">
        <v>18</v>
      </c>
      <c r="J1508">
        <v>171.88</v>
      </c>
      <c r="K1508">
        <v>51.39</v>
      </c>
      <c r="L1508">
        <v>3.75</v>
      </c>
      <c r="M1508">
        <v>16</v>
      </c>
      <c r="N1508">
        <v>31.74</v>
      </c>
      <c r="O1508">
        <v>21432.959999999999</v>
      </c>
      <c r="P1508">
        <v>87.08</v>
      </c>
      <c r="Q1508">
        <v>204.15</v>
      </c>
      <c r="R1508">
        <v>31.91</v>
      </c>
      <c r="S1508">
        <v>17.37</v>
      </c>
      <c r="T1508">
        <v>5107.55</v>
      </c>
      <c r="U1508">
        <v>0.54</v>
      </c>
      <c r="V1508">
        <v>0.73</v>
      </c>
      <c r="W1508">
        <v>1.17</v>
      </c>
      <c r="X1508">
        <v>0.33</v>
      </c>
      <c r="Y1508">
        <v>1</v>
      </c>
      <c r="Z1508">
        <v>10</v>
      </c>
    </row>
    <row r="1509" spans="1:26" x14ac:dyDescent="0.3">
      <c r="A1509">
        <v>12</v>
      </c>
      <c r="B1509">
        <v>85</v>
      </c>
      <c r="C1509" t="s">
        <v>26</v>
      </c>
      <c r="D1509">
        <v>10.022600000000001</v>
      </c>
      <c r="E1509">
        <v>9.98</v>
      </c>
      <c r="F1509">
        <v>7.03</v>
      </c>
      <c r="G1509">
        <v>24.81</v>
      </c>
      <c r="H1509">
        <v>0.41</v>
      </c>
      <c r="I1509">
        <v>17</v>
      </c>
      <c r="J1509">
        <v>172.25</v>
      </c>
      <c r="K1509">
        <v>51.39</v>
      </c>
      <c r="L1509">
        <v>4</v>
      </c>
      <c r="M1509">
        <v>15</v>
      </c>
      <c r="N1509">
        <v>31.86</v>
      </c>
      <c r="O1509">
        <v>21478.05</v>
      </c>
      <c r="P1509">
        <v>87</v>
      </c>
      <c r="Q1509">
        <v>204.14</v>
      </c>
      <c r="R1509">
        <v>32.380000000000003</v>
      </c>
      <c r="S1509">
        <v>17.37</v>
      </c>
      <c r="T1509">
        <v>5347.62</v>
      </c>
      <c r="U1509">
        <v>0.54</v>
      </c>
      <c r="V1509">
        <v>0.73</v>
      </c>
      <c r="W1509">
        <v>1.1599999999999999</v>
      </c>
      <c r="X1509">
        <v>0.34</v>
      </c>
      <c r="Y1509">
        <v>1</v>
      </c>
      <c r="Z1509">
        <v>10</v>
      </c>
    </row>
    <row r="1510" spans="1:26" x14ac:dyDescent="0.3">
      <c r="A1510">
        <v>13</v>
      </c>
      <c r="B1510">
        <v>85</v>
      </c>
      <c r="C1510" t="s">
        <v>26</v>
      </c>
      <c r="D1510">
        <v>10.084300000000001</v>
      </c>
      <c r="E1510">
        <v>9.92</v>
      </c>
      <c r="F1510">
        <v>7</v>
      </c>
      <c r="G1510">
        <v>26.26</v>
      </c>
      <c r="H1510">
        <v>0.44</v>
      </c>
      <c r="I1510">
        <v>16</v>
      </c>
      <c r="J1510">
        <v>172.61</v>
      </c>
      <c r="K1510">
        <v>51.39</v>
      </c>
      <c r="L1510">
        <v>4.25</v>
      </c>
      <c r="M1510">
        <v>14</v>
      </c>
      <c r="N1510">
        <v>31.97</v>
      </c>
      <c r="O1510">
        <v>21523.17</v>
      </c>
      <c r="P1510">
        <v>86.43</v>
      </c>
      <c r="Q1510">
        <v>204.15</v>
      </c>
      <c r="R1510">
        <v>31.42</v>
      </c>
      <c r="S1510">
        <v>17.37</v>
      </c>
      <c r="T1510">
        <v>4872.37</v>
      </c>
      <c r="U1510">
        <v>0.55000000000000004</v>
      </c>
      <c r="V1510">
        <v>0.73</v>
      </c>
      <c r="W1510">
        <v>1.1599999999999999</v>
      </c>
      <c r="X1510">
        <v>0.31</v>
      </c>
      <c r="Y1510">
        <v>1</v>
      </c>
      <c r="Z1510">
        <v>10</v>
      </c>
    </row>
    <row r="1511" spans="1:26" x14ac:dyDescent="0.3">
      <c r="A1511">
        <v>14</v>
      </c>
      <c r="B1511">
        <v>85</v>
      </c>
      <c r="C1511" t="s">
        <v>26</v>
      </c>
      <c r="D1511">
        <v>10.160299999999999</v>
      </c>
      <c r="E1511">
        <v>9.84</v>
      </c>
      <c r="F1511">
        <v>6.96</v>
      </c>
      <c r="G1511">
        <v>27.85</v>
      </c>
      <c r="H1511">
        <v>0.46</v>
      </c>
      <c r="I1511">
        <v>15</v>
      </c>
      <c r="J1511">
        <v>172.98</v>
      </c>
      <c r="K1511">
        <v>51.39</v>
      </c>
      <c r="L1511">
        <v>4.5</v>
      </c>
      <c r="M1511">
        <v>13</v>
      </c>
      <c r="N1511">
        <v>32.090000000000003</v>
      </c>
      <c r="O1511">
        <v>21568.34</v>
      </c>
      <c r="P1511">
        <v>85.88</v>
      </c>
      <c r="Q1511">
        <v>204.17</v>
      </c>
      <c r="R1511">
        <v>30.27</v>
      </c>
      <c r="S1511">
        <v>17.37</v>
      </c>
      <c r="T1511">
        <v>4302.8100000000004</v>
      </c>
      <c r="U1511">
        <v>0.56999999999999995</v>
      </c>
      <c r="V1511">
        <v>0.73</v>
      </c>
      <c r="W1511">
        <v>1.1599999999999999</v>
      </c>
      <c r="X1511">
        <v>0.27</v>
      </c>
      <c r="Y1511">
        <v>1</v>
      </c>
      <c r="Z1511">
        <v>10</v>
      </c>
    </row>
    <row r="1512" spans="1:26" x14ac:dyDescent="0.3">
      <c r="A1512">
        <v>15</v>
      </c>
      <c r="B1512">
        <v>85</v>
      </c>
      <c r="C1512" t="s">
        <v>26</v>
      </c>
      <c r="D1512">
        <v>10.2035</v>
      </c>
      <c r="E1512">
        <v>9.8000000000000007</v>
      </c>
      <c r="F1512">
        <v>6.95</v>
      </c>
      <c r="G1512">
        <v>29.8</v>
      </c>
      <c r="H1512">
        <v>0.49</v>
      </c>
      <c r="I1512">
        <v>14</v>
      </c>
      <c r="J1512">
        <v>173.35</v>
      </c>
      <c r="K1512">
        <v>51.39</v>
      </c>
      <c r="L1512">
        <v>4.75</v>
      </c>
      <c r="M1512">
        <v>12</v>
      </c>
      <c r="N1512">
        <v>32.200000000000003</v>
      </c>
      <c r="O1512">
        <v>21613.54</v>
      </c>
      <c r="P1512">
        <v>85.43</v>
      </c>
      <c r="Q1512">
        <v>204.16</v>
      </c>
      <c r="R1512">
        <v>30.08</v>
      </c>
      <c r="S1512">
        <v>17.37</v>
      </c>
      <c r="T1512">
        <v>4212.3</v>
      </c>
      <c r="U1512">
        <v>0.57999999999999996</v>
      </c>
      <c r="V1512">
        <v>0.73</v>
      </c>
      <c r="W1512">
        <v>1.1599999999999999</v>
      </c>
      <c r="X1512">
        <v>0.26</v>
      </c>
      <c r="Y1512">
        <v>1</v>
      </c>
      <c r="Z1512">
        <v>10</v>
      </c>
    </row>
    <row r="1513" spans="1:26" x14ac:dyDescent="0.3">
      <c r="A1513">
        <v>16</v>
      </c>
      <c r="B1513">
        <v>85</v>
      </c>
      <c r="C1513" t="s">
        <v>26</v>
      </c>
      <c r="D1513">
        <v>10.2029</v>
      </c>
      <c r="E1513">
        <v>9.8000000000000007</v>
      </c>
      <c r="F1513">
        <v>6.95</v>
      </c>
      <c r="G1513">
        <v>29.8</v>
      </c>
      <c r="H1513">
        <v>0.51</v>
      </c>
      <c r="I1513">
        <v>14</v>
      </c>
      <c r="J1513">
        <v>173.71</v>
      </c>
      <c r="K1513">
        <v>51.39</v>
      </c>
      <c r="L1513">
        <v>5</v>
      </c>
      <c r="M1513">
        <v>12</v>
      </c>
      <c r="N1513">
        <v>32.32</v>
      </c>
      <c r="O1513">
        <v>21658.78</v>
      </c>
      <c r="P1513">
        <v>85.29</v>
      </c>
      <c r="Q1513">
        <v>204.15</v>
      </c>
      <c r="R1513">
        <v>29.99</v>
      </c>
      <c r="S1513">
        <v>17.37</v>
      </c>
      <c r="T1513">
        <v>4167.18</v>
      </c>
      <c r="U1513">
        <v>0.57999999999999996</v>
      </c>
      <c r="V1513">
        <v>0.73</v>
      </c>
      <c r="W1513">
        <v>1.1599999999999999</v>
      </c>
      <c r="X1513">
        <v>0.26</v>
      </c>
      <c r="Y1513">
        <v>1</v>
      </c>
      <c r="Z1513">
        <v>10</v>
      </c>
    </row>
    <row r="1514" spans="1:26" x14ac:dyDescent="0.3">
      <c r="A1514">
        <v>17</v>
      </c>
      <c r="B1514">
        <v>85</v>
      </c>
      <c r="C1514" t="s">
        <v>26</v>
      </c>
      <c r="D1514">
        <v>10.269299999999999</v>
      </c>
      <c r="E1514">
        <v>9.74</v>
      </c>
      <c r="F1514">
        <v>6.92</v>
      </c>
      <c r="G1514">
        <v>31.96</v>
      </c>
      <c r="H1514">
        <v>0.53</v>
      </c>
      <c r="I1514">
        <v>13</v>
      </c>
      <c r="J1514">
        <v>174.08</v>
      </c>
      <c r="K1514">
        <v>51.39</v>
      </c>
      <c r="L1514">
        <v>5.25</v>
      </c>
      <c r="M1514">
        <v>11</v>
      </c>
      <c r="N1514">
        <v>32.44</v>
      </c>
      <c r="O1514">
        <v>21704.07</v>
      </c>
      <c r="P1514">
        <v>84.79</v>
      </c>
      <c r="Q1514">
        <v>204.14</v>
      </c>
      <c r="R1514">
        <v>29.2</v>
      </c>
      <c r="S1514">
        <v>17.37</v>
      </c>
      <c r="T1514">
        <v>3778.15</v>
      </c>
      <c r="U1514">
        <v>0.59</v>
      </c>
      <c r="V1514">
        <v>0.74</v>
      </c>
      <c r="W1514">
        <v>1.1499999999999999</v>
      </c>
      <c r="X1514">
        <v>0.23</v>
      </c>
      <c r="Y1514">
        <v>1</v>
      </c>
      <c r="Z1514">
        <v>10</v>
      </c>
    </row>
    <row r="1515" spans="1:26" x14ac:dyDescent="0.3">
      <c r="A1515">
        <v>18</v>
      </c>
      <c r="B1515">
        <v>85</v>
      </c>
      <c r="C1515" t="s">
        <v>26</v>
      </c>
      <c r="D1515">
        <v>10.323499999999999</v>
      </c>
      <c r="E1515">
        <v>9.69</v>
      </c>
      <c r="F1515">
        <v>6.91</v>
      </c>
      <c r="G1515">
        <v>34.54</v>
      </c>
      <c r="H1515">
        <v>0.56000000000000005</v>
      </c>
      <c r="I1515">
        <v>12</v>
      </c>
      <c r="J1515">
        <v>174.45</v>
      </c>
      <c r="K1515">
        <v>51.39</v>
      </c>
      <c r="L1515">
        <v>5.5</v>
      </c>
      <c r="M1515">
        <v>10</v>
      </c>
      <c r="N1515">
        <v>32.56</v>
      </c>
      <c r="O1515">
        <v>21749.39</v>
      </c>
      <c r="P1515">
        <v>84.33</v>
      </c>
      <c r="Q1515">
        <v>204.16</v>
      </c>
      <c r="R1515">
        <v>28.66</v>
      </c>
      <c r="S1515">
        <v>17.37</v>
      </c>
      <c r="T1515">
        <v>3510.05</v>
      </c>
      <c r="U1515">
        <v>0.61</v>
      </c>
      <c r="V1515">
        <v>0.74</v>
      </c>
      <c r="W1515">
        <v>1.1499999999999999</v>
      </c>
      <c r="X1515">
        <v>0.22</v>
      </c>
      <c r="Y1515">
        <v>1</v>
      </c>
      <c r="Z1515">
        <v>10</v>
      </c>
    </row>
    <row r="1516" spans="1:26" x14ac:dyDescent="0.3">
      <c r="A1516">
        <v>19</v>
      </c>
      <c r="B1516">
        <v>85</v>
      </c>
      <c r="C1516" t="s">
        <v>26</v>
      </c>
      <c r="D1516">
        <v>10.3164</v>
      </c>
      <c r="E1516">
        <v>9.69</v>
      </c>
      <c r="F1516">
        <v>6.91</v>
      </c>
      <c r="G1516">
        <v>34.57</v>
      </c>
      <c r="H1516">
        <v>0.57999999999999996</v>
      </c>
      <c r="I1516">
        <v>12</v>
      </c>
      <c r="J1516">
        <v>174.82</v>
      </c>
      <c r="K1516">
        <v>51.39</v>
      </c>
      <c r="L1516">
        <v>5.75</v>
      </c>
      <c r="M1516">
        <v>10</v>
      </c>
      <c r="N1516">
        <v>32.67</v>
      </c>
      <c r="O1516">
        <v>21794.75</v>
      </c>
      <c r="P1516">
        <v>84.35</v>
      </c>
      <c r="Q1516">
        <v>204.18</v>
      </c>
      <c r="R1516">
        <v>28.83</v>
      </c>
      <c r="S1516">
        <v>17.37</v>
      </c>
      <c r="T1516">
        <v>3595.9</v>
      </c>
      <c r="U1516">
        <v>0.6</v>
      </c>
      <c r="V1516">
        <v>0.74</v>
      </c>
      <c r="W1516">
        <v>1.1499999999999999</v>
      </c>
      <c r="X1516">
        <v>0.22</v>
      </c>
      <c r="Y1516">
        <v>1</v>
      </c>
      <c r="Z1516">
        <v>10</v>
      </c>
    </row>
    <row r="1517" spans="1:26" x14ac:dyDescent="0.3">
      <c r="A1517">
        <v>20</v>
      </c>
      <c r="B1517">
        <v>85</v>
      </c>
      <c r="C1517" t="s">
        <v>26</v>
      </c>
      <c r="D1517">
        <v>10.3896</v>
      </c>
      <c r="E1517">
        <v>9.6199999999999992</v>
      </c>
      <c r="F1517">
        <v>6.88</v>
      </c>
      <c r="G1517">
        <v>37.53</v>
      </c>
      <c r="H1517">
        <v>0.61</v>
      </c>
      <c r="I1517">
        <v>11</v>
      </c>
      <c r="J1517">
        <v>175.18</v>
      </c>
      <c r="K1517">
        <v>51.39</v>
      </c>
      <c r="L1517">
        <v>6</v>
      </c>
      <c r="M1517">
        <v>9</v>
      </c>
      <c r="N1517">
        <v>32.79</v>
      </c>
      <c r="O1517">
        <v>21840.16</v>
      </c>
      <c r="P1517">
        <v>83.41</v>
      </c>
      <c r="Q1517">
        <v>204.14</v>
      </c>
      <c r="R1517">
        <v>27.71</v>
      </c>
      <c r="S1517">
        <v>17.37</v>
      </c>
      <c r="T1517">
        <v>3043.75</v>
      </c>
      <c r="U1517">
        <v>0.63</v>
      </c>
      <c r="V1517">
        <v>0.74</v>
      </c>
      <c r="W1517">
        <v>1.1499999999999999</v>
      </c>
      <c r="X1517">
        <v>0.19</v>
      </c>
      <c r="Y1517">
        <v>1</v>
      </c>
      <c r="Z1517">
        <v>10</v>
      </c>
    </row>
    <row r="1518" spans="1:26" x14ac:dyDescent="0.3">
      <c r="A1518">
        <v>21</v>
      </c>
      <c r="B1518">
        <v>85</v>
      </c>
      <c r="C1518" t="s">
        <v>26</v>
      </c>
      <c r="D1518">
        <v>10.389900000000001</v>
      </c>
      <c r="E1518">
        <v>9.6199999999999992</v>
      </c>
      <c r="F1518">
        <v>6.88</v>
      </c>
      <c r="G1518">
        <v>37.520000000000003</v>
      </c>
      <c r="H1518">
        <v>0.63</v>
      </c>
      <c r="I1518">
        <v>11</v>
      </c>
      <c r="J1518">
        <v>175.55</v>
      </c>
      <c r="K1518">
        <v>51.39</v>
      </c>
      <c r="L1518">
        <v>6.25</v>
      </c>
      <c r="M1518">
        <v>9</v>
      </c>
      <c r="N1518">
        <v>32.909999999999997</v>
      </c>
      <c r="O1518">
        <v>21885.599999999999</v>
      </c>
      <c r="P1518">
        <v>83.43</v>
      </c>
      <c r="Q1518">
        <v>204.17</v>
      </c>
      <c r="R1518">
        <v>27.73</v>
      </c>
      <c r="S1518">
        <v>17.37</v>
      </c>
      <c r="T1518">
        <v>3051.99</v>
      </c>
      <c r="U1518">
        <v>0.63</v>
      </c>
      <c r="V1518">
        <v>0.74</v>
      </c>
      <c r="W1518">
        <v>1.1499999999999999</v>
      </c>
      <c r="X1518">
        <v>0.19</v>
      </c>
      <c r="Y1518">
        <v>1</v>
      </c>
      <c r="Z1518">
        <v>10</v>
      </c>
    </row>
    <row r="1519" spans="1:26" x14ac:dyDescent="0.3">
      <c r="A1519">
        <v>22</v>
      </c>
      <c r="B1519">
        <v>85</v>
      </c>
      <c r="C1519" t="s">
        <v>26</v>
      </c>
      <c r="D1519">
        <v>10.3794</v>
      </c>
      <c r="E1519">
        <v>9.6300000000000008</v>
      </c>
      <c r="F1519">
        <v>6.89</v>
      </c>
      <c r="G1519">
        <v>37.58</v>
      </c>
      <c r="H1519">
        <v>0.66</v>
      </c>
      <c r="I1519">
        <v>11</v>
      </c>
      <c r="J1519">
        <v>175.92</v>
      </c>
      <c r="K1519">
        <v>51.39</v>
      </c>
      <c r="L1519">
        <v>6.5</v>
      </c>
      <c r="M1519">
        <v>9</v>
      </c>
      <c r="N1519">
        <v>33.03</v>
      </c>
      <c r="O1519">
        <v>21931.08</v>
      </c>
      <c r="P1519">
        <v>83.23</v>
      </c>
      <c r="Q1519">
        <v>204.14</v>
      </c>
      <c r="R1519">
        <v>27.93</v>
      </c>
      <c r="S1519">
        <v>17.37</v>
      </c>
      <c r="T1519">
        <v>3154.65</v>
      </c>
      <c r="U1519">
        <v>0.62</v>
      </c>
      <c r="V1519">
        <v>0.74</v>
      </c>
      <c r="W1519">
        <v>1.1599999999999999</v>
      </c>
      <c r="X1519">
        <v>0.2</v>
      </c>
      <c r="Y1519">
        <v>1</v>
      </c>
      <c r="Z1519">
        <v>10</v>
      </c>
    </row>
    <row r="1520" spans="1:26" x14ac:dyDescent="0.3">
      <c r="A1520">
        <v>23</v>
      </c>
      <c r="B1520">
        <v>85</v>
      </c>
      <c r="C1520" t="s">
        <v>26</v>
      </c>
      <c r="D1520">
        <v>10.4384</v>
      </c>
      <c r="E1520">
        <v>9.58</v>
      </c>
      <c r="F1520">
        <v>6.87</v>
      </c>
      <c r="G1520">
        <v>41.21</v>
      </c>
      <c r="H1520">
        <v>0.68</v>
      </c>
      <c r="I1520">
        <v>10</v>
      </c>
      <c r="J1520">
        <v>176.29</v>
      </c>
      <c r="K1520">
        <v>51.39</v>
      </c>
      <c r="L1520">
        <v>6.75</v>
      </c>
      <c r="M1520">
        <v>8</v>
      </c>
      <c r="N1520">
        <v>33.15</v>
      </c>
      <c r="O1520">
        <v>21976.61</v>
      </c>
      <c r="P1520">
        <v>82.68</v>
      </c>
      <c r="Q1520">
        <v>204.14</v>
      </c>
      <c r="R1520">
        <v>27.32</v>
      </c>
      <c r="S1520">
        <v>17.37</v>
      </c>
      <c r="T1520">
        <v>2850.97</v>
      </c>
      <c r="U1520">
        <v>0.64</v>
      </c>
      <c r="V1520">
        <v>0.74</v>
      </c>
      <c r="W1520">
        <v>1.1499999999999999</v>
      </c>
      <c r="X1520">
        <v>0.18</v>
      </c>
      <c r="Y1520">
        <v>1</v>
      </c>
      <c r="Z1520">
        <v>10</v>
      </c>
    </row>
    <row r="1521" spans="1:26" x14ac:dyDescent="0.3">
      <c r="A1521">
        <v>24</v>
      </c>
      <c r="B1521">
        <v>85</v>
      </c>
      <c r="C1521" t="s">
        <v>26</v>
      </c>
      <c r="D1521">
        <v>10.436</v>
      </c>
      <c r="E1521">
        <v>9.58</v>
      </c>
      <c r="F1521">
        <v>6.87</v>
      </c>
      <c r="G1521">
        <v>41.23</v>
      </c>
      <c r="H1521">
        <v>0.7</v>
      </c>
      <c r="I1521">
        <v>10</v>
      </c>
      <c r="J1521">
        <v>176.66</v>
      </c>
      <c r="K1521">
        <v>51.39</v>
      </c>
      <c r="L1521">
        <v>7</v>
      </c>
      <c r="M1521">
        <v>8</v>
      </c>
      <c r="N1521">
        <v>33.270000000000003</v>
      </c>
      <c r="O1521">
        <v>22022.17</v>
      </c>
      <c r="P1521">
        <v>82.64</v>
      </c>
      <c r="Q1521">
        <v>204.14</v>
      </c>
      <c r="R1521">
        <v>27.44</v>
      </c>
      <c r="S1521">
        <v>17.37</v>
      </c>
      <c r="T1521">
        <v>2912.92</v>
      </c>
      <c r="U1521">
        <v>0.63</v>
      </c>
      <c r="V1521">
        <v>0.74</v>
      </c>
      <c r="W1521">
        <v>1.1499999999999999</v>
      </c>
      <c r="X1521">
        <v>0.18</v>
      </c>
      <c r="Y1521">
        <v>1</v>
      </c>
      <c r="Z1521">
        <v>10</v>
      </c>
    </row>
    <row r="1522" spans="1:26" x14ac:dyDescent="0.3">
      <c r="A1522">
        <v>25</v>
      </c>
      <c r="B1522">
        <v>85</v>
      </c>
      <c r="C1522" t="s">
        <v>26</v>
      </c>
      <c r="D1522">
        <v>10.434200000000001</v>
      </c>
      <c r="E1522">
        <v>9.58</v>
      </c>
      <c r="F1522">
        <v>6.87</v>
      </c>
      <c r="G1522">
        <v>41.23</v>
      </c>
      <c r="H1522">
        <v>0.73</v>
      </c>
      <c r="I1522">
        <v>10</v>
      </c>
      <c r="J1522">
        <v>177.03</v>
      </c>
      <c r="K1522">
        <v>51.39</v>
      </c>
      <c r="L1522">
        <v>7.25</v>
      </c>
      <c r="M1522">
        <v>8</v>
      </c>
      <c r="N1522">
        <v>33.39</v>
      </c>
      <c r="O1522">
        <v>22067.77</v>
      </c>
      <c r="P1522">
        <v>82.47</v>
      </c>
      <c r="Q1522">
        <v>204.15</v>
      </c>
      <c r="R1522">
        <v>27.52</v>
      </c>
      <c r="S1522">
        <v>17.37</v>
      </c>
      <c r="T1522">
        <v>2951.63</v>
      </c>
      <c r="U1522">
        <v>0.63</v>
      </c>
      <c r="V1522">
        <v>0.74</v>
      </c>
      <c r="W1522">
        <v>1.1499999999999999</v>
      </c>
      <c r="X1522">
        <v>0.18</v>
      </c>
      <c r="Y1522">
        <v>1</v>
      </c>
      <c r="Z1522">
        <v>10</v>
      </c>
    </row>
    <row r="1523" spans="1:26" x14ac:dyDescent="0.3">
      <c r="A1523">
        <v>26</v>
      </c>
      <c r="B1523">
        <v>85</v>
      </c>
      <c r="C1523" t="s">
        <v>26</v>
      </c>
      <c r="D1523">
        <v>10.489800000000001</v>
      </c>
      <c r="E1523">
        <v>9.5299999999999994</v>
      </c>
      <c r="F1523">
        <v>6.86</v>
      </c>
      <c r="G1523">
        <v>45.7</v>
      </c>
      <c r="H1523">
        <v>0.75</v>
      </c>
      <c r="I1523">
        <v>9</v>
      </c>
      <c r="J1523">
        <v>177.4</v>
      </c>
      <c r="K1523">
        <v>51.39</v>
      </c>
      <c r="L1523">
        <v>7.5</v>
      </c>
      <c r="M1523">
        <v>7</v>
      </c>
      <c r="N1523">
        <v>33.51</v>
      </c>
      <c r="O1523">
        <v>22113.42</v>
      </c>
      <c r="P1523">
        <v>82.22</v>
      </c>
      <c r="Q1523">
        <v>204.22</v>
      </c>
      <c r="R1523">
        <v>26.97</v>
      </c>
      <c r="S1523">
        <v>17.37</v>
      </c>
      <c r="T1523">
        <v>2680.04</v>
      </c>
      <c r="U1523">
        <v>0.64</v>
      </c>
      <c r="V1523">
        <v>0.74</v>
      </c>
      <c r="W1523">
        <v>1.1499999999999999</v>
      </c>
      <c r="X1523">
        <v>0.16</v>
      </c>
      <c r="Y1523">
        <v>1</v>
      </c>
      <c r="Z1523">
        <v>10</v>
      </c>
    </row>
    <row r="1524" spans="1:26" x14ac:dyDescent="0.3">
      <c r="A1524">
        <v>27</v>
      </c>
      <c r="B1524">
        <v>85</v>
      </c>
      <c r="C1524" t="s">
        <v>26</v>
      </c>
      <c r="D1524">
        <v>10.4855</v>
      </c>
      <c r="E1524">
        <v>9.5399999999999991</v>
      </c>
      <c r="F1524">
        <v>6.86</v>
      </c>
      <c r="G1524">
        <v>45.73</v>
      </c>
      <c r="H1524">
        <v>0.77</v>
      </c>
      <c r="I1524">
        <v>9</v>
      </c>
      <c r="J1524">
        <v>177.77</v>
      </c>
      <c r="K1524">
        <v>51.39</v>
      </c>
      <c r="L1524">
        <v>7.75</v>
      </c>
      <c r="M1524">
        <v>7</v>
      </c>
      <c r="N1524">
        <v>33.630000000000003</v>
      </c>
      <c r="O1524">
        <v>22159.1</v>
      </c>
      <c r="P1524">
        <v>82.34</v>
      </c>
      <c r="Q1524">
        <v>204.14</v>
      </c>
      <c r="R1524">
        <v>26.98</v>
      </c>
      <c r="S1524">
        <v>17.37</v>
      </c>
      <c r="T1524">
        <v>2686.15</v>
      </c>
      <c r="U1524">
        <v>0.64</v>
      </c>
      <c r="V1524">
        <v>0.74</v>
      </c>
      <c r="W1524">
        <v>1.1499999999999999</v>
      </c>
      <c r="X1524">
        <v>0.17</v>
      </c>
      <c r="Y1524">
        <v>1</v>
      </c>
      <c r="Z1524">
        <v>10</v>
      </c>
    </row>
    <row r="1525" spans="1:26" x14ac:dyDescent="0.3">
      <c r="A1525">
        <v>28</v>
      </c>
      <c r="B1525">
        <v>85</v>
      </c>
      <c r="C1525" t="s">
        <v>26</v>
      </c>
      <c r="D1525">
        <v>10.488300000000001</v>
      </c>
      <c r="E1525">
        <v>9.5299999999999994</v>
      </c>
      <c r="F1525">
        <v>6.86</v>
      </c>
      <c r="G1525">
        <v>45.71</v>
      </c>
      <c r="H1525">
        <v>0.8</v>
      </c>
      <c r="I1525">
        <v>9</v>
      </c>
      <c r="J1525">
        <v>178.14</v>
      </c>
      <c r="K1525">
        <v>51.39</v>
      </c>
      <c r="L1525">
        <v>8</v>
      </c>
      <c r="M1525">
        <v>7</v>
      </c>
      <c r="N1525">
        <v>33.75</v>
      </c>
      <c r="O1525">
        <v>22204.83</v>
      </c>
      <c r="P1525">
        <v>81.92</v>
      </c>
      <c r="Q1525">
        <v>204.15</v>
      </c>
      <c r="R1525">
        <v>27.08</v>
      </c>
      <c r="S1525">
        <v>17.37</v>
      </c>
      <c r="T1525">
        <v>2737.47</v>
      </c>
      <c r="U1525">
        <v>0.64</v>
      </c>
      <c r="V1525">
        <v>0.74</v>
      </c>
      <c r="W1525">
        <v>1.1499999999999999</v>
      </c>
      <c r="X1525">
        <v>0.17</v>
      </c>
      <c r="Y1525">
        <v>1</v>
      </c>
      <c r="Z1525">
        <v>10</v>
      </c>
    </row>
    <row r="1526" spans="1:26" x14ac:dyDescent="0.3">
      <c r="A1526">
        <v>29</v>
      </c>
      <c r="B1526">
        <v>85</v>
      </c>
      <c r="C1526" t="s">
        <v>26</v>
      </c>
      <c r="D1526">
        <v>10.4947</v>
      </c>
      <c r="E1526">
        <v>9.5299999999999994</v>
      </c>
      <c r="F1526">
        <v>6.85</v>
      </c>
      <c r="G1526">
        <v>45.67</v>
      </c>
      <c r="H1526">
        <v>0.82</v>
      </c>
      <c r="I1526">
        <v>9</v>
      </c>
      <c r="J1526">
        <v>178.51</v>
      </c>
      <c r="K1526">
        <v>51.39</v>
      </c>
      <c r="L1526">
        <v>8.25</v>
      </c>
      <c r="M1526">
        <v>7</v>
      </c>
      <c r="N1526">
        <v>33.869999999999997</v>
      </c>
      <c r="O1526">
        <v>22250.6</v>
      </c>
      <c r="P1526">
        <v>81.45</v>
      </c>
      <c r="Q1526">
        <v>204.14</v>
      </c>
      <c r="R1526">
        <v>26.86</v>
      </c>
      <c r="S1526">
        <v>17.37</v>
      </c>
      <c r="T1526">
        <v>2627.21</v>
      </c>
      <c r="U1526">
        <v>0.65</v>
      </c>
      <c r="V1526">
        <v>0.75</v>
      </c>
      <c r="W1526">
        <v>1.1499999999999999</v>
      </c>
      <c r="X1526">
        <v>0.16</v>
      </c>
      <c r="Y1526">
        <v>1</v>
      </c>
      <c r="Z1526">
        <v>10</v>
      </c>
    </row>
    <row r="1527" spans="1:26" x14ac:dyDescent="0.3">
      <c r="A1527">
        <v>30</v>
      </c>
      <c r="B1527">
        <v>85</v>
      </c>
      <c r="C1527" t="s">
        <v>26</v>
      </c>
      <c r="D1527">
        <v>10.5671</v>
      </c>
      <c r="E1527">
        <v>9.4600000000000009</v>
      </c>
      <c r="F1527">
        <v>6.82</v>
      </c>
      <c r="G1527">
        <v>51.15</v>
      </c>
      <c r="H1527">
        <v>0.84</v>
      </c>
      <c r="I1527">
        <v>8</v>
      </c>
      <c r="J1527">
        <v>178.88</v>
      </c>
      <c r="K1527">
        <v>51.39</v>
      </c>
      <c r="L1527">
        <v>8.5</v>
      </c>
      <c r="M1527">
        <v>6</v>
      </c>
      <c r="N1527">
        <v>33.99</v>
      </c>
      <c r="O1527">
        <v>22296.41</v>
      </c>
      <c r="P1527">
        <v>81.02</v>
      </c>
      <c r="Q1527">
        <v>204.14</v>
      </c>
      <c r="R1527">
        <v>25.74</v>
      </c>
      <c r="S1527">
        <v>17.37</v>
      </c>
      <c r="T1527">
        <v>2072.42</v>
      </c>
      <c r="U1527">
        <v>0.67</v>
      </c>
      <c r="V1527">
        <v>0.75</v>
      </c>
      <c r="W1527">
        <v>1.1499999999999999</v>
      </c>
      <c r="X1527">
        <v>0.13</v>
      </c>
      <c r="Y1527">
        <v>1</v>
      </c>
      <c r="Z1527">
        <v>10</v>
      </c>
    </row>
    <row r="1528" spans="1:26" x14ac:dyDescent="0.3">
      <c r="A1528">
        <v>31</v>
      </c>
      <c r="B1528">
        <v>85</v>
      </c>
      <c r="C1528" t="s">
        <v>26</v>
      </c>
      <c r="D1528">
        <v>10.561199999999999</v>
      </c>
      <c r="E1528">
        <v>9.4700000000000006</v>
      </c>
      <c r="F1528">
        <v>6.83</v>
      </c>
      <c r="G1528">
        <v>51.19</v>
      </c>
      <c r="H1528">
        <v>0.87</v>
      </c>
      <c r="I1528">
        <v>8</v>
      </c>
      <c r="J1528">
        <v>179.26</v>
      </c>
      <c r="K1528">
        <v>51.39</v>
      </c>
      <c r="L1528">
        <v>8.75</v>
      </c>
      <c r="M1528">
        <v>6</v>
      </c>
      <c r="N1528">
        <v>34.11</v>
      </c>
      <c r="O1528">
        <v>22342.26</v>
      </c>
      <c r="P1528">
        <v>80.72</v>
      </c>
      <c r="Q1528">
        <v>204.14</v>
      </c>
      <c r="R1528">
        <v>25.94</v>
      </c>
      <c r="S1528">
        <v>17.37</v>
      </c>
      <c r="T1528">
        <v>2173.5100000000002</v>
      </c>
      <c r="U1528">
        <v>0.67</v>
      </c>
      <c r="V1528">
        <v>0.75</v>
      </c>
      <c r="W1528">
        <v>1.1499999999999999</v>
      </c>
      <c r="X1528">
        <v>0.13</v>
      </c>
      <c r="Y1528">
        <v>1</v>
      </c>
      <c r="Z1528">
        <v>10</v>
      </c>
    </row>
    <row r="1529" spans="1:26" x14ac:dyDescent="0.3">
      <c r="A1529">
        <v>32</v>
      </c>
      <c r="B1529">
        <v>85</v>
      </c>
      <c r="C1529" t="s">
        <v>26</v>
      </c>
      <c r="D1529">
        <v>10.5547</v>
      </c>
      <c r="E1529">
        <v>9.4700000000000006</v>
      </c>
      <c r="F1529">
        <v>6.83</v>
      </c>
      <c r="G1529">
        <v>51.23</v>
      </c>
      <c r="H1529">
        <v>0.89</v>
      </c>
      <c r="I1529">
        <v>8</v>
      </c>
      <c r="J1529">
        <v>179.63</v>
      </c>
      <c r="K1529">
        <v>51.39</v>
      </c>
      <c r="L1529">
        <v>9</v>
      </c>
      <c r="M1529">
        <v>6</v>
      </c>
      <c r="N1529">
        <v>34.24</v>
      </c>
      <c r="O1529">
        <v>22388.15</v>
      </c>
      <c r="P1529">
        <v>80.5</v>
      </c>
      <c r="Q1529">
        <v>204.16</v>
      </c>
      <c r="R1529">
        <v>26.13</v>
      </c>
      <c r="S1529">
        <v>17.37</v>
      </c>
      <c r="T1529">
        <v>2268.83</v>
      </c>
      <c r="U1529">
        <v>0.66</v>
      </c>
      <c r="V1529">
        <v>0.75</v>
      </c>
      <c r="W1529">
        <v>1.1499999999999999</v>
      </c>
      <c r="X1529">
        <v>0.14000000000000001</v>
      </c>
      <c r="Y1529">
        <v>1</v>
      </c>
      <c r="Z1529">
        <v>10</v>
      </c>
    </row>
    <row r="1530" spans="1:26" x14ac:dyDescent="0.3">
      <c r="A1530">
        <v>33</v>
      </c>
      <c r="B1530">
        <v>85</v>
      </c>
      <c r="C1530" t="s">
        <v>26</v>
      </c>
      <c r="D1530">
        <v>10.557499999999999</v>
      </c>
      <c r="E1530">
        <v>9.4700000000000006</v>
      </c>
      <c r="F1530">
        <v>6.83</v>
      </c>
      <c r="G1530">
        <v>51.21</v>
      </c>
      <c r="H1530">
        <v>0.91</v>
      </c>
      <c r="I1530">
        <v>8</v>
      </c>
      <c r="J1530">
        <v>180</v>
      </c>
      <c r="K1530">
        <v>51.39</v>
      </c>
      <c r="L1530">
        <v>9.25</v>
      </c>
      <c r="M1530">
        <v>6</v>
      </c>
      <c r="N1530">
        <v>34.36</v>
      </c>
      <c r="O1530">
        <v>22434.080000000002</v>
      </c>
      <c r="P1530">
        <v>80.319999999999993</v>
      </c>
      <c r="Q1530">
        <v>204.14</v>
      </c>
      <c r="R1530">
        <v>26.08</v>
      </c>
      <c r="S1530">
        <v>17.37</v>
      </c>
      <c r="T1530">
        <v>2244.39</v>
      </c>
      <c r="U1530">
        <v>0.67</v>
      </c>
      <c r="V1530">
        <v>0.75</v>
      </c>
      <c r="W1530">
        <v>1.1499999999999999</v>
      </c>
      <c r="X1530">
        <v>0.14000000000000001</v>
      </c>
      <c r="Y1530">
        <v>1</v>
      </c>
      <c r="Z1530">
        <v>10</v>
      </c>
    </row>
    <row r="1531" spans="1:26" x14ac:dyDescent="0.3">
      <c r="A1531">
        <v>34</v>
      </c>
      <c r="B1531">
        <v>85</v>
      </c>
      <c r="C1531" t="s">
        <v>26</v>
      </c>
      <c r="D1531">
        <v>10.6289</v>
      </c>
      <c r="E1531">
        <v>9.41</v>
      </c>
      <c r="F1531">
        <v>6.8</v>
      </c>
      <c r="G1531">
        <v>58.27</v>
      </c>
      <c r="H1531">
        <v>0.93</v>
      </c>
      <c r="I1531">
        <v>7</v>
      </c>
      <c r="J1531">
        <v>180.37</v>
      </c>
      <c r="K1531">
        <v>51.39</v>
      </c>
      <c r="L1531">
        <v>9.5</v>
      </c>
      <c r="M1531">
        <v>5</v>
      </c>
      <c r="N1531">
        <v>34.479999999999997</v>
      </c>
      <c r="O1531">
        <v>22480.05</v>
      </c>
      <c r="P1531">
        <v>79.53</v>
      </c>
      <c r="Q1531">
        <v>204.14</v>
      </c>
      <c r="R1531">
        <v>25.26</v>
      </c>
      <c r="S1531">
        <v>17.37</v>
      </c>
      <c r="T1531">
        <v>1836.46</v>
      </c>
      <c r="U1531">
        <v>0.69</v>
      </c>
      <c r="V1531">
        <v>0.75</v>
      </c>
      <c r="W1531">
        <v>1.1399999999999999</v>
      </c>
      <c r="X1531">
        <v>0.11</v>
      </c>
      <c r="Y1531">
        <v>1</v>
      </c>
      <c r="Z1531">
        <v>10</v>
      </c>
    </row>
    <row r="1532" spans="1:26" x14ac:dyDescent="0.3">
      <c r="A1532">
        <v>35</v>
      </c>
      <c r="B1532">
        <v>85</v>
      </c>
      <c r="C1532" t="s">
        <v>26</v>
      </c>
      <c r="D1532">
        <v>10.617599999999999</v>
      </c>
      <c r="E1532">
        <v>9.42</v>
      </c>
      <c r="F1532">
        <v>6.81</v>
      </c>
      <c r="G1532">
        <v>58.36</v>
      </c>
      <c r="H1532">
        <v>0.96</v>
      </c>
      <c r="I1532">
        <v>7</v>
      </c>
      <c r="J1532">
        <v>180.75</v>
      </c>
      <c r="K1532">
        <v>51.39</v>
      </c>
      <c r="L1532">
        <v>9.75</v>
      </c>
      <c r="M1532">
        <v>5</v>
      </c>
      <c r="N1532">
        <v>34.6</v>
      </c>
      <c r="O1532">
        <v>22526.07</v>
      </c>
      <c r="P1532">
        <v>79.78</v>
      </c>
      <c r="Q1532">
        <v>204.17</v>
      </c>
      <c r="R1532">
        <v>25.31</v>
      </c>
      <c r="S1532">
        <v>17.37</v>
      </c>
      <c r="T1532">
        <v>1861.59</v>
      </c>
      <c r="U1532">
        <v>0.69</v>
      </c>
      <c r="V1532">
        <v>0.75</v>
      </c>
      <c r="W1532">
        <v>1.1499999999999999</v>
      </c>
      <c r="X1532">
        <v>0.12</v>
      </c>
      <c r="Y1532">
        <v>1</v>
      </c>
      <c r="Z1532">
        <v>10</v>
      </c>
    </row>
    <row r="1533" spans="1:26" x14ac:dyDescent="0.3">
      <c r="A1533">
        <v>36</v>
      </c>
      <c r="B1533">
        <v>85</v>
      </c>
      <c r="C1533" t="s">
        <v>26</v>
      </c>
      <c r="D1533">
        <v>10.621700000000001</v>
      </c>
      <c r="E1533">
        <v>9.41</v>
      </c>
      <c r="F1533">
        <v>6.8</v>
      </c>
      <c r="G1533">
        <v>58.33</v>
      </c>
      <c r="H1533">
        <v>0.98</v>
      </c>
      <c r="I1533">
        <v>7</v>
      </c>
      <c r="J1533">
        <v>181.12</v>
      </c>
      <c r="K1533">
        <v>51.39</v>
      </c>
      <c r="L1533">
        <v>10</v>
      </c>
      <c r="M1533">
        <v>5</v>
      </c>
      <c r="N1533">
        <v>34.729999999999997</v>
      </c>
      <c r="O1533">
        <v>22572.13</v>
      </c>
      <c r="P1533">
        <v>79.95</v>
      </c>
      <c r="Q1533">
        <v>204.15</v>
      </c>
      <c r="R1533">
        <v>25.28</v>
      </c>
      <c r="S1533">
        <v>17.37</v>
      </c>
      <c r="T1533">
        <v>1847.51</v>
      </c>
      <c r="U1533">
        <v>0.69</v>
      </c>
      <c r="V1533">
        <v>0.75</v>
      </c>
      <c r="W1533">
        <v>1.1499999999999999</v>
      </c>
      <c r="X1533">
        <v>0.11</v>
      </c>
      <c r="Y1533">
        <v>1</v>
      </c>
      <c r="Z1533">
        <v>10</v>
      </c>
    </row>
    <row r="1534" spans="1:26" x14ac:dyDescent="0.3">
      <c r="A1534">
        <v>37</v>
      </c>
      <c r="B1534">
        <v>85</v>
      </c>
      <c r="C1534" t="s">
        <v>26</v>
      </c>
      <c r="D1534">
        <v>10.613200000000001</v>
      </c>
      <c r="E1534">
        <v>9.42</v>
      </c>
      <c r="F1534">
        <v>6.81</v>
      </c>
      <c r="G1534">
        <v>58.39</v>
      </c>
      <c r="H1534">
        <v>1</v>
      </c>
      <c r="I1534">
        <v>7</v>
      </c>
      <c r="J1534">
        <v>181.49</v>
      </c>
      <c r="K1534">
        <v>51.39</v>
      </c>
      <c r="L1534">
        <v>10.25</v>
      </c>
      <c r="M1534">
        <v>5</v>
      </c>
      <c r="N1534">
        <v>34.85</v>
      </c>
      <c r="O1534">
        <v>22618.23</v>
      </c>
      <c r="P1534">
        <v>79.849999999999994</v>
      </c>
      <c r="Q1534">
        <v>204.16</v>
      </c>
      <c r="R1534">
        <v>25.58</v>
      </c>
      <c r="S1534">
        <v>17.37</v>
      </c>
      <c r="T1534">
        <v>1997.26</v>
      </c>
      <c r="U1534">
        <v>0.68</v>
      </c>
      <c r="V1534">
        <v>0.75</v>
      </c>
      <c r="W1534">
        <v>1.1499999999999999</v>
      </c>
      <c r="X1534">
        <v>0.12</v>
      </c>
      <c r="Y1534">
        <v>1</v>
      </c>
      <c r="Z1534">
        <v>10</v>
      </c>
    </row>
    <row r="1535" spans="1:26" x14ac:dyDescent="0.3">
      <c r="A1535">
        <v>38</v>
      </c>
      <c r="B1535">
        <v>85</v>
      </c>
      <c r="C1535" t="s">
        <v>26</v>
      </c>
      <c r="D1535">
        <v>10.609500000000001</v>
      </c>
      <c r="E1535">
        <v>9.43</v>
      </c>
      <c r="F1535">
        <v>6.82</v>
      </c>
      <c r="G1535">
        <v>58.42</v>
      </c>
      <c r="H1535">
        <v>1.02</v>
      </c>
      <c r="I1535">
        <v>7</v>
      </c>
      <c r="J1535">
        <v>181.87</v>
      </c>
      <c r="K1535">
        <v>51.39</v>
      </c>
      <c r="L1535">
        <v>10.5</v>
      </c>
      <c r="M1535">
        <v>5</v>
      </c>
      <c r="N1535">
        <v>34.979999999999997</v>
      </c>
      <c r="O1535">
        <v>22664.49</v>
      </c>
      <c r="P1535">
        <v>79.569999999999993</v>
      </c>
      <c r="Q1535">
        <v>204.14</v>
      </c>
      <c r="R1535">
        <v>25.64</v>
      </c>
      <c r="S1535">
        <v>17.37</v>
      </c>
      <c r="T1535">
        <v>2027.55</v>
      </c>
      <c r="U1535">
        <v>0.68</v>
      </c>
      <c r="V1535">
        <v>0.75</v>
      </c>
      <c r="W1535">
        <v>1.1499999999999999</v>
      </c>
      <c r="X1535">
        <v>0.12</v>
      </c>
      <c r="Y1535">
        <v>1</v>
      </c>
      <c r="Z1535">
        <v>10</v>
      </c>
    </row>
    <row r="1536" spans="1:26" x14ac:dyDescent="0.3">
      <c r="A1536">
        <v>39</v>
      </c>
      <c r="B1536">
        <v>85</v>
      </c>
      <c r="C1536" t="s">
        <v>26</v>
      </c>
      <c r="D1536">
        <v>10.606999999999999</v>
      </c>
      <c r="E1536">
        <v>9.43</v>
      </c>
      <c r="F1536">
        <v>6.82</v>
      </c>
      <c r="G1536">
        <v>58.44</v>
      </c>
      <c r="H1536">
        <v>1.05</v>
      </c>
      <c r="I1536">
        <v>7</v>
      </c>
      <c r="J1536">
        <v>182.24</v>
      </c>
      <c r="K1536">
        <v>51.39</v>
      </c>
      <c r="L1536">
        <v>10.75</v>
      </c>
      <c r="M1536">
        <v>5</v>
      </c>
      <c r="N1536">
        <v>35.1</v>
      </c>
      <c r="O1536">
        <v>22710.68</v>
      </c>
      <c r="P1536">
        <v>79.25</v>
      </c>
      <c r="Q1536">
        <v>204.15</v>
      </c>
      <c r="R1536">
        <v>25.77</v>
      </c>
      <c r="S1536">
        <v>17.37</v>
      </c>
      <c r="T1536">
        <v>2094.0500000000002</v>
      </c>
      <c r="U1536">
        <v>0.67</v>
      </c>
      <c r="V1536">
        <v>0.75</v>
      </c>
      <c r="W1536">
        <v>1.1499999999999999</v>
      </c>
      <c r="X1536">
        <v>0.13</v>
      </c>
      <c r="Y1536">
        <v>1</v>
      </c>
      <c r="Z1536">
        <v>10</v>
      </c>
    </row>
    <row r="1537" spans="1:26" x14ac:dyDescent="0.3">
      <c r="A1537">
        <v>40</v>
      </c>
      <c r="B1537">
        <v>85</v>
      </c>
      <c r="C1537" t="s">
        <v>26</v>
      </c>
      <c r="D1537">
        <v>10.612299999999999</v>
      </c>
      <c r="E1537">
        <v>9.42</v>
      </c>
      <c r="F1537">
        <v>6.81</v>
      </c>
      <c r="G1537">
        <v>58.4</v>
      </c>
      <c r="H1537">
        <v>1.07</v>
      </c>
      <c r="I1537">
        <v>7</v>
      </c>
      <c r="J1537">
        <v>182.62</v>
      </c>
      <c r="K1537">
        <v>51.39</v>
      </c>
      <c r="L1537">
        <v>11</v>
      </c>
      <c r="M1537">
        <v>5</v>
      </c>
      <c r="N1537">
        <v>35.22</v>
      </c>
      <c r="O1537">
        <v>22756.91</v>
      </c>
      <c r="P1537">
        <v>78.87</v>
      </c>
      <c r="Q1537">
        <v>204.15</v>
      </c>
      <c r="R1537">
        <v>25.63</v>
      </c>
      <c r="S1537">
        <v>17.37</v>
      </c>
      <c r="T1537">
        <v>2021.32</v>
      </c>
      <c r="U1537">
        <v>0.68</v>
      </c>
      <c r="V1537">
        <v>0.75</v>
      </c>
      <c r="W1537">
        <v>1.1499999999999999</v>
      </c>
      <c r="X1537">
        <v>0.12</v>
      </c>
      <c r="Y1537">
        <v>1</v>
      </c>
      <c r="Z1537">
        <v>10</v>
      </c>
    </row>
    <row r="1538" spans="1:26" x14ac:dyDescent="0.3">
      <c r="A1538">
        <v>41</v>
      </c>
      <c r="B1538">
        <v>85</v>
      </c>
      <c r="C1538" t="s">
        <v>26</v>
      </c>
      <c r="D1538">
        <v>10.6828</v>
      </c>
      <c r="E1538">
        <v>9.36</v>
      </c>
      <c r="F1538">
        <v>6.79</v>
      </c>
      <c r="G1538">
        <v>67.849999999999994</v>
      </c>
      <c r="H1538">
        <v>1.0900000000000001</v>
      </c>
      <c r="I1538">
        <v>6</v>
      </c>
      <c r="J1538">
        <v>182.99</v>
      </c>
      <c r="K1538">
        <v>51.39</v>
      </c>
      <c r="L1538">
        <v>11.25</v>
      </c>
      <c r="M1538">
        <v>4</v>
      </c>
      <c r="N1538">
        <v>35.35</v>
      </c>
      <c r="O1538">
        <v>22803.18</v>
      </c>
      <c r="P1538">
        <v>78.11</v>
      </c>
      <c r="Q1538">
        <v>204.14</v>
      </c>
      <c r="R1538">
        <v>24.73</v>
      </c>
      <c r="S1538">
        <v>17.37</v>
      </c>
      <c r="T1538">
        <v>1575.66</v>
      </c>
      <c r="U1538">
        <v>0.7</v>
      </c>
      <c r="V1538">
        <v>0.75</v>
      </c>
      <c r="W1538">
        <v>1.1499999999999999</v>
      </c>
      <c r="X1538">
        <v>0.09</v>
      </c>
      <c r="Y1538">
        <v>1</v>
      </c>
      <c r="Z1538">
        <v>10</v>
      </c>
    </row>
    <row r="1539" spans="1:26" x14ac:dyDescent="0.3">
      <c r="A1539">
        <v>42</v>
      </c>
      <c r="B1539">
        <v>85</v>
      </c>
      <c r="C1539" t="s">
        <v>26</v>
      </c>
      <c r="D1539">
        <v>10.677099999999999</v>
      </c>
      <c r="E1539">
        <v>9.3699999999999992</v>
      </c>
      <c r="F1539">
        <v>6.79</v>
      </c>
      <c r="G1539">
        <v>67.900000000000006</v>
      </c>
      <c r="H1539">
        <v>1.1100000000000001</v>
      </c>
      <c r="I1539">
        <v>6</v>
      </c>
      <c r="J1539">
        <v>183.37</v>
      </c>
      <c r="K1539">
        <v>51.39</v>
      </c>
      <c r="L1539">
        <v>11.5</v>
      </c>
      <c r="M1539">
        <v>4</v>
      </c>
      <c r="N1539">
        <v>35.479999999999997</v>
      </c>
      <c r="O1539">
        <v>22849.49</v>
      </c>
      <c r="P1539">
        <v>78.17</v>
      </c>
      <c r="Q1539">
        <v>204.15</v>
      </c>
      <c r="R1539">
        <v>24.89</v>
      </c>
      <c r="S1539">
        <v>17.37</v>
      </c>
      <c r="T1539">
        <v>1655.5</v>
      </c>
      <c r="U1539">
        <v>0.7</v>
      </c>
      <c r="V1539">
        <v>0.75</v>
      </c>
      <c r="W1539">
        <v>1.1499999999999999</v>
      </c>
      <c r="X1539">
        <v>0.1</v>
      </c>
      <c r="Y1539">
        <v>1</v>
      </c>
      <c r="Z1539">
        <v>10</v>
      </c>
    </row>
    <row r="1540" spans="1:26" x14ac:dyDescent="0.3">
      <c r="A1540">
        <v>43</v>
      </c>
      <c r="B1540">
        <v>85</v>
      </c>
      <c r="C1540" t="s">
        <v>26</v>
      </c>
      <c r="D1540">
        <v>10.679600000000001</v>
      </c>
      <c r="E1540">
        <v>9.36</v>
      </c>
      <c r="F1540">
        <v>6.79</v>
      </c>
      <c r="G1540">
        <v>67.88</v>
      </c>
      <c r="H1540">
        <v>1.1299999999999999</v>
      </c>
      <c r="I1540">
        <v>6</v>
      </c>
      <c r="J1540">
        <v>183.74</v>
      </c>
      <c r="K1540">
        <v>51.39</v>
      </c>
      <c r="L1540">
        <v>11.75</v>
      </c>
      <c r="M1540">
        <v>4</v>
      </c>
      <c r="N1540">
        <v>35.6</v>
      </c>
      <c r="O1540">
        <v>22895.85</v>
      </c>
      <c r="P1540">
        <v>78.239999999999995</v>
      </c>
      <c r="Q1540">
        <v>204.14</v>
      </c>
      <c r="R1540">
        <v>24.8</v>
      </c>
      <c r="S1540">
        <v>17.37</v>
      </c>
      <c r="T1540">
        <v>1611.27</v>
      </c>
      <c r="U1540">
        <v>0.7</v>
      </c>
      <c r="V1540">
        <v>0.75</v>
      </c>
      <c r="W1540">
        <v>1.1499999999999999</v>
      </c>
      <c r="X1540">
        <v>0.1</v>
      </c>
      <c r="Y1540">
        <v>1</v>
      </c>
      <c r="Z1540">
        <v>10</v>
      </c>
    </row>
    <row r="1541" spans="1:26" x14ac:dyDescent="0.3">
      <c r="A1541">
        <v>44</v>
      </c>
      <c r="B1541">
        <v>85</v>
      </c>
      <c r="C1541" t="s">
        <v>26</v>
      </c>
      <c r="D1541">
        <v>10.6806</v>
      </c>
      <c r="E1541">
        <v>9.36</v>
      </c>
      <c r="F1541">
        <v>6.79</v>
      </c>
      <c r="G1541">
        <v>67.87</v>
      </c>
      <c r="H1541">
        <v>1.1599999999999999</v>
      </c>
      <c r="I1541">
        <v>6</v>
      </c>
      <c r="J1541">
        <v>184.12</v>
      </c>
      <c r="K1541">
        <v>51.39</v>
      </c>
      <c r="L1541">
        <v>12</v>
      </c>
      <c r="M1541">
        <v>4</v>
      </c>
      <c r="N1541">
        <v>35.729999999999997</v>
      </c>
      <c r="O1541">
        <v>22942.240000000002</v>
      </c>
      <c r="P1541">
        <v>78.180000000000007</v>
      </c>
      <c r="Q1541">
        <v>204.14</v>
      </c>
      <c r="R1541">
        <v>24.86</v>
      </c>
      <c r="S1541">
        <v>17.37</v>
      </c>
      <c r="T1541">
        <v>1644.13</v>
      </c>
      <c r="U1541">
        <v>0.7</v>
      </c>
      <c r="V1541">
        <v>0.75</v>
      </c>
      <c r="W1541">
        <v>1.1399999999999999</v>
      </c>
      <c r="X1541">
        <v>0.1</v>
      </c>
      <c r="Y1541">
        <v>1</v>
      </c>
      <c r="Z1541">
        <v>10</v>
      </c>
    </row>
    <row r="1542" spans="1:26" x14ac:dyDescent="0.3">
      <c r="A1542">
        <v>45</v>
      </c>
      <c r="B1542">
        <v>85</v>
      </c>
      <c r="C1542" t="s">
        <v>26</v>
      </c>
      <c r="D1542">
        <v>10.687900000000001</v>
      </c>
      <c r="E1542">
        <v>9.36</v>
      </c>
      <c r="F1542">
        <v>6.78</v>
      </c>
      <c r="G1542">
        <v>67.81</v>
      </c>
      <c r="H1542">
        <v>1.18</v>
      </c>
      <c r="I1542">
        <v>6</v>
      </c>
      <c r="J1542">
        <v>184.5</v>
      </c>
      <c r="K1542">
        <v>51.39</v>
      </c>
      <c r="L1542">
        <v>12.25</v>
      </c>
      <c r="M1542">
        <v>4</v>
      </c>
      <c r="N1542">
        <v>35.85</v>
      </c>
      <c r="O1542">
        <v>22988.69</v>
      </c>
      <c r="P1542">
        <v>77.8</v>
      </c>
      <c r="Q1542">
        <v>204.14</v>
      </c>
      <c r="R1542">
        <v>24.61</v>
      </c>
      <c r="S1542">
        <v>17.37</v>
      </c>
      <c r="T1542">
        <v>1517.22</v>
      </c>
      <c r="U1542">
        <v>0.71</v>
      </c>
      <c r="V1542">
        <v>0.75</v>
      </c>
      <c r="W1542">
        <v>1.1499999999999999</v>
      </c>
      <c r="X1542">
        <v>0.09</v>
      </c>
      <c r="Y1542">
        <v>1</v>
      </c>
      <c r="Z1542">
        <v>10</v>
      </c>
    </row>
    <row r="1543" spans="1:26" x14ac:dyDescent="0.3">
      <c r="A1543">
        <v>46</v>
      </c>
      <c r="B1543">
        <v>85</v>
      </c>
      <c r="C1543" t="s">
        <v>26</v>
      </c>
      <c r="D1543">
        <v>10.680300000000001</v>
      </c>
      <c r="E1543">
        <v>9.36</v>
      </c>
      <c r="F1543">
        <v>6.79</v>
      </c>
      <c r="G1543">
        <v>67.87</v>
      </c>
      <c r="H1543">
        <v>1.2</v>
      </c>
      <c r="I1543">
        <v>6</v>
      </c>
      <c r="J1543">
        <v>184.87</v>
      </c>
      <c r="K1543">
        <v>51.39</v>
      </c>
      <c r="L1543">
        <v>12.5</v>
      </c>
      <c r="M1543">
        <v>4</v>
      </c>
      <c r="N1543">
        <v>35.979999999999997</v>
      </c>
      <c r="O1543">
        <v>23035.17</v>
      </c>
      <c r="P1543">
        <v>77.55</v>
      </c>
      <c r="Q1543">
        <v>204.14</v>
      </c>
      <c r="R1543">
        <v>24.82</v>
      </c>
      <c r="S1543">
        <v>17.37</v>
      </c>
      <c r="T1543">
        <v>1621.86</v>
      </c>
      <c r="U1543">
        <v>0.7</v>
      </c>
      <c r="V1543">
        <v>0.75</v>
      </c>
      <c r="W1543">
        <v>1.1499999999999999</v>
      </c>
      <c r="X1543">
        <v>0.1</v>
      </c>
      <c r="Y1543">
        <v>1</v>
      </c>
      <c r="Z1543">
        <v>10</v>
      </c>
    </row>
    <row r="1544" spans="1:26" x14ac:dyDescent="0.3">
      <c r="A1544">
        <v>47</v>
      </c>
      <c r="B1544">
        <v>85</v>
      </c>
      <c r="C1544" t="s">
        <v>26</v>
      </c>
      <c r="D1544">
        <v>10.673299999999999</v>
      </c>
      <c r="E1544">
        <v>9.3699999999999992</v>
      </c>
      <c r="F1544">
        <v>6.79</v>
      </c>
      <c r="G1544">
        <v>67.930000000000007</v>
      </c>
      <c r="H1544">
        <v>1.22</v>
      </c>
      <c r="I1544">
        <v>6</v>
      </c>
      <c r="J1544">
        <v>185.25</v>
      </c>
      <c r="K1544">
        <v>51.39</v>
      </c>
      <c r="L1544">
        <v>12.75</v>
      </c>
      <c r="M1544">
        <v>4</v>
      </c>
      <c r="N1544">
        <v>36.11</v>
      </c>
      <c r="O1544">
        <v>23081.7</v>
      </c>
      <c r="P1544">
        <v>77.430000000000007</v>
      </c>
      <c r="Q1544">
        <v>204.14</v>
      </c>
      <c r="R1544">
        <v>25.04</v>
      </c>
      <c r="S1544">
        <v>17.37</v>
      </c>
      <c r="T1544">
        <v>1733.55</v>
      </c>
      <c r="U1544">
        <v>0.69</v>
      </c>
      <c r="V1544">
        <v>0.75</v>
      </c>
      <c r="W1544">
        <v>1.1499999999999999</v>
      </c>
      <c r="X1544">
        <v>0.1</v>
      </c>
      <c r="Y1544">
        <v>1</v>
      </c>
      <c r="Z1544">
        <v>10</v>
      </c>
    </row>
    <row r="1545" spans="1:26" x14ac:dyDescent="0.3">
      <c r="A1545">
        <v>48</v>
      </c>
      <c r="B1545">
        <v>85</v>
      </c>
      <c r="C1545" t="s">
        <v>26</v>
      </c>
      <c r="D1545">
        <v>10.6777</v>
      </c>
      <c r="E1545">
        <v>9.3699999999999992</v>
      </c>
      <c r="F1545">
        <v>6.79</v>
      </c>
      <c r="G1545">
        <v>67.89</v>
      </c>
      <c r="H1545">
        <v>1.24</v>
      </c>
      <c r="I1545">
        <v>6</v>
      </c>
      <c r="J1545">
        <v>185.63</v>
      </c>
      <c r="K1545">
        <v>51.39</v>
      </c>
      <c r="L1545">
        <v>13</v>
      </c>
      <c r="M1545">
        <v>4</v>
      </c>
      <c r="N1545">
        <v>36.24</v>
      </c>
      <c r="O1545">
        <v>23128.27</v>
      </c>
      <c r="P1545">
        <v>77.010000000000005</v>
      </c>
      <c r="Q1545">
        <v>204.18</v>
      </c>
      <c r="R1545">
        <v>24.89</v>
      </c>
      <c r="S1545">
        <v>17.37</v>
      </c>
      <c r="T1545">
        <v>1655.28</v>
      </c>
      <c r="U1545">
        <v>0.7</v>
      </c>
      <c r="V1545">
        <v>0.75</v>
      </c>
      <c r="W1545">
        <v>1.1499999999999999</v>
      </c>
      <c r="X1545">
        <v>0.1</v>
      </c>
      <c r="Y1545">
        <v>1</v>
      </c>
      <c r="Z1545">
        <v>10</v>
      </c>
    </row>
    <row r="1546" spans="1:26" x14ac:dyDescent="0.3">
      <c r="A1546">
        <v>49</v>
      </c>
      <c r="B1546">
        <v>85</v>
      </c>
      <c r="C1546" t="s">
        <v>26</v>
      </c>
      <c r="D1546">
        <v>10.6793</v>
      </c>
      <c r="E1546">
        <v>9.36</v>
      </c>
      <c r="F1546">
        <v>6.79</v>
      </c>
      <c r="G1546">
        <v>67.88</v>
      </c>
      <c r="H1546">
        <v>1.26</v>
      </c>
      <c r="I1546">
        <v>6</v>
      </c>
      <c r="J1546">
        <v>186.01</v>
      </c>
      <c r="K1546">
        <v>51.39</v>
      </c>
      <c r="L1546">
        <v>13.25</v>
      </c>
      <c r="M1546">
        <v>4</v>
      </c>
      <c r="N1546">
        <v>36.36</v>
      </c>
      <c r="O1546">
        <v>23174.880000000001</v>
      </c>
      <c r="P1546">
        <v>76.83</v>
      </c>
      <c r="Q1546">
        <v>204.15</v>
      </c>
      <c r="R1546">
        <v>24.79</v>
      </c>
      <c r="S1546">
        <v>17.37</v>
      </c>
      <c r="T1546">
        <v>1609.24</v>
      </c>
      <c r="U1546">
        <v>0.7</v>
      </c>
      <c r="V1546">
        <v>0.75</v>
      </c>
      <c r="W1546">
        <v>1.1499999999999999</v>
      </c>
      <c r="X1546">
        <v>0.1</v>
      </c>
      <c r="Y1546">
        <v>1</v>
      </c>
      <c r="Z1546">
        <v>10</v>
      </c>
    </row>
    <row r="1547" spans="1:26" x14ac:dyDescent="0.3">
      <c r="A1547">
        <v>50</v>
      </c>
      <c r="B1547">
        <v>85</v>
      </c>
      <c r="C1547" t="s">
        <v>26</v>
      </c>
      <c r="D1547">
        <v>10.6739</v>
      </c>
      <c r="E1547">
        <v>9.3699999999999992</v>
      </c>
      <c r="F1547">
        <v>6.79</v>
      </c>
      <c r="G1547">
        <v>67.930000000000007</v>
      </c>
      <c r="H1547">
        <v>1.29</v>
      </c>
      <c r="I1547">
        <v>6</v>
      </c>
      <c r="J1547">
        <v>186.38</v>
      </c>
      <c r="K1547">
        <v>51.39</v>
      </c>
      <c r="L1547">
        <v>13.5</v>
      </c>
      <c r="M1547">
        <v>4</v>
      </c>
      <c r="N1547">
        <v>36.49</v>
      </c>
      <c r="O1547">
        <v>23221.54</v>
      </c>
      <c r="P1547">
        <v>76.239999999999995</v>
      </c>
      <c r="Q1547">
        <v>204.14</v>
      </c>
      <c r="R1547">
        <v>24.97</v>
      </c>
      <c r="S1547">
        <v>17.37</v>
      </c>
      <c r="T1547">
        <v>1696.91</v>
      </c>
      <c r="U1547">
        <v>0.7</v>
      </c>
      <c r="V1547">
        <v>0.75</v>
      </c>
      <c r="W1547">
        <v>1.1499999999999999</v>
      </c>
      <c r="X1547">
        <v>0.1</v>
      </c>
      <c r="Y1547">
        <v>1</v>
      </c>
      <c r="Z1547">
        <v>10</v>
      </c>
    </row>
    <row r="1548" spans="1:26" x14ac:dyDescent="0.3">
      <c r="A1548">
        <v>51</v>
      </c>
      <c r="B1548">
        <v>85</v>
      </c>
      <c r="C1548" t="s">
        <v>26</v>
      </c>
      <c r="D1548">
        <v>10.735099999999999</v>
      </c>
      <c r="E1548">
        <v>9.32</v>
      </c>
      <c r="F1548">
        <v>6.77</v>
      </c>
      <c r="G1548">
        <v>81.28</v>
      </c>
      <c r="H1548">
        <v>1.31</v>
      </c>
      <c r="I1548">
        <v>5</v>
      </c>
      <c r="J1548">
        <v>186.76</v>
      </c>
      <c r="K1548">
        <v>51.39</v>
      </c>
      <c r="L1548">
        <v>13.75</v>
      </c>
      <c r="M1548">
        <v>3</v>
      </c>
      <c r="N1548">
        <v>36.619999999999997</v>
      </c>
      <c r="O1548">
        <v>23268.240000000002</v>
      </c>
      <c r="P1548">
        <v>76.010000000000005</v>
      </c>
      <c r="Q1548">
        <v>204.14</v>
      </c>
      <c r="R1548">
        <v>24.45</v>
      </c>
      <c r="S1548">
        <v>17.37</v>
      </c>
      <c r="T1548">
        <v>1442.87</v>
      </c>
      <c r="U1548">
        <v>0.71</v>
      </c>
      <c r="V1548">
        <v>0.75</v>
      </c>
      <c r="W1548">
        <v>1.1399999999999999</v>
      </c>
      <c r="X1548">
        <v>0.08</v>
      </c>
      <c r="Y1548">
        <v>1</v>
      </c>
      <c r="Z1548">
        <v>10</v>
      </c>
    </row>
    <row r="1549" spans="1:26" x14ac:dyDescent="0.3">
      <c r="A1549">
        <v>52</v>
      </c>
      <c r="B1549">
        <v>85</v>
      </c>
      <c r="C1549" t="s">
        <v>26</v>
      </c>
      <c r="D1549">
        <v>10.7319</v>
      </c>
      <c r="E1549">
        <v>9.32</v>
      </c>
      <c r="F1549">
        <v>6.78</v>
      </c>
      <c r="G1549">
        <v>81.31</v>
      </c>
      <c r="H1549">
        <v>1.33</v>
      </c>
      <c r="I1549">
        <v>5</v>
      </c>
      <c r="J1549">
        <v>187.14</v>
      </c>
      <c r="K1549">
        <v>51.39</v>
      </c>
      <c r="L1549">
        <v>14</v>
      </c>
      <c r="M1549">
        <v>3</v>
      </c>
      <c r="N1549">
        <v>36.75</v>
      </c>
      <c r="O1549">
        <v>23314.98</v>
      </c>
      <c r="P1549">
        <v>76.25</v>
      </c>
      <c r="Q1549">
        <v>204.14</v>
      </c>
      <c r="R1549">
        <v>24.5</v>
      </c>
      <c r="S1549">
        <v>17.37</v>
      </c>
      <c r="T1549">
        <v>1467.2</v>
      </c>
      <c r="U1549">
        <v>0.71</v>
      </c>
      <c r="V1549">
        <v>0.75</v>
      </c>
      <c r="W1549">
        <v>1.1399999999999999</v>
      </c>
      <c r="X1549">
        <v>0.09</v>
      </c>
      <c r="Y1549">
        <v>1</v>
      </c>
      <c r="Z1549">
        <v>10</v>
      </c>
    </row>
    <row r="1550" spans="1:26" x14ac:dyDescent="0.3">
      <c r="A1550">
        <v>53</v>
      </c>
      <c r="B1550">
        <v>85</v>
      </c>
      <c r="C1550" t="s">
        <v>26</v>
      </c>
      <c r="D1550">
        <v>10.7363</v>
      </c>
      <c r="E1550">
        <v>9.31</v>
      </c>
      <c r="F1550">
        <v>6.77</v>
      </c>
      <c r="G1550">
        <v>81.27</v>
      </c>
      <c r="H1550">
        <v>1.35</v>
      </c>
      <c r="I1550">
        <v>5</v>
      </c>
      <c r="J1550">
        <v>187.52</v>
      </c>
      <c r="K1550">
        <v>51.39</v>
      </c>
      <c r="L1550">
        <v>14.25</v>
      </c>
      <c r="M1550">
        <v>3</v>
      </c>
      <c r="N1550">
        <v>36.880000000000003</v>
      </c>
      <c r="O1550">
        <v>23361.77</v>
      </c>
      <c r="P1550">
        <v>76.31</v>
      </c>
      <c r="Q1550">
        <v>204.14</v>
      </c>
      <c r="R1550">
        <v>24.38</v>
      </c>
      <c r="S1550">
        <v>17.37</v>
      </c>
      <c r="T1550">
        <v>1408.88</v>
      </c>
      <c r="U1550">
        <v>0.71</v>
      </c>
      <c r="V1550">
        <v>0.75</v>
      </c>
      <c r="W1550">
        <v>1.1399999999999999</v>
      </c>
      <c r="X1550">
        <v>0.08</v>
      </c>
      <c r="Y1550">
        <v>1</v>
      </c>
      <c r="Z1550">
        <v>10</v>
      </c>
    </row>
    <row r="1551" spans="1:26" x14ac:dyDescent="0.3">
      <c r="A1551">
        <v>54</v>
      </c>
      <c r="B1551">
        <v>85</v>
      </c>
      <c r="C1551" t="s">
        <v>26</v>
      </c>
      <c r="D1551">
        <v>10.737</v>
      </c>
      <c r="E1551">
        <v>9.31</v>
      </c>
      <c r="F1551">
        <v>6.77</v>
      </c>
      <c r="G1551">
        <v>81.260000000000005</v>
      </c>
      <c r="H1551">
        <v>1.37</v>
      </c>
      <c r="I1551">
        <v>5</v>
      </c>
      <c r="J1551">
        <v>187.9</v>
      </c>
      <c r="K1551">
        <v>51.39</v>
      </c>
      <c r="L1551">
        <v>14.5</v>
      </c>
      <c r="M1551">
        <v>3</v>
      </c>
      <c r="N1551">
        <v>37.01</v>
      </c>
      <c r="O1551">
        <v>23408.6</v>
      </c>
      <c r="P1551">
        <v>76.13</v>
      </c>
      <c r="Q1551">
        <v>204.14</v>
      </c>
      <c r="R1551">
        <v>24.44</v>
      </c>
      <c r="S1551">
        <v>17.37</v>
      </c>
      <c r="T1551">
        <v>1437.98</v>
      </c>
      <c r="U1551">
        <v>0.71</v>
      </c>
      <c r="V1551">
        <v>0.75</v>
      </c>
      <c r="W1551">
        <v>1.1399999999999999</v>
      </c>
      <c r="X1551">
        <v>0.08</v>
      </c>
      <c r="Y1551">
        <v>1</v>
      </c>
      <c r="Z1551">
        <v>10</v>
      </c>
    </row>
    <row r="1552" spans="1:26" x14ac:dyDescent="0.3">
      <c r="A1552">
        <v>55</v>
      </c>
      <c r="B1552">
        <v>85</v>
      </c>
      <c r="C1552" t="s">
        <v>26</v>
      </c>
      <c r="D1552">
        <v>10.7347</v>
      </c>
      <c r="E1552">
        <v>9.32</v>
      </c>
      <c r="F1552">
        <v>6.77</v>
      </c>
      <c r="G1552">
        <v>81.28</v>
      </c>
      <c r="H1552">
        <v>1.39</v>
      </c>
      <c r="I1552">
        <v>5</v>
      </c>
      <c r="J1552">
        <v>188.28</v>
      </c>
      <c r="K1552">
        <v>51.39</v>
      </c>
      <c r="L1552">
        <v>14.75</v>
      </c>
      <c r="M1552">
        <v>3</v>
      </c>
      <c r="N1552">
        <v>37.14</v>
      </c>
      <c r="O1552">
        <v>23455.48</v>
      </c>
      <c r="P1552">
        <v>75.959999999999994</v>
      </c>
      <c r="Q1552">
        <v>204.14</v>
      </c>
      <c r="R1552">
        <v>24.45</v>
      </c>
      <c r="S1552">
        <v>17.37</v>
      </c>
      <c r="T1552">
        <v>1443.11</v>
      </c>
      <c r="U1552">
        <v>0.71</v>
      </c>
      <c r="V1552">
        <v>0.75</v>
      </c>
      <c r="W1552">
        <v>1.1399999999999999</v>
      </c>
      <c r="X1552">
        <v>0.08</v>
      </c>
      <c r="Y1552">
        <v>1</v>
      </c>
      <c r="Z1552">
        <v>10</v>
      </c>
    </row>
    <row r="1553" spans="1:26" x14ac:dyDescent="0.3">
      <c r="A1553">
        <v>56</v>
      </c>
      <c r="B1553">
        <v>85</v>
      </c>
      <c r="C1553" t="s">
        <v>26</v>
      </c>
      <c r="D1553">
        <v>10.7296</v>
      </c>
      <c r="E1553">
        <v>9.32</v>
      </c>
      <c r="F1553">
        <v>6.78</v>
      </c>
      <c r="G1553">
        <v>81.34</v>
      </c>
      <c r="H1553">
        <v>1.41</v>
      </c>
      <c r="I1553">
        <v>5</v>
      </c>
      <c r="J1553">
        <v>188.66</v>
      </c>
      <c r="K1553">
        <v>51.39</v>
      </c>
      <c r="L1553">
        <v>15</v>
      </c>
      <c r="M1553">
        <v>3</v>
      </c>
      <c r="N1553">
        <v>37.270000000000003</v>
      </c>
      <c r="O1553">
        <v>23502.400000000001</v>
      </c>
      <c r="P1553">
        <v>75.87</v>
      </c>
      <c r="Q1553">
        <v>204.14</v>
      </c>
      <c r="R1553">
        <v>24.53</v>
      </c>
      <c r="S1553">
        <v>17.37</v>
      </c>
      <c r="T1553">
        <v>1484.62</v>
      </c>
      <c r="U1553">
        <v>0.71</v>
      </c>
      <c r="V1553">
        <v>0.75</v>
      </c>
      <c r="W1553">
        <v>1.1499999999999999</v>
      </c>
      <c r="X1553">
        <v>0.09</v>
      </c>
      <c r="Y1553">
        <v>1</v>
      </c>
      <c r="Z1553">
        <v>10</v>
      </c>
    </row>
    <row r="1554" spans="1:26" x14ac:dyDescent="0.3">
      <c r="A1554">
        <v>57</v>
      </c>
      <c r="B1554">
        <v>85</v>
      </c>
      <c r="C1554" t="s">
        <v>26</v>
      </c>
      <c r="D1554">
        <v>10.732200000000001</v>
      </c>
      <c r="E1554">
        <v>9.32</v>
      </c>
      <c r="F1554">
        <v>6.78</v>
      </c>
      <c r="G1554">
        <v>81.31</v>
      </c>
      <c r="H1554">
        <v>1.43</v>
      </c>
      <c r="I1554">
        <v>5</v>
      </c>
      <c r="J1554">
        <v>189.04</v>
      </c>
      <c r="K1554">
        <v>51.39</v>
      </c>
      <c r="L1554">
        <v>15.25</v>
      </c>
      <c r="M1554">
        <v>3</v>
      </c>
      <c r="N1554">
        <v>37.4</v>
      </c>
      <c r="O1554">
        <v>23549.360000000001</v>
      </c>
      <c r="P1554">
        <v>75.52</v>
      </c>
      <c r="Q1554">
        <v>204.18</v>
      </c>
      <c r="R1554">
        <v>24.46</v>
      </c>
      <c r="S1554">
        <v>17.37</v>
      </c>
      <c r="T1554">
        <v>1449.82</v>
      </c>
      <c r="U1554">
        <v>0.71</v>
      </c>
      <c r="V1554">
        <v>0.75</v>
      </c>
      <c r="W1554">
        <v>1.1499999999999999</v>
      </c>
      <c r="X1554">
        <v>0.08</v>
      </c>
      <c r="Y1554">
        <v>1</v>
      </c>
      <c r="Z1554">
        <v>10</v>
      </c>
    </row>
    <row r="1555" spans="1:26" x14ac:dyDescent="0.3">
      <c r="A1555">
        <v>58</v>
      </c>
      <c r="B1555">
        <v>85</v>
      </c>
      <c r="C1555" t="s">
        <v>26</v>
      </c>
      <c r="D1555">
        <v>10.744300000000001</v>
      </c>
      <c r="E1555">
        <v>9.31</v>
      </c>
      <c r="F1555">
        <v>6.77</v>
      </c>
      <c r="G1555">
        <v>81.180000000000007</v>
      </c>
      <c r="H1555">
        <v>1.45</v>
      </c>
      <c r="I1555">
        <v>5</v>
      </c>
      <c r="J1555">
        <v>189.42</v>
      </c>
      <c r="K1555">
        <v>51.39</v>
      </c>
      <c r="L1555">
        <v>15.5</v>
      </c>
      <c r="M1555">
        <v>3</v>
      </c>
      <c r="N1555">
        <v>37.53</v>
      </c>
      <c r="O1555">
        <v>23596.37</v>
      </c>
      <c r="P1555">
        <v>75.03</v>
      </c>
      <c r="Q1555">
        <v>204.14</v>
      </c>
      <c r="R1555">
        <v>24.13</v>
      </c>
      <c r="S1555">
        <v>17.37</v>
      </c>
      <c r="T1555">
        <v>1280.83</v>
      </c>
      <c r="U1555">
        <v>0.72</v>
      </c>
      <c r="V1555">
        <v>0.75</v>
      </c>
      <c r="W1555">
        <v>1.1399999999999999</v>
      </c>
      <c r="X1555">
        <v>7.0000000000000007E-2</v>
      </c>
      <c r="Y1555">
        <v>1</v>
      </c>
      <c r="Z1555">
        <v>10</v>
      </c>
    </row>
    <row r="1556" spans="1:26" x14ac:dyDescent="0.3">
      <c r="A1556">
        <v>59</v>
      </c>
      <c r="B1556">
        <v>85</v>
      </c>
      <c r="C1556" t="s">
        <v>26</v>
      </c>
      <c r="D1556">
        <v>10.7456</v>
      </c>
      <c r="E1556">
        <v>9.31</v>
      </c>
      <c r="F1556">
        <v>6.76</v>
      </c>
      <c r="G1556">
        <v>81.17</v>
      </c>
      <c r="H1556">
        <v>1.47</v>
      </c>
      <c r="I1556">
        <v>5</v>
      </c>
      <c r="J1556">
        <v>189.81</v>
      </c>
      <c r="K1556">
        <v>51.39</v>
      </c>
      <c r="L1556">
        <v>15.75</v>
      </c>
      <c r="M1556">
        <v>3</v>
      </c>
      <c r="N1556">
        <v>37.659999999999997</v>
      </c>
      <c r="O1556">
        <v>23643.43</v>
      </c>
      <c r="P1556">
        <v>74.42</v>
      </c>
      <c r="Q1556">
        <v>204.16</v>
      </c>
      <c r="R1556">
        <v>24.04</v>
      </c>
      <c r="S1556">
        <v>17.37</v>
      </c>
      <c r="T1556">
        <v>1235.76</v>
      </c>
      <c r="U1556">
        <v>0.72</v>
      </c>
      <c r="V1556">
        <v>0.76</v>
      </c>
      <c r="W1556">
        <v>1.1499999999999999</v>
      </c>
      <c r="X1556">
        <v>7.0000000000000007E-2</v>
      </c>
      <c r="Y1556">
        <v>1</v>
      </c>
      <c r="Z1556">
        <v>10</v>
      </c>
    </row>
    <row r="1557" spans="1:26" x14ac:dyDescent="0.3">
      <c r="A1557">
        <v>60</v>
      </c>
      <c r="B1557">
        <v>85</v>
      </c>
      <c r="C1557" t="s">
        <v>26</v>
      </c>
      <c r="D1557">
        <v>10.7376</v>
      </c>
      <c r="E1557">
        <v>9.31</v>
      </c>
      <c r="F1557">
        <v>6.77</v>
      </c>
      <c r="G1557">
        <v>81.25</v>
      </c>
      <c r="H1557">
        <v>1.49</v>
      </c>
      <c r="I1557">
        <v>5</v>
      </c>
      <c r="J1557">
        <v>190.19</v>
      </c>
      <c r="K1557">
        <v>51.39</v>
      </c>
      <c r="L1557">
        <v>16</v>
      </c>
      <c r="M1557">
        <v>3</v>
      </c>
      <c r="N1557">
        <v>37.79</v>
      </c>
      <c r="O1557">
        <v>23690.52</v>
      </c>
      <c r="P1557">
        <v>73.88</v>
      </c>
      <c r="Q1557">
        <v>204.14</v>
      </c>
      <c r="R1557">
        <v>24.22</v>
      </c>
      <c r="S1557">
        <v>17.37</v>
      </c>
      <c r="T1557">
        <v>1327.61</v>
      </c>
      <c r="U1557">
        <v>0.72</v>
      </c>
      <c r="V1557">
        <v>0.75</v>
      </c>
      <c r="W1557">
        <v>1.1499999999999999</v>
      </c>
      <c r="X1557">
        <v>0.08</v>
      </c>
      <c r="Y1557">
        <v>1</v>
      </c>
      <c r="Z1557">
        <v>10</v>
      </c>
    </row>
    <row r="1558" spans="1:26" x14ac:dyDescent="0.3">
      <c r="A1558">
        <v>61</v>
      </c>
      <c r="B1558">
        <v>85</v>
      </c>
      <c r="C1558" t="s">
        <v>26</v>
      </c>
      <c r="D1558">
        <v>10.742100000000001</v>
      </c>
      <c r="E1558">
        <v>9.31</v>
      </c>
      <c r="F1558">
        <v>6.77</v>
      </c>
      <c r="G1558">
        <v>81.209999999999994</v>
      </c>
      <c r="H1558">
        <v>1.51</v>
      </c>
      <c r="I1558">
        <v>5</v>
      </c>
      <c r="J1558">
        <v>190.57</v>
      </c>
      <c r="K1558">
        <v>51.39</v>
      </c>
      <c r="L1558">
        <v>16.25</v>
      </c>
      <c r="M1558">
        <v>3</v>
      </c>
      <c r="N1558">
        <v>37.93</v>
      </c>
      <c r="O1558">
        <v>23737.67</v>
      </c>
      <c r="P1558">
        <v>73.47</v>
      </c>
      <c r="Q1558">
        <v>204.14</v>
      </c>
      <c r="R1558">
        <v>24.19</v>
      </c>
      <c r="S1558">
        <v>17.37</v>
      </c>
      <c r="T1558">
        <v>1314.52</v>
      </c>
      <c r="U1558">
        <v>0.72</v>
      </c>
      <c r="V1558">
        <v>0.75</v>
      </c>
      <c r="W1558">
        <v>1.1399999999999999</v>
      </c>
      <c r="X1558">
        <v>0.08</v>
      </c>
      <c r="Y1558">
        <v>1</v>
      </c>
      <c r="Z1558">
        <v>10</v>
      </c>
    </row>
    <row r="1559" spans="1:26" x14ac:dyDescent="0.3">
      <c r="A1559">
        <v>62</v>
      </c>
      <c r="B1559">
        <v>85</v>
      </c>
      <c r="C1559" t="s">
        <v>26</v>
      </c>
      <c r="D1559">
        <v>10.738300000000001</v>
      </c>
      <c r="E1559">
        <v>9.31</v>
      </c>
      <c r="F1559">
        <v>6.77</v>
      </c>
      <c r="G1559">
        <v>81.25</v>
      </c>
      <c r="H1559">
        <v>1.53</v>
      </c>
      <c r="I1559">
        <v>5</v>
      </c>
      <c r="J1559">
        <v>190.95</v>
      </c>
      <c r="K1559">
        <v>51.39</v>
      </c>
      <c r="L1559">
        <v>16.5</v>
      </c>
      <c r="M1559">
        <v>3</v>
      </c>
      <c r="N1559">
        <v>38.06</v>
      </c>
      <c r="O1559">
        <v>23784.85</v>
      </c>
      <c r="P1559">
        <v>73.33</v>
      </c>
      <c r="Q1559">
        <v>204.16</v>
      </c>
      <c r="R1559">
        <v>24.33</v>
      </c>
      <c r="S1559">
        <v>17.37</v>
      </c>
      <c r="T1559">
        <v>1381.92</v>
      </c>
      <c r="U1559">
        <v>0.71</v>
      </c>
      <c r="V1559">
        <v>0.75</v>
      </c>
      <c r="W1559">
        <v>1.1399999999999999</v>
      </c>
      <c r="X1559">
        <v>0.08</v>
      </c>
      <c r="Y1559">
        <v>1</v>
      </c>
      <c r="Z1559">
        <v>10</v>
      </c>
    </row>
    <row r="1560" spans="1:26" x14ac:dyDescent="0.3">
      <c r="A1560">
        <v>63</v>
      </c>
      <c r="B1560">
        <v>85</v>
      </c>
      <c r="C1560" t="s">
        <v>26</v>
      </c>
      <c r="D1560">
        <v>10.7354</v>
      </c>
      <c r="E1560">
        <v>9.32</v>
      </c>
      <c r="F1560">
        <v>6.77</v>
      </c>
      <c r="G1560">
        <v>81.28</v>
      </c>
      <c r="H1560">
        <v>1.55</v>
      </c>
      <c r="I1560">
        <v>5</v>
      </c>
      <c r="J1560">
        <v>191.34</v>
      </c>
      <c r="K1560">
        <v>51.39</v>
      </c>
      <c r="L1560">
        <v>16.75</v>
      </c>
      <c r="M1560">
        <v>3</v>
      </c>
      <c r="N1560">
        <v>38.19</v>
      </c>
      <c r="O1560">
        <v>23832.09</v>
      </c>
      <c r="P1560">
        <v>73</v>
      </c>
      <c r="Q1560">
        <v>204.16</v>
      </c>
      <c r="R1560">
        <v>24.36</v>
      </c>
      <c r="S1560">
        <v>17.37</v>
      </c>
      <c r="T1560">
        <v>1395.14</v>
      </c>
      <c r="U1560">
        <v>0.71</v>
      </c>
      <c r="V1560">
        <v>0.75</v>
      </c>
      <c r="W1560">
        <v>1.1399999999999999</v>
      </c>
      <c r="X1560">
        <v>0.08</v>
      </c>
      <c r="Y1560">
        <v>1</v>
      </c>
      <c r="Z1560">
        <v>10</v>
      </c>
    </row>
    <row r="1561" spans="1:26" x14ac:dyDescent="0.3">
      <c r="A1561">
        <v>64</v>
      </c>
      <c r="B1561">
        <v>85</v>
      </c>
      <c r="C1561" t="s">
        <v>26</v>
      </c>
      <c r="D1561">
        <v>10.7453</v>
      </c>
      <c r="E1561">
        <v>9.31</v>
      </c>
      <c r="F1561">
        <v>6.76</v>
      </c>
      <c r="G1561">
        <v>81.17</v>
      </c>
      <c r="H1561">
        <v>1.57</v>
      </c>
      <c r="I1561">
        <v>5</v>
      </c>
      <c r="J1561">
        <v>191.72</v>
      </c>
      <c r="K1561">
        <v>51.39</v>
      </c>
      <c r="L1561">
        <v>17</v>
      </c>
      <c r="M1561">
        <v>3</v>
      </c>
      <c r="N1561">
        <v>38.33</v>
      </c>
      <c r="O1561">
        <v>23879.37</v>
      </c>
      <c r="P1561">
        <v>72.31</v>
      </c>
      <c r="Q1561">
        <v>204.15</v>
      </c>
      <c r="R1561">
        <v>24.17</v>
      </c>
      <c r="S1561">
        <v>17.37</v>
      </c>
      <c r="T1561">
        <v>1302.54</v>
      </c>
      <c r="U1561">
        <v>0.72</v>
      </c>
      <c r="V1561">
        <v>0.75</v>
      </c>
      <c r="W1561">
        <v>1.1399999999999999</v>
      </c>
      <c r="X1561">
        <v>7.0000000000000007E-2</v>
      </c>
      <c r="Y1561">
        <v>1</v>
      </c>
      <c r="Z1561">
        <v>10</v>
      </c>
    </row>
    <row r="1562" spans="1:26" x14ac:dyDescent="0.3">
      <c r="A1562">
        <v>65</v>
      </c>
      <c r="B1562">
        <v>85</v>
      </c>
      <c r="C1562" t="s">
        <v>26</v>
      </c>
      <c r="D1562">
        <v>10.8063</v>
      </c>
      <c r="E1562">
        <v>9.25</v>
      </c>
      <c r="F1562">
        <v>6.75</v>
      </c>
      <c r="G1562">
        <v>101.19</v>
      </c>
      <c r="H1562">
        <v>1.59</v>
      </c>
      <c r="I1562">
        <v>4</v>
      </c>
      <c r="J1562">
        <v>192.1</v>
      </c>
      <c r="K1562">
        <v>51.39</v>
      </c>
      <c r="L1562">
        <v>17.25</v>
      </c>
      <c r="M1562">
        <v>2</v>
      </c>
      <c r="N1562">
        <v>38.46</v>
      </c>
      <c r="O1562">
        <v>23926.69</v>
      </c>
      <c r="P1562">
        <v>71.7</v>
      </c>
      <c r="Q1562">
        <v>204.14</v>
      </c>
      <c r="R1562">
        <v>23.48</v>
      </c>
      <c r="S1562">
        <v>17.37</v>
      </c>
      <c r="T1562">
        <v>962.66</v>
      </c>
      <c r="U1562">
        <v>0.74</v>
      </c>
      <c r="V1562">
        <v>0.76</v>
      </c>
      <c r="W1562">
        <v>1.1399999999999999</v>
      </c>
      <c r="X1562">
        <v>0.05</v>
      </c>
      <c r="Y1562">
        <v>1</v>
      </c>
      <c r="Z1562">
        <v>10</v>
      </c>
    </row>
    <row r="1563" spans="1:26" x14ac:dyDescent="0.3">
      <c r="A1563">
        <v>66</v>
      </c>
      <c r="B1563">
        <v>85</v>
      </c>
      <c r="C1563" t="s">
        <v>26</v>
      </c>
      <c r="D1563">
        <v>10.8024</v>
      </c>
      <c r="E1563">
        <v>9.26</v>
      </c>
      <c r="F1563">
        <v>6.75</v>
      </c>
      <c r="G1563">
        <v>101.24</v>
      </c>
      <c r="H1563">
        <v>1.61</v>
      </c>
      <c r="I1563">
        <v>4</v>
      </c>
      <c r="J1563">
        <v>192.49</v>
      </c>
      <c r="K1563">
        <v>51.39</v>
      </c>
      <c r="L1563">
        <v>17.5</v>
      </c>
      <c r="M1563">
        <v>2</v>
      </c>
      <c r="N1563">
        <v>38.590000000000003</v>
      </c>
      <c r="O1563">
        <v>23974.06</v>
      </c>
      <c r="P1563">
        <v>71.84</v>
      </c>
      <c r="Q1563">
        <v>204.19</v>
      </c>
      <c r="R1563">
        <v>23.61</v>
      </c>
      <c r="S1563">
        <v>17.37</v>
      </c>
      <c r="T1563">
        <v>1028.29</v>
      </c>
      <c r="U1563">
        <v>0.74</v>
      </c>
      <c r="V1563">
        <v>0.76</v>
      </c>
      <c r="W1563">
        <v>1.1399999999999999</v>
      </c>
      <c r="X1563">
        <v>0.06</v>
      </c>
      <c r="Y1563">
        <v>1</v>
      </c>
      <c r="Z1563">
        <v>10</v>
      </c>
    </row>
    <row r="1564" spans="1:26" x14ac:dyDescent="0.3">
      <c r="A1564">
        <v>67</v>
      </c>
      <c r="B1564">
        <v>85</v>
      </c>
      <c r="C1564" t="s">
        <v>26</v>
      </c>
      <c r="D1564">
        <v>10.801399999999999</v>
      </c>
      <c r="E1564">
        <v>9.26</v>
      </c>
      <c r="F1564">
        <v>6.75</v>
      </c>
      <c r="G1564">
        <v>101.25</v>
      </c>
      <c r="H1564">
        <v>1.63</v>
      </c>
      <c r="I1564">
        <v>4</v>
      </c>
      <c r="J1564">
        <v>192.87</v>
      </c>
      <c r="K1564">
        <v>51.39</v>
      </c>
      <c r="L1564">
        <v>17.75</v>
      </c>
      <c r="M1564">
        <v>2</v>
      </c>
      <c r="N1564">
        <v>38.729999999999997</v>
      </c>
      <c r="O1564">
        <v>24021.47</v>
      </c>
      <c r="P1564">
        <v>72.03</v>
      </c>
      <c r="Q1564">
        <v>204.14</v>
      </c>
      <c r="R1564">
        <v>23.66</v>
      </c>
      <c r="S1564">
        <v>17.37</v>
      </c>
      <c r="T1564">
        <v>1051.03</v>
      </c>
      <c r="U1564">
        <v>0.73</v>
      </c>
      <c r="V1564">
        <v>0.76</v>
      </c>
      <c r="W1564">
        <v>1.1399999999999999</v>
      </c>
      <c r="X1564">
        <v>0.06</v>
      </c>
      <c r="Y1564">
        <v>1</v>
      </c>
      <c r="Z1564">
        <v>10</v>
      </c>
    </row>
    <row r="1565" spans="1:26" x14ac:dyDescent="0.3">
      <c r="A1565">
        <v>68</v>
      </c>
      <c r="B1565">
        <v>85</v>
      </c>
      <c r="C1565" t="s">
        <v>26</v>
      </c>
      <c r="D1565">
        <v>10.8017</v>
      </c>
      <c r="E1565">
        <v>9.26</v>
      </c>
      <c r="F1565">
        <v>6.75</v>
      </c>
      <c r="G1565">
        <v>101.25</v>
      </c>
      <c r="H1565">
        <v>1.65</v>
      </c>
      <c r="I1565">
        <v>4</v>
      </c>
      <c r="J1565">
        <v>193.26</v>
      </c>
      <c r="K1565">
        <v>51.39</v>
      </c>
      <c r="L1565">
        <v>18</v>
      </c>
      <c r="M1565">
        <v>2</v>
      </c>
      <c r="N1565">
        <v>38.86</v>
      </c>
      <c r="O1565">
        <v>24068.93</v>
      </c>
      <c r="P1565">
        <v>72.09</v>
      </c>
      <c r="Q1565">
        <v>204.14</v>
      </c>
      <c r="R1565">
        <v>23.68</v>
      </c>
      <c r="S1565">
        <v>17.37</v>
      </c>
      <c r="T1565">
        <v>1062.07</v>
      </c>
      <c r="U1565">
        <v>0.73</v>
      </c>
      <c r="V1565">
        <v>0.76</v>
      </c>
      <c r="W1565">
        <v>1.1399999999999999</v>
      </c>
      <c r="X1565">
        <v>0.06</v>
      </c>
      <c r="Y1565">
        <v>1</v>
      </c>
      <c r="Z1565">
        <v>10</v>
      </c>
    </row>
    <row r="1566" spans="1:26" x14ac:dyDescent="0.3">
      <c r="A1566">
        <v>69</v>
      </c>
      <c r="B1566">
        <v>85</v>
      </c>
      <c r="C1566" t="s">
        <v>26</v>
      </c>
      <c r="D1566">
        <v>10.8066</v>
      </c>
      <c r="E1566">
        <v>9.25</v>
      </c>
      <c r="F1566">
        <v>6.75</v>
      </c>
      <c r="G1566">
        <v>101.18</v>
      </c>
      <c r="H1566">
        <v>1.67</v>
      </c>
      <c r="I1566">
        <v>4</v>
      </c>
      <c r="J1566">
        <v>193.64</v>
      </c>
      <c r="K1566">
        <v>51.39</v>
      </c>
      <c r="L1566">
        <v>18.25</v>
      </c>
      <c r="M1566">
        <v>2</v>
      </c>
      <c r="N1566">
        <v>39</v>
      </c>
      <c r="O1566">
        <v>24116.44</v>
      </c>
      <c r="P1566">
        <v>72.11</v>
      </c>
      <c r="Q1566">
        <v>204.14</v>
      </c>
      <c r="R1566">
        <v>23.59</v>
      </c>
      <c r="S1566">
        <v>17.37</v>
      </c>
      <c r="T1566">
        <v>1015.7</v>
      </c>
      <c r="U1566">
        <v>0.74</v>
      </c>
      <c r="V1566">
        <v>0.76</v>
      </c>
      <c r="W1566">
        <v>1.1399999999999999</v>
      </c>
      <c r="X1566">
        <v>0.05</v>
      </c>
      <c r="Y1566">
        <v>1</v>
      </c>
      <c r="Z1566">
        <v>10</v>
      </c>
    </row>
    <row r="1567" spans="1:26" x14ac:dyDescent="0.3">
      <c r="A1567">
        <v>70</v>
      </c>
      <c r="B1567">
        <v>85</v>
      </c>
      <c r="C1567" t="s">
        <v>26</v>
      </c>
      <c r="D1567">
        <v>10.809799999999999</v>
      </c>
      <c r="E1567">
        <v>9.25</v>
      </c>
      <c r="F1567">
        <v>6.74</v>
      </c>
      <c r="G1567">
        <v>101.14</v>
      </c>
      <c r="H1567">
        <v>1.69</v>
      </c>
      <c r="I1567">
        <v>4</v>
      </c>
      <c r="J1567">
        <v>194.03</v>
      </c>
      <c r="K1567">
        <v>51.39</v>
      </c>
      <c r="L1567">
        <v>18.5</v>
      </c>
      <c r="M1567">
        <v>2</v>
      </c>
      <c r="N1567">
        <v>39.130000000000003</v>
      </c>
      <c r="O1567">
        <v>24163.99</v>
      </c>
      <c r="P1567">
        <v>72.069999999999993</v>
      </c>
      <c r="Q1567">
        <v>204.16</v>
      </c>
      <c r="R1567">
        <v>23.44</v>
      </c>
      <c r="S1567">
        <v>17.37</v>
      </c>
      <c r="T1567">
        <v>944.44</v>
      </c>
      <c r="U1567">
        <v>0.74</v>
      </c>
      <c r="V1567">
        <v>0.76</v>
      </c>
      <c r="W1567">
        <v>1.1399999999999999</v>
      </c>
      <c r="X1567">
        <v>0.05</v>
      </c>
      <c r="Y1567">
        <v>1</v>
      </c>
      <c r="Z1567">
        <v>10</v>
      </c>
    </row>
    <row r="1568" spans="1:26" x14ac:dyDescent="0.3">
      <c r="A1568">
        <v>71</v>
      </c>
      <c r="B1568">
        <v>85</v>
      </c>
      <c r="C1568" t="s">
        <v>26</v>
      </c>
      <c r="D1568">
        <v>10.804600000000001</v>
      </c>
      <c r="E1568">
        <v>9.26</v>
      </c>
      <c r="F1568">
        <v>6.75</v>
      </c>
      <c r="G1568">
        <v>101.21</v>
      </c>
      <c r="H1568">
        <v>1.71</v>
      </c>
      <c r="I1568">
        <v>4</v>
      </c>
      <c r="J1568">
        <v>194.41</v>
      </c>
      <c r="K1568">
        <v>51.39</v>
      </c>
      <c r="L1568">
        <v>18.75</v>
      </c>
      <c r="M1568">
        <v>2</v>
      </c>
      <c r="N1568">
        <v>39.270000000000003</v>
      </c>
      <c r="O1568">
        <v>24211.59</v>
      </c>
      <c r="P1568">
        <v>72</v>
      </c>
      <c r="Q1568">
        <v>204.14</v>
      </c>
      <c r="R1568">
        <v>23.58</v>
      </c>
      <c r="S1568">
        <v>17.37</v>
      </c>
      <c r="T1568">
        <v>1009.91</v>
      </c>
      <c r="U1568">
        <v>0.74</v>
      </c>
      <c r="V1568">
        <v>0.76</v>
      </c>
      <c r="W1568">
        <v>1.1399999999999999</v>
      </c>
      <c r="X1568">
        <v>0.06</v>
      </c>
      <c r="Y1568">
        <v>1</v>
      </c>
      <c r="Z1568">
        <v>10</v>
      </c>
    </row>
    <row r="1569" spans="1:26" x14ac:dyDescent="0.3">
      <c r="A1569">
        <v>72</v>
      </c>
      <c r="B1569">
        <v>85</v>
      </c>
      <c r="C1569" t="s">
        <v>26</v>
      </c>
      <c r="D1569">
        <v>10.8024</v>
      </c>
      <c r="E1569">
        <v>9.26</v>
      </c>
      <c r="F1569">
        <v>6.75</v>
      </c>
      <c r="G1569">
        <v>101.24</v>
      </c>
      <c r="H1569">
        <v>1.73</v>
      </c>
      <c r="I1569">
        <v>4</v>
      </c>
      <c r="J1569">
        <v>194.8</v>
      </c>
      <c r="K1569">
        <v>51.39</v>
      </c>
      <c r="L1569">
        <v>19</v>
      </c>
      <c r="M1569">
        <v>2</v>
      </c>
      <c r="N1569">
        <v>39.409999999999997</v>
      </c>
      <c r="O1569">
        <v>24259.23</v>
      </c>
      <c r="P1569">
        <v>71.89</v>
      </c>
      <c r="Q1569">
        <v>204.14</v>
      </c>
      <c r="R1569">
        <v>23.64</v>
      </c>
      <c r="S1569">
        <v>17.37</v>
      </c>
      <c r="T1569">
        <v>1042.8499999999999</v>
      </c>
      <c r="U1569">
        <v>0.73</v>
      </c>
      <c r="V1569">
        <v>0.76</v>
      </c>
      <c r="W1569">
        <v>1.1399999999999999</v>
      </c>
      <c r="X1569">
        <v>0.06</v>
      </c>
      <c r="Y1569">
        <v>1</v>
      </c>
      <c r="Z1569">
        <v>10</v>
      </c>
    </row>
    <row r="1570" spans="1:26" x14ac:dyDescent="0.3">
      <c r="A1570">
        <v>73</v>
      </c>
      <c r="B1570">
        <v>85</v>
      </c>
      <c r="C1570" t="s">
        <v>26</v>
      </c>
      <c r="D1570">
        <v>10.798500000000001</v>
      </c>
      <c r="E1570">
        <v>9.26</v>
      </c>
      <c r="F1570">
        <v>6.75</v>
      </c>
      <c r="G1570">
        <v>101.29</v>
      </c>
      <c r="H1570">
        <v>1.75</v>
      </c>
      <c r="I1570">
        <v>4</v>
      </c>
      <c r="J1570">
        <v>195.19</v>
      </c>
      <c r="K1570">
        <v>51.39</v>
      </c>
      <c r="L1570">
        <v>19.25</v>
      </c>
      <c r="M1570">
        <v>1</v>
      </c>
      <c r="N1570">
        <v>39.54</v>
      </c>
      <c r="O1570">
        <v>24306.92</v>
      </c>
      <c r="P1570">
        <v>71.84</v>
      </c>
      <c r="Q1570">
        <v>204.14</v>
      </c>
      <c r="R1570">
        <v>23.72</v>
      </c>
      <c r="S1570">
        <v>17.37</v>
      </c>
      <c r="T1570">
        <v>1083.28</v>
      </c>
      <c r="U1570">
        <v>0.73</v>
      </c>
      <c r="V1570">
        <v>0.76</v>
      </c>
      <c r="W1570">
        <v>1.1399999999999999</v>
      </c>
      <c r="X1570">
        <v>0.06</v>
      </c>
      <c r="Y1570">
        <v>1</v>
      </c>
      <c r="Z1570">
        <v>10</v>
      </c>
    </row>
    <row r="1571" spans="1:26" x14ac:dyDescent="0.3">
      <c r="A1571">
        <v>74</v>
      </c>
      <c r="B1571">
        <v>85</v>
      </c>
      <c r="C1571" t="s">
        <v>26</v>
      </c>
      <c r="D1571">
        <v>10.8027</v>
      </c>
      <c r="E1571">
        <v>9.26</v>
      </c>
      <c r="F1571">
        <v>6.75</v>
      </c>
      <c r="G1571">
        <v>101.23</v>
      </c>
      <c r="H1571">
        <v>1.77</v>
      </c>
      <c r="I1571">
        <v>4</v>
      </c>
      <c r="J1571">
        <v>195.57</v>
      </c>
      <c r="K1571">
        <v>51.39</v>
      </c>
      <c r="L1571">
        <v>19.5</v>
      </c>
      <c r="M1571">
        <v>1</v>
      </c>
      <c r="N1571">
        <v>39.68</v>
      </c>
      <c r="O1571">
        <v>24354.66</v>
      </c>
      <c r="P1571">
        <v>71.75</v>
      </c>
      <c r="Q1571">
        <v>204.14</v>
      </c>
      <c r="R1571">
        <v>23.66</v>
      </c>
      <c r="S1571">
        <v>17.37</v>
      </c>
      <c r="T1571">
        <v>1053.71</v>
      </c>
      <c r="U1571">
        <v>0.73</v>
      </c>
      <c r="V1571">
        <v>0.76</v>
      </c>
      <c r="W1571">
        <v>1.1399999999999999</v>
      </c>
      <c r="X1571">
        <v>0.06</v>
      </c>
      <c r="Y1571">
        <v>1</v>
      </c>
      <c r="Z1571">
        <v>10</v>
      </c>
    </row>
    <row r="1572" spans="1:26" x14ac:dyDescent="0.3">
      <c r="A1572">
        <v>75</v>
      </c>
      <c r="B1572">
        <v>85</v>
      </c>
      <c r="C1572" t="s">
        <v>26</v>
      </c>
      <c r="D1572">
        <v>10.8043</v>
      </c>
      <c r="E1572">
        <v>9.26</v>
      </c>
      <c r="F1572">
        <v>6.75</v>
      </c>
      <c r="G1572">
        <v>101.21</v>
      </c>
      <c r="H1572">
        <v>1.79</v>
      </c>
      <c r="I1572">
        <v>4</v>
      </c>
      <c r="J1572">
        <v>195.96</v>
      </c>
      <c r="K1572">
        <v>51.39</v>
      </c>
      <c r="L1572">
        <v>19.75</v>
      </c>
      <c r="M1572">
        <v>1</v>
      </c>
      <c r="N1572">
        <v>39.82</v>
      </c>
      <c r="O1572">
        <v>24402.44</v>
      </c>
      <c r="P1572">
        <v>71.709999999999994</v>
      </c>
      <c r="Q1572">
        <v>204.14</v>
      </c>
      <c r="R1572">
        <v>23.62</v>
      </c>
      <c r="S1572">
        <v>17.37</v>
      </c>
      <c r="T1572">
        <v>1032.2</v>
      </c>
      <c r="U1572">
        <v>0.74</v>
      </c>
      <c r="V1572">
        <v>0.76</v>
      </c>
      <c r="W1572">
        <v>1.1399999999999999</v>
      </c>
      <c r="X1572">
        <v>0.06</v>
      </c>
      <c r="Y1572">
        <v>1</v>
      </c>
      <c r="Z1572">
        <v>10</v>
      </c>
    </row>
    <row r="1573" spans="1:26" x14ac:dyDescent="0.3">
      <c r="A1573">
        <v>76</v>
      </c>
      <c r="B1573">
        <v>85</v>
      </c>
      <c r="C1573" t="s">
        <v>26</v>
      </c>
      <c r="D1573">
        <v>10.804600000000001</v>
      </c>
      <c r="E1573">
        <v>9.26</v>
      </c>
      <c r="F1573">
        <v>6.75</v>
      </c>
      <c r="G1573">
        <v>101.21</v>
      </c>
      <c r="H1573">
        <v>1.81</v>
      </c>
      <c r="I1573">
        <v>4</v>
      </c>
      <c r="J1573">
        <v>196.35</v>
      </c>
      <c r="K1573">
        <v>51.39</v>
      </c>
      <c r="L1573">
        <v>20</v>
      </c>
      <c r="M1573">
        <v>1</v>
      </c>
      <c r="N1573">
        <v>39.96</v>
      </c>
      <c r="O1573">
        <v>24450.27</v>
      </c>
      <c r="P1573">
        <v>71.67</v>
      </c>
      <c r="Q1573">
        <v>204.14</v>
      </c>
      <c r="R1573">
        <v>23.6</v>
      </c>
      <c r="S1573">
        <v>17.37</v>
      </c>
      <c r="T1573">
        <v>1019.86</v>
      </c>
      <c r="U1573">
        <v>0.74</v>
      </c>
      <c r="V1573">
        <v>0.76</v>
      </c>
      <c r="W1573">
        <v>1.1399999999999999</v>
      </c>
      <c r="X1573">
        <v>0.06</v>
      </c>
      <c r="Y1573">
        <v>1</v>
      </c>
      <c r="Z1573">
        <v>10</v>
      </c>
    </row>
    <row r="1574" spans="1:26" x14ac:dyDescent="0.3">
      <c r="A1574">
        <v>77</v>
      </c>
      <c r="B1574">
        <v>85</v>
      </c>
      <c r="C1574" t="s">
        <v>26</v>
      </c>
      <c r="D1574">
        <v>10.8072</v>
      </c>
      <c r="E1574">
        <v>9.25</v>
      </c>
      <c r="F1574">
        <v>6.75</v>
      </c>
      <c r="G1574">
        <v>101.17</v>
      </c>
      <c r="H1574">
        <v>1.83</v>
      </c>
      <c r="I1574">
        <v>4</v>
      </c>
      <c r="J1574">
        <v>196.74</v>
      </c>
      <c r="K1574">
        <v>51.39</v>
      </c>
      <c r="L1574">
        <v>20.25</v>
      </c>
      <c r="M1574">
        <v>1</v>
      </c>
      <c r="N1574">
        <v>40.090000000000003</v>
      </c>
      <c r="O1574">
        <v>24498.15</v>
      </c>
      <c r="P1574">
        <v>71.55</v>
      </c>
      <c r="Q1574">
        <v>204.14</v>
      </c>
      <c r="R1574">
        <v>23.54</v>
      </c>
      <c r="S1574">
        <v>17.37</v>
      </c>
      <c r="T1574">
        <v>992.02</v>
      </c>
      <c r="U1574">
        <v>0.74</v>
      </c>
      <c r="V1574">
        <v>0.76</v>
      </c>
      <c r="W1574">
        <v>1.1399999999999999</v>
      </c>
      <c r="X1574">
        <v>0.05</v>
      </c>
      <c r="Y1574">
        <v>1</v>
      </c>
      <c r="Z1574">
        <v>10</v>
      </c>
    </row>
    <row r="1575" spans="1:26" x14ac:dyDescent="0.3">
      <c r="A1575">
        <v>78</v>
      </c>
      <c r="B1575">
        <v>85</v>
      </c>
      <c r="C1575" t="s">
        <v>26</v>
      </c>
      <c r="D1575">
        <v>10.809799999999999</v>
      </c>
      <c r="E1575">
        <v>9.25</v>
      </c>
      <c r="F1575">
        <v>6.74</v>
      </c>
      <c r="G1575">
        <v>101.14</v>
      </c>
      <c r="H1575">
        <v>1.85</v>
      </c>
      <c r="I1575">
        <v>4</v>
      </c>
      <c r="J1575">
        <v>197.12</v>
      </c>
      <c r="K1575">
        <v>51.39</v>
      </c>
      <c r="L1575">
        <v>20.5</v>
      </c>
      <c r="M1575">
        <v>1</v>
      </c>
      <c r="N1575">
        <v>40.229999999999997</v>
      </c>
      <c r="O1575">
        <v>24546.080000000002</v>
      </c>
      <c r="P1575">
        <v>71.41</v>
      </c>
      <c r="Q1575">
        <v>204.15</v>
      </c>
      <c r="R1575">
        <v>23.44</v>
      </c>
      <c r="S1575">
        <v>17.37</v>
      </c>
      <c r="T1575">
        <v>942.46</v>
      </c>
      <c r="U1575">
        <v>0.74</v>
      </c>
      <c r="V1575">
        <v>0.76</v>
      </c>
      <c r="W1575">
        <v>1.1399999999999999</v>
      </c>
      <c r="X1575">
        <v>0.05</v>
      </c>
      <c r="Y1575">
        <v>1</v>
      </c>
      <c r="Z1575">
        <v>10</v>
      </c>
    </row>
    <row r="1576" spans="1:26" x14ac:dyDescent="0.3">
      <c r="A1576">
        <v>79</v>
      </c>
      <c r="B1576">
        <v>85</v>
      </c>
      <c r="C1576" t="s">
        <v>26</v>
      </c>
      <c r="D1576">
        <v>10.807600000000001</v>
      </c>
      <c r="E1576">
        <v>9.25</v>
      </c>
      <c r="F1576">
        <v>6.74</v>
      </c>
      <c r="G1576">
        <v>101.17</v>
      </c>
      <c r="H1576">
        <v>1.87</v>
      </c>
      <c r="I1576">
        <v>4</v>
      </c>
      <c r="J1576">
        <v>197.51</v>
      </c>
      <c r="K1576">
        <v>51.39</v>
      </c>
      <c r="L1576">
        <v>20.75</v>
      </c>
      <c r="M1576">
        <v>0</v>
      </c>
      <c r="N1576">
        <v>40.369999999999997</v>
      </c>
      <c r="O1576">
        <v>24594.05</v>
      </c>
      <c r="P1576">
        <v>71.459999999999994</v>
      </c>
      <c r="Q1576">
        <v>204.14</v>
      </c>
      <c r="R1576">
        <v>23.43</v>
      </c>
      <c r="S1576">
        <v>17.37</v>
      </c>
      <c r="T1576">
        <v>935.16</v>
      </c>
      <c r="U1576">
        <v>0.74</v>
      </c>
      <c r="V1576">
        <v>0.76</v>
      </c>
      <c r="W1576">
        <v>1.1399999999999999</v>
      </c>
      <c r="X1576">
        <v>0.05</v>
      </c>
      <c r="Y1576">
        <v>1</v>
      </c>
      <c r="Z1576">
        <v>10</v>
      </c>
    </row>
    <row r="1577" spans="1:26" x14ac:dyDescent="0.3">
      <c r="A1577">
        <v>0</v>
      </c>
      <c r="B1577">
        <v>20</v>
      </c>
      <c r="C1577" t="s">
        <v>26</v>
      </c>
      <c r="D1577">
        <v>10.663500000000001</v>
      </c>
      <c r="E1577">
        <v>9.3800000000000008</v>
      </c>
      <c r="F1577">
        <v>7.28</v>
      </c>
      <c r="G1577">
        <v>15.05</v>
      </c>
      <c r="H1577">
        <v>0.34</v>
      </c>
      <c r="I1577">
        <v>29</v>
      </c>
      <c r="J1577">
        <v>51.33</v>
      </c>
      <c r="K1577">
        <v>24.83</v>
      </c>
      <c r="L1577">
        <v>1</v>
      </c>
      <c r="M1577">
        <v>27</v>
      </c>
      <c r="N1577">
        <v>5.51</v>
      </c>
      <c r="O1577">
        <v>6564.78</v>
      </c>
      <c r="P1577">
        <v>39.04</v>
      </c>
      <c r="Q1577">
        <v>204.16</v>
      </c>
      <c r="R1577">
        <v>39.869999999999997</v>
      </c>
      <c r="S1577">
        <v>17.37</v>
      </c>
      <c r="T1577">
        <v>9030.73</v>
      </c>
      <c r="U1577">
        <v>0.44</v>
      </c>
      <c r="V1577">
        <v>0.7</v>
      </c>
      <c r="W1577">
        <v>1.19</v>
      </c>
      <c r="X1577">
        <v>0.57999999999999996</v>
      </c>
      <c r="Y1577">
        <v>1</v>
      </c>
      <c r="Z1577">
        <v>10</v>
      </c>
    </row>
    <row r="1578" spans="1:26" x14ac:dyDescent="0.3">
      <c r="A1578">
        <v>1</v>
      </c>
      <c r="B1578">
        <v>20</v>
      </c>
      <c r="C1578" t="s">
        <v>26</v>
      </c>
      <c r="D1578">
        <v>10.9117</v>
      </c>
      <c r="E1578">
        <v>9.16</v>
      </c>
      <c r="F1578">
        <v>7.14</v>
      </c>
      <c r="G1578">
        <v>18.61</v>
      </c>
      <c r="H1578">
        <v>0.42</v>
      </c>
      <c r="I1578">
        <v>23</v>
      </c>
      <c r="J1578">
        <v>51.62</v>
      </c>
      <c r="K1578">
        <v>24.83</v>
      </c>
      <c r="L1578">
        <v>1.25</v>
      </c>
      <c r="M1578">
        <v>21</v>
      </c>
      <c r="N1578">
        <v>5.54</v>
      </c>
      <c r="O1578">
        <v>6599.8</v>
      </c>
      <c r="P1578">
        <v>37.58</v>
      </c>
      <c r="Q1578">
        <v>204.16</v>
      </c>
      <c r="R1578">
        <v>35.58</v>
      </c>
      <c r="S1578">
        <v>17.37</v>
      </c>
      <c r="T1578">
        <v>6917.2</v>
      </c>
      <c r="U1578">
        <v>0.49</v>
      </c>
      <c r="V1578">
        <v>0.72</v>
      </c>
      <c r="W1578">
        <v>1.18</v>
      </c>
      <c r="X1578">
        <v>0.44</v>
      </c>
      <c r="Y1578">
        <v>1</v>
      </c>
      <c r="Z1578">
        <v>10</v>
      </c>
    </row>
    <row r="1579" spans="1:26" x14ac:dyDescent="0.3">
      <c r="A1579">
        <v>2</v>
      </c>
      <c r="B1579">
        <v>20</v>
      </c>
      <c r="C1579" t="s">
        <v>26</v>
      </c>
      <c r="D1579">
        <v>11.0762</v>
      </c>
      <c r="E1579">
        <v>9.0299999999999994</v>
      </c>
      <c r="F1579">
        <v>7.05</v>
      </c>
      <c r="G1579">
        <v>22.26</v>
      </c>
      <c r="H1579">
        <v>0.5</v>
      </c>
      <c r="I1579">
        <v>19</v>
      </c>
      <c r="J1579">
        <v>51.9</v>
      </c>
      <c r="K1579">
        <v>24.83</v>
      </c>
      <c r="L1579">
        <v>1.5</v>
      </c>
      <c r="M1579">
        <v>17</v>
      </c>
      <c r="N1579">
        <v>5.57</v>
      </c>
      <c r="O1579">
        <v>6634.84</v>
      </c>
      <c r="P1579">
        <v>36.200000000000003</v>
      </c>
      <c r="Q1579">
        <v>204.17</v>
      </c>
      <c r="R1579">
        <v>32.950000000000003</v>
      </c>
      <c r="S1579">
        <v>17.37</v>
      </c>
      <c r="T1579">
        <v>5621.77</v>
      </c>
      <c r="U1579">
        <v>0.53</v>
      </c>
      <c r="V1579">
        <v>0.72</v>
      </c>
      <c r="W1579">
        <v>1.17</v>
      </c>
      <c r="X1579">
        <v>0.36</v>
      </c>
      <c r="Y1579">
        <v>1</v>
      </c>
      <c r="Z1579">
        <v>10</v>
      </c>
    </row>
    <row r="1580" spans="1:26" x14ac:dyDescent="0.3">
      <c r="A1580">
        <v>3</v>
      </c>
      <c r="B1580">
        <v>20</v>
      </c>
      <c r="C1580" t="s">
        <v>26</v>
      </c>
      <c r="D1580">
        <v>11.1732</v>
      </c>
      <c r="E1580">
        <v>8.9499999999999993</v>
      </c>
      <c r="F1580">
        <v>7.01</v>
      </c>
      <c r="G1580">
        <v>26.27</v>
      </c>
      <c r="H1580">
        <v>0.57999999999999996</v>
      </c>
      <c r="I1580">
        <v>16</v>
      </c>
      <c r="J1580">
        <v>52.19</v>
      </c>
      <c r="K1580">
        <v>24.83</v>
      </c>
      <c r="L1580">
        <v>1.75</v>
      </c>
      <c r="M1580">
        <v>14</v>
      </c>
      <c r="N1580">
        <v>5.61</v>
      </c>
      <c r="O1580">
        <v>6670.02</v>
      </c>
      <c r="P1580">
        <v>35.11</v>
      </c>
      <c r="Q1580">
        <v>204.15</v>
      </c>
      <c r="R1580">
        <v>31.8</v>
      </c>
      <c r="S1580">
        <v>17.37</v>
      </c>
      <c r="T1580">
        <v>5062.0600000000004</v>
      </c>
      <c r="U1580">
        <v>0.55000000000000004</v>
      </c>
      <c r="V1580">
        <v>0.73</v>
      </c>
      <c r="W1580">
        <v>1.1599999999999999</v>
      </c>
      <c r="X1580">
        <v>0.32</v>
      </c>
      <c r="Y1580">
        <v>1</v>
      </c>
      <c r="Z1580">
        <v>10</v>
      </c>
    </row>
    <row r="1581" spans="1:26" x14ac:dyDescent="0.3">
      <c r="A1581">
        <v>4</v>
      </c>
      <c r="B1581">
        <v>20</v>
      </c>
      <c r="C1581" t="s">
        <v>26</v>
      </c>
      <c r="D1581">
        <v>11.313599999999999</v>
      </c>
      <c r="E1581">
        <v>8.84</v>
      </c>
      <c r="F1581">
        <v>6.93</v>
      </c>
      <c r="G1581">
        <v>31.99</v>
      </c>
      <c r="H1581">
        <v>0.66</v>
      </c>
      <c r="I1581">
        <v>13</v>
      </c>
      <c r="J1581">
        <v>52.47</v>
      </c>
      <c r="K1581">
        <v>24.83</v>
      </c>
      <c r="L1581">
        <v>2</v>
      </c>
      <c r="M1581">
        <v>11</v>
      </c>
      <c r="N1581">
        <v>5.64</v>
      </c>
      <c r="O1581">
        <v>6705.1</v>
      </c>
      <c r="P1581">
        <v>33.51</v>
      </c>
      <c r="Q1581">
        <v>204.15</v>
      </c>
      <c r="R1581">
        <v>29.27</v>
      </c>
      <c r="S1581">
        <v>17.37</v>
      </c>
      <c r="T1581">
        <v>3811.67</v>
      </c>
      <c r="U1581">
        <v>0.59</v>
      </c>
      <c r="V1581">
        <v>0.74</v>
      </c>
      <c r="W1581">
        <v>1.1599999999999999</v>
      </c>
      <c r="X1581">
        <v>0.24</v>
      </c>
      <c r="Y1581">
        <v>1</v>
      </c>
      <c r="Z1581">
        <v>10</v>
      </c>
    </row>
    <row r="1582" spans="1:26" x14ac:dyDescent="0.3">
      <c r="A1582">
        <v>5</v>
      </c>
      <c r="B1582">
        <v>20</v>
      </c>
      <c r="C1582" t="s">
        <v>26</v>
      </c>
      <c r="D1582">
        <v>11.3543</v>
      </c>
      <c r="E1582">
        <v>8.81</v>
      </c>
      <c r="F1582">
        <v>6.91</v>
      </c>
      <c r="G1582">
        <v>34.56</v>
      </c>
      <c r="H1582">
        <v>0.74</v>
      </c>
      <c r="I1582">
        <v>12</v>
      </c>
      <c r="J1582">
        <v>52.75</v>
      </c>
      <c r="K1582">
        <v>24.83</v>
      </c>
      <c r="L1582">
        <v>2.25</v>
      </c>
      <c r="M1582">
        <v>4</v>
      </c>
      <c r="N1582">
        <v>5.68</v>
      </c>
      <c r="O1582">
        <v>6740.19</v>
      </c>
      <c r="P1582">
        <v>33.159999999999997</v>
      </c>
      <c r="Q1582">
        <v>204.14</v>
      </c>
      <c r="R1582">
        <v>28.58</v>
      </c>
      <c r="S1582">
        <v>17.37</v>
      </c>
      <c r="T1582">
        <v>3470.51</v>
      </c>
      <c r="U1582">
        <v>0.61</v>
      </c>
      <c r="V1582">
        <v>0.74</v>
      </c>
      <c r="W1582">
        <v>1.1599999999999999</v>
      </c>
      <c r="X1582">
        <v>0.22</v>
      </c>
      <c r="Y1582">
        <v>1</v>
      </c>
      <c r="Z1582">
        <v>10</v>
      </c>
    </row>
    <row r="1583" spans="1:26" x14ac:dyDescent="0.3">
      <c r="A1583">
        <v>6</v>
      </c>
      <c r="B1583">
        <v>20</v>
      </c>
      <c r="C1583" t="s">
        <v>26</v>
      </c>
      <c r="D1583">
        <v>11.3393</v>
      </c>
      <c r="E1583">
        <v>8.82</v>
      </c>
      <c r="F1583">
        <v>6.92</v>
      </c>
      <c r="G1583">
        <v>34.619999999999997</v>
      </c>
      <c r="H1583">
        <v>0.82</v>
      </c>
      <c r="I1583">
        <v>12</v>
      </c>
      <c r="J1583">
        <v>53.04</v>
      </c>
      <c r="K1583">
        <v>24.83</v>
      </c>
      <c r="L1583">
        <v>2.5</v>
      </c>
      <c r="M1583">
        <v>1</v>
      </c>
      <c r="N1583">
        <v>5.71</v>
      </c>
      <c r="O1583">
        <v>6775.31</v>
      </c>
      <c r="P1583">
        <v>33.18</v>
      </c>
      <c r="Q1583">
        <v>204.18</v>
      </c>
      <c r="R1583">
        <v>28.75</v>
      </c>
      <c r="S1583">
        <v>17.37</v>
      </c>
      <c r="T1583">
        <v>3558.77</v>
      </c>
      <c r="U1583">
        <v>0.6</v>
      </c>
      <c r="V1583">
        <v>0.74</v>
      </c>
      <c r="W1583">
        <v>1.17</v>
      </c>
      <c r="X1583">
        <v>0.23</v>
      </c>
      <c r="Y1583">
        <v>1</v>
      </c>
      <c r="Z1583">
        <v>10</v>
      </c>
    </row>
    <row r="1584" spans="1:26" x14ac:dyDescent="0.3">
      <c r="A1584">
        <v>7</v>
      </c>
      <c r="B1584">
        <v>20</v>
      </c>
      <c r="C1584" t="s">
        <v>26</v>
      </c>
      <c r="D1584">
        <v>11.3407</v>
      </c>
      <c r="E1584">
        <v>8.82</v>
      </c>
      <c r="F1584">
        <v>6.92</v>
      </c>
      <c r="G1584">
        <v>34.619999999999997</v>
      </c>
      <c r="H1584">
        <v>0.89</v>
      </c>
      <c r="I1584">
        <v>12</v>
      </c>
      <c r="J1584">
        <v>53.32</v>
      </c>
      <c r="K1584">
        <v>24.83</v>
      </c>
      <c r="L1584">
        <v>2.75</v>
      </c>
      <c r="M1584">
        <v>1</v>
      </c>
      <c r="N1584">
        <v>5.75</v>
      </c>
      <c r="O1584">
        <v>6810.44</v>
      </c>
      <c r="P1584">
        <v>33.21</v>
      </c>
      <c r="Q1584">
        <v>204.18</v>
      </c>
      <c r="R1584">
        <v>28.7</v>
      </c>
      <c r="S1584">
        <v>17.37</v>
      </c>
      <c r="T1584">
        <v>3530.31</v>
      </c>
      <c r="U1584">
        <v>0.61</v>
      </c>
      <c r="V1584">
        <v>0.74</v>
      </c>
      <c r="W1584">
        <v>1.17</v>
      </c>
      <c r="X1584">
        <v>0.23</v>
      </c>
      <c r="Y1584">
        <v>1</v>
      </c>
      <c r="Z1584">
        <v>10</v>
      </c>
    </row>
    <row r="1585" spans="1:26" x14ac:dyDescent="0.3">
      <c r="A1585">
        <v>8</v>
      </c>
      <c r="B1585">
        <v>20</v>
      </c>
      <c r="C1585" t="s">
        <v>26</v>
      </c>
      <c r="D1585">
        <v>11.338900000000001</v>
      </c>
      <c r="E1585">
        <v>8.82</v>
      </c>
      <c r="F1585">
        <v>6.92</v>
      </c>
      <c r="G1585">
        <v>34.619999999999997</v>
      </c>
      <c r="H1585">
        <v>0.97</v>
      </c>
      <c r="I1585">
        <v>12</v>
      </c>
      <c r="J1585">
        <v>53.61</v>
      </c>
      <c r="K1585">
        <v>24.83</v>
      </c>
      <c r="L1585">
        <v>3</v>
      </c>
      <c r="M1585">
        <v>0</v>
      </c>
      <c r="N1585">
        <v>5.78</v>
      </c>
      <c r="O1585">
        <v>6845.59</v>
      </c>
      <c r="P1585">
        <v>33.340000000000003</v>
      </c>
      <c r="Q1585">
        <v>204.18</v>
      </c>
      <c r="R1585">
        <v>28.73</v>
      </c>
      <c r="S1585">
        <v>17.37</v>
      </c>
      <c r="T1585">
        <v>3546.19</v>
      </c>
      <c r="U1585">
        <v>0.6</v>
      </c>
      <c r="V1585">
        <v>0.74</v>
      </c>
      <c r="W1585">
        <v>1.17</v>
      </c>
      <c r="X1585">
        <v>0.23</v>
      </c>
      <c r="Y1585">
        <v>1</v>
      </c>
      <c r="Z1585">
        <v>10</v>
      </c>
    </row>
    <row r="1586" spans="1:26" x14ac:dyDescent="0.3">
      <c r="A1586">
        <v>0</v>
      </c>
      <c r="B1586">
        <v>120</v>
      </c>
      <c r="C1586" t="s">
        <v>26</v>
      </c>
      <c r="D1586">
        <v>6.2744999999999997</v>
      </c>
      <c r="E1586">
        <v>15.94</v>
      </c>
      <c r="F1586">
        <v>8.7200000000000006</v>
      </c>
      <c r="G1586">
        <v>5.28</v>
      </c>
      <c r="H1586">
        <v>0.08</v>
      </c>
      <c r="I1586">
        <v>99</v>
      </c>
      <c r="J1586">
        <v>232.68</v>
      </c>
      <c r="K1586">
        <v>57.72</v>
      </c>
      <c r="L1586">
        <v>1</v>
      </c>
      <c r="M1586">
        <v>97</v>
      </c>
      <c r="N1586">
        <v>53.95</v>
      </c>
      <c r="O1586">
        <v>28931.02</v>
      </c>
      <c r="P1586">
        <v>136.51</v>
      </c>
      <c r="Q1586">
        <v>204.22</v>
      </c>
      <c r="R1586">
        <v>84.7</v>
      </c>
      <c r="S1586">
        <v>17.37</v>
      </c>
      <c r="T1586">
        <v>31099.119999999999</v>
      </c>
      <c r="U1586">
        <v>0.21</v>
      </c>
      <c r="V1586">
        <v>0.59</v>
      </c>
      <c r="W1586">
        <v>1.31</v>
      </c>
      <c r="X1586">
        <v>2.02</v>
      </c>
      <c r="Y1586">
        <v>1</v>
      </c>
      <c r="Z1586">
        <v>10</v>
      </c>
    </row>
    <row r="1587" spans="1:26" x14ac:dyDescent="0.3">
      <c r="A1587">
        <v>1</v>
      </c>
      <c r="B1587">
        <v>120</v>
      </c>
      <c r="C1587" t="s">
        <v>26</v>
      </c>
      <c r="D1587">
        <v>6.9678000000000004</v>
      </c>
      <c r="E1587">
        <v>14.35</v>
      </c>
      <c r="F1587">
        <v>8.23</v>
      </c>
      <c r="G1587">
        <v>6.58</v>
      </c>
      <c r="H1587">
        <v>0.1</v>
      </c>
      <c r="I1587">
        <v>75</v>
      </c>
      <c r="J1587">
        <v>233.1</v>
      </c>
      <c r="K1587">
        <v>57.72</v>
      </c>
      <c r="L1587">
        <v>1.25</v>
      </c>
      <c r="M1587">
        <v>73</v>
      </c>
      <c r="N1587">
        <v>54.13</v>
      </c>
      <c r="O1587">
        <v>28983.75</v>
      </c>
      <c r="P1587">
        <v>128.66</v>
      </c>
      <c r="Q1587">
        <v>204.25</v>
      </c>
      <c r="R1587">
        <v>69.19</v>
      </c>
      <c r="S1587">
        <v>17.37</v>
      </c>
      <c r="T1587">
        <v>23461.31</v>
      </c>
      <c r="U1587">
        <v>0.25</v>
      </c>
      <c r="V1587">
        <v>0.62</v>
      </c>
      <c r="W1587">
        <v>1.27</v>
      </c>
      <c r="X1587">
        <v>1.53</v>
      </c>
      <c r="Y1587">
        <v>1</v>
      </c>
      <c r="Z1587">
        <v>10</v>
      </c>
    </row>
    <row r="1588" spans="1:26" x14ac:dyDescent="0.3">
      <c r="A1588">
        <v>2</v>
      </c>
      <c r="B1588">
        <v>120</v>
      </c>
      <c r="C1588" t="s">
        <v>26</v>
      </c>
      <c r="D1588">
        <v>7.4988000000000001</v>
      </c>
      <c r="E1588">
        <v>13.34</v>
      </c>
      <c r="F1588">
        <v>7.89</v>
      </c>
      <c r="G1588">
        <v>7.89</v>
      </c>
      <c r="H1588">
        <v>0.11</v>
      </c>
      <c r="I1588">
        <v>60</v>
      </c>
      <c r="J1588">
        <v>233.53</v>
      </c>
      <c r="K1588">
        <v>57.72</v>
      </c>
      <c r="L1588">
        <v>1.5</v>
      </c>
      <c r="M1588">
        <v>58</v>
      </c>
      <c r="N1588">
        <v>54.31</v>
      </c>
      <c r="O1588">
        <v>29036.54</v>
      </c>
      <c r="P1588">
        <v>123.3</v>
      </c>
      <c r="Q1588">
        <v>204.21</v>
      </c>
      <c r="R1588">
        <v>59.54</v>
      </c>
      <c r="S1588">
        <v>17.37</v>
      </c>
      <c r="T1588">
        <v>18712.57</v>
      </c>
      <c r="U1588">
        <v>0.28999999999999998</v>
      </c>
      <c r="V1588">
        <v>0.65</v>
      </c>
      <c r="W1588">
        <v>1.22</v>
      </c>
      <c r="X1588">
        <v>1.2</v>
      </c>
      <c r="Y1588">
        <v>1</v>
      </c>
      <c r="Z1588">
        <v>10</v>
      </c>
    </row>
    <row r="1589" spans="1:26" x14ac:dyDescent="0.3">
      <c r="A1589">
        <v>3</v>
      </c>
      <c r="B1589">
        <v>120</v>
      </c>
      <c r="C1589" t="s">
        <v>26</v>
      </c>
      <c r="D1589">
        <v>7.8421000000000003</v>
      </c>
      <c r="E1589">
        <v>12.75</v>
      </c>
      <c r="F1589">
        <v>7.72</v>
      </c>
      <c r="G1589">
        <v>9.08</v>
      </c>
      <c r="H1589">
        <v>0.13</v>
      </c>
      <c r="I1589">
        <v>51</v>
      </c>
      <c r="J1589">
        <v>233.96</v>
      </c>
      <c r="K1589">
        <v>57.72</v>
      </c>
      <c r="L1589">
        <v>1.75</v>
      </c>
      <c r="M1589">
        <v>49</v>
      </c>
      <c r="N1589">
        <v>54.49</v>
      </c>
      <c r="O1589">
        <v>29089.39</v>
      </c>
      <c r="P1589">
        <v>120.48</v>
      </c>
      <c r="Q1589">
        <v>204.16</v>
      </c>
      <c r="R1589">
        <v>53.38</v>
      </c>
      <c r="S1589">
        <v>17.37</v>
      </c>
      <c r="T1589">
        <v>15674.96</v>
      </c>
      <c r="U1589">
        <v>0.33</v>
      </c>
      <c r="V1589">
        <v>0.66</v>
      </c>
      <c r="W1589">
        <v>1.23</v>
      </c>
      <c r="X1589">
        <v>1.03</v>
      </c>
      <c r="Y1589">
        <v>1</v>
      </c>
      <c r="Z1589">
        <v>10</v>
      </c>
    </row>
    <row r="1590" spans="1:26" x14ac:dyDescent="0.3">
      <c r="A1590">
        <v>4</v>
      </c>
      <c r="B1590">
        <v>120</v>
      </c>
      <c r="C1590" t="s">
        <v>26</v>
      </c>
      <c r="D1590">
        <v>8.1526999999999994</v>
      </c>
      <c r="E1590">
        <v>12.27</v>
      </c>
      <c r="F1590">
        <v>7.55</v>
      </c>
      <c r="G1590">
        <v>10.3</v>
      </c>
      <c r="H1590">
        <v>0.15</v>
      </c>
      <c r="I1590">
        <v>44</v>
      </c>
      <c r="J1590">
        <v>234.39</v>
      </c>
      <c r="K1590">
        <v>57.72</v>
      </c>
      <c r="L1590">
        <v>2</v>
      </c>
      <c r="M1590">
        <v>42</v>
      </c>
      <c r="N1590">
        <v>54.67</v>
      </c>
      <c r="O1590">
        <v>29142.31</v>
      </c>
      <c r="P1590">
        <v>117.77</v>
      </c>
      <c r="Q1590">
        <v>204.2</v>
      </c>
      <c r="R1590">
        <v>48.75</v>
      </c>
      <c r="S1590">
        <v>17.37</v>
      </c>
      <c r="T1590">
        <v>13395.76</v>
      </c>
      <c r="U1590">
        <v>0.36</v>
      </c>
      <c r="V1590">
        <v>0.68</v>
      </c>
      <c r="W1590">
        <v>1.2</v>
      </c>
      <c r="X1590">
        <v>0.86</v>
      </c>
      <c r="Y1590">
        <v>1</v>
      </c>
      <c r="Z1590">
        <v>10</v>
      </c>
    </row>
    <row r="1591" spans="1:26" x14ac:dyDescent="0.3">
      <c r="A1591">
        <v>5</v>
      </c>
      <c r="B1591">
        <v>120</v>
      </c>
      <c r="C1591" t="s">
        <v>26</v>
      </c>
      <c r="D1591">
        <v>8.4093999999999998</v>
      </c>
      <c r="E1591">
        <v>11.89</v>
      </c>
      <c r="F1591">
        <v>7.45</v>
      </c>
      <c r="G1591">
        <v>11.77</v>
      </c>
      <c r="H1591">
        <v>0.17</v>
      </c>
      <c r="I1591">
        <v>38</v>
      </c>
      <c r="J1591">
        <v>234.82</v>
      </c>
      <c r="K1591">
        <v>57.72</v>
      </c>
      <c r="L1591">
        <v>2.25</v>
      </c>
      <c r="M1591">
        <v>36</v>
      </c>
      <c r="N1591">
        <v>54.85</v>
      </c>
      <c r="O1591">
        <v>29195.29</v>
      </c>
      <c r="P1591">
        <v>116.06</v>
      </c>
      <c r="Q1591">
        <v>204.19</v>
      </c>
      <c r="R1591">
        <v>45.35</v>
      </c>
      <c r="S1591">
        <v>17.37</v>
      </c>
      <c r="T1591">
        <v>11728.06</v>
      </c>
      <c r="U1591">
        <v>0.38</v>
      </c>
      <c r="V1591">
        <v>0.69</v>
      </c>
      <c r="W1591">
        <v>1.2</v>
      </c>
      <c r="X1591">
        <v>0.76</v>
      </c>
      <c r="Y1591">
        <v>1</v>
      </c>
      <c r="Z1591">
        <v>10</v>
      </c>
    </row>
    <row r="1592" spans="1:26" x14ac:dyDescent="0.3">
      <c r="A1592">
        <v>6</v>
      </c>
      <c r="B1592">
        <v>120</v>
      </c>
      <c r="C1592" t="s">
        <v>26</v>
      </c>
      <c r="D1592">
        <v>8.6173999999999999</v>
      </c>
      <c r="E1592">
        <v>11.6</v>
      </c>
      <c r="F1592">
        <v>7.35</v>
      </c>
      <c r="G1592">
        <v>12.96</v>
      </c>
      <c r="H1592">
        <v>0.19</v>
      </c>
      <c r="I1592">
        <v>34</v>
      </c>
      <c r="J1592">
        <v>235.25</v>
      </c>
      <c r="K1592">
        <v>57.72</v>
      </c>
      <c r="L1592">
        <v>2.5</v>
      </c>
      <c r="M1592">
        <v>32</v>
      </c>
      <c r="N1592">
        <v>55.03</v>
      </c>
      <c r="O1592">
        <v>29248.33</v>
      </c>
      <c r="P1592">
        <v>114.32</v>
      </c>
      <c r="Q1592">
        <v>204.2</v>
      </c>
      <c r="R1592">
        <v>42.46</v>
      </c>
      <c r="S1592">
        <v>17.37</v>
      </c>
      <c r="T1592">
        <v>10301.36</v>
      </c>
      <c r="U1592">
        <v>0.41</v>
      </c>
      <c r="V1592">
        <v>0.7</v>
      </c>
      <c r="W1592">
        <v>1.18</v>
      </c>
      <c r="X1592">
        <v>0.66</v>
      </c>
      <c r="Y1592">
        <v>1</v>
      </c>
      <c r="Z1592">
        <v>10</v>
      </c>
    </row>
    <row r="1593" spans="1:26" x14ac:dyDescent="0.3">
      <c r="A1593">
        <v>7</v>
      </c>
      <c r="B1593">
        <v>120</v>
      </c>
      <c r="C1593" t="s">
        <v>26</v>
      </c>
      <c r="D1593">
        <v>8.7731999999999992</v>
      </c>
      <c r="E1593">
        <v>11.4</v>
      </c>
      <c r="F1593">
        <v>7.28</v>
      </c>
      <c r="G1593">
        <v>14.08</v>
      </c>
      <c r="H1593">
        <v>0.21</v>
      </c>
      <c r="I1593">
        <v>31</v>
      </c>
      <c r="J1593">
        <v>235.68</v>
      </c>
      <c r="K1593">
        <v>57.72</v>
      </c>
      <c r="L1593">
        <v>2.75</v>
      </c>
      <c r="M1593">
        <v>29</v>
      </c>
      <c r="N1593">
        <v>55.21</v>
      </c>
      <c r="O1593">
        <v>29301.439999999999</v>
      </c>
      <c r="P1593">
        <v>113.13</v>
      </c>
      <c r="Q1593">
        <v>204.15</v>
      </c>
      <c r="R1593">
        <v>40.090000000000003</v>
      </c>
      <c r="S1593">
        <v>17.37</v>
      </c>
      <c r="T1593">
        <v>9132.2800000000007</v>
      </c>
      <c r="U1593">
        <v>0.43</v>
      </c>
      <c r="V1593">
        <v>0.7</v>
      </c>
      <c r="W1593">
        <v>1.18</v>
      </c>
      <c r="X1593">
        <v>0.57999999999999996</v>
      </c>
      <c r="Y1593">
        <v>1</v>
      </c>
      <c r="Z1593">
        <v>10</v>
      </c>
    </row>
    <row r="1594" spans="1:26" x14ac:dyDescent="0.3">
      <c r="A1594">
        <v>8</v>
      </c>
      <c r="B1594">
        <v>120</v>
      </c>
      <c r="C1594" t="s">
        <v>26</v>
      </c>
      <c r="D1594">
        <v>8.9163999999999994</v>
      </c>
      <c r="E1594">
        <v>11.22</v>
      </c>
      <c r="F1594">
        <v>7.23</v>
      </c>
      <c r="G1594">
        <v>15.49</v>
      </c>
      <c r="H1594">
        <v>0.23</v>
      </c>
      <c r="I1594">
        <v>28</v>
      </c>
      <c r="J1594">
        <v>236.11</v>
      </c>
      <c r="K1594">
        <v>57.72</v>
      </c>
      <c r="L1594">
        <v>3</v>
      </c>
      <c r="M1594">
        <v>26</v>
      </c>
      <c r="N1594">
        <v>55.39</v>
      </c>
      <c r="O1594">
        <v>29354.61</v>
      </c>
      <c r="P1594">
        <v>112.27</v>
      </c>
      <c r="Q1594">
        <v>204.15</v>
      </c>
      <c r="R1594">
        <v>38.69</v>
      </c>
      <c r="S1594">
        <v>17.37</v>
      </c>
      <c r="T1594">
        <v>8449.2800000000007</v>
      </c>
      <c r="U1594">
        <v>0.45</v>
      </c>
      <c r="V1594">
        <v>0.71</v>
      </c>
      <c r="W1594">
        <v>1.18</v>
      </c>
      <c r="X1594">
        <v>0.54</v>
      </c>
      <c r="Y1594">
        <v>1</v>
      </c>
      <c r="Z1594">
        <v>10</v>
      </c>
    </row>
    <row r="1595" spans="1:26" x14ac:dyDescent="0.3">
      <c r="A1595">
        <v>9</v>
      </c>
      <c r="B1595">
        <v>120</v>
      </c>
      <c r="C1595" t="s">
        <v>26</v>
      </c>
      <c r="D1595">
        <v>9.0191999999999997</v>
      </c>
      <c r="E1595">
        <v>11.09</v>
      </c>
      <c r="F1595">
        <v>7.19</v>
      </c>
      <c r="G1595">
        <v>16.600000000000001</v>
      </c>
      <c r="H1595">
        <v>0.24</v>
      </c>
      <c r="I1595">
        <v>26</v>
      </c>
      <c r="J1595">
        <v>236.54</v>
      </c>
      <c r="K1595">
        <v>57.72</v>
      </c>
      <c r="L1595">
        <v>3.25</v>
      </c>
      <c r="M1595">
        <v>24</v>
      </c>
      <c r="N1595">
        <v>55.57</v>
      </c>
      <c r="O1595">
        <v>29407.85</v>
      </c>
      <c r="P1595">
        <v>111.66</v>
      </c>
      <c r="Q1595">
        <v>204.14</v>
      </c>
      <c r="R1595">
        <v>37.590000000000003</v>
      </c>
      <c r="S1595">
        <v>17.37</v>
      </c>
      <c r="T1595">
        <v>7907.9</v>
      </c>
      <c r="U1595">
        <v>0.46</v>
      </c>
      <c r="V1595">
        <v>0.71</v>
      </c>
      <c r="W1595">
        <v>1.18</v>
      </c>
      <c r="X1595">
        <v>0.5</v>
      </c>
      <c r="Y1595">
        <v>1</v>
      </c>
      <c r="Z1595">
        <v>10</v>
      </c>
    </row>
    <row r="1596" spans="1:26" x14ac:dyDescent="0.3">
      <c r="A1596">
        <v>10</v>
      </c>
      <c r="B1596">
        <v>120</v>
      </c>
      <c r="C1596" t="s">
        <v>26</v>
      </c>
      <c r="D1596">
        <v>9.1155000000000008</v>
      </c>
      <c r="E1596">
        <v>10.97</v>
      </c>
      <c r="F1596">
        <v>7.17</v>
      </c>
      <c r="G1596">
        <v>17.920000000000002</v>
      </c>
      <c r="H1596">
        <v>0.26</v>
      </c>
      <c r="I1596">
        <v>24</v>
      </c>
      <c r="J1596">
        <v>236.98</v>
      </c>
      <c r="K1596">
        <v>57.72</v>
      </c>
      <c r="L1596">
        <v>3.5</v>
      </c>
      <c r="M1596">
        <v>22</v>
      </c>
      <c r="N1596">
        <v>55.75</v>
      </c>
      <c r="O1596">
        <v>29461.15</v>
      </c>
      <c r="P1596">
        <v>111.13</v>
      </c>
      <c r="Q1596">
        <v>204.16</v>
      </c>
      <c r="R1596">
        <v>36.520000000000003</v>
      </c>
      <c r="S1596">
        <v>17.37</v>
      </c>
      <c r="T1596">
        <v>7382.18</v>
      </c>
      <c r="U1596">
        <v>0.48</v>
      </c>
      <c r="V1596">
        <v>0.71</v>
      </c>
      <c r="W1596">
        <v>1.18</v>
      </c>
      <c r="X1596">
        <v>0.48</v>
      </c>
      <c r="Y1596">
        <v>1</v>
      </c>
      <c r="Z1596">
        <v>10</v>
      </c>
    </row>
    <row r="1597" spans="1:26" x14ac:dyDescent="0.3">
      <c r="A1597">
        <v>11</v>
      </c>
      <c r="B1597">
        <v>120</v>
      </c>
      <c r="C1597" t="s">
        <v>26</v>
      </c>
      <c r="D1597">
        <v>9.24</v>
      </c>
      <c r="E1597">
        <v>10.82</v>
      </c>
      <c r="F1597">
        <v>7.11</v>
      </c>
      <c r="G1597">
        <v>19.39</v>
      </c>
      <c r="H1597">
        <v>0.28000000000000003</v>
      </c>
      <c r="I1597">
        <v>22</v>
      </c>
      <c r="J1597">
        <v>237.41</v>
      </c>
      <c r="K1597">
        <v>57.72</v>
      </c>
      <c r="L1597">
        <v>3.75</v>
      </c>
      <c r="M1597">
        <v>20</v>
      </c>
      <c r="N1597">
        <v>55.93</v>
      </c>
      <c r="O1597">
        <v>29514.51</v>
      </c>
      <c r="P1597">
        <v>110.1</v>
      </c>
      <c r="Q1597">
        <v>204.2</v>
      </c>
      <c r="R1597">
        <v>34.909999999999997</v>
      </c>
      <c r="S1597">
        <v>17.37</v>
      </c>
      <c r="T1597">
        <v>6588.02</v>
      </c>
      <c r="U1597">
        <v>0.5</v>
      </c>
      <c r="V1597">
        <v>0.72</v>
      </c>
      <c r="W1597">
        <v>1.17</v>
      </c>
      <c r="X1597">
        <v>0.42</v>
      </c>
      <c r="Y1597">
        <v>1</v>
      </c>
      <c r="Z1597">
        <v>10</v>
      </c>
    </row>
    <row r="1598" spans="1:26" x14ac:dyDescent="0.3">
      <c r="A1598">
        <v>12</v>
      </c>
      <c r="B1598">
        <v>120</v>
      </c>
      <c r="C1598" t="s">
        <v>26</v>
      </c>
      <c r="D1598">
        <v>9.2960999999999991</v>
      </c>
      <c r="E1598">
        <v>10.76</v>
      </c>
      <c r="F1598">
        <v>7.09</v>
      </c>
      <c r="G1598">
        <v>20.260000000000002</v>
      </c>
      <c r="H1598">
        <v>0.3</v>
      </c>
      <c r="I1598">
        <v>21</v>
      </c>
      <c r="J1598">
        <v>237.84</v>
      </c>
      <c r="K1598">
        <v>57.72</v>
      </c>
      <c r="L1598">
        <v>4</v>
      </c>
      <c r="M1598">
        <v>19</v>
      </c>
      <c r="N1598">
        <v>56.12</v>
      </c>
      <c r="O1598">
        <v>29567.95</v>
      </c>
      <c r="P1598">
        <v>109.7</v>
      </c>
      <c r="Q1598">
        <v>204.15</v>
      </c>
      <c r="R1598">
        <v>34.29</v>
      </c>
      <c r="S1598">
        <v>17.37</v>
      </c>
      <c r="T1598">
        <v>6281.34</v>
      </c>
      <c r="U1598">
        <v>0.51</v>
      </c>
      <c r="V1598">
        <v>0.72</v>
      </c>
      <c r="W1598">
        <v>1.17</v>
      </c>
      <c r="X1598">
        <v>0.4</v>
      </c>
      <c r="Y1598">
        <v>1</v>
      </c>
      <c r="Z1598">
        <v>10</v>
      </c>
    </row>
    <row r="1599" spans="1:26" x14ac:dyDescent="0.3">
      <c r="A1599">
        <v>13</v>
      </c>
      <c r="B1599">
        <v>120</v>
      </c>
      <c r="C1599" t="s">
        <v>26</v>
      </c>
      <c r="D1599">
        <v>9.3497000000000003</v>
      </c>
      <c r="E1599">
        <v>10.7</v>
      </c>
      <c r="F1599">
        <v>7.08</v>
      </c>
      <c r="G1599">
        <v>21.23</v>
      </c>
      <c r="H1599">
        <v>0.32</v>
      </c>
      <c r="I1599">
        <v>20</v>
      </c>
      <c r="J1599">
        <v>238.28</v>
      </c>
      <c r="K1599">
        <v>57.72</v>
      </c>
      <c r="L1599">
        <v>4.25</v>
      </c>
      <c r="M1599">
        <v>18</v>
      </c>
      <c r="N1599">
        <v>56.3</v>
      </c>
      <c r="O1599">
        <v>29621.439999999999</v>
      </c>
      <c r="P1599">
        <v>109.35</v>
      </c>
      <c r="Q1599">
        <v>204.15</v>
      </c>
      <c r="R1599">
        <v>33.770000000000003</v>
      </c>
      <c r="S1599">
        <v>17.37</v>
      </c>
      <c r="T1599">
        <v>6027.91</v>
      </c>
      <c r="U1599">
        <v>0.51</v>
      </c>
      <c r="V1599">
        <v>0.72</v>
      </c>
      <c r="W1599">
        <v>1.17</v>
      </c>
      <c r="X1599">
        <v>0.38</v>
      </c>
      <c r="Y1599">
        <v>1</v>
      </c>
      <c r="Z1599">
        <v>10</v>
      </c>
    </row>
    <row r="1600" spans="1:26" x14ac:dyDescent="0.3">
      <c r="A1600">
        <v>14</v>
      </c>
      <c r="B1600">
        <v>120</v>
      </c>
      <c r="C1600" t="s">
        <v>26</v>
      </c>
      <c r="D1600">
        <v>9.4026999999999994</v>
      </c>
      <c r="E1600">
        <v>10.64</v>
      </c>
      <c r="F1600">
        <v>7.06</v>
      </c>
      <c r="G1600">
        <v>22.3</v>
      </c>
      <c r="H1600">
        <v>0.34</v>
      </c>
      <c r="I1600">
        <v>19</v>
      </c>
      <c r="J1600">
        <v>238.71</v>
      </c>
      <c r="K1600">
        <v>57.72</v>
      </c>
      <c r="L1600">
        <v>4.5</v>
      </c>
      <c r="M1600">
        <v>17</v>
      </c>
      <c r="N1600">
        <v>56.49</v>
      </c>
      <c r="O1600">
        <v>29675.01</v>
      </c>
      <c r="P1600">
        <v>109.03</v>
      </c>
      <c r="Q1600">
        <v>204.15</v>
      </c>
      <c r="R1600">
        <v>33.25</v>
      </c>
      <c r="S1600">
        <v>17.37</v>
      </c>
      <c r="T1600">
        <v>5774.07</v>
      </c>
      <c r="U1600">
        <v>0.52</v>
      </c>
      <c r="V1600">
        <v>0.72</v>
      </c>
      <c r="W1600">
        <v>1.17</v>
      </c>
      <c r="X1600">
        <v>0.37</v>
      </c>
      <c r="Y1600">
        <v>1</v>
      </c>
      <c r="Z1600">
        <v>10</v>
      </c>
    </row>
    <row r="1601" spans="1:26" x14ac:dyDescent="0.3">
      <c r="A1601">
        <v>15</v>
      </c>
      <c r="B1601">
        <v>120</v>
      </c>
      <c r="C1601" t="s">
        <v>26</v>
      </c>
      <c r="D1601">
        <v>9.4641999999999999</v>
      </c>
      <c r="E1601">
        <v>10.57</v>
      </c>
      <c r="F1601">
        <v>7.04</v>
      </c>
      <c r="G1601">
        <v>23.46</v>
      </c>
      <c r="H1601">
        <v>0.35</v>
      </c>
      <c r="I1601">
        <v>18</v>
      </c>
      <c r="J1601">
        <v>239.14</v>
      </c>
      <c r="K1601">
        <v>57.72</v>
      </c>
      <c r="L1601">
        <v>4.75</v>
      </c>
      <c r="M1601">
        <v>16</v>
      </c>
      <c r="N1601">
        <v>56.67</v>
      </c>
      <c r="O1601">
        <v>29728.63</v>
      </c>
      <c r="P1601">
        <v>108.48</v>
      </c>
      <c r="Q1601">
        <v>204.21</v>
      </c>
      <c r="R1601">
        <v>32.43</v>
      </c>
      <c r="S1601">
        <v>17.37</v>
      </c>
      <c r="T1601">
        <v>5368.9</v>
      </c>
      <c r="U1601">
        <v>0.54</v>
      </c>
      <c r="V1601">
        <v>0.73</v>
      </c>
      <c r="W1601">
        <v>1.17</v>
      </c>
      <c r="X1601">
        <v>0.34</v>
      </c>
      <c r="Y1601">
        <v>1</v>
      </c>
      <c r="Z1601">
        <v>10</v>
      </c>
    </row>
    <row r="1602" spans="1:26" x14ac:dyDescent="0.3">
      <c r="A1602">
        <v>16</v>
      </c>
      <c r="B1602">
        <v>120</v>
      </c>
      <c r="C1602" t="s">
        <v>26</v>
      </c>
      <c r="D1602">
        <v>9.5105000000000004</v>
      </c>
      <c r="E1602">
        <v>10.51</v>
      </c>
      <c r="F1602">
        <v>7.03</v>
      </c>
      <c r="G1602">
        <v>24.82</v>
      </c>
      <c r="H1602">
        <v>0.37</v>
      </c>
      <c r="I1602">
        <v>17</v>
      </c>
      <c r="J1602">
        <v>239.58</v>
      </c>
      <c r="K1602">
        <v>57.72</v>
      </c>
      <c r="L1602">
        <v>5</v>
      </c>
      <c r="M1602">
        <v>15</v>
      </c>
      <c r="N1602">
        <v>56.86</v>
      </c>
      <c r="O1602">
        <v>29782.33</v>
      </c>
      <c r="P1602">
        <v>108.4</v>
      </c>
      <c r="Q1602">
        <v>204.17</v>
      </c>
      <c r="R1602">
        <v>32.340000000000003</v>
      </c>
      <c r="S1602">
        <v>17.37</v>
      </c>
      <c r="T1602">
        <v>5327.82</v>
      </c>
      <c r="U1602">
        <v>0.54</v>
      </c>
      <c r="V1602">
        <v>0.73</v>
      </c>
      <c r="W1602">
        <v>1.17</v>
      </c>
      <c r="X1602">
        <v>0.34</v>
      </c>
      <c r="Y1602">
        <v>1</v>
      </c>
      <c r="Z1602">
        <v>10</v>
      </c>
    </row>
    <row r="1603" spans="1:26" x14ac:dyDescent="0.3">
      <c r="A1603">
        <v>17</v>
      </c>
      <c r="B1603">
        <v>120</v>
      </c>
      <c r="C1603" t="s">
        <v>26</v>
      </c>
      <c r="D1603">
        <v>9.59</v>
      </c>
      <c r="E1603">
        <v>10.43</v>
      </c>
      <c r="F1603">
        <v>6.99</v>
      </c>
      <c r="G1603">
        <v>26.21</v>
      </c>
      <c r="H1603">
        <v>0.39</v>
      </c>
      <c r="I1603">
        <v>16</v>
      </c>
      <c r="J1603">
        <v>240.02</v>
      </c>
      <c r="K1603">
        <v>57.72</v>
      </c>
      <c r="L1603">
        <v>5.25</v>
      </c>
      <c r="M1603">
        <v>14</v>
      </c>
      <c r="N1603">
        <v>57.04</v>
      </c>
      <c r="O1603">
        <v>29836.09</v>
      </c>
      <c r="P1603">
        <v>107.6</v>
      </c>
      <c r="Q1603">
        <v>204.14</v>
      </c>
      <c r="R1603">
        <v>31.15</v>
      </c>
      <c r="S1603">
        <v>17.37</v>
      </c>
      <c r="T1603">
        <v>4738.6099999999997</v>
      </c>
      <c r="U1603">
        <v>0.56000000000000005</v>
      </c>
      <c r="V1603">
        <v>0.73</v>
      </c>
      <c r="W1603">
        <v>1.1599999999999999</v>
      </c>
      <c r="X1603">
        <v>0.3</v>
      </c>
      <c r="Y1603">
        <v>1</v>
      </c>
      <c r="Z1603">
        <v>10</v>
      </c>
    </row>
    <row r="1604" spans="1:26" x14ac:dyDescent="0.3">
      <c r="A1604">
        <v>18</v>
      </c>
      <c r="B1604">
        <v>120</v>
      </c>
      <c r="C1604" t="s">
        <v>26</v>
      </c>
      <c r="D1604">
        <v>9.6343999999999994</v>
      </c>
      <c r="E1604">
        <v>10.38</v>
      </c>
      <c r="F1604">
        <v>6.99</v>
      </c>
      <c r="G1604">
        <v>27.95</v>
      </c>
      <c r="H1604">
        <v>0.41</v>
      </c>
      <c r="I1604">
        <v>15</v>
      </c>
      <c r="J1604">
        <v>240.45</v>
      </c>
      <c r="K1604">
        <v>57.72</v>
      </c>
      <c r="L1604">
        <v>5.5</v>
      </c>
      <c r="M1604">
        <v>13</v>
      </c>
      <c r="N1604">
        <v>57.23</v>
      </c>
      <c r="O1604">
        <v>29890.04</v>
      </c>
      <c r="P1604">
        <v>107.39</v>
      </c>
      <c r="Q1604">
        <v>204.17</v>
      </c>
      <c r="R1604">
        <v>31.21</v>
      </c>
      <c r="S1604">
        <v>17.37</v>
      </c>
      <c r="T1604">
        <v>4773.4399999999996</v>
      </c>
      <c r="U1604">
        <v>0.56000000000000005</v>
      </c>
      <c r="V1604">
        <v>0.73</v>
      </c>
      <c r="W1604">
        <v>1.1599999999999999</v>
      </c>
      <c r="X1604">
        <v>0.3</v>
      </c>
      <c r="Y1604">
        <v>1</v>
      </c>
      <c r="Z1604">
        <v>10</v>
      </c>
    </row>
    <row r="1605" spans="1:26" x14ac:dyDescent="0.3">
      <c r="A1605">
        <v>19</v>
      </c>
      <c r="B1605">
        <v>120</v>
      </c>
      <c r="C1605" t="s">
        <v>26</v>
      </c>
      <c r="D1605">
        <v>9.6550999999999991</v>
      </c>
      <c r="E1605">
        <v>10.36</v>
      </c>
      <c r="F1605">
        <v>6.96</v>
      </c>
      <c r="G1605">
        <v>27.86</v>
      </c>
      <c r="H1605">
        <v>0.42</v>
      </c>
      <c r="I1605">
        <v>15</v>
      </c>
      <c r="J1605">
        <v>240.89</v>
      </c>
      <c r="K1605">
        <v>57.72</v>
      </c>
      <c r="L1605">
        <v>5.75</v>
      </c>
      <c r="M1605">
        <v>13</v>
      </c>
      <c r="N1605">
        <v>57.42</v>
      </c>
      <c r="O1605">
        <v>29943.94</v>
      </c>
      <c r="P1605">
        <v>107.01</v>
      </c>
      <c r="Q1605">
        <v>204.15</v>
      </c>
      <c r="R1605">
        <v>30.35</v>
      </c>
      <c r="S1605">
        <v>17.37</v>
      </c>
      <c r="T1605">
        <v>4344.58</v>
      </c>
      <c r="U1605">
        <v>0.56999999999999995</v>
      </c>
      <c r="V1605">
        <v>0.73</v>
      </c>
      <c r="W1605">
        <v>1.1599999999999999</v>
      </c>
      <c r="X1605">
        <v>0.27</v>
      </c>
      <c r="Y1605">
        <v>1</v>
      </c>
      <c r="Z1605">
        <v>10</v>
      </c>
    </row>
    <row r="1606" spans="1:26" x14ac:dyDescent="0.3">
      <c r="A1606">
        <v>20</v>
      </c>
      <c r="B1606">
        <v>120</v>
      </c>
      <c r="C1606" t="s">
        <v>26</v>
      </c>
      <c r="D1606">
        <v>9.7068999999999992</v>
      </c>
      <c r="E1606">
        <v>10.3</v>
      </c>
      <c r="F1606">
        <v>6.96</v>
      </c>
      <c r="G1606">
        <v>29.81</v>
      </c>
      <c r="H1606">
        <v>0.44</v>
      </c>
      <c r="I1606">
        <v>14</v>
      </c>
      <c r="J1606">
        <v>241.33</v>
      </c>
      <c r="K1606">
        <v>57.72</v>
      </c>
      <c r="L1606">
        <v>6</v>
      </c>
      <c r="M1606">
        <v>12</v>
      </c>
      <c r="N1606">
        <v>57.6</v>
      </c>
      <c r="O1606">
        <v>29997.9</v>
      </c>
      <c r="P1606">
        <v>106.76</v>
      </c>
      <c r="Q1606">
        <v>204.14</v>
      </c>
      <c r="R1606">
        <v>29.97</v>
      </c>
      <c r="S1606">
        <v>17.37</v>
      </c>
      <c r="T1606">
        <v>4155.58</v>
      </c>
      <c r="U1606">
        <v>0.57999999999999996</v>
      </c>
      <c r="V1606">
        <v>0.73</v>
      </c>
      <c r="W1606">
        <v>1.1599999999999999</v>
      </c>
      <c r="X1606">
        <v>0.26</v>
      </c>
      <c r="Y1606">
        <v>1</v>
      </c>
      <c r="Z1606">
        <v>10</v>
      </c>
    </row>
    <row r="1607" spans="1:26" x14ac:dyDescent="0.3">
      <c r="A1607">
        <v>21</v>
      </c>
      <c r="B1607">
        <v>120</v>
      </c>
      <c r="C1607" t="s">
        <v>26</v>
      </c>
      <c r="D1607">
        <v>9.7081999999999997</v>
      </c>
      <c r="E1607">
        <v>10.3</v>
      </c>
      <c r="F1607">
        <v>6.95</v>
      </c>
      <c r="G1607">
        <v>29.8</v>
      </c>
      <c r="H1607">
        <v>0.46</v>
      </c>
      <c r="I1607">
        <v>14</v>
      </c>
      <c r="J1607">
        <v>241.77</v>
      </c>
      <c r="K1607">
        <v>57.72</v>
      </c>
      <c r="L1607">
        <v>6.25</v>
      </c>
      <c r="M1607">
        <v>12</v>
      </c>
      <c r="N1607">
        <v>57.79</v>
      </c>
      <c r="O1607">
        <v>30051.93</v>
      </c>
      <c r="P1607">
        <v>106.64</v>
      </c>
      <c r="Q1607">
        <v>204.15</v>
      </c>
      <c r="R1607">
        <v>29.94</v>
      </c>
      <c r="S1607">
        <v>17.37</v>
      </c>
      <c r="T1607">
        <v>4140.74</v>
      </c>
      <c r="U1607">
        <v>0.57999999999999996</v>
      </c>
      <c r="V1607">
        <v>0.73</v>
      </c>
      <c r="W1607">
        <v>1.1599999999999999</v>
      </c>
      <c r="X1607">
        <v>0.26</v>
      </c>
      <c r="Y1607">
        <v>1</v>
      </c>
      <c r="Z1607">
        <v>10</v>
      </c>
    </row>
    <row r="1608" spans="1:26" x14ac:dyDescent="0.3">
      <c r="A1608">
        <v>22</v>
      </c>
      <c r="B1608">
        <v>120</v>
      </c>
      <c r="C1608" t="s">
        <v>26</v>
      </c>
      <c r="D1608">
        <v>9.7749000000000006</v>
      </c>
      <c r="E1608">
        <v>10.23</v>
      </c>
      <c r="F1608">
        <v>6.93</v>
      </c>
      <c r="G1608">
        <v>31.98</v>
      </c>
      <c r="H1608">
        <v>0.48</v>
      </c>
      <c r="I1608">
        <v>13</v>
      </c>
      <c r="J1608">
        <v>242.2</v>
      </c>
      <c r="K1608">
        <v>57.72</v>
      </c>
      <c r="L1608">
        <v>6.5</v>
      </c>
      <c r="M1608">
        <v>11</v>
      </c>
      <c r="N1608">
        <v>57.98</v>
      </c>
      <c r="O1608">
        <v>30106.03</v>
      </c>
      <c r="P1608">
        <v>106.16</v>
      </c>
      <c r="Q1608">
        <v>204.16</v>
      </c>
      <c r="R1608">
        <v>29.29</v>
      </c>
      <c r="S1608">
        <v>17.37</v>
      </c>
      <c r="T1608">
        <v>3823.89</v>
      </c>
      <c r="U1608">
        <v>0.59</v>
      </c>
      <c r="V1608">
        <v>0.74</v>
      </c>
      <c r="W1608">
        <v>1.1599999999999999</v>
      </c>
      <c r="X1608">
        <v>0.24</v>
      </c>
      <c r="Y1608">
        <v>1</v>
      </c>
      <c r="Z1608">
        <v>10</v>
      </c>
    </row>
    <row r="1609" spans="1:26" x14ac:dyDescent="0.3">
      <c r="A1609">
        <v>23</v>
      </c>
      <c r="B1609">
        <v>120</v>
      </c>
      <c r="C1609" t="s">
        <v>26</v>
      </c>
      <c r="D1609">
        <v>9.7661999999999995</v>
      </c>
      <c r="E1609">
        <v>10.24</v>
      </c>
      <c r="F1609">
        <v>6.94</v>
      </c>
      <c r="G1609">
        <v>32.020000000000003</v>
      </c>
      <c r="H1609">
        <v>0.49</v>
      </c>
      <c r="I1609">
        <v>13</v>
      </c>
      <c r="J1609">
        <v>242.64</v>
      </c>
      <c r="K1609">
        <v>57.72</v>
      </c>
      <c r="L1609">
        <v>6.75</v>
      </c>
      <c r="M1609">
        <v>11</v>
      </c>
      <c r="N1609">
        <v>58.17</v>
      </c>
      <c r="O1609">
        <v>30160.2</v>
      </c>
      <c r="P1609">
        <v>106.23</v>
      </c>
      <c r="Q1609">
        <v>204.16</v>
      </c>
      <c r="R1609">
        <v>29.39</v>
      </c>
      <c r="S1609">
        <v>17.37</v>
      </c>
      <c r="T1609">
        <v>3872.8</v>
      </c>
      <c r="U1609">
        <v>0.59</v>
      </c>
      <c r="V1609">
        <v>0.74</v>
      </c>
      <c r="W1609">
        <v>1.1599999999999999</v>
      </c>
      <c r="X1609">
        <v>0.25</v>
      </c>
      <c r="Y1609">
        <v>1</v>
      </c>
      <c r="Z1609">
        <v>10</v>
      </c>
    </row>
    <row r="1610" spans="1:26" x14ac:dyDescent="0.3">
      <c r="A1610">
        <v>24</v>
      </c>
      <c r="B1610">
        <v>120</v>
      </c>
      <c r="C1610" t="s">
        <v>26</v>
      </c>
      <c r="D1610">
        <v>9.8303999999999991</v>
      </c>
      <c r="E1610">
        <v>10.17</v>
      </c>
      <c r="F1610">
        <v>6.92</v>
      </c>
      <c r="G1610">
        <v>34.58</v>
      </c>
      <c r="H1610">
        <v>0.51</v>
      </c>
      <c r="I1610">
        <v>12</v>
      </c>
      <c r="J1610">
        <v>243.08</v>
      </c>
      <c r="K1610">
        <v>57.72</v>
      </c>
      <c r="L1610">
        <v>7</v>
      </c>
      <c r="M1610">
        <v>10</v>
      </c>
      <c r="N1610">
        <v>58.36</v>
      </c>
      <c r="O1610">
        <v>30214.44</v>
      </c>
      <c r="P1610">
        <v>105.8</v>
      </c>
      <c r="Q1610">
        <v>204.14</v>
      </c>
      <c r="R1610">
        <v>28.93</v>
      </c>
      <c r="S1610">
        <v>17.37</v>
      </c>
      <c r="T1610">
        <v>3648.61</v>
      </c>
      <c r="U1610">
        <v>0.6</v>
      </c>
      <c r="V1610">
        <v>0.74</v>
      </c>
      <c r="W1610">
        <v>1.1499999999999999</v>
      </c>
      <c r="X1610">
        <v>0.23</v>
      </c>
      <c r="Y1610">
        <v>1</v>
      </c>
      <c r="Z1610">
        <v>10</v>
      </c>
    </row>
    <row r="1611" spans="1:26" x14ac:dyDescent="0.3">
      <c r="A1611">
        <v>25</v>
      </c>
      <c r="B1611">
        <v>120</v>
      </c>
      <c r="C1611" t="s">
        <v>26</v>
      </c>
      <c r="D1611">
        <v>9.8303999999999991</v>
      </c>
      <c r="E1611">
        <v>10.17</v>
      </c>
      <c r="F1611">
        <v>6.92</v>
      </c>
      <c r="G1611">
        <v>34.58</v>
      </c>
      <c r="H1611">
        <v>0.53</v>
      </c>
      <c r="I1611">
        <v>12</v>
      </c>
      <c r="J1611">
        <v>243.52</v>
      </c>
      <c r="K1611">
        <v>57.72</v>
      </c>
      <c r="L1611">
        <v>7.25</v>
      </c>
      <c r="M1611">
        <v>10</v>
      </c>
      <c r="N1611">
        <v>58.55</v>
      </c>
      <c r="O1611">
        <v>30268.74</v>
      </c>
      <c r="P1611">
        <v>105.75</v>
      </c>
      <c r="Q1611">
        <v>204.15</v>
      </c>
      <c r="R1611">
        <v>28.86</v>
      </c>
      <c r="S1611">
        <v>17.37</v>
      </c>
      <c r="T1611">
        <v>3611.27</v>
      </c>
      <c r="U1611">
        <v>0.6</v>
      </c>
      <c r="V1611">
        <v>0.74</v>
      </c>
      <c r="W1611">
        <v>1.1599999999999999</v>
      </c>
      <c r="X1611">
        <v>0.23</v>
      </c>
      <c r="Y1611">
        <v>1</v>
      </c>
      <c r="Z1611">
        <v>10</v>
      </c>
    </row>
    <row r="1612" spans="1:26" x14ac:dyDescent="0.3">
      <c r="A1612">
        <v>26</v>
      </c>
      <c r="B1612">
        <v>120</v>
      </c>
      <c r="C1612" t="s">
        <v>26</v>
      </c>
      <c r="D1612">
        <v>9.9067000000000007</v>
      </c>
      <c r="E1612">
        <v>10.09</v>
      </c>
      <c r="F1612">
        <v>6.88</v>
      </c>
      <c r="G1612">
        <v>37.549999999999997</v>
      </c>
      <c r="H1612">
        <v>0.55000000000000004</v>
      </c>
      <c r="I1612">
        <v>11</v>
      </c>
      <c r="J1612">
        <v>243.96</v>
      </c>
      <c r="K1612">
        <v>57.72</v>
      </c>
      <c r="L1612">
        <v>7.5</v>
      </c>
      <c r="M1612">
        <v>9</v>
      </c>
      <c r="N1612">
        <v>58.74</v>
      </c>
      <c r="O1612">
        <v>30323.11</v>
      </c>
      <c r="P1612">
        <v>104.89</v>
      </c>
      <c r="Q1612">
        <v>204.15</v>
      </c>
      <c r="R1612">
        <v>27.78</v>
      </c>
      <c r="S1612">
        <v>17.37</v>
      </c>
      <c r="T1612">
        <v>3079.73</v>
      </c>
      <c r="U1612">
        <v>0.63</v>
      </c>
      <c r="V1612">
        <v>0.74</v>
      </c>
      <c r="W1612">
        <v>1.1499999999999999</v>
      </c>
      <c r="X1612">
        <v>0.19</v>
      </c>
      <c r="Y1612">
        <v>1</v>
      </c>
      <c r="Z1612">
        <v>10</v>
      </c>
    </row>
    <row r="1613" spans="1:26" x14ac:dyDescent="0.3">
      <c r="A1613">
        <v>27</v>
      </c>
      <c r="B1613">
        <v>120</v>
      </c>
      <c r="C1613" t="s">
        <v>26</v>
      </c>
      <c r="D1613">
        <v>9.8999000000000006</v>
      </c>
      <c r="E1613">
        <v>10.1</v>
      </c>
      <c r="F1613">
        <v>6.89</v>
      </c>
      <c r="G1613">
        <v>37.590000000000003</v>
      </c>
      <c r="H1613">
        <v>0.56000000000000005</v>
      </c>
      <c r="I1613">
        <v>11</v>
      </c>
      <c r="J1613">
        <v>244.41</v>
      </c>
      <c r="K1613">
        <v>57.72</v>
      </c>
      <c r="L1613">
        <v>7.75</v>
      </c>
      <c r="M1613">
        <v>9</v>
      </c>
      <c r="N1613">
        <v>58.93</v>
      </c>
      <c r="O1613">
        <v>30377.55</v>
      </c>
      <c r="P1613">
        <v>105</v>
      </c>
      <c r="Q1613">
        <v>204.14</v>
      </c>
      <c r="R1613">
        <v>27.93</v>
      </c>
      <c r="S1613">
        <v>17.37</v>
      </c>
      <c r="T1613">
        <v>3152.67</v>
      </c>
      <c r="U1613">
        <v>0.62</v>
      </c>
      <c r="V1613">
        <v>0.74</v>
      </c>
      <c r="W1613">
        <v>1.1599999999999999</v>
      </c>
      <c r="X1613">
        <v>0.2</v>
      </c>
      <c r="Y1613">
        <v>1</v>
      </c>
      <c r="Z1613">
        <v>10</v>
      </c>
    </row>
    <row r="1614" spans="1:26" x14ac:dyDescent="0.3">
      <c r="A1614">
        <v>28</v>
      </c>
      <c r="B1614">
        <v>120</v>
      </c>
      <c r="C1614" t="s">
        <v>26</v>
      </c>
      <c r="D1614">
        <v>9.9033999999999995</v>
      </c>
      <c r="E1614">
        <v>10.1</v>
      </c>
      <c r="F1614">
        <v>6.89</v>
      </c>
      <c r="G1614">
        <v>37.57</v>
      </c>
      <c r="H1614">
        <v>0.57999999999999996</v>
      </c>
      <c r="I1614">
        <v>11</v>
      </c>
      <c r="J1614">
        <v>244.85</v>
      </c>
      <c r="K1614">
        <v>57.72</v>
      </c>
      <c r="L1614">
        <v>8</v>
      </c>
      <c r="M1614">
        <v>9</v>
      </c>
      <c r="N1614">
        <v>59.12</v>
      </c>
      <c r="O1614">
        <v>30432.06</v>
      </c>
      <c r="P1614">
        <v>104.91</v>
      </c>
      <c r="Q1614">
        <v>204.14</v>
      </c>
      <c r="R1614">
        <v>28.03</v>
      </c>
      <c r="S1614">
        <v>17.37</v>
      </c>
      <c r="T1614">
        <v>3201.47</v>
      </c>
      <c r="U1614">
        <v>0.62</v>
      </c>
      <c r="V1614">
        <v>0.74</v>
      </c>
      <c r="W1614">
        <v>1.1499999999999999</v>
      </c>
      <c r="X1614">
        <v>0.2</v>
      </c>
      <c r="Y1614">
        <v>1</v>
      </c>
      <c r="Z1614">
        <v>10</v>
      </c>
    </row>
    <row r="1615" spans="1:26" x14ac:dyDescent="0.3">
      <c r="A1615">
        <v>29</v>
      </c>
      <c r="B1615">
        <v>120</v>
      </c>
      <c r="C1615" t="s">
        <v>26</v>
      </c>
      <c r="D1615">
        <v>9.9029000000000007</v>
      </c>
      <c r="E1615">
        <v>10.1</v>
      </c>
      <c r="F1615">
        <v>6.89</v>
      </c>
      <c r="G1615">
        <v>37.57</v>
      </c>
      <c r="H1615">
        <v>0.6</v>
      </c>
      <c r="I1615">
        <v>11</v>
      </c>
      <c r="J1615">
        <v>245.29</v>
      </c>
      <c r="K1615">
        <v>57.72</v>
      </c>
      <c r="L1615">
        <v>8.25</v>
      </c>
      <c r="M1615">
        <v>9</v>
      </c>
      <c r="N1615">
        <v>59.32</v>
      </c>
      <c r="O1615">
        <v>30486.639999999999</v>
      </c>
      <c r="P1615">
        <v>104.66</v>
      </c>
      <c r="Q1615">
        <v>204.17</v>
      </c>
      <c r="R1615">
        <v>27.91</v>
      </c>
      <c r="S1615">
        <v>17.37</v>
      </c>
      <c r="T1615">
        <v>3140.05</v>
      </c>
      <c r="U1615">
        <v>0.62</v>
      </c>
      <c r="V1615">
        <v>0.74</v>
      </c>
      <c r="W1615">
        <v>1.1599999999999999</v>
      </c>
      <c r="X1615">
        <v>0.2</v>
      </c>
      <c r="Y1615">
        <v>1</v>
      </c>
      <c r="Z1615">
        <v>10</v>
      </c>
    </row>
    <row r="1616" spans="1:26" x14ac:dyDescent="0.3">
      <c r="A1616">
        <v>30</v>
      </c>
      <c r="B1616">
        <v>120</v>
      </c>
      <c r="C1616" t="s">
        <v>26</v>
      </c>
      <c r="D1616">
        <v>9.9703999999999997</v>
      </c>
      <c r="E1616">
        <v>10.029999999999999</v>
      </c>
      <c r="F1616">
        <v>6.87</v>
      </c>
      <c r="G1616">
        <v>41.19</v>
      </c>
      <c r="H1616">
        <v>0.62</v>
      </c>
      <c r="I1616">
        <v>10</v>
      </c>
      <c r="J1616">
        <v>245.73</v>
      </c>
      <c r="K1616">
        <v>57.72</v>
      </c>
      <c r="L1616">
        <v>8.5</v>
      </c>
      <c r="M1616">
        <v>8</v>
      </c>
      <c r="N1616">
        <v>59.51</v>
      </c>
      <c r="O1616">
        <v>30541.29</v>
      </c>
      <c r="P1616">
        <v>104.17</v>
      </c>
      <c r="Q1616">
        <v>204.16</v>
      </c>
      <c r="R1616">
        <v>27.29</v>
      </c>
      <c r="S1616">
        <v>17.37</v>
      </c>
      <c r="T1616">
        <v>2835.28</v>
      </c>
      <c r="U1616">
        <v>0.64</v>
      </c>
      <c r="V1616">
        <v>0.74</v>
      </c>
      <c r="W1616">
        <v>1.1499999999999999</v>
      </c>
      <c r="X1616">
        <v>0.17</v>
      </c>
      <c r="Y1616">
        <v>1</v>
      </c>
      <c r="Z1616">
        <v>10</v>
      </c>
    </row>
    <row r="1617" spans="1:26" x14ac:dyDescent="0.3">
      <c r="A1617">
        <v>31</v>
      </c>
      <c r="B1617">
        <v>120</v>
      </c>
      <c r="C1617" t="s">
        <v>26</v>
      </c>
      <c r="D1617">
        <v>9.9687000000000001</v>
      </c>
      <c r="E1617">
        <v>10.029999999999999</v>
      </c>
      <c r="F1617">
        <v>6.87</v>
      </c>
      <c r="G1617">
        <v>41.2</v>
      </c>
      <c r="H1617">
        <v>0.63</v>
      </c>
      <c r="I1617">
        <v>10</v>
      </c>
      <c r="J1617">
        <v>246.18</v>
      </c>
      <c r="K1617">
        <v>57.72</v>
      </c>
      <c r="L1617">
        <v>8.75</v>
      </c>
      <c r="M1617">
        <v>8</v>
      </c>
      <c r="N1617">
        <v>59.7</v>
      </c>
      <c r="O1617">
        <v>30596.01</v>
      </c>
      <c r="P1617">
        <v>104.21</v>
      </c>
      <c r="Q1617">
        <v>204.14</v>
      </c>
      <c r="R1617">
        <v>27.21</v>
      </c>
      <c r="S1617">
        <v>17.37</v>
      </c>
      <c r="T1617">
        <v>2795.29</v>
      </c>
      <c r="U1617">
        <v>0.64</v>
      </c>
      <c r="V1617">
        <v>0.74</v>
      </c>
      <c r="W1617">
        <v>1.1499999999999999</v>
      </c>
      <c r="X1617">
        <v>0.18</v>
      </c>
      <c r="Y1617">
        <v>1</v>
      </c>
      <c r="Z1617">
        <v>10</v>
      </c>
    </row>
    <row r="1618" spans="1:26" x14ac:dyDescent="0.3">
      <c r="A1618">
        <v>32</v>
      </c>
      <c r="B1618">
        <v>120</v>
      </c>
      <c r="C1618" t="s">
        <v>26</v>
      </c>
      <c r="D1618">
        <v>9.9784000000000006</v>
      </c>
      <c r="E1618">
        <v>10.02</v>
      </c>
      <c r="F1618">
        <v>6.86</v>
      </c>
      <c r="G1618">
        <v>41.14</v>
      </c>
      <c r="H1618">
        <v>0.65</v>
      </c>
      <c r="I1618">
        <v>10</v>
      </c>
      <c r="J1618">
        <v>246.62</v>
      </c>
      <c r="K1618">
        <v>57.72</v>
      </c>
      <c r="L1618">
        <v>9</v>
      </c>
      <c r="M1618">
        <v>8</v>
      </c>
      <c r="N1618">
        <v>59.9</v>
      </c>
      <c r="O1618">
        <v>30650.799999999999</v>
      </c>
      <c r="P1618">
        <v>104.1</v>
      </c>
      <c r="Q1618">
        <v>204.14</v>
      </c>
      <c r="R1618">
        <v>27.02</v>
      </c>
      <c r="S1618">
        <v>17.37</v>
      </c>
      <c r="T1618">
        <v>2701.04</v>
      </c>
      <c r="U1618">
        <v>0.64</v>
      </c>
      <c r="V1618">
        <v>0.74</v>
      </c>
      <c r="W1618">
        <v>1.1499999999999999</v>
      </c>
      <c r="X1618">
        <v>0.17</v>
      </c>
      <c r="Y1618">
        <v>1</v>
      </c>
      <c r="Z1618">
        <v>10</v>
      </c>
    </row>
    <row r="1619" spans="1:26" x14ac:dyDescent="0.3">
      <c r="A1619">
        <v>33</v>
      </c>
      <c r="B1619">
        <v>120</v>
      </c>
      <c r="C1619" t="s">
        <v>26</v>
      </c>
      <c r="D1619">
        <v>10.0382</v>
      </c>
      <c r="E1619">
        <v>9.9600000000000009</v>
      </c>
      <c r="F1619">
        <v>6.84</v>
      </c>
      <c r="G1619">
        <v>45.62</v>
      </c>
      <c r="H1619">
        <v>0.67</v>
      </c>
      <c r="I1619">
        <v>9</v>
      </c>
      <c r="J1619">
        <v>247.07</v>
      </c>
      <c r="K1619">
        <v>57.72</v>
      </c>
      <c r="L1619">
        <v>9.25</v>
      </c>
      <c r="M1619">
        <v>7</v>
      </c>
      <c r="N1619">
        <v>60.09</v>
      </c>
      <c r="O1619">
        <v>30705.66</v>
      </c>
      <c r="P1619">
        <v>103.44</v>
      </c>
      <c r="Q1619">
        <v>204.17</v>
      </c>
      <c r="R1619">
        <v>26.56</v>
      </c>
      <c r="S1619">
        <v>17.37</v>
      </c>
      <c r="T1619">
        <v>2476.75</v>
      </c>
      <c r="U1619">
        <v>0.65</v>
      </c>
      <c r="V1619">
        <v>0.75</v>
      </c>
      <c r="W1619">
        <v>1.1499999999999999</v>
      </c>
      <c r="X1619">
        <v>0.15</v>
      </c>
      <c r="Y1619">
        <v>1</v>
      </c>
      <c r="Z1619">
        <v>10</v>
      </c>
    </row>
    <row r="1620" spans="1:26" x14ac:dyDescent="0.3">
      <c r="A1620">
        <v>34</v>
      </c>
      <c r="B1620">
        <v>120</v>
      </c>
      <c r="C1620" t="s">
        <v>26</v>
      </c>
      <c r="D1620">
        <v>10.0237</v>
      </c>
      <c r="E1620">
        <v>9.98</v>
      </c>
      <c r="F1620">
        <v>6.86</v>
      </c>
      <c r="G1620">
        <v>45.72</v>
      </c>
      <c r="H1620">
        <v>0.68</v>
      </c>
      <c r="I1620">
        <v>9</v>
      </c>
      <c r="J1620">
        <v>247.51</v>
      </c>
      <c r="K1620">
        <v>57.72</v>
      </c>
      <c r="L1620">
        <v>9.5</v>
      </c>
      <c r="M1620">
        <v>7</v>
      </c>
      <c r="N1620">
        <v>60.29</v>
      </c>
      <c r="O1620">
        <v>30760.6</v>
      </c>
      <c r="P1620">
        <v>103.89</v>
      </c>
      <c r="Q1620">
        <v>204.14</v>
      </c>
      <c r="R1620">
        <v>27.02</v>
      </c>
      <c r="S1620">
        <v>17.37</v>
      </c>
      <c r="T1620">
        <v>2708.09</v>
      </c>
      <c r="U1620">
        <v>0.64</v>
      </c>
      <c r="V1620">
        <v>0.74</v>
      </c>
      <c r="W1620">
        <v>1.1499999999999999</v>
      </c>
      <c r="X1620">
        <v>0.17</v>
      </c>
      <c r="Y1620">
        <v>1</v>
      </c>
      <c r="Z1620">
        <v>10</v>
      </c>
    </row>
    <row r="1621" spans="1:26" x14ac:dyDescent="0.3">
      <c r="A1621">
        <v>35</v>
      </c>
      <c r="B1621">
        <v>120</v>
      </c>
      <c r="C1621" t="s">
        <v>26</v>
      </c>
      <c r="D1621">
        <v>10.026999999999999</v>
      </c>
      <c r="E1621">
        <v>9.9700000000000006</v>
      </c>
      <c r="F1621">
        <v>6.85</v>
      </c>
      <c r="G1621">
        <v>45.69</v>
      </c>
      <c r="H1621">
        <v>0.7</v>
      </c>
      <c r="I1621">
        <v>9</v>
      </c>
      <c r="J1621">
        <v>247.96</v>
      </c>
      <c r="K1621">
        <v>57.72</v>
      </c>
      <c r="L1621">
        <v>9.75</v>
      </c>
      <c r="M1621">
        <v>7</v>
      </c>
      <c r="N1621">
        <v>60.48</v>
      </c>
      <c r="O1621">
        <v>30815.599999999999</v>
      </c>
      <c r="P1621">
        <v>103.95</v>
      </c>
      <c r="Q1621">
        <v>204.18</v>
      </c>
      <c r="R1621">
        <v>26.9</v>
      </c>
      <c r="S1621">
        <v>17.37</v>
      </c>
      <c r="T1621">
        <v>2647.48</v>
      </c>
      <c r="U1621">
        <v>0.65</v>
      </c>
      <c r="V1621">
        <v>0.75</v>
      </c>
      <c r="W1621">
        <v>1.1499999999999999</v>
      </c>
      <c r="X1621">
        <v>0.16</v>
      </c>
      <c r="Y1621">
        <v>1</v>
      </c>
      <c r="Z1621">
        <v>10</v>
      </c>
    </row>
    <row r="1622" spans="1:26" x14ac:dyDescent="0.3">
      <c r="A1622">
        <v>36</v>
      </c>
      <c r="B1622">
        <v>120</v>
      </c>
      <c r="C1622" t="s">
        <v>26</v>
      </c>
      <c r="D1622">
        <v>10.023400000000001</v>
      </c>
      <c r="E1622">
        <v>9.98</v>
      </c>
      <c r="F1622">
        <v>6.86</v>
      </c>
      <c r="G1622">
        <v>45.72</v>
      </c>
      <c r="H1622">
        <v>0.72</v>
      </c>
      <c r="I1622">
        <v>9</v>
      </c>
      <c r="J1622">
        <v>248.4</v>
      </c>
      <c r="K1622">
        <v>57.72</v>
      </c>
      <c r="L1622">
        <v>10</v>
      </c>
      <c r="M1622">
        <v>7</v>
      </c>
      <c r="N1622">
        <v>60.68</v>
      </c>
      <c r="O1622">
        <v>30870.67</v>
      </c>
      <c r="P1622">
        <v>103.76</v>
      </c>
      <c r="Q1622">
        <v>204.15</v>
      </c>
      <c r="R1622">
        <v>27</v>
      </c>
      <c r="S1622">
        <v>17.37</v>
      </c>
      <c r="T1622">
        <v>2696.04</v>
      </c>
      <c r="U1622">
        <v>0.64</v>
      </c>
      <c r="V1622">
        <v>0.74</v>
      </c>
      <c r="W1622">
        <v>1.1499999999999999</v>
      </c>
      <c r="X1622">
        <v>0.17</v>
      </c>
      <c r="Y1622">
        <v>1</v>
      </c>
      <c r="Z1622">
        <v>10</v>
      </c>
    </row>
    <row r="1623" spans="1:26" x14ac:dyDescent="0.3">
      <c r="A1623">
        <v>37</v>
      </c>
      <c r="B1623">
        <v>120</v>
      </c>
      <c r="C1623" t="s">
        <v>26</v>
      </c>
      <c r="D1623">
        <v>10.0214</v>
      </c>
      <c r="E1623">
        <v>9.98</v>
      </c>
      <c r="F1623">
        <v>6.86</v>
      </c>
      <c r="G1623">
        <v>45.73</v>
      </c>
      <c r="H1623">
        <v>0.73</v>
      </c>
      <c r="I1623">
        <v>9</v>
      </c>
      <c r="J1623">
        <v>248.85</v>
      </c>
      <c r="K1623">
        <v>57.72</v>
      </c>
      <c r="L1623">
        <v>10.25</v>
      </c>
      <c r="M1623">
        <v>7</v>
      </c>
      <c r="N1623">
        <v>60.88</v>
      </c>
      <c r="O1623">
        <v>30925.82</v>
      </c>
      <c r="P1623">
        <v>103.62</v>
      </c>
      <c r="Q1623">
        <v>204.14</v>
      </c>
      <c r="R1623">
        <v>27.15</v>
      </c>
      <c r="S1623">
        <v>17.37</v>
      </c>
      <c r="T1623">
        <v>2774.12</v>
      </c>
      <c r="U1623">
        <v>0.64</v>
      </c>
      <c r="V1623">
        <v>0.74</v>
      </c>
      <c r="W1623">
        <v>1.1499999999999999</v>
      </c>
      <c r="X1623">
        <v>0.17</v>
      </c>
      <c r="Y1623">
        <v>1</v>
      </c>
      <c r="Z1623">
        <v>10</v>
      </c>
    </row>
    <row r="1624" spans="1:26" x14ac:dyDescent="0.3">
      <c r="A1624">
        <v>38</v>
      </c>
      <c r="B1624">
        <v>120</v>
      </c>
      <c r="C1624" t="s">
        <v>26</v>
      </c>
      <c r="D1624">
        <v>10.028700000000001</v>
      </c>
      <c r="E1624">
        <v>9.9700000000000006</v>
      </c>
      <c r="F1624">
        <v>6.85</v>
      </c>
      <c r="G1624">
        <v>45.68</v>
      </c>
      <c r="H1624">
        <v>0.75</v>
      </c>
      <c r="I1624">
        <v>9</v>
      </c>
      <c r="J1624">
        <v>249.3</v>
      </c>
      <c r="K1624">
        <v>57.72</v>
      </c>
      <c r="L1624">
        <v>10.5</v>
      </c>
      <c r="M1624">
        <v>7</v>
      </c>
      <c r="N1624">
        <v>61.07</v>
      </c>
      <c r="O1624">
        <v>30981.040000000001</v>
      </c>
      <c r="P1624">
        <v>103.23</v>
      </c>
      <c r="Q1624">
        <v>204.14</v>
      </c>
      <c r="R1624">
        <v>26.83</v>
      </c>
      <c r="S1624">
        <v>17.37</v>
      </c>
      <c r="T1624">
        <v>2613.2399999999998</v>
      </c>
      <c r="U1624">
        <v>0.65</v>
      </c>
      <c r="V1624">
        <v>0.75</v>
      </c>
      <c r="W1624">
        <v>1.1499999999999999</v>
      </c>
      <c r="X1624">
        <v>0.16</v>
      </c>
      <c r="Y1624">
        <v>1</v>
      </c>
      <c r="Z1624">
        <v>10</v>
      </c>
    </row>
    <row r="1625" spans="1:26" x14ac:dyDescent="0.3">
      <c r="A1625">
        <v>39</v>
      </c>
      <c r="B1625">
        <v>120</v>
      </c>
      <c r="C1625" t="s">
        <v>26</v>
      </c>
      <c r="D1625">
        <v>10.106400000000001</v>
      </c>
      <c r="E1625">
        <v>9.89</v>
      </c>
      <c r="F1625">
        <v>6.82</v>
      </c>
      <c r="G1625">
        <v>51.16</v>
      </c>
      <c r="H1625">
        <v>0.77</v>
      </c>
      <c r="I1625">
        <v>8</v>
      </c>
      <c r="J1625">
        <v>249.75</v>
      </c>
      <c r="K1625">
        <v>57.72</v>
      </c>
      <c r="L1625">
        <v>10.75</v>
      </c>
      <c r="M1625">
        <v>6</v>
      </c>
      <c r="N1625">
        <v>61.27</v>
      </c>
      <c r="O1625">
        <v>31036.33</v>
      </c>
      <c r="P1625">
        <v>102.82</v>
      </c>
      <c r="Q1625">
        <v>204.19</v>
      </c>
      <c r="R1625">
        <v>25.87</v>
      </c>
      <c r="S1625">
        <v>17.37</v>
      </c>
      <c r="T1625">
        <v>2137.0700000000002</v>
      </c>
      <c r="U1625">
        <v>0.67</v>
      </c>
      <c r="V1625">
        <v>0.75</v>
      </c>
      <c r="W1625">
        <v>1.1499999999999999</v>
      </c>
      <c r="X1625">
        <v>0.13</v>
      </c>
      <c r="Y1625">
        <v>1</v>
      </c>
      <c r="Z1625">
        <v>10</v>
      </c>
    </row>
    <row r="1626" spans="1:26" x14ac:dyDescent="0.3">
      <c r="A1626">
        <v>40</v>
      </c>
      <c r="B1626">
        <v>120</v>
      </c>
      <c r="C1626" t="s">
        <v>26</v>
      </c>
      <c r="D1626">
        <v>10.109500000000001</v>
      </c>
      <c r="E1626">
        <v>9.89</v>
      </c>
      <c r="F1626">
        <v>6.82</v>
      </c>
      <c r="G1626">
        <v>51.14</v>
      </c>
      <c r="H1626">
        <v>0.78</v>
      </c>
      <c r="I1626">
        <v>8</v>
      </c>
      <c r="J1626">
        <v>250.2</v>
      </c>
      <c r="K1626">
        <v>57.72</v>
      </c>
      <c r="L1626">
        <v>11</v>
      </c>
      <c r="M1626">
        <v>6</v>
      </c>
      <c r="N1626">
        <v>61.47</v>
      </c>
      <c r="O1626">
        <v>31091.69</v>
      </c>
      <c r="P1626">
        <v>102.53</v>
      </c>
      <c r="Q1626">
        <v>204.14</v>
      </c>
      <c r="R1626">
        <v>25.85</v>
      </c>
      <c r="S1626">
        <v>17.37</v>
      </c>
      <c r="T1626">
        <v>2126.9</v>
      </c>
      <c r="U1626">
        <v>0.67</v>
      </c>
      <c r="V1626">
        <v>0.75</v>
      </c>
      <c r="W1626">
        <v>1.1499999999999999</v>
      </c>
      <c r="X1626">
        <v>0.13</v>
      </c>
      <c r="Y1626">
        <v>1</v>
      </c>
      <c r="Z1626">
        <v>10</v>
      </c>
    </row>
    <row r="1627" spans="1:26" x14ac:dyDescent="0.3">
      <c r="A1627">
        <v>41</v>
      </c>
      <c r="B1627">
        <v>120</v>
      </c>
      <c r="C1627" t="s">
        <v>26</v>
      </c>
      <c r="D1627">
        <v>10.093400000000001</v>
      </c>
      <c r="E1627">
        <v>9.91</v>
      </c>
      <c r="F1627">
        <v>6.83</v>
      </c>
      <c r="G1627">
        <v>51.26</v>
      </c>
      <c r="H1627">
        <v>0.8</v>
      </c>
      <c r="I1627">
        <v>8</v>
      </c>
      <c r="J1627">
        <v>250.65</v>
      </c>
      <c r="K1627">
        <v>57.72</v>
      </c>
      <c r="L1627">
        <v>11.25</v>
      </c>
      <c r="M1627">
        <v>6</v>
      </c>
      <c r="N1627">
        <v>61.67</v>
      </c>
      <c r="O1627">
        <v>31147.119999999999</v>
      </c>
      <c r="P1627">
        <v>102.66</v>
      </c>
      <c r="Q1627">
        <v>204.14</v>
      </c>
      <c r="R1627">
        <v>26.23</v>
      </c>
      <c r="S1627">
        <v>17.37</v>
      </c>
      <c r="T1627">
        <v>2318.4499999999998</v>
      </c>
      <c r="U1627">
        <v>0.66</v>
      </c>
      <c r="V1627">
        <v>0.75</v>
      </c>
      <c r="W1627">
        <v>1.1499999999999999</v>
      </c>
      <c r="X1627">
        <v>0.14000000000000001</v>
      </c>
      <c r="Y1627">
        <v>1</v>
      </c>
      <c r="Z1627">
        <v>10</v>
      </c>
    </row>
    <row r="1628" spans="1:26" x14ac:dyDescent="0.3">
      <c r="A1628">
        <v>42</v>
      </c>
      <c r="B1628">
        <v>120</v>
      </c>
      <c r="C1628" t="s">
        <v>26</v>
      </c>
      <c r="D1628">
        <v>10.0953</v>
      </c>
      <c r="E1628">
        <v>9.91</v>
      </c>
      <c r="F1628">
        <v>6.83</v>
      </c>
      <c r="G1628">
        <v>51.24</v>
      </c>
      <c r="H1628">
        <v>0.81</v>
      </c>
      <c r="I1628">
        <v>8</v>
      </c>
      <c r="J1628">
        <v>251.1</v>
      </c>
      <c r="K1628">
        <v>57.72</v>
      </c>
      <c r="L1628">
        <v>11.5</v>
      </c>
      <c r="M1628">
        <v>6</v>
      </c>
      <c r="N1628">
        <v>61.87</v>
      </c>
      <c r="O1628">
        <v>31202.63</v>
      </c>
      <c r="P1628">
        <v>102.49</v>
      </c>
      <c r="Q1628">
        <v>204.14</v>
      </c>
      <c r="R1628">
        <v>26.16</v>
      </c>
      <c r="S1628">
        <v>17.37</v>
      </c>
      <c r="T1628">
        <v>2284.66</v>
      </c>
      <c r="U1628">
        <v>0.66</v>
      </c>
      <c r="V1628">
        <v>0.75</v>
      </c>
      <c r="W1628">
        <v>1.1499999999999999</v>
      </c>
      <c r="X1628">
        <v>0.14000000000000001</v>
      </c>
      <c r="Y1628">
        <v>1</v>
      </c>
      <c r="Z1628">
        <v>10</v>
      </c>
    </row>
    <row r="1629" spans="1:26" x14ac:dyDescent="0.3">
      <c r="A1629">
        <v>43</v>
      </c>
      <c r="B1629">
        <v>120</v>
      </c>
      <c r="C1629" t="s">
        <v>26</v>
      </c>
      <c r="D1629">
        <v>10.103300000000001</v>
      </c>
      <c r="E1629">
        <v>9.9</v>
      </c>
      <c r="F1629">
        <v>6.82</v>
      </c>
      <c r="G1629">
        <v>51.18</v>
      </c>
      <c r="H1629">
        <v>0.83</v>
      </c>
      <c r="I1629">
        <v>8</v>
      </c>
      <c r="J1629">
        <v>251.55</v>
      </c>
      <c r="K1629">
        <v>57.72</v>
      </c>
      <c r="L1629">
        <v>11.75</v>
      </c>
      <c r="M1629">
        <v>6</v>
      </c>
      <c r="N1629">
        <v>62.07</v>
      </c>
      <c r="O1629">
        <v>31258.21</v>
      </c>
      <c r="P1629">
        <v>102.33</v>
      </c>
      <c r="Q1629">
        <v>204.14</v>
      </c>
      <c r="R1629">
        <v>25.99</v>
      </c>
      <c r="S1629">
        <v>17.37</v>
      </c>
      <c r="T1629">
        <v>2199.41</v>
      </c>
      <c r="U1629">
        <v>0.67</v>
      </c>
      <c r="V1629">
        <v>0.75</v>
      </c>
      <c r="W1629">
        <v>1.1499999999999999</v>
      </c>
      <c r="X1629">
        <v>0.13</v>
      </c>
      <c r="Y1629">
        <v>1</v>
      </c>
      <c r="Z1629">
        <v>10</v>
      </c>
    </row>
    <row r="1630" spans="1:26" x14ac:dyDescent="0.3">
      <c r="A1630">
        <v>44</v>
      </c>
      <c r="B1630">
        <v>120</v>
      </c>
      <c r="C1630" t="s">
        <v>26</v>
      </c>
      <c r="D1630">
        <v>10.0982</v>
      </c>
      <c r="E1630">
        <v>9.9</v>
      </c>
      <c r="F1630">
        <v>6.83</v>
      </c>
      <c r="G1630">
        <v>51.22</v>
      </c>
      <c r="H1630">
        <v>0.85</v>
      </c>
      <c r="I1630">
        <v>8</v>
      </c>
      <c r="J1630">
        <v>252</v>
      </c>
      <c r="K1630">
        <v>57.72</v>
      </c>
      <c r="L1630">
        <v>12</v>
      </c>
      <c r="M1630">
        <v>6</v>
      </c>
      <c r="N1630">
        <v>62.27</v>
      </c>
      <c r="O1630">
        <v>31313.87</v>
      </c>
      <c r="P1630">
        <v>102.12</v>
      </c>
      <c r="Q1630">
        <v>204.15</v>
      </c>
      <c r="R1630">
        <v>26.08</v>
      </c>
      <c r="S1630">
        <v>17.37</v>
      </c>
      <c r="T1630">
        <v>2244.11</v>
      </c>
      <c r="U1630">
        <v>0.67</v>
      </c>
      <c r="V1630">
        <v>0.75</v>
      </c>
      <c r="W1630">
        <v>1.1499999999999999</v>
      </c>
      <c r="X1630">
        <v>0.14000000000000001</v>
      </c>
      <c r="Y1630">
        <v>1</v>
      </c>
      <c r="Z1630">
        <v>10</v>
      </c>
    </row>
    <row r="1631" spans="1:26" x14ac:dyDescent="0.3">
      <c r="A1631">
        <v>45</v>
      </c>
      <c r="B1631">
        <v>120</v>
      </c>
      <c r="C1631" t="s">
        <v>26</v>
      </c>
      <c r="D1631">
        <v>10.1744</v>
      </c>
      <c r="E1631">
        <v>9.83</v>
      </c>
      <c r="F1631">
        <v>6.8</v>
      </c>
      <c r="G1631">
        <v>58.29</v>
      </c>
      <c r="H1631">
        <v>0.86</v>
      </c>
      <c r="I1631">
        <v>7</v>
      </c>
      <c r="J1631">
        <v>252.45</v>
      </c>
      <c r="K1631">
        <v>57.72</v>
      </c>
      <c r="L1631">
        <v>12.25</v>
      </c>
      <c r="M1631">
        <v>5</v>
      </c>
      <c r="N1631">
        <v>62.48</v>
      </c>
      <c r="O1631">
        <v>31369.599999999999</v>
      </c>
      <c r="P1631">
        <v>101.63</v>
      </c>
      <c r="Q1631">
        <v>204.14</v>
      </c>
      <c r="R1631">
        <v>25.25</v>
      </c>
      <c r="S1631">
        <v>17.37</v>
      </c>
      <c r="T1631">
        <v>1830.3</v>
      </c>
      <c r="U1631">
        <v>0.69</v>
      </c>
      <c r="V1631">
        <v>0.75</v>
      </c>
      <c r="W1631">
        <v>1.1499999999999999</v>
      </c>
      <c r="X1631">
        <v>0.11</v>
      </c>
      <c r="Y1631">
        <v>1</v>
      </c>
      <c r="Z1631">
        <v>10</v>
      </c>
    </row>
    <row r="1632" spans="1:26" x14ac:dyDescent="0.3">
      <c r="A1632">
        <v>46</v>
      </c>
      <c r="B1632">
        <v>120</v>
      </c>
      <c r="C1632" t="s">
        <v>26</v>
      </c>
      <c r="D1632">
        <v>10.1675</v>
      </c>
      <c r="E1632">
        <v>9.84</v>
      </c>
      <c r="F1632">
        <v>6.81</v>
      </c>
      <c r="G1632">
        <v>58.35</v>
      </c>
      <c r="H1632">
        <v>0.88</v>
      </c>
      <c r="I1632">
        <v>7</v>
      </c>
      <c r="J1632">
        <v>252.9</v>
      </c>
      <c r="K1632">
        <v>57.72</v>
      </c>
      <c r="L1632">
        <v>12.5</v>
      </c>
      <c r="M1632">
        <v>5</v>
      </c>
      <c r="N1632">
        <v>62.68</v>
      </c>
      <c r="O1632">
        <v>31425.4</v>
      </c>
      <c r="P1632">
        <v>101.87</v>
      </c>
      <c r="Q1632">
        <v>204.14</v>
      </c>
      <c r="R1632">
        <v>25.38</v>
      </c>
      <c r="S1632">
        <v>17.37</v>
      </c>
      <c r="T1632">
        <v>1895.96</v>
      </c>
      <c r="U1632">
        <v>0.68</v>
      </c>
      <c r="V1632">
        <v>0.75</v>
      </c>
      <c r="W1632">
        <v>1.1499999999999999</v>
      </c>
      <c r="X1632">
        <v>0.12</v>
      </c>
      <c r="Y1632">
        <v>1</v>
      </c>
      <c r="Z1632">
        <v>10</v>
      </c>
    </row>
    <row r="1633" spans="1:26" x14ac:dyDescent="0.3">
      <c r="A1633">
        <v>47</v>
      </c>
      <c r="B1633">
        <v>120</v>
      </c>
      <c r="C1633" t="s">
        <v>26</v>
      </c>
      <c r="D1633">
        <v>10.1701</v>
      </c>
      <c r="E1633">
        <v>9.83</v>
      </c>
      <c r="F1633">
        <v>6.8</v>
      </c>
      <c r="G1633">
        <v>58.33</v>
      </c>
      <c r="H1633">
        <v>0.9</v>
      </c>
      <c r="I1633">
        <v>7</v>
      </c>
      <c r="J1633">
        <v>253.35</v>
      </c>
      <c r="K1633">
        <v>57.72</v>
      </c>
      <c r="L1633">
        <v>12.75</v>
      </c>
      <c r="M1633">
        <v>5</v>
      </c>
      <c r="N1633">
        <v>62.88</v>
      </c>
      <c r="O1633">
        <v>31481.279999999999</v>
      </c>
      <c r="P1633">
        <v>102.01</v>
      </c>
      <c r="Q1633">
        <v>204.14</v>
      </c>
      <c r="R1633">
        <v>25.31</v>
      </c>
      <c r="S1633">
        <v>17.37</v>
      </c>
      <c r="T1633">
        <v>1860.08</v>
      </c>
      <c r="U1633">
        <v>0.69</v>
      </c>
      <c r="V1633">
        <v>0.75</v>
      </c>
      <c r="W1633">
        <v>1.1499999999999999</v>
      </c>
      <c r="X1633">
        <v>0.11</v>
      </c>
      <c r="Y1633">
        <v>1</v>
      </c>
      <c r="Z1633">
        <v>10</v>
      </c>
    </row>
    <row r="1634" spans="1:26" x14ac:dyDescent="0.3">
      <c r="A1634">
        <v>48</v>
      </c>
      <c r="B1634">
        <v>120</v>
      </c>
      <c r="C1634" t="s">
        <v>26</v>
      </c>
      <c r="D1634">
        <v>10.160600000000001</v>
      </c>
      <c r="E1634">
        <v>9.84</v>
      </c>
      <c r="F1634">
        <v>6.81</v>
      </c>
      <c r="G1634">
        <v>58.41</v>
      </c>
      <c r="H1634">
        <v>0.91</v>
      </c>
      <c r="I1634">
        <v>7</v>
      </c>
      <c r="J1634">
        <v>253.81</v>
      </c>
      <c r="K1634">
        <v>57.72</v>
      </c>
      <c r="L1634">
        <v>13</v>
      </c>
      <c r="M1634">
        <v>5</v>
      </c>
      <c r="N1634">
        <v>63.08</v>
      </c>
      <c r="O1634">
        <v>31537.23</v>
      </c>
      <c r="P1634">
        <v>102.04</v>
      </c>
      <c r="Q1634">
        <v>204.14</v>
      </c>
      <c r="R1634">
        <v>25.69</v>
      </c>
      <c r="S1634">
        <v>17.37</v>
      </c>
      <c r="T1634">
        <v>2050.94</v>
      </c>
      <c r="U1634">
        <v>0.68</v>
      </c>
      <c r="V1634">
        <v>0.75</v>
      </c>
      <c r="W1634">
        <v>1.1499999999999999</v>
      </c>
      <c r="X1634">
        <v>0.12</v>
      </c>
      <c r="Y1634">
        <v>1</v>
      </c>
      <c r="Z1634">
        <v>10</v>
      </c>
    </row>
    <row r="1635" spans="1:26" x14ac:dyDescent="0.3">
      <c r="A1635">
        <v>49</v>
      </c>
      <c r="B1635">
        <v>120</v>
      </c>
      <c r="C1635" t="s">
        <v>26</v>
      </c>
      <c r="D1635">
        <v>10.1652</v>
      </c>
      <c r="E1635">
        <v>9.84</v>
      </c>
      <c r="F1635">
        <v>6.81</v>
      </c>
      <c r="G1635">
        <v>58.37</v>
      </c>
      <c r="H1635">
        <v>0.93</v>
      </c>
      <c r="I1635">
        <v>7</v>
      </c>
      <c r="J1635">
        <v>254.26</v>
      </c>
      <c r="K1635">
        <v>57.72</v>
      </c>
      <c r="L1635">
        <v>13.25</v>
      </c>
      <c r="M1635">
        <v>5</v>
      </c>
      <c r="N1635">
        <v>63.29</v>
      </c>
      <c r="O1635">
        <v>31593.26</v>
      </c>
      <c r="P1635">
        <v>101.96</v>
      </c>
      <c r="Q1635">
        <v>204.21</v>
      </c>
      <c r="R1635">
        <v>25.55</v>
      </c>
      <c r="S1635">
        <v>17.37</v>
      </c>
      <c r="T1635">
        <v>1980.75</v>
      </c>
      <c r="U1635">
        <v>0.68</v>
      </c>
      <c r="V1635">
        <v>0.75</v>
      </c>
      <c r="W1635">
        <v>1.1499999999999999</v>
      </c>
      <c r="X1635">
        <v>0.12</v>
      </c>
      <c r="Y1635">
        <v>1</v>
      </c>
      <c r="Z1635">
        <v>10</v>
      </c>
    </row>
    <row r="1636" spans="1:26" x14ac:dyDescent="0.3">
      <c r="A1636">
        <v>50</v>
      </c>
      <c r="B1636">
        <v>120</v>
      </c>
      <c r="C1636" t="s">
        <v>26</v>
      </c>
      <c r="D1636">
        <v>10.162599999999999</v>
      </c>
      <c r="E1636">
        <v>9.84</v>
      </c>
      <c r="F1636">
        <v>6.81</v>
      </c>
      <c r="G1636">
        <v>58.39</v>
      </c>
      <c r="H1636">
        <v>0.94</v>
      </c>
      <c r="I1636">
        <v>7</v>
      </c>
      <c r="J1636">
        <v>254.72</v>
      </c>
      <c r="K1636">
        <v>57.72</v>
      </c>
      <c r="L1636">
        <v>13.5</v>
      </c>
      <c r="M1636">
        <v>5</v>
      </c>
      <c r="N1636">
        <v>63.49</v>
      </c>
      <c r="O1636">
        <v>31649.360000000001</v>
      </c>
      <c r="P1636">
        <v>101.73</v>
      </c>
      <c r="Q1636">
        <v>204.15</v>
      </c>
      <c r="R1636">
        <v>25.59</v>
      </c>
      <c r="S1636">
        <v>17.37</v>
      </c>
      <c r="T1636">
        <v>2003.24</v>
      </c>
      <c r="U1636">
        <v>0.68</v>
      </c>
      <c r="V1636">
        <v>0.75</v>
      </c>
      <c r="W1636">
        <v>1.1499999999999999</v>
      </c>
      <c r="X1636">
        <v>0.12</v>
      </c>
      <c r="Y1636">
        <v>1</v>
      </c>
      <c r="Z1636">
        <v>10</v>
      </c>
    </row>
    <row r="1637" spans="1:26" x14ac:dyDescent="0.3">
      <c r="A1637">
        <v>51</v>
      </c>
      <c r="B1637">
        <v>120</v>
      </c>
      <c r="C1637" t="s">
        <v>26</v>
      </c>
      <c r="D1637">
        <v>10.1577</v>
      </c>
      <c r="E1637">
        <v>9.84</v>
      </c>
      <c r="F1637">
        <v>6.82</v>
      </c>
      <c r="G1637">
        <v>58.43</v>
      </c>
      <c r="H1637">
        <v>0.96</v>
      </c>
      <c r="I1637">
        <v>7</v>
      </c>
      <c r="J1637">
        <v>255.17</v>
      </c>
      <c r="K1637">
        <v>57.72</v>
      </c>
      <c r="L1637">
        <v>13.75</v>
      </c>
      <c r="M1637">
        <v>5</v>
      </c>
      <c r="N1637">
        <v>63.7</v>
      </c>
      <c r="O1637">
        <v>31705.54</v>
      </c>
      <c r="P1637">
        <v>101.62</v>
      </c>
      <c r="Q1637">
        <v>204.19</v>
      </c>
      <c r="R1637">
        <v>25.73</v>
      </c>
      <c r="S1637">
        <v>17.37</v>
      </c>
      <c r="T1637">
        <v>2070</v>
      </c>
      <c r="U1637">
        <v>0.68</v>
      </c>
      <c r="V1637">
        <v>0.75</v>
      </c>
      <c r="W1637">
        <v>1.1499999999999999</v>
      </c>
      <c r="X1637">
        <v>0.13</v>
      </c>
      <c r="Y1637">
        <v>1</v>
      </c>
      <c r="Z1637">
        <v>10</v>
      </c>
    </row>
    <row r="1638" spans="1:26" x14ac:dyDescent="0.3">
      <c r="A1638">
        <v>52</v>
      </c>
      <c r="B1638">
        <v>120</v>
      </c>
      <c r="C1638" t="s">
        <v>26</v>
      </c>
      <c r="D1638">
        <v>10.1569</v>
      </c>
      <c r="E1638">
        <v>9.85</v>
      </c>
      <c r="F1638">
        <v>6.82</v>
      </c>
      <c r="G1638">
        <v>58.44</v>
      </c>
      <c r="H1638">
        <v>0.97</v>
      </c>
      <c r="I1638">
        <v>7</v>
      </c>
      <c r="J1638">
        <v>255.63</v>
      </c>
      <c r="K1638">
        <v>57.72</v>
      </c>
      <c r="L1638">
        <v>14</v>
      </c>
      <c r="M1638">
        <v>5</v>
      </c>
      <c r="N1638">
        <v>63.91</v>
      </c>
      <c r="O1638">
        <v>31761.8</v>
      </c>
      <c r="P1638">
        <v>101.53</v>
      </c>
      <c r="Q1638">
        <v>204.14</v>
      </c>
      <c r="R1638">
        <v>25.81</v>
      </c>
      <c r="S1638">
        <v>17.37</v>
      </c>
      <c r="T1638">
        <v>2113.3000000000002</v>
      </c>
      <c r="U1638">
        <v>0.67</v>
      </c>
      <c r="V1638">
        <v>0.75</v>
      </c>
      <c r="W1638">
        <v>1.1499999999999999</v>
      </c>
      <c r="X1638">
        <v>0.13</v>
      </c>
      <c r="Y1638">
        <v>1</v>
      </c>
      <c r="Z1638">
        <v>10</v>
      </c>
    </row>
    <row r="1639" spans="1:26" x14ac:dyDescent="0.3">
      <c r="A1639">
        <v>53</v>
      </c>
      <c r="B1639">
        <v>120</v>
      </c>
      <c r="C1639" t="s">
        <v>26</v>
      </c>
      <c r="D1639">
        <v>10.1663</v>
      </c>
      <c r="E1639">
        <v>9.84</v>
      </c>
      <c r="F1639">
        <v>6.81</v>
      </c>
      <c r="G1639">
        <v>58.36</v>
      </c>
      <c r="H1639">
        <v>0.99</v>
      </c>
      <c r="I1639">
        <v>7</v>
      </c>
      <c r="J1639">
        <v>256.08999999999997</v>
      </c>
      <c r="K1639">
        <v>57.72</v>
      </c>
      <c r="L1639">
        <v>14.25</v>
      </c>
      <c r="M1639">
        <v>5</v>
      </c>
      <c r="N1639">
        <v>64.11</v>
      </c>
      <c r="O1639">
        <v>31818.13</v>
      </c>
      <c r="P1639">
        <v>101.1</v>
      </c>
      <c r="Q1639">
        <v>204.15</v>
      </c>
      <c r="R1639">
        <v>25.52</v>
      </c>
      <c r="S1639">
        <v>17.37</v>
      </c>
      <c r="T1639">
        <v>1969.03</v>
      </c>
      <c r="U1639">
        <v>0.68</v>
      </c>
      <c r="V1639">
        <v>0.75</v>
      </c>
      <c r="W1639">
        <v>1.1499999999999999</v>
      </c>
      <c r="X1639">
        <v>0.12</v>
      </c>
      <c r="Y1639">
        <v>1</v>
      </c>
      <c r="Z1639">
        <v>10</v>
      </c>
    </row>
    <row r="1640" spans="1:26" x14ac:dyDescent="0.3">
      <c r="A1640">
        <v>54</v>
      </c>
      <c r="B1640">
        <v>120</v>
      </c>
      <c r="C1640" t="s">
        <v>26</v>
      </c>
      <c r="D1640">
        <v>10.240399999999999</v>
      </c>
      <c r="E1640">
        <v>9.77</v>
      </c>
      <c r="F1640">
        <v>6.78</v>
      </c>
      <c r="G1640">
        <v>67.83</v>
      </c>
      <c r="H1640">
        <v>1.01</v>
      </c>
      <c r="I1640">
        <v>6</v>
      </c>
      <c r="J1640">
        <v>256.54000000000002</v>
      </c>
      <c r="K1640">
        <v>57.72</v>
      </c>
      <c r="L1640">
        <v>14.5</v>
      </c>
      <c r="M1640">
        <v>4</v>
      </c>
      <c r="N1640">
        <v>64.319999999999993</v>
      </c>
      <c r="O1640">
        <v>31874.54</v>
      </c>
      <c r="P1640">
        <v>100.48</v>
      </c>
      <c r="Q1640">
        <v>204.15</v>
      </c>
      <c r="R1640">
        <v>24.69</v>
      </c>
      <c r="S1640">
        <v>17.37</v>
      </c>
      <c r="T1640">
        <v>1555.6</v>
      </c>
      <c r="U1640">
        <v>0.7</v>
      </c>
      <c r="V1640">
        <v>0.75</v>
      </c>
      <c r="W1640">
        <v>1.1499999999999999</v>
      </c>
      <c r="X1640">
        <v>0.09</v>
      </c>
      <c r="Y1640">
        <v>1</v>
      </c>
      <c r="Z1640">
        <v>10</v>
      </c>
    </row>
    <row r="1641" spans="1:26" x14ac:dyDescent="0.3">
      <c r="A1641">
        <v>55</v>
      </c>
      <c r="B1641">
        <v>120</v>
      </c>
      <c r="C1641" t="s">
        <v>26</v>
      </c>
      <c r="D1641">
        <v>10.238300000000001</v>
      </c>
      <c r="E1641">
        <v>9.77</v>
      </c>
      <c r="F1641">
        <v>6.79</v>
      </c>
      <c r="G1641">
        <v>67.849999999999994</v>
      </c>
      <c r="H1641">
        <v>1.02</v>
      </c>
      <c r="I1641">
        <v>6</v>
      </c>
      <c r="J1641">
        <v>257</v>
      </c>
      <c r="K1641">
        <v>57.72</v>
      </c>
      <c r="L1641">
        <v>14.75</v>
      </c>
      <c r="M1641">
        <v>4</v>
      </c>
      <c r="N1641">
        <v>64.53</v>
      </c>
      <c r="O1641">
        <v>31931.15</v>
      </c>
      <c r="P1641">
        <v>100.61</v>
      </c>
      <c r="Q1641">
        <v>204.14</v>
      </c>
      <c r="R1641">
        <v>24.74</v>
      </c>
      <c r="S1641">
        <v>17.37</v>
      </c>
      <c r="T1641">
        <v>1580.16</v>
      </c>
      <c r="U1641">
        <v>0.7</v>
      </c>
      <c r="V1641">
        <v>0.75</v>
      </c>
      <c r="W1641">
        <v>1.1499999999999999</v>
      </c>
      <c r="X1641">
        <v>0.09</v>
      </c>
      <c r="Y1641">
        <v>1</v>
      </c>
      <c r="Z1641">
        <v>10</v>
      </c>
    </row>
    <row r="1642" spans="1:26" x14ac:dyDescent="0.3">
      <c r="A1642">
        <v>56</v>
      </c>
      <c r="B1642">
        <v>120</v>
      </c>
      <c r="C1642" t="s">
        <v>26</v>
      </c>
      <c r="D1642">
        <v>10.2363</v>
      </c>
      <c r="E1642">
        <v>9.77</v>
      </c>
      <c r="F1642">
        <v>6.79</v>
      </c>
      <c r="G1642">
        <v>67.87</v>
      </c>
      <c r="H1642">
        <v>1.04</v>
      </c>
      <c r="I1642">
        <v>6</v>
      </c>
      <c r="J1642">
        <v>257.45999999999998</v>
      </c>
      <c r="K1642">
        <v>57.72</v>
      </c>
      <c r="L1642">
        <v>15</v>
      </c>
      <c r="M1642">
        <v>4</v>
      </c>
      <c r="N1642">
        <v>64.739999999999995</v>
      </c>
      <c r="O1642">
        <v>31987.71</v>
      </c>
      <c r="P1642">
        <v>100.61</v>
      </c>
      <c r="Q1642">
        <v>204.14</v>
      </c>
      <c r="R1642">
        <v>24.84</v>
      </c>
      <c r="S1642">
        <v>17.37</v>
      </c>
      <c r="T1642">
        <v>1631.11</v>
      </c>
      <c r="U1642">
        <v>0.7</v>
      </c>
      <c r="V1642">
        <v>0.75</v>
      </c>
      <c r="W1642">
        <v>1.1499999999999999</v>
      </c>
      <c r="X1642">
        <v>0.1</v>
      </c>
      <c r="Y1642">
        <v>1</v>
      </c>
      <c r="Z1642">
        <v>10</v>
      </c>
    </row>
    <row r="1643" spans="1:26" x14ac:dyDescent="0.3">
      <c r="A1643">
        <v>57</v>
      </c>
      <c r="B1643">
        <v>120</v>
      </c>
      <c r="C1643" t="s">
        <v>26</v>
      </c>
      <c r="D1643">
        <v>10.237500000000001</v>
      </c>
      <c r="E1643">
        <v>9.77</v>
      </c>
      <c r="F1643">
        <v>6.79</v>
      </c>
      <c r="G1643">
        <v>67.86</v>
      </c>
      <c r="H1643">
        <v>1.05</v>
      </c>
      <c r="I1643">
        <v>6</v>
      </c>
      <c r="J1643">
        <v>257.92</v>
      </c>
      <c r="K1643">
        <v>57.72</v>
      </c>
      <c r="L1643">
        <v>15.25</v>
      </c>
      <c r="M1643">
        <v>4</v>
      </c>
      <c r="N1643">
        <v>64.95</v>
      </c>
      <c r="O1643">
        <v>32044.35</v>
      </c>
      <c r="P1643">
        <v>100.7</v>
      </c>
      <c r="Q1643">
        <v>204.14</v>
      </c>
      <c r="R1643">
        <v>24.88</v>
      </c>
      <c r="S1643">
        <v>17.37</v>
      </c>
      <c r="T1643">
        <v>1651.39</v>
      </c>
      <c r="U1643">
        <v>0.7</v>
      </c>
      <c r="V1643">
        <v>0.75</v>
      </c>
      <c r="W1643">
        <v>1.1399999999999999</v>
      </c>
      <c r="X1643">
        <v>0.09</v>
      </c>
      <c r="Y1643">
        <v>1</v>
      </c>
      <c r="Z1643">
        <v>10</v>
      </c>
    </row>
    <row r="1644" spans="1:26" x14ac:dyDescent="0.3">
      <c r="A1644">
        <v>58</v>
      </c>
      <c r="B1644">
        <v>120</v>
      </c>
      <c r="C1644" t="s">
        <v>26</v>
      </c>
      <c r="D1644">
        <v>10.234</v>
      </c>
      <c r="E1644">
        <v>9.77</v>
      </c>
      <c r="F1644">
        <v>6.79</v>
      </c>
      <c r="G1644">
        <v>67.89</v>
      </c>
      <c r="H1644">
        <v>1.07</v>
      </c>
      <c r="I1644">
        <v>6</v>
      </c>
      <c r="J1644">
        <v>258.38</v>
      </c>
      <c r="K1644">
        <v>57.72</v>
      </c>
      <c r="L1644">
        <v>15.5</v>
      </c>
      <c r="M1644">
        <v>4</v>
      </c>
      <c r="N1644">
        <v>65.16</v>
      </c>
      <c r="O1644">
        <v>32101.07</v>
      </c>
      <c r="P1644">
        <v>100.76</v>
      </c>
      <c r="Q1644">
        <v>204.14</v>
      </c>
      <c r="R1644">
        <v>24.98</v>
      </c>
      <c r="S1644">
        <v>17.37</v>
      </c>
      <c r="T1644">
        <v>1704.11</v>
      </c>
      <c r="U1644">
        <v>0.7</v>
      </c>
      <c r="V1644">
        <v>0.75</v>
      </c>
      <c r="W1644">
        <v>1.1399999999999999</v>
      </c>
      <c r="X1644">
        <v>0.1</v>
      </c>
      <c r="Y1644">
        <v>1</v>
      </c>
      <c r="Z1644">
        <v>10</v>
      </c>
    </row>
    <row r="1645" spans="1:26" x14ac:dyDescent="0.3">
      <c r="A1645">
        <v>59</v>
      </c>
      <c r="B1645">
        <v>120</v>
      </c>
      <c r="C1645" t="s">
        <v>26</v>
      </c>
      <c r="D1645">
        <v>10.237500000000001</v>
      </c>
      <c r="E1645">
        <v>9.77</v>
      </c>
      <c r="F1645">
        <v>6.79</v>
      </c>
      <c r="G1645">
        <v>67.86</v>
      </c>
      <c r="H1645">
        <v>1.08</v>
      </c>
      <c r="I1645">
        <v>6</v>
      </c>
      <c r="J1645">
        <v>258.83999999999997</v>
      </c>
      <c r="K1645">
        <v>57.72</v>
      </c>
      <c r="L1645">
        <v>15.75</v>
      </c>
      <c r="M1645">
        <v>4</v>
      </c>
      <c r="N1645">
        <v>65.37</v>
      </c>
      <c r="O1645">
        <v>32157.87</v>
      </c>
      <c r="P1645">
        <v>100.68</v>
      </c>
      <c r="Q1645">
        <v>204.14</v>
      </c>
      <c r="R1645">
        <v>24.67</v>
      </c>
      <c r="S1645">
        <v>17.37</v>
      </c>
      <c r="T1645">
        <v>1547.08</v>
      </c>
      <c r="U1645">
        <v>0.7</v>
      </c>
      <c r="V1645">
        <v>0.75</v>
      </c>
      <c r="W1645">
        <v>1.1499999999999999</v>
      </c>
      <c r="X1645">
        <v>0.09</v>
      </c>
      <c r="Y1645">
        <v>1</v>
      </c>
      <c r="Z1645">
        <v>10</v>
      </c>
    </row>
    <row r="1646" spans="1:26" x14ac:dyDescent="0.3">
      <c r="A1646">
        <v>60</v>
      </c>
      <c r="B1646">
        <v>120</v>
      </c>
      <c r="C1646" t="s">
        <v>26</v>
      </c>
      <c r="D1646">
        <v>10.238</v>
      </c>
      <c r="E1646">
        <v>9.77</v>
      </c>
      <c r="F1646">
        <v>6.79</v>
      </c>
      <c r="G1646">
        <v>67.849999999999994</v>
      </c>
      <c r="H1646">
        <v>1.1000000000000001</v>
      </c>
      <c r="I1646">
        <v>6</v>
      </c>
      <c r="J1646">
        <v>259.3</v>
      </c>
      <c r="K1646">
        <v>57.72</v>
      </c>
      <c r="L1646">
        <v>16</v>
      </c>
      <c r="M1646">
        <v>4</v>
      </c>
      <c r="N1646">
        <v>65.58</v>
      </c>
      <c r="O1646">
        <v>32214.75</v>
      </c>
      <c r="P1646">
        <v>100.43</v>
      </c>
      <c r="Q1646">
        <v>204.15</v>
      </c>
      <c r="R1646">
        <v>24.64</v>
      </c>
      <c r="S1646">
        <v>17.37</v>
      </c>
      <c r="T1646">
        <v>1530.9</v>
      </c>
      <c r="U1646">
        <v>0.71</v>
      </c>
      <c r="V1646">
        <v>0.75</v>
      </c>
      <c r="W1646">
        <v>1.1499999999999999</v>
      </c>
      <c r="X1646">
        <v>0.09</v>
      </c>
      <c r="Y1646">
        <v>1</v>
      </c>
      <c r="Z1646">
        <v>10</v>
      </c>
    </row>
    <row r="1647" spans="1:26" x14ac:dyDescent="0.3">
      <c r="A1647">
        <v>61</v>
      </c>
      <c r="B1647">
        <v>120</v>
      </c>
      <c r="C1647" t="s">
        <v>26</v>
      </c>
      <c r="D1647">
        <v>10.2392</v>
      </c>
      <c r="E1647">
        <v>9.77</v>
      </c>
      <c r="F1647">
        <v>6.78</v>
      </c>
      <c r="G1647">
        <v>67.84</v>
      </c>
      <c r="H1647">
        <v>1.1100000000000001</v>
      </c>
      <c r="I1647">
        <v>6</v>
      </c>
      <c r="J1647">
        <v>259.76</v>
      </c>
      <c r="K1647">
        <v>57.72</v>
      </c>
      <c r="L1647">
        <v>16.25</v>
      </c>
      <c r="M1647">
        <v>4</v>
      </c>
      <c r="N1647">
        <v>65.790000000000006</v>
      </c>
      <c r="O1647">
        <v>32271.71</v>
      </c>
      <c r="P1647">
        <v>100.24</v>
      </c>
      <c r="Q1647">
        <v>204.14</v>
      </c>
      <c r="R1647">
        <v>24.79</v>
      </c>
      <c r="S1647">
        <v>17.37</v>
      </c>
      <c r="T1647">
        <v>1607.51</v>
      </c>
      <c r="U1647">
        <v>0.7</v>
      </c>
      <c r="V1647">
        <v>0.75</v>
      </c>
      <c r="W1647">
        <v>1.1399999999999999</v>
      </c>
      <c r="X1647">
        <v>0.09</v>
      </c>
      <c r="Y1647">
        <v>1</v>
      </c>
      <c r="Z1647">
        <v>10</v>
      </c>
    </row>
    <row r="1648" spans="1:26" x14ac:dyDescent="0.3">
      <c r="A1648">
        <v>62</v>
      </c>
      <c r="B1648">
        <v>120</v>
      </c>
      <c r="C1648" t="s">
        <v>26</v>
      </c>
      <c r="D1648">
        <v>10.2302</v>
      </c>
      <c r="E1648">
        <v>9.7799999999999994</v>
      </c>
      <c r="F1648">
        <v>6.79</v>
      </c>
      <c r="G1648">
        <v>67.930000000000007</v>
      </c>
      <c r="H1648">
        <v>1.1299999999999999</v>
      </c>
      <c r="I1648">
        <v>6</v>
      </c>
      <c r="J1648">
        <v>260.23</v>
      </c>
      <c r="K1648">
        <v>57.72</v>
      </c>
      <c r="L1648">
        <v>16.5</v>
      </c>
      <c r="M1648">
        <v>4</v>
      </c>
      <c r="N1648">
        <v>66</v>
      </c>
      <c r="O1648">
        <v>32328.74</v>
      </c>
      <c r="P1648">
        <v>100.3</v>
      </c>
      <c r="Q1648">
        <v>204.14</v>
      </c>
      <c r="R1648">
        <v>25.08</v>
      </c>
      <c r="S1648">
        <v>17.37</v>
      </c>
      <c r="T1648">
        <v>1751.84</v>
      </c>
      <c r="U1648">
        <v>0.69</v>
      </c>
      <c r="V1648">
        <v>0.75</v>
      </c>
      <c r="W1648">
        <v>1.1399999999999999</v>
      </c>
      <c r="X1648">
        <v>0.1</v>
      </c>
      <c r="Y1648">
        <v>1</v>
      </c>
      <c r="Z1648">
        <v>10</v>
      </c>
    </row>
    <row r="1649" spans="1:26" x14ac:dyDescent="0.3">
      <c r="A1649">
        <v>63</v>
      </c>
      <c r="B1649">
        <v>120</v>
      </c>
      <c r="C1649" t="s">
        <v>26</v>
      </c>
      <c r="D1649">
        <v>10.238</v>
      </c>
      <c r="E1649">
        <v>9.77</v>
      </c>
      <c r="F1649">
        <v>6.79</v>
      </c>
      <c r="G1649">
        <v>67.849999999999994</v>
      </c>
      <c r="H1649">
        <v>1.1399999999999999</v>
      </c>
      <c r="I1649">
        <v>6</v>
      </c>
      <c r="J1649">
        <v>260.69</v>
      </c>
      <c r="K1649">
        <v>57.72</v>
      </c>
      <c r="L1649">
        <v>16.75</v>
      </c>
      <c r="M1649">
        <v>4</v>
      </c>
      <c r="N1649">
        <v>66.209999999999994</v>
      </c>
      <c r="O1649">
        <v>32385.86</v>
      </c>
      <c r="P1649">
        <v>99.95</v>
      </c>
      <c r="Q1649">
        <v>204.14</v>
      </c>
      <c r="R1649">
        <v>24.8</v>
      </c>
      <c r="S1649">
        <v>17.37</v>
      </c>
      <c r="T1649">
        <v>1614.04</v>
      </c>
      <c r="U1649">
        <v>0.7</v>
      </c>
      <c r="V1649">
        <v>0.75</v>
      </c>
      <c r="W1649">
        <v>1.1399999999999999</v>
      </c>
      <c r="X1649">
        <v>0.09</v>
      </c>
      <c r="Y1649">
        <v>1</v>
      </c>
      <c r="Z1649">
        <v>10</v>
      </c>
    </row>
    <row r="1650" spans="1:26" x14ac:dyDescent="0.3">
      <c r="A1650">
        <v>64</v>
      </c>
      <c r="B1650">
        <v>120</v>
      </c>
      <c r="C1650" t="s">
        <v>26</v>
      </c>
      <c r="D1650">
        <v>10.2325</v>
      </c>
      <c r="E1650">
        <v>9.77</v>
      </c>
      <c r="F1650">
        <v>6.79</v>
      </c>
      <c r="G1650">
        <v>67.91</v>
      </c>
      <c r="H1650">
        <v>1.1599999999999999</v>
      </c>
      <c r="I1650">
        <v>6</v>
      </c>
      <c r="J1650">
        <v>261.14999999999998</v>
      </c>
      <c r="K1650">
        <v>57.72</v>
      </c>
      <c r="L1650">
        <v>17</v>
      </c>
      <c r="M1650">
        <v>4</v>
      </c>
      <c r="N1650">
        <v>66.430000000000007</v>
      </c>
      <c r="O1650">
        <v>32443.05</v>
      </c>
      <c r="P1650">
        <v>99.92</v>
      </c>
      <c r="Q1650">
        <v>204.14</v>
      </c>
      <c r="R1650">
        <v>24.9</v>
      </c>
      <c r="S1650">
        <v>17.37</v>
      </c>
      <c r="T1650">
        <v>1660.98</v>
      </c>
      <c r="U1650">
        <v>0.7</v>
      </c>
      <c r="V1650">
        <v>0.75</v>
      </c>
      <c r="W1650">
        <v>1.1499999999999999</v>
      </c>
      <c r="X1650">
        <v>0.1</v>
      </c>
      <c r="Y1650">
        <v>1</v>
      </c>
      <c r="Z1650">
        <v>10</v>
      </c>
    </row>
    <row r="1651" spans="1:26" x14ac:dyDescent="0.3">
      <c r="A1651">
        <v>65</v>
      </c>
      <c r="B1651">
        <v>120</v>
      </c>
      <c r="C1651" t="s">
        <v>26</v>
      </c>
      <c r="D1651">
        <v>10.239800000000001</v>
      </c>
      <c r="E1651">
        <v>9.77</v>
      </c>
      <c r="F1651">
        <v>6.78</v>
      </c>
      <c r="G1651">
        <v>67.84</v>
      </c>
      <c r="H1651">
        <v>1.17</v>
      </c>
      <c r="I1651">
        <v>6</v>
      </c>
      <c r="J1651">
        <v>261.62</v>
      </c>
      <c r="K1651">
        <v>57.72</v>
      </c>
      <c r="L1651">
        <v>17.25</v>
      </c>
      <c r="M1651">
        <v>4</v>
      </c>
      <c r="N1651">
        <v>66.64</v>
      </c>
      <c r="O1651">
        <v>32500.33</v>
      </c>
      <c r="P1651">
        <v>99.7</v>
      </c>
      <c r="Q1651">
        <v>204.14</v>
      </c>
      <c r="R1651">
        <v>24.75</v>
      </c>
      <c r="S1651">
        <v>17.37</v>
      </c>
      <c r="T1651">
        <v>1586.78</v>
      </c>
      <c r="U1651">
        <v>0.7</v>
      </c>
      <c r="V1651">
        <v>0.75</v>
      </c>
      <c r="W1651">
        <v>1.1399999999999999</v>
      </c>
      <c r="X1651">
        <v>0.09</v>
      </c>
      <c r="Y1651">
        <v>1</v>
      </c>
      <c r="Z1651">
        <v>10</v>
      </c>
    </row>
    <row r="1652" spans="1:26" x14ac:dyDescent="0.3">
      <c r="A1652">
        <v>66</v>
      </c>
      <c r="B1652">
        <v>120</v>
      </c>
      <c r="C1652" t="s">
        <v>26</v>
      </c>
      <c r="D1652">
        <v>10.2287</v>
      </c>
      <c r="E1652">
        <v>9.7799999999999994</v>
      </c>
      <c r="F1652">
        <v>6.79</v>
      </c>
      <c r="G1652">
        <v>67.94</v>
      </c>
      <c r="H1652">
        <v>1.19</v>
      </c>
      <c r="I1652">
        <v>6</v>
      </c>
      <c r="J1652">
        <v>262.08</v>
      </c>
      <c r="K1652">
        <v>57.72</v>
      </c>
      <c r="L1652">
        <v>17.5</v>
      </c>
      <c r="M1652">
        <v>4</v>
      </c>
      <c r="N1652">
        <v>66.86</v>
      </c>
      <c r="O1652">
        <v>32557.69</v>
      </c>
      <c r="P1652">
        <v>99.54</v>
      </c>
      <c r="Q1652">
        <v>204.14</v>
      </c>
      <c r="R1652">
        <v>25.07</v>
      </c>
      <c r="S1652">
        <v>17.37</v>
      </c>
      <c r="T1652">
        <v>1748.41</v>
      </c>
      <c r="U1652">
        <v>0.69</v>
      </c>
      <c r="V1652">
        <v>0.75</v>
      </c>
      <c r="W1652">
        <v>1.1499999999999999</v>
      </c>
      <c r="X1652">
        <v>0.1</v>
      </c>
      <c r="Y1652">
        <v>1</v>
      </c>
      <c r="Z1652">
        <v>10</v>
      </c>
    </row>
    <row r="1653" spans="1:26" x14ac:dyDescent="0.3">
      <c r="A1653">
        <v>67</v>
      </c>
      <c r="B1653">
        <v>120</v>
      </c>
      <c r="C1653" t="s">
        <v>26</v>
      </c>
      <c r="D1653">
        <v>10.304600000000001</v>
      </c>
      <c r="E1653">
        <v>9.6999999999999993</v>
      </c>
      <c r="F1653">
        <v>6.77</v>
      </c>
      <c r="G1653">
        <v>81.209999999999994</v>
      </c>
      <c r="H1653">
        <v>1.2</v>
      </c>
      <c r="I1653">
        <v>5</v>
      </c>
      <c r="J1653">
        <v>262.55</v>
      </c>
      <c r="K1653">
        <v>57.72</v>
      </c>
      <c r="L1653">
        <v>17.75</v>
      </c>
      <c r="M1653">
        <v>3</v>
      </c>
      <c r="N1653">
        <v>67.069999999999993</v>
      </c>
      <c r="O1653">
        <v>32615.119999999999</v>
      </c>
      <c r="P1653">
        <v>98.74</v>
      </c>
      <c r="Q1653">
        <v>204.14</v>
      </c>
      <c r="R1653">
        <v>24.22</v>
      </c>
      <c r="S1653">
        <v>17.37</v>
      </c>
      <c r="T1653">
        <v>1329.57</v>
      </c>
      <c r="U1653">
        <v>0.72</v>
      </c>
      <c r="V1653">
        <v>0.75</v>
      </c>
      <c r="W1653">
        <v>1.1399999999999999</v>
      </c>
      <c r="X1653">
        <v>0.08</v>
      </c>
      <c r="Y1653">
        <v>1</v>
      </c>
      <c r="Z1653">
        <v>10</v>
      </c>
    </row>
    <row r="1654" spans="1:26" x14ac:dyDescent="0.3">
      <c r="A1654">
        <v>68</v>
      </c>
      <c r="B1654">
        <v>120</v>
      </c>
      <c r="C1654" t="s">
        <v>26</v>
      </c>
      <c r="D1654">
        <v>10.299799999999999</v>
      </c>
      <c r="E1654">
        <v>9.7100000000000009</v>
      </c>
      <c r="F1654">
        <v>6.77</v>
      </c>
      <c r="G1654">
        <v>81.27</v>
      </c>
      <c r="H1654">
        <v>1.22</v>
      </c>
      <c r="I1654">
        <v>5</v>
      </c>
      <c r="J1654">
        <v>263.01</v>
      </c>
      <c r="K1654">
        <v>57.72</v>
      </c>
      <c r="L1654">
        <v>18</v>
      </c>
      <c r="M1654">
        <v>3</v>
      </c>
      <c r="N1654">
        <v>67.290000000000006</v>
      </c>
      <c r="O1654">
        <v>32672.639999999999</v>
      </c>
      <c r="P1654">
        <v>99.1</v>
      </c>
      <c r="Q1654">
        <v>204.14</v>
      </c>
      <c r="R1654">
        <v>24.39</v>
      </c>
      <c r="S1654">
        <v>17.37</v>
      </c>
      <c r="T1654">
        <v>1411.35</v>
      </c>
      <c r="U1654">
        <v>0.71</v>
      </c>
      <c r="V1654">
        <v>0.75</v>
      </c>
      <c r="W1654">
        <v>1.1399999999999999</v>
      </c>
      <c r="X1654">
        <v>0.08</v>
      </c>
      <c r="Y1654">
        <v>1</v>
      </c>
      <c r="Z1654">
        <v>10</v>
      </c>
    </row>
    <row r="1655" spans="1:26" x14ac:dyDescent="0.3">
      <c r="A1655">
        <v>69</v>
      </c>
      <c r="B1655">
        <v>120</v>
      </c>
      <c r="C1655" t="s">
        <v>26</v>
      </c>
      <c r="D1655">
        <v>10.2928</v>
      </c>
      <c r="E1655">
        <v>9.7200000000000006</v>
      </c>
      <c r="F1655">
        <v>6.78</v>
      </c>
      <c r="G1655">
        <v>81.349999999999994</v>
      </c>
      <c r="H1655">
        <v>1.23</v>
      </c>
      <c r="I1655">
        <v>5</v>
      </c>
      <c r="J1655">
        <v>263.48</v>
      </c>
      <c r="K1655">
        <v>57.72</v>
      </c>
      <c r="L1655">
        <v>18.25</v>
      </c>
      <c r="M1655">
        <v>3</v>
      </c>
      <c r="N1655">
        <v>67.510000000000005</v>
      </c>
      <c r="O1655">
        <v>32730.240000000002</v>
      </c>
      <c r="P1655">
        <v>99.33</v>
      </c>
      <c r="Q1655">
        <v>204.14</v>
      </c>
      <c r="R1655">
        <v>24.59</v>
      </c>
      <c r="S1655">
        <v>17.37</v>
      </c>
      <c r="T1655">
        <v>1512.47</v>
      </c>
      <c r="U1655">
        <v>0.71</v>
      </c>
      <c r="V1655">
        <v>0.75</v>
      </c>
      <c r="W1655">
        <v>1.1499999999999999</v>
      </c>
      <c r="X1655">
        <v>0.09</v>
      </c>
      <c r="Y1655">
        <v>1</v>
      </c>
      <c r="Z1655">
        <v>10</v>
      </c>
    </row>
    <row r="1656" spans="1:26" x14ac:dyDescent="0.3">
      <c r="A1656">
        <v>70</v>
      </c>
      <c r="B1656">
        <v>120</v>
      </c>
      <c r="C1656" t="s">
        <v>26</v>
      </c>
      <c r="D1656">
        <v>10.300700000000001</v>
      </c>
      <c r="E1656">
        <v>9.7100000000000009</v>
      </c>
      <c r="F1656">
        <v>6.77</v>
      </c>
      <c r="G1656">
        <v>81.260000000000005</v>
      </c>
      <c r="H1656">
        <v>1.25</v>
      </c>
      <c r="I1656">
        <v>5</v>
      </c>
      <c r="J1656">
        <v>263.95</v>
      </c>
      <c r="K1656">
        <v>57.72</v>
      </c>
      <c r="L1656">
        <v>18.5</v>
      </c>
      <c r="M1656">
        <v>3</v>
      </c>
      <c r="N1656">
        <v>67.72</v>
      </c>
      <c r="O1656">
        <v>32787.919999999998</v>
      </c>
      <c r="P1656">
        <v>99.25</v>
      </c>
      <c r="Q1656">
        <v>204.17</v>
      </c>
      <c r="R1656">
        <v>24.34</v>
      </c>
      <c r="S1656">
        <v>17.37</v>
      </c>
      <c r="T1656">
        <v>1387.16</v>
      </c>
      <c r="U1656">
        <v>0.71</v>
      </c>
      <c r="V1656">
        <v>0.75</v>
      </c>
      <c r="W1656">
        <v>1.1399999999999999</v>
      </c>
      <c r="X1656">
        <v>0.08</v>
      </c>
      <c r="Y1656">
        <v>1</v>
      </c>
      <c r="Z1656">
        <v>10</v>
      </c>
    </row>
    <row r="1657" spans="1:26" x14ac:dyDescent="0.3">
      <c r="A1657">
        <v>71</v>
      </c>
      <c r="B1657">
        <v>120</v>
      </c>
      <c r="C1657" t="s">
        <v>26</v>
      </c>
      <c r="D1657">
        <v>10.2987</v>
      </c>
      <c r="E1657">
        <v>9.7100000000000009</v>
      </c>
      <c r="F1657">
        <v>6.77</v>
      </c>
      <c r="G1657">
        <v>81.28</v>
      </c>
      <c r="H1657">
        <v>1.26</v>
      </c>
      <c r="I1657">
        <v>5</v>
      </c>
      <c r="J1657">
        <v>264.42</v>
      </c>
      <c r="K1657">
        <v>57.72</v>
      </c>
      <c r="L1657">
        <v>18.75</v>
      </c>
      <c r="M1657">
        <v>3</v>
      </c>
      <c r="N1657">
        <v>67.94</v>
      </c>
      <c r="O1657">
        <v>32845.69</v>
      </c>
      <c r="P1657">
        <v>99.51</v>
      </c>
      <c r="Q1657">
        <v>204.14</v>
      </c>
      <c r="R1657">
        <v>24.41</v>
      </c>
      <c r="S1657">
        <v>17.37</v>
      </c>
      <c r="T1657">
        <v>1424.48</v>
      </c>
      <c r="U1657">
        <v>0.71</v>
      </c>
      <c r="V1657">
        <v>0.75</v>
      </c>
      <c r="W1657">
        <v>1.1399999999999999</v>
      </c>
      <c r="X1657">
        <v>0.08</v>
      </c>
      <c r="Y1657">
        <v>1</v>
      </c>
      <c r="Z1657">
        <v>10</v>
      </c>
    </row>
    <row r="1658" spans="1:26" x14ac:dyDescent="0.3">
      <c r="A1658">
        <v>72</v>
      </c>
      <c r="B1658">
        <v>120</v>
      </c>
      <c r="C1658" t="s">
        <v>26</v>
      </c>
      <c r="D1658">
        <v>10.2987</v>
      </c>
      <c r="E1658">
        <v>9.7100000000000009</v>
      </c>
      <c r="F1658">
        <v>6.77</v>
      </c>
      <c r="G1658">
        <v>81.28</v>
      </c>
      <c r="H1658">
        <v>1.28</v>
      </c>
      <c r="I1658">
        <v>5</v>
      </c>
      <c r="J1658">
        <v>264.89</v>
      </c>
      <c r="K1658">
        <v>57.72</v>
      </c>
      <c r="L1658">
        <v>19</v>
      </c>
      <c r="M1658">
        <v>3</v>
      </c>
      <c r="N1658">
        <v>68.16</v>
      </c>
      <c r="O1658">
        <v>32903.54</v>
      </c>
      <c r="P1658">
        <v>99.44</v>
      </c>
      <c r="Q1658">
        <v>204.14</v>
      </c>
      <c r="R1658">
        <v>24.47</v>
      </c>
      <c r="S1658">
        <v>17.37</v>
      </c>
      <c r="T1658">
        <v>1452.24</v>
      </c>
      <c r="U1658">
        <v>0.71</v>
      </c>
      <c r="V1658">
        <v>0.75</v>
      </c>
      <c r="W1658">
        <v>1.1399999999999999</v>
      </c>
      <c r="X1658">
        <v>0.08</v>
      </c>
      <c r="Y1658">
        <v>1</v>
      </c>
      <c r="Z1658">
        <v>10</v>
      </c>
    </row>
    <row r="1659" spans="1:26" x14ac:dyDescent="0.3">
      <c r="A1659">
        <v>73</v>
      </c>
      <c r="B1659">
        <v>120</v>
      </c>
      <c r="C1659" t="s">
        <v>26</v>
      </c>
      <c r="D1659">
        <v>10.299300000000001</v>
      </c>
      <c r="E1659">
        <v>9.7100000000000009</v>
      </c>
      <c r="F1659">
        <v>6.77</v>
      </c>
      <c r="G1659">
        <v>81.27</v>
      </c>
      <c r="H1659">
        <v>1.29</v>
      </c>
      <c r="I1659">
        <v>5</v>
      </c>
      <c r="J1659">
        <v>265.36</v>
      </c>
      <c r="K1659">
        <v>57.72</v>
      </c>
      <c r="L1659">
        <v>19.25</v>
      </c>
      <c r="M1659">
        <v>3</v>
      </c>
      <c r="N1659">
        <v>68.38</v>
      </c>
      <c r="O1659">
        <v>32961.47</v>
      </c>
      <c r="P1659">
        <v>99.37</v>
      </c>
      <c r="Q1659">
        <v>204.14</v>
      </c>
      <c r="R1659">
        <v>24.43</v>
      </c>
      <c r="S1659">
        <v>17.37</v>
      </c>
      <c r="T1659">
        <v>1434.22</v>
      </c>
      <c r="U1659">
        <v>0.71</v>
      </c>
      <c r="V1659">
        <v>0.75</v>
      </c>
      <c r="W1659">
        <v>1.1399999999999999</v>
      </c>
      <c r="X1659">
        <v>0.08</v>
      </c>
      <c r="Y1659">
        <v>1</v>
      </c>
      <c r="Z1659">
        <v>10</v>
      </c>
    </row>
    <row r="1660" spans="1:26" x14ac:dyDescent="0.3">
      <c r="A1660">
        <v>74</v>
      </c>
      <c r="B1660">
        <v>120</v>
      </c>
      <c r="C1660" t="s">
        <v>26</v>
      </c>
      <c r="D1660">
        <v>10.295400000000001</v>
      </c>
      <c r="E1660">
        <v>9.7100000000000009</v>
      </c>
      <c r="F1660">
        <v>6.78</v>
      </c>
      <c r="G1660">
        <v>81.319999999999993</v>
      </c>
      <c r="H1660">
        <v>1.31</v>
      </c>
      <c r="I1660">
        <v>5</v>
      </c>
      <c r="J1660">
        <v>265.83</v>
      </c>
      <c r="K1660">
        <v>57.72</v>
      </c>
      <c r="L1660">
        <v>19.5</v>
      </c>
      <c r="M1660">
        <v>3</v>
      </c>
      <c r="N1660">
        <v>68.599999999999994</v>
      </c>
      <c r="O1660">
        <v>33019.480000000003</v>
      </c>
      <c r="P1660">
        <v>99.33</v>
      </c>
      <c r="Q1660">
        <v>204.14</v>
      </c>
      <c r="R1660">
        <v>24.51</v>
      </c>
      <c r="S1660">
        <v>17.37</v>
      </c>
      <c r="T1660">
        <v>1472.26</v>
      </c>
      <c r="U1660">
        <v>0.71</v>
      </c>
      <c r="V1660">
        <v>0.75</v>
      </c>
      <c r="W1660">
        <v>1.1399999999999999</v>
      </c>
      <c r="X1660">
        <v>0.09</v>
      </c>
      <c r="Y1660">
        <v>1</v>
      </c>
      <c r="Z1660">
        <v>10</v>
      </c>
    </row>
    <row r="1661" spans="1:26" x14ac:dyDescent="0.3">
      <c r="A1661">
        <v>75</v>
      </c>
      <c r="B1661">
        <v>120</v>
      </c>
      <c r="C1661" t="s">
        <v>26</v>
      </c>
      <c r="D1661">
        <v>10.2942</v>
      </c>
      <c r="E1661">
        <v>9.7100000000000009</v>
      </c>
      <c r="F1661">
        <v>6.78</v>
      </c>
      <c r="G1661">
        <v>81.33</v>
      </c>
      <c r="H1661">
        <v>1.32</v>
      </c>
      <c r="I1661">
        <v>5</v>
      </c>
      <c r="J1661">
        <v>266.3</v>
      </c>
      <c r="K1661">
        <v>57.72</v>
      </c>
      <c r="L1661">
        <v>19.75</v>
      </c>
      <c r="M1661">
        <v>3</v>
      </c>
      <c r="N1661">
        <v>68.819999999999993</v>
      </c>
      <c r="O1661">
        <v>33077.58</v>
      </c>
      <c r="P1661">
        <v>99.31</v>
      </c>
      <c r="Q1661">
        <v>204.17</v>
      </c>
      <c r="R1661">
        <v>24.53</v>
      </c>
      <c r="S1661">
        <v>17.37</v>
      </c>
      <c r="T1661">
        <v>1479.9</v>
      </c>
      <c r="U1661">
        <v>0.71</v>
      </c>
      <c r="V1661">
        <v>0.75</v>
      </c>
      <c r="W1661">
        <v>1.1499999999999999</v>
      </c>
      <c r="X1661">
        <v>0.09</v>
      </c>
      <c r="Y1661">
        <v>1</v>
      </c>
      <c r="Z1661">
        <v>10</v>
      </c>
    </row>
    <row r="1662" spans="1:26" x14ac:dyDescent="0.3">
      <c r="A1662">
        <v>76</v>
      </c>
      <c r="B1662">
        <v>120</v>
      </c>
      <c r="C1662" t="s">
        <v>26</v>
      </c>
      <c r="D1662">
        <v>10.2972</v>
      </c>
      <c r="E1662">
        <v>9.7100000000000009</v>
      </c>
      <c r="F1662">
        <v>6.77</v>
      </c>
      <c r="G1662">
        <v>81.3</v>
      </c>
      <c r="H1662">
        <v>1.33</v>
      </c>
      <c r="I1662">
        <v>5</v>
      </c>
      <c r="J1662">
        <v>266.77</v>
      </c>
      <c r="K1662">
        <v>57.72</v>
      </c>
      <c r="L1662">
        <v>20</v>
      </c>
      <c r="M1662">
        <v>3</v>
      </c>
      <c r="N1662">
        <v>69.05</v>
      </c>
      <c r="O1662">
        <v>33135.760000000002</v>
      </c>
      <c r="P1662">
        <v>99.08</v>
      </c>
      <c r="Q1662">
        <v>204.14</v>
      </c>
      <c r="R1662">
        <v>24.38</v>
      </c>
      <c r="S1662">
        <v>17.37</v>
      </c>
      <c r="T1662">
        <v>1407.61</v>
      </c>
      <c r="U1662">
        <v>0.71</v>
      </c>
      <c r="V1662">
        <v>0.75</v>
      </c>
      <c r="W1662">
        <v>1.1499999999999999</v>
      </c>
      <c r="X1662">
        <v>0.08</v>
      </c>
      <c r="Y1662">
        <v>1</v>
      </c>
      <c r="Z1662">
        <v>10</v>
      </c>
    </row>
    <row r="1663" spans="1:26" x14ac:dyDescent="0.3">
      <c r="A1663">
        <v>77</v>
      </c>
      <c r="B1663">
        <v>120</v>
      </c>
      <c r="C1663" t="s">
        <v>26</v>
      </c>
      <c r="D1663">
        <v>10.301</v>
      </c>
      <c r="E1663">
        <v>9.7100000000000009</v>
      </c>
      <c r="F1663">
        <v>6.77</v>
      </c>
      <c r="G1663">
        <v>81.25</v>
      </c>
      <c r="H1663">
        <v>1.35</v>
      </c>
      <c r="I1663">
        <v>5</v>
      </c>
      <c r="J1663">
        <v>267.24</v>
      </c>
      <c r="K1663">
        <v>57.72</v>
      </c>
      <c r="L1663">
        <v>20.25</v>
      </c>
      <c r="M1663">
        <v>3</v>
      </c>
      <c r="N1663">
        <v>69.27</v>
      </c>
      <c r="O1663">
        <v>33194.019999999997</v>
      </c>
      <c r="P1663">
        <v>98.96</v>
      </c>
      <c r="Q1663">
        <v>204.14</v>
      </c>
      <c r="R1663">
        <v>24.35</v>
      </c>
      <c r="S1663">
        <v>17.37</v>
      </c>
      <c r="T1663">
        <v>1393.22</v>
      </c>
      <c r="U1663">
        <v>0.71</v>
      </c>
      <c r="V1663">
        <v>0.75</v>
      </c>
      <c r="W1663">
        <v>1.1399999999999999</v>
      </c>
      <c r="X1663">
        <v>0.08</v>
      </c>
      <c r="Y1663">
        <v>1</v>
      </c>
      <c r="Z1663">
        <v>10</v>
      </c>
    </row>
    <row r="1664" spans="1:26" x14ac:dyDescent="0.3">
      <c r="A1664">
        <v>78</v>
      </c>
      <c r="B1664">
        <v>120</v>
      </c>
      <c r="C1664" t="s">
        <v>26</v>
      </c>
      <c r="D1664">
        <v>10.306900000000001</v>
      </c>
      <c r="E1664">
        <v>9.6999999999999993</v>
      </c>
      <c r="F1664">
        <v>6.77</v>
      </c>
      <c r="G1664">
        <v>81.19</v>
      </c>
      <c r="H1664">
        <v>1.36</v>
      </c>
      <c r="I1664">
        <v>5</v>
      </c>
      <c r="J1664">
        <v>267.70999999999998</v>
      </c>
      <c r="K1664">
        <v>57.72</v>
      </c>
      <c r="L1664">
        <v>20.5</v>
      </c>
      <c r="M1664">
        <v>3</v>
      </c>
      <c r="N1664">
        <v>69.489999999999995</v>
      </c>
      <c r="O1664">
        <v>33252.370000000003</v>
      </c>
      <c r="P1664">
        <v>98.67</v>
      </c>
      <c r="Q1664">
        <v>204.14</v>
      </c>
      <c r="R1664">
        <v>24.15</v>
      </c>
      <c r="S1664">
        <v>17.37</v>
      </c>
      <c r="T1664">
        <v>1294.75</v>
      </c>
      <c r="U1664">
        <v>0.72</v>
      </c>
      <c r="V1664">
        <v>0.75</v>
      </c>
      <c r="W1664">
        <v>1.1399999999999999</v>
      </c>
      <c r="X1664">
        <v>7.0000000000000007E-2</v>
      </c>
      <c r="Y1664">
        <v>1</v>
      </c>
      <c r="Z1664">
        <v>10</v>
      </c>
    </row>
    <row r="1665" spans="1:26" x14ac:dyDescent="0.3">
      <c r="A1665">
        <v>79</v>
      </c>
      <c r="B1665">
        <v>120</v>
      </c>
      <c r="C1665" t="s">
        <v>26</v>
      </c>
      <c r="D1665">
        <v>10.3102</v>
      </c>
      <c r="E1665">
        <v>9.6999999999999993</v>
      </c>
      <c r="F1665">
        <v>6.76</v>
      </c>
      <c r="G1665">
        <v>81.150000000000006</v>
      </c>
      <c r="H1665">
        <v>1.38</v>
      </c>
      <c r="I1665">
        <v>5</v>
      </c>
      <c r="J1665">
        <v>268.19</v>
      </c>
      <c r="K1665">
        <v>57.72</v>
      </c>
      <c r="L1665">
        <v>20.75</v>
      </c>
      <c r="M1665">
        <v>3</v>
      </c>
      <c r="N1665">
        <v>69.709999999999994</v>
      </c>
      <c r="O1665">
        <v>33310.81</v>
      </c>
      <c r="P1665">
        <v>98.33</v>
      </c>
      <c r="Q1665">
        <v>204.14</v>
      </c>
      <c r="R1665">
        <v>24.09</v>
      </c>
      <c r="S1665">
        <v>17.37</v>
      </c>
      <c r="T1665">
        <v>1263.74</v>
      </c>
      <c r="U1665">
        <v>0.72</v>
      </c>
      <c r="V1665">
        <v>0.76</v>
      </c>
      <c r="W1665">
        <v>1.1399999999999999</v>
      </c>
      <c r="X1665">
        <v>7.0000000000000007E-2</v>
      </c>
      <c r="Y1665">
        <v>1</v>
      </c>
      <c r="Z1665">
        <v>10</v>
      </c>
    </row>
    <row r="1666" spans="1:26" x14ac:dyDescent="0.3">
      <c r="A1666">
        <v>80</v>
      </c>
      <c r="B1666">
        <v>120</v>
      </c>
      <c r="C1666" t="s">
        <v>26</v>
      </c>
      <c r="D1666">
        <v>10.3093</v>
      </c>
      <c r="E1666">
        <v>9.6999999999999993</v>
      </c>
      <c r="F1666">
        <v>6.76</v>
      </c>
      <c r="G1666">
        <v>81.16</v>
      </c>
      <c r="H1666">
        <v>1.39</v>
      </c>
      <c r="I1666">
        <v>5</v>
      </c>
      <c r="J1666">
        <v>268.66000000000003</v>
      </c>
      <c r="K1666">
        <v>57.72</v>
      </c>
      <c r="L1666">
        <v>21</v>
      </c>
      <c r="M1666">
        <v>3</v>
      </c>
      <c r="N1666">
        <v>69.94</v>
      </c>
      <c r="O1666">
        <v>33369.33</v>
      </c>
      <c r="P1666">
        <v>98.07</v>
      </c>
      <c r="Q1666">
        <v>204.14</v>
      </c>
      <c r="R1666">
        <v>24.05</v>
      </c>
      <c r="S1666">
        <v>17.37</v>
      </c>
      <c r="T1666">
        <v>1243.03</v>
      </c>
      <c r="U1666">
        <v>0.72</v>
      </c>
      <c r="V1666">
        <v>0.76</v>
      </c>
      <c r="W1666">
        <v>1.1399999999999999</v>
      </c>
      <c r="X1666">
        <v>7.0000000000000007E-2</v>
      </c>
      <c r="Y1666">
        <v>1</v>
      </c>
      <c r="Z1666">
        <v>10</v>
      </c>
    </row>
    <row r="1667" spans="1:26" x14ac:dyDescent="0.3">
      <c r="A1667">
        <v>81</v>
      </c>
      <c r="B1667">
        <v>120</v>
      </c>
      <c r="C1667" t="s">
        <v>26</v>
      </c>
      <c r="D1667">
        <v>10.3066</v>
      </c>
      <c r="E1667">
        <v>9.6999999999999993</v>
      </c>
      <c r="F1667">
        <v>6.77</v>
      </c>
      <c r="G1667">
        <v>81.19</v>
      </c>
      <c r="H1667">
        <v>1.41</v>
      </c>
      <c r="I1667">
        <v>5</v>
      </c>
      <c r="J1667">
        <v>269.14</v>
      </c>
      <c r="K1667">
        <v>57.72</v>
      </c>
      <c r="L1667">
        <v>21.25</v>
      </c>
      <c r="M1667">
        <v>3</v>
      </c>
      <c r="N1667">
        <v>70.16</v>
      </c>
      <c r="O1667">
        <v>33427.94</v>
      </c>
      <c r="P1667">
        <v>97.75</v>
      </c>
      <c r="Q1667">
        <v>204.14</v>
      </c>
      <c r="R1667">
        <v>24.16</v>
      </c>
      <c r="S1667">
        <v>17.37</v>
      </c>
      <c r="T1667">
        <v>1296.5999999999999</v>
      </c>
      <c r="U1667">
        <v>0.72</v>
      </c>
      <c r="V1667">
        <v>0.75</v>
      </c>
      <c r="W1667">
        <v>1.1399999999999999</v>
      </c>
      <c r="X1667">
        <v>7.0000000000000007E-2</v>
      </c>
      <c r="Y1667">
        <v>1</v>
      </c>
      <c r="Z1667">
        <v>10</v>
      </c>
    </row>
    <row r="1668" spans="1:26" x14ac:dyDescent="0.3">
      <c r="A1668">
        <v>82</v>
      </c>
      <c r="B1668">
        <v>120</v>
      </c>
      <c r="C1668" t="s">
        <v>26</v>
      </c>
      <c r="D1668">
        <v>10.3081</v>
      </c>
      <c r="E1668">
        <v>9.6999999999999993</v>
      </c>
      <c r="F1668">
        <v>6.76</v>
      </c>
      <c r="G1668">
        <v>81.17</v>
      </c>
      <c r="H1668">
        <v>1.42</v>
      </c>
      <c r="I1668">
        <v>5</v>
      </c>
      <c r="J1668">
        <v>269.61</v>
      </c>
      <c r="K1668">
        <v>57.72</v>
      </c>
      <c r="L1668">
        <v>21.5</v>
      </c>
      <c r="M1668">
        <v>3</v>
      </c>
      <c r="N1668">
        <v>70.39</v>
      </c>
      <c r="O1668">
        <v>33486.629999999997</v>
      </c>
      <c r="P1668">
        <v>97.38</v>
      </c>
      <c r="Q1668">
        <v>204.14</v>
      </c>
      <c r="R1668">
        <v>24.17</v>
      </c>
      <c r="S1668">
        <v>17.37</v>
      </c>
      <c r="T1668">
        <v>1304.47</v>
      </c>
      <c r="U1668">
        <v>0.72</v>
      </c>
      <c r="V1668">
        <v>0.75</v>
      </c>
      <c r="W1668">
        <v>1.1399999999999999</v>
      </c>
      <c r="X1668">
        <v>7.0000000000000007E-2</v>
      </c>
      <c r="Y1668">
        <v>1</v>
      </c>
      <c r="Z1668">
        <v>10</v>
      </c>
    </row>
    <row r="1669" spans="1:26" x14ac:dyDescent="0.3">
      <c r="A1669">
        <v>83</v>
      </c>
      <c r="B1669">
        <v>120</v>
      </c>
      <c r="C1669" t="s">
        <v>26</v>
      </c>
      <c r="D1669">
        <v>10.3034</v>
      </c>
      <c r="E1669">
        <v>9.7100000000000009</v>
      </c>
      <c r="F1669">
        <v>6.77</v>
      </c>
      <c r="G1669">
        <v>81.23</v>
      </c>
      <c r="H1669">
        <v>1.43</v>
      </c>
      <c r="I1669">
        <v>5</v>
      </c>
      <c r="J1669">
        <v>270.08999999999997</v>
      </c>
      <c r="K1669">
        <v>57.72</v>
      </c>
      <c r="L1669">
        <v>21.75</v>
      </c>
      <c r="M1669">
        <v>3</v>
      </c>
      <c r="N1669">
        <v>70.62</v>
      </c>
      <c r="O1669">
        <v>33545.410000000003</v>
      </c>
      <c r="P1669">
        <v>97.38</v>
      </c>
      <c r="Q1669">
        <v>204.14</v>
      </c>
      <c r="R1669">
        <v>24.27</v>
      </c>
      <c r="S1669">
        <v>17.37</v>
      </c>
      <c r="T1669">
        <v>1354.65</v>
      </c>
      <c r="U1669">
        <v>0.72</v>
      </c>
      <c r="V1669">
        <v>0.75</v>
      </c>
      <c r="W1669">
        <v>1.1399999999999999</v>
      </c>
      <c r="X1669">
        <v>0.08</v>
      </c>
      <c r="Y1669">
        <v>1</v>
      </c>
      <c r="Z1669">
        <v>10</v>
      </c>
    </row>
    <row r="1670" spans="1:26" x14ac:dyDescent="0.3">
      <c r="A1670">
        <v>84</v>
      </c>
      <c r="B1670">
        <v>120</v>
      </c>
      <c r="C1670" t="s">
        <v>26</v>
      </c>
      <c r="D1670">
        <v>10.301</v>
      </c>
      <c r="E1670">
        <v>9.7100000000000009</v>
      </c>
      <c r="F1670">
        <v>6.77</v>
      </c>
      <c r="G1670">
        <v>81.25</v>
      </c>
      <c r="H1670">
        <v>1.45</v>
      </c>
      <c r="I1670">
        <v>5</v>
      </c>
      <c r="J1670">
        <v>270.57</v>
      </c>
      <c r="K1670">
        <v>57.72</v>
      </c>
      <c r="L1670">
        <v>22</v>
      </c>
      <c r="M1670">
        <v>3</v>
      </c>
      <c r="N1670">
        <v>70.84</v>
      </c>
      <c r="O1670">
        <v>33604.28</v>
      </c>
      <c r="P1670">
        <v>97.33</v>
      </c>
      <c r="Q1670">
        <v>204.14</v>
      </c>
      <c r="R1670">
        <v>24.32</v>
      </c>
      <c r="S1670">
        <v>17.37</v>
      </c>
      <c r="T1670">
        <v>1377.23</v>
      </c>
      <c r="U1670">
        <v>0.71</v>
      </c>
      <c r="V1670">
        <v>0.75</v>
      </c>
      <c r="W1670">
        <v>1.1399999999999999</v>
      </c>
      <c r="X1670">
        <v>0.08</v>
      </c>
      <c r="Y1670">
        <v>1</v>
      </c>
      <c r="Z1670">
        <v>10</v>
      </c>
    </row>
    <row r="1671" spans="1:26" x14ac:dyDescent="0.3">
      <c r="A1671">
        <v>85</v>
      </c>
      <c r="B1671">
        <v>120</v>
      </c>
      <c r="C1671" t="s">
        <v>26</v>
      </c>
      <c r="D1671">
        <v>10.301</v>
      </c>
      <c r="E1671">
        <v>9.7100000000000009</v>
      </c>
      <c r="F1671">
        <v>6.77</v>
      </c>
      <c r="G1671">
        <v>81.25</v>
      </c>
      <c r="H1671">
        <v>1.46</v>
      </c>
      <c r="I1671">
        <v>5</v>
      </c>
      <c r="J1671">
        <v>271.05</v>
      </c>
      <c r="K1671">
        <v>57.72</v>
      </c>
      <c r="L1671">
        <v>22.25</v>
      </c>
      <c r="M1671">
        <v>3</v>
      </c>
      <c r="N1671">
        <v>71.069999999999993</v>
      </c>
      <c r="O1671">
        <v>33663.24</v>
      </c>
      <c r="P1671">
        <v>97.19</v>
      </c>
      <c r="Q1671">
        <v>204.14</v>
      </c>
      <c r="R1671">
        <v>24.42</v>
      </c>
      <c r="S1671">
        <v>17.37</v>
      </c>
      <c r="T1671">
        <v>1425.75</v>
      </c>
      <c r="U1671">
        <v>0.71</v>
      </c>
      <c r="V1671">
        <v>0.75</v>
      </c>
      <c r="W1671">
        <v>1.1399999999999999</v>
      </c>
      <c r="X1671">
        <v>0.08</v>
      </c>
      <c r="Y1671">
        <v>1</v>
      </c>
      <c r="Z1671">
        <v>10</v>
      </c>
    </row>
    <row r="1672" spans="1:26" x14ac:dyDescent="0.3">
      <c r="A1672">
        <v>86</v>
      </c>
      <c r="B1672">
        <v>120</v>
      </c>
      <c r="C1672" t="s">
        <v>26</v>
      </c>
      <c r="D1672">
        <v>10.2987</v>
      </c>
      <c r="E1672">
        <v>9.7100000000000009</v>
      </c>
      <c r="F1672">
        <v>6.77</v>
      </c>
      <c r="G1672">
        <v>81.28</v>
      </c>
      <c r="H1672">
        <v>1.47</v>
      </c>
      <c r="I1672">
        <v>5</v>
      </c>
      <c r="J1672">
        <v>271.52</v>
      </c>
      <c r="K1672">
        <v>57.72</v>
      </c>
      <c r="L1672">
        <v>22.5</v>
      </c>
      <c r="M1672">
        <v>3</v>
      </c>
      <c r="N1672">
        <v>71.3</v>
      </c>
      <c r="O1672">
        <v>33722.28</v>
      </c>
      <c r="P1672">
        <v>96.9</v>
      </c>
      <c r="Q1672">
        <v>204.14</v>
      </c>
      <c r="R1672">
        <v>24.33</v>
      </c>
      <c r="S1672">
        <v>17.37</v>
      </c>
      <c r="T1672">
        <v>1380.28</v>
      </c>
      <c r="U1672">
        <v>0.71</v>
      </c>
      <c r="V1672">
        <v>0.75</v>
      </c>
      <c r="W1672">
        <v>1.1499999999999999</v>
      </c>
      <c r="X1672">
        <v>0.08</v>
      </c>
      <c r="Y1672">
        <v>1</v>
      </c>
      <c r="Z1672">
        <v>10</v>
      </c>
    </row>
    <row r="1673" spans="1:26" x14ac:dyDescent="0.3">
      <c r="A1673">
        <v>87</v>
      </c>
      <c r="B1673">
        <v>120</v>
      </c>
      <c r="C1673" t="s">
        <v>26</v>
      </c>
      <c r="D1673">
        <v>10.305099999999999</v>
      </c>
      <c r="E1673">
        <v>9.6999999999999993</v>
      </c>
      <c r="F1673">
        <v>6.77</v>
      </c>
      <c r="G1673">
        <v>81.209999999999994</v>
      </c>
      <c r="H1673">
        <v>1.49</v>
      </c>
      <c r="I1673">
        <v>5</v>
      </c>
      <c r="J1673">
        <v>272</v>
      </c>
      <c r="K1673">
        <v>57.72</v>
      </c>
      <c r="L1673">
        <v>22.75</v>
      </c>
      <c r="M1673">
        <v>3</v>
      </c>
      <c r="N1673">
        <v>71.53</v>
      </c>
      <c r="O1673">
        <v>33781.410000000003</v>
      </c>
      <c r="P1673">
        <v>96.51</v>
      </c>
      <c r="Q1673">
        <v>204.14</v>
      </c>
      <c r="R1673">
        <v>24.22</v>
      </c>
      <c r="S1673">
        <v>17.37</v>
      </c>
      <c r="T1673">
        <v>1327.94</v>
      </c>
      <c r="U1673">
        <v>0.72</v>
      </c>
      <c r="V1673">
        <v>0.75</v>
      </c>
      <c r="W1673">
        <v>1.1399999999999999</v>
      </c>
      <c r="X1673">
        <v>0.08</v>
      </c>
      <c r="Y1673">
        <v>1</v>
      </c>
      <c r="Z1673">
        <v>10</v>
      </c>
    </row>
    <row r="1674" spans="1:26" x14ac:dyDescent="0.3">
      <c r="A1674">
        <v>88</v>
      </c>
      <c r="B1674">
        <v>120</v>
      </c>
      <c r="C1674" t="s">
        <v>26</v>
      </c>
      <c r="D1674">
        <v>10.3773</v>
      </c>
      <c r="E1674">
        <v>9.64</v>
      </c>
      <c r="F1674">
        <v>6.75</v>
      </c>
      <c r="G1674">
        <v>101.18</v>
      </c>
      <c r="H1674">
        <v>1.5</v>
      </c>
      <c r="I1674">
        <v>4</v>
      </c>
      <c r="J1674">
        <v>272.49</v>
      </c>
      <c r="K1674">
        <v>57.72</v>
      </c>
      <c r="L1674">
        <v>23</v>
      </c>
      <c r="M1674">
        <v>2</v>
      </c>
      <c r="N1674">
        <v>71.760000000000005</v>
      </c>
      <c r="O1674">
        <v>33840.76</v>
      </c>
      <c r="P1674">
        <v>95.96</v>
      </c>
      <c r="Q1674">
        <v>204.14</v>
      </c>
      <c r="R1674">
        <v>23.45</v>
      </c>
      <c r="S1674">
        <v>17.37</v>
      </c>
      <c r="T1674">
        <v>948.74</v>
      </c>
      <c r="U1674">
        <v>0.74</v>
      </c>
      <c r="V1674">
        <v>0.76</v>
      </c>
      <c r="W1674">
        <v>1.1399999999999999</v>
      </c>
      <c r="X1674">
        <v>0.05</v>
      </c>
      <c r="Y1674">
        <v>1</v>
      </c>
      <c r="Z1674">
        <v>10</v>
      </c>
    </row>
    <row r="1675" spans="1:26" x14ac:dyDescent="0.3">
      <c r="A1675">
        <v>89</v>
      </c>
      <c r="B1675">
        <v>120</v>
      </c>
      <c r="C1675" t="s">
        <v>26</v>
      </c>
      <c r="D1675">
        <v>10.3788</v>
      </c>
      <c r="E1675">
        <v>9.64</v>
      </c>
      <c r="F1675">
        <v>6.74</v>
      </c>
      <c r="G1675">
        <v>101.16</v>
      </c>
      <c r="H1675">
        <v>1.52</v>
      </c>
      <c r="I1675">
        <v>4</v>
      </c>
      <c r="J1675">
        <v>272.97000000000003</v>
      </c>
      <c r="K1675">
        <v>57.72</v>
      </c>
      <c r="L1675">
        <v>23.25</v>
      </c>
      <c r="M1675">
        <v>2</v>
      </c>
      <c r="N1675">
        <v>71.989999999999995</v>
      </c>
      <c r="O1675">
        <v>33900.07</v>
      </c>
      <c r="P1675">
        <v>95.99</v>
      </c>
      <c r="Q1675">
        <v>204.14</v>
      </c>
      <c r="R1675">
        <v>23.49</v>
      </c>
      <c r="S1675">
        <v>17.37</v>
      </c>
      <c r="T1675">
        <v>967.48</v>
      </c>
      <c r="U1675">
        <v>0.74</v>
      </c>
      <c r="V1675">
        <v>0.76</v>
      </c>
      <c r="W1675">
        <v>1.1399999999999999</v>
      </c>
      <c r="X1675">
        <v>0.05</v>
      </c>
      <c r="Y1675">
        <v>1</v>
      </c>
      <c r="Z1675">
        <v>10</v>
      </c>
    </row>
    <row r="1676" spans="1:26" x14ac:dyDescent="0.3">
      <c r="A1676">
        <v>90</v>
      </c>
      <c r="B1676">
        <v>120</v>
      </c>
      <c r="C1676" t="s">
        <v>26</v>
      </c>
      <c r="D1676">
        <v>10.3743</v>
      </c>
      <c r="E1676">
        <v>9.64</v>
      </c>
      <c r="F1676">
        <v>6.75</v>
      </c>
      <c r="G1676">
        <v>101.22</v>
      </c>
      <c r="H1676">
        <v>1.53</v>
      </c>
      <c r="I1676">
        <v>4</v>
      </c>
      <c r="J1676">
        <v>273.45</v>
      </c>
      <c r="K1676">
        <v>57.72</v>
      </c>
      <c r="L1676">
        <v>23.5</v>
      </c>
      <c r="M1676">
        <v>2</v>
      </c>
      <c r="N1676">
        <v>72.22</v>
      </c>
      <c r="O1676">
        <v>33959.47</v>
      </c>
      <c r="P1676">
        <v>96.11</v>
      </c>
      <c r="Q1676">
        <v>204.14</v>
      </c>
      <c r="R1676">
        <v>23.56</v>
      </c>
      <c r="S1676">
        <v>17.37</v>
      </c>
      <c r="T1676">
        <v>1002.09</v>
      </c>
      <c r="U1676">
        <v>0.74</v>
      </c>
      <c r="V1676">
        <v>0.76</v>
      </c>
      <c r="W1676">
        <v>1.1399999999999999</v>
      </c>
      <c r="X1676">
        <v>0.06</v>
      </c>
      <c r="Y1676">
        <v>1</v>
      </c>
      <c r="Z1676">
        <v>10</v>
      </c>
    </row>
    <row r="1677" spans="1:26" x14ac:dyDescent="0.3">
      <c r="A1677">
        <v>91</v>
      </c>
      <c r="B1677">
        <v>120</v>
      </c>
      <c r="C1677" t="s">
        <v>26</v>
      </c>
      <c r="D1677">
        <v>10.3719</v>
      </c>
      <c r="E1677">
        <v>9.64</v>
      </c>
      <c r="F1677">
        <v>6.75</v>
      </c>
      <c r="G1677">
        <v>101.25</v>
      </c>
      <c r="H1677">
        <v>1.54</v>
      </c>
      <c r="I1677">
        <v>4</v>
      </c>
      <c r="J1677">
        <v>273.93</v>
      </c>
      <c r="K1677">
        <v>57.72</v>
      </c>
      <c r="L1677">
        <v>23.75</v>
      </c>
      <c r="M1677">
        <v>2</v>
      </c>
      <c r="N1677">
        <v>72.459999999999994</v>
      </c>
      <c r="O1677">
        <v>34018.959999999999</v>
      </c>
      <c r="P1677">
        <v>96.37</v>
      </c>
      <c r="Q1677">
        <v>204.14</v>
      </c>
      <c r="R1677">
        <v>23.66</v>
      </c>
      <c r="S1677">
        <v>17.37</v>
      </c>
      <c r="T1677">
        <v>1053.22</v>
      </c>
      <c r="U1677">
        <v>0.73</v>
      </c>
      <c r="V1677">
        <v>0.76</v>
      </c>
      <c r="W1677">
        <v>1.1399999999999999</v>
      </c>
      <c r="X1677">
        <v>0.06</v>
      </c>
      <c r="Y1677">
        <v>1</v>
      </c>
      <c r="Z1677">
        <v>10</v>
      </c>
    </row>
    <row r="1678" spans="1:26" x14ac:dyDescent="0.3">
      <c r="A1678">
        <v>92</v>
      </c>
      <c r="B1678">
        <v>120</v>
      </c>
      <c r="C1678" t="s">
        <v>26</v>
      </c>
      <c r="D1678">
        <v>10.371700000000001</v>
      </c>
      <c r="E1678">
        <v>9.64</v>
      </c>
      <c r="F1678">
        <v>6.75</v>
      </c>
      <c r="G1678">
        <v>101.26</v>
      </c>
      <c r="H1678">
        <v>1.56</v>
      </c>
      <c r="I1678">
        <v>4</v>
      </c>
      <c r="J1678">
        <v>274.41000000000003</v>
      </c>
      <c r="K1678">
        <v>57.72</v>
      </c>
      <c r="L1678">
        <v>24</v>
      </c>
      <c r="M1678">
        <v>2</v>
      </c>
      <c r="N1678">
        <v>72.69</v>
      </c>
      <c r="O1678">
        <v>34078.550000000003</v>
      </c>
      <c r="P1678">
        <v>96.5</v>
      </c>
      <c r="Q1678">
        <v>204.14</v>
      </c>
      <c r="R1678">
        <v>23.64</v>
      </c>
      <c r="S1678">
        <v>17.37</v>
      </c>
      <c r="T1678">
        <v>1040.1600000000001</v>
      </c>
      <c r="U1678">
        <v>0.74</v>
      </c>
      <c r="V1678">
        <v>0.76</v>
      </c>
      <c r="W1678">
        <v>1.1399999999999999</v>
      </c>
      <c r="X1678">
        <v>0.06</v>
      </c>
      <c r="Y1678">
        <v>1</v>
      </c>
      <c r="Z1678">
        <v>10</v>
      </c>
    </row>
    <row r="1679" spans="1:26" x14ac:dyDescent="0.3">
      <c r="A1679">
        <v>93</v>
      </c>
      <c r="B1679">
        <v>120</v>
      </c>
      <c r="C1679" t="s">
        <v>26</v>
      </c>
      <c r="D1679">
        <v>10.369</v>
      </c>
      <c r="E1679">
        <v>9.64</v>
      </c>
      <c r="F1679">
        <v>6.75</v>
      </c>
      <c r="G1679">
        <v>101.3</v>
      </c>
      <c r="H1679">
        <v>1.57</v>
      </c>
      <c r="I1679">
        <v>4</v>
      </c>
      <c r="J1679">
        <v>274.89999999999998</v>
      </c>
      <c r="K1679">
        <v>57.72</v>
      </c>
      <c r="L1679">
        <v>24.25</v>
      </c>
      <c r="M1679">
        <v>2</v>
      </c>
      <c r="N1679">
        <v>72.92</v>
      </c>
      <c r="O1679">
        <v>34138.22</v>
      </c>
      <c r="P1679">
        <v>96.49</v>
      </c>
      <c r="Q1679">
        <v>204.14</v>
      </c>
      <c r="R1679">
        <v>23.72</v>
      </c>
      <c r="S1679">
        <v>17.37</v>
      </c>
      <c r="T1679">
        <v>1084.67</v>
      </c>
      <c r="U1679">
        <v>0.73</v>
      </c>
      <c r="V1679">
        <v>0.76</v>
      </c>
      <c r="W1679">
        <v>1.1399999999999999</v>
      </c>
      <c r="X1679">
        <v>0.06</v>
      </c>
      <c r="Y1679">
        <v>1</v>
      </c>
      <c r="Z1679">
        <v>10</v>
      </c>
    </row>
    <row r="1680" spans="1:26" x14ac:dyDescent="0.3">
      <c r="A1680">
        <v>94</v>
      </c>
      <c r="B1680">
        <v>120</v>
      </c>
      <c r="C1680" t="s">
        <v>26</v>
      </c>
      <c r="D1680">
        <v>10.376099999999999</v>
      </c>
      <c r="E1680">
        <v>9.64</v>
      </c>
      <c r="F1680">
        <v>6.75</v>
      </c>
      <c r="G1680">
        <v>101.2</v>
      </c>
      <c r="H1680">
        <v>1.58</v>
      </c>
      <c r="I1680">
        <v>4</v>
      </c>
      <c r="J1680">
        <v>275.38</v>
      </c>
      <c r="K1680">
        <v>57.72</v>
      </c>
      <c r="L1680">
        <v>24.5</v>
      </c>
      <c r="M1680">
        <v>2</v>
      </c>
      <c r="N1680">
        <v>73.16</v>
      </c>
      <c r="O1680">
        <v>34197.980000000003</v>
      </c>
      <c r="P1680">
        <v>96.62</v>
      </c>
      <c r="Q1680">
        <v>204.14</v>
      </c>
      <c r="R1680">
        <v>23.59</v>
      </c>
      <c r="S1680">
        <v>17.37</v>
      </c>
      <c r="T1680">
        <v>1017.34</v>
      </c>
      <c r="U1680">
        <v>0.74</v>
      </c>
      <c r="V1680">
        <v>0.76</v>
      </c>
      <c r="W1680">
        <v>1.1399999999999999</v>
      </c>
      <c r="X1680">
        <v>0.06</v>
      </c>
      <c r="Y1680">
        <v>1</v>
      </c>
      <c r="Z1680">
        <v>10</v>
      </c>
    </row>
    <row r="1681" spans="1:26" x14ac:dyDescent="0.3">
      <c r="A1681">
        <v>95</v>
      </c>
      <c r="B1681">
        <v>120</v>
      </c>
      <c r="C1681" t="s">
        <v>26</v>
      </c>
      <c r="D1681">
        <v>10.379099999999999</v>
      </c>
      <c r="E1681">
        <v>9.6300000000000008</v>
      </c>
      <c r="F1681">
        <v>6.74</v>
      </c>
      <c r="G1681">
        <v>101.15</v>
      </c>
      <c r="H1681">
        <v>1.6</v>
      </c>
      <c r="I1681">
        <v>4</v>
      </c>
      <c r="J1681">
        <v>275.87</v>
      </c>
      <c r="K1681">
        <v>57.72</v>
      </c>
      <c r="L1681">
        <v>24.75</v>
      </c>
      <c r="M1681">
        <v>2</v>
      </c>
      <c r="N1681">
        <v>73.39</v>
      </c>
      <c r="O1681">
        <v>34257.839999999997</v>
      </c>
      <c r="P1681">
        <v>96.66</v>
      </c>
      <c r="Q1681">
        <v>204.14</v>
      </c>
      <c r="R1681">
        <v>23.54</v>
      </c>
      <c r="S1681">
        <v>17.37</v>
      </c>
      <c r="T1681">
        <v>993.72</v>
      </c>
      <c r="U1681">
        <v>0.74</v>
      </c>
      <c r="V1681">
        <v>0.76</v>
      </c>
      <c r="W1681">
        <v>1.1399999999999999</v>
      </c>
      <c r="X1681">
        <v>0.05</v>
      </c>
      <c r="Y1681">
        <v>1</v>
      </c>
      <c r="Z1681">
        <v>10</v>
      </c>
    </row>
    <row r="1682" spans="1:26" x14ac:dyDescent="0.3">
      <c r="A1682">
        <v>96</v>
      </c>
      <c r="B1682">
        <v>120</v>
      </c>
      <c r="C1682" t="s">
        <v>26</v>
      </c>
      <c r="D1682">
        <v>10.382400000000001</v>
      </c>
      <c r="E1682">
        <v>9.6300000000000008</v>
      </c>
      <c r="F1682">
        <v>6.74</v>
      </c>
      <c r="G1682">
        <v>101.11</v>
      </c>
      <c r="H1682">
        <v>1.61</v>
      </c>
      <c r="I1682">
        <v>4</v>
      </c>
      <c r="J1682">
        <v>276.35000000000002</v>
      </c>
      <c r="K1682">
        <v>57.72</v>
      </c>
      <c r="L1682">
        <v>25</v>
      </c>
      <c r="M1682">
        <v>2</v>
      </c>
      <c r="N1682">
        <v>73.63</v>
      </c>
      <c r="O1682">
        <v>34317.79</v>
      </c>
      <c r="P1682">
        <v>96.72</v>
      </c>
      <c r="Q1682">
        <v>204.14</v>
      </c>
      <c r="R1682">
        <v>23.42</v>
      </c>
      <c r="S1682">
        <v>17.37</v>
      </c>
      <c r="T1682">
        <v>932.34</v>
      </c>
      <c r="U1682">
        <v>0.74</v>
      </c>
      <c r="V1682">
        <v>0.76</v>
      </c>
      <c r="W1682">
        <v>1.1399999999999999</v>
      </c>
      <c r="X1682">
        <v>0.05</v>
      </c>
      <c r="Y1682">
        <v>1</v>
      </c>
      <c r="Z1682">
        <v>10</v>
      </c>
    </row>
    <row r="1683" spans="1:26" x14ac:dyDescent="0.3">
      <c r="A1683">
        <v>97</v>
      </c>
      <c r="B1683">
        <v>120</v>
      </c>
      <c r="C1683" t="s">
        <v>26</v>
      </c>
      <c r="D1683">
        <v>10.3749</v>
      </c>
      <c r="E1683">
        <v>9.64</v>
      </c>
      <c r="F1683">
        <v>6.75</v>
      </c>
      <c r="G1683">
        <v>101.21</v>
      </c>
      <c r="H1683">
        <v>1.62</v>
      </c>
      <c r="I1683">
        <v>4</v>
      </c>
      <c r="J1683">
        <v>276.83999999999997</v>
      </c>
      <c r="K1683">
        <v>57.72</v>
      </c>
      <c r="L1683">
        <v>25.25</v>
      </c>
      <c r="M1683">
        <v>2</v>
      </c>
      <c r="N1683">
        <v>73.87</v>
      </c>
      <c r="O1683">
        <v>34377.83</v>
      </c>
      <c r="P1683">
        <v>96.81</v>
      </c>
      <c r="Q1683">
        <v>204.14</v>
      </c>
      <c r="R1683">
        <v>23.52</v>
      </c>
      <c r="S1683">
        <v>17.37</v>
      </c>
      <c r="T1683">
        <v>982.75</v>
      </c>
      <c r="U1683">
        <v>0.74</v>
      </c>
      <c r="V1683">
        <v>0.76</v>
      </c>
      <c r="W1683">
        <v>1.1399999999999999</v>
      </c>
      <c r="X1683">
        <v>0.06</v>
      </c>
      <c r="Y1683">
        <v>1</v>
      </c>
      <c r="Z1683">
        <v>10</v>
      </c>
    </row>
    <row r="1684" spans="1:26" x14ac:dyDescent="0.3">
      <c r="A1684">
        <v>98</v>
      </c>
      <c r="B1684">
        <v>120</v>
      </c>
      <c r="C1684" t="s">
        <v>26</v>
      </c>
      <c r="D1684">
        <v>10.3764</v>
      </c>
      <c r="E1684">
        <v>9.64</v>
      </c>
      <c r="F1684">
        <v>6.75</v>
      </c>
      <c r="G1684">
        <v>101.19</v>
      </c>
      <c r="H1684">
        <v>1.64</v>
      </c>
      <c r="I1684">
        <v>4</v>
      </c>
      <c r="J1684">
        <v>277.33</v>
      </c>
      <c r="K1684">
        <v>57.72</v>
      </c>
      <c r="L1684">
        <v>25.5</v>
      </c>
      <c r="M1684">
        <v>2</v>
      </c>
      <c r="N1684">
        <v>74.099999999999994</v>
      </c>
      <c r="O1684">
        <v>34437.96</v>
      </c>
      <c r="P1684">
        <v>96.73</v>
      </c>
      <c r="Q1684">
        <v>204.14</v>
      </c>
      <c r="R1684">
        <v>23.57</v>
      </c>
      <c r="S1684">
        <v>17.37</v>
      </c>
      <c r="T1684">
        <v>1007.43</v>
      </c>
      <c r="U1684">
        <v>0.74</v>
      </c>
      <c r="V1684">
        <v>0.76</v>
      </c>
      <c r="W1684">
        <v>1.1399999999999999</v>
      </c>
      <c r="X1684">
        <v>0.06</v>
      </c>
      <c r="Y1684">
        <v>1</v>
      </c>
      <c r="Z1684">
        <v>10</v>
      </c>
    </row>
    <row r="1685" spans="1:26" x14ac:dyDescent="0.3">
      <c r="A1685">
        <v>99</v>
      </c>
      <c r="B1685">
        <v>120</v>
      </c>
      <c r="C1685" t="s">
        <v>26</v>
      </c>
      <c r="D1685">
        <v>10.369300000000001</v>
      </c>
      <c r="E1685">
        <v>9.64</v>
      </c>
      <c r="F1685">
        <v>6.75</v>
      </c>
      <c r="G1685">
        <v>101.29</v>
      </c>
      <c r="H1685">
        <v>1.65</v>
      </c>
      <c r="I1685">
        <v>4</v>
      </c>
      <c r="J1685">
        <v>277.82</v>
      </c>
      <c r="K1685">
        <v>57.72</v>
      </c>
      <c r="L1685">
        <v>25.75</v>
      </c>
      <c r="M1685">
        <v>2</v>
      </c>
      <c r="N1685">
        <v>74.34</v>
      </c>
      <c r="O1685">
        <v>34498.19</v>
      </c>
      <c r="P1685">
        <v>96.83</v>
      </c>
      <c r="Q1685">
        <v>204.14</v>
      </c>
      <c r="R1685">
        <v>23.76</v>
      </c>
      <c r="S1685">
        <v>17.37</v>
      </c>
      <c r="T1685">
        <v>1101.1600000000001</v>
      </c>
      <c r="U1685">
        <v>0.73</v>
      </c>
      <c r="V1685">
        <v>0.76</v>
      </c>
      <c r="W1685">
        <v>1.1399999999999999</v>
      </c>
      <c r="X1685">
        <v>0.06</v>
      </c>
      <c r="Y1685">
        <v>1</v>
      </c>
      <c r="Z1685">
        <v>10</v>
      </c>
    </row>
    <row r="1686" spans="1:26" x14ac:dyDescent="0.3">
      <c r="A1686">
        <v>100</v>
      </c>
      <c r="B1686">
        <v>120</v>
      </c>
      <c r="C1686" t="s">
        <v>26</v>
      </c>
      <c r="D1686">
        <v>10.3696</v>
      </c>
      <c r="E1686">
        <v>9.64</v>
      </c>
      <c r="F1686">
        <v>6.75</v>
      </c>
      <c r="G1686">
        <v>101.29</v>
      </c>
      <c r="H1686">
        <v>1.66</v>
      </c>
      <c r="I1686">
        <v>4</v>
      </c>
      <c r="J1686">
        <v>278.31</v>
      </c>
      <c r="K1686">
        <v>57.72</v>
      </c>
      <c r="L1686">
        <v>26</v>
      </c>
      <c r="M1686">
        <v>2</v>
      </c>
      <c r="N1686">
        <v>74.58</v>
      </c>
      <c r="O1686">
        <v>34558.51</v>
      </c>
      <c r="P1686">
        <v>96.76</v>
      </c>
      <c r="Q1686">
        <v>204.14</v>
      </c>
      <c r="R1686">
        <v>23.71</v>
      </c>
      <c r="S1686">
        <v>17.37</v>
      </c>
      <c r="T1686">
        <v>1078</v>
      </c>
      <c r="U1686">
        <v>0.73</v>
      </c>
      <c r="V1686">
        <v>0.76</v>
      </c>
      <c r="W1686">
        <v>1.1399999999999999</v>
      </c>
      <c r="X1686">
        <v>0.06</v>
      </c>
      <c r="Y1686">
        <v>1</v>
      </c>
      <c r="Z1686">
        <v>10</v>
      </c>
    </row>
    <row r="1687" spans="1:26" x14ac:dyDescent="0.3">
      <c r="A1687">
        <v>101</v>
      </c>
      <c r="B1687">
        <v>120</v>
      </c>
      <c r="C1687" t="s">
        <v>26</v>
      </c>
      <c r="D1687">
        <v>10.373699999999999</v>
      </c>
      <c r="E1687">
        <v>9.64</v>
      </c>
      <c r="F1687">
        <v>6.75</v>
      </c>
      <c r="G1687">
        <v>101.23</v>
      </c>
      <c r="H1687">
        <v>1.68</v>
      </c>
      <c r="I1687">
        <v>4</v>
      </c>
      <c r="J1687">
        <v>278.79000000000002</v>
      </c>
      <c r="K1687">
        <v>57.72</v>
      </c>
      <c r="L1687">
        <v>26.25</v>
      </c>
      <c r="M1687">
        <v>2</v>
      </c>
      <c r="N1687">
        <v>74.819999999999993</v>
      </c>
      <c r="O1687">
        <v>34618.92</v>
      </c>
      <c r="P1687">
        <v>96.67</v>
      </c>
      <c r="Q1687">
        <v>204.14</v>
      </c>
      <c r="R1687">
        <v>23.68</v>
      </c>
      <c r="S1687">
        <v>17.37</v>
      </c>
      <c r="T1687">
        <v>1064.3800000000001</v>
      </c>
      <c r="U1687">
        <v>0.73</v>
      </c>
      <c r="V1687">
        <v>0.76</v>
      </c>
      <c r="W1687">
        <v>1.1399999999999999</v>
      </c>
      <c r="X1687">
        <v>0.06</v>
      </c>
      <c r="Y1687">
        <v>1</v>
      </c>
      <c r="Z1687">
        <v>10</v>
      </c>
    </row>
    <row r="1688" spans="1:26" x14ac:dyDescent="0.3">
      <c r="A1688">
        <v>102</v>
      </c>
      <c r="B1688">
        <v>120</v>
      </c>
      <c r="C1688" t="s">
        <v>26</v>
      </c>
      <c r="D1688">
        <v>10.3764</v>
      </c>
      <c r="E1688">
        <v>9.64</v>
      </c>
      <c r="F1688">
        <v>6.75</v>
      </c>
      <c r="G1688">
        <v>101.19</v>
      </c>
      <c r="H1688">
        <v>1.69</v>
      </c>
      <c r="I1688">
        <v>4</v>
      </c>
      <c r="J1688">
        <v>279.29000000000002</v>
      </c>
      <c r="K1688">
        <v>57.72</v>
      </c>
      <c r="L1688">
        <v>26.5</v>
      </c>
      <c r="M1688">
        <v>2</v>
      </c>
      <c r="N1688">
        <v>75.06</v>
      </c>
      <c r="O1688">
        <v>34679.43</v>
      </c>
      <c r="P1688">
        <v>96.48</v>
      </c>
      <c r="Q1688">
        <v>204.14</v>
      </c>
      <c r="R1688">
        <v>23.55</v>
      </c>
      <c r="S1688">
        <v>17.37</v>
      </c>
      <c r="T1688">
        <v>996.86</v>
      </c>
      <c r="U1688">
        <v>0.74</v>
      </c>
      <c r="V1688">
        <v>0.76</v>
      </c>
      <c r="W1688">
        <v>1.1399999999999999</v>
      </c>
      <c r="X1688">
        <v>0.06</v>
      </c>
      <c r="Y1688">
        <v>1</v>
      </c>
      <c r="Z1688">
        <v>10</v>
      </c>
    </row>
    <row r="1689" spans="1:26" x14ac:dyDescent="0.3">
      <c r="A1689">
        <v>103</v>
      </c>
      <c r="B1689">
        <v>120</v>
      </c>
      <c r="C1689" t="s">
        <v>26</v>
      </c>
      <c r="D1689">
        <v>10.3764</v>
      </c>
      <c r="E1689">
        <v>9.64</v>
      </c>
      <c r="F1689">
        <v>6.75</v>
      </c>
      <c r="G1689">
        <v>101.19</v>
      </c>
      <c r="H1689">
        <v>1.7</v>
      </c>
      <c r="I1689">
        <v>4</v>
      </c>
      <c r="J1689">
        <v>279.77999999999997</v>
      </c>
      <c r="K1689">
        <v>57.72</v>
      </c>
      <c r="L1689">
        <v>26.75</v>
      </c>
      <c r="M1689">
        <v>2</v>
      </c>
      <c r="N1689">
        <v>75.3</v>
      </c>
      <c r="O1689">
        <v>34740.03</v>
      </c>
      <c r="P1689">
        <v>96.48</v>
      </c>
      <c r="Q1689">
        <v>204.14</v>
      </c>
      <c r="R1689">
        <v>23.53</v>
      </c>
      <c r="S1689">
        <v>17.37</v>
      </c>
      <c r="T1689">
        <v>985.83</v>
      </c>
      <c r="U1689">
        <v>0.74</v>
      </c>
      <c r="V1689">
        <v>0.76</v>
      </c>
      <c r="W1689">
        <v>1.1399999999999999</v>
      </c>
      <c r="X1689">
        <v>0.05</v>
      </c>
      <c r="Y1689">
        <v>1</v>
      </c>
      <c r="Z1689">
        <v>10</v>
      </c>
    </row>
    <row r="1690" spans="1:26" x14ac:dyDescent="0.3">
      <c r="A1690">
        <v>104</v>
      </c>
      <c r="B1690">
        <v>120</v>
      </c>
      <c r="C1690" t="s">
        <v>26</v>
      </c>
      <c r="D1690">
        <v>10.3788</v>
      </c>
      <c r="E1690">
        <v>9.64</v>
      </c>
      <c r="F1690">
        <v>6.74</v>
      </c>
      <c r="G1690">
        <v>101.16</v>
      </c>
      <c r="H1690">
        <v>1.72</v>
      </c>
      <c r="I1690">
        <v>4</v>
      </c>
      <c r="J1690">
        <v>280.27</v>
      </c>
      <c r="K1690">
        <v>57.72</v>
      </c>
      <c r="L1690">
        <v>27</v>
      </c>
      <c r="M1690">
        <v>2</v>
      </c>
      <c r="N1690">
        <v>75.540000000000006</v>
      </c>
      <c r="O1690">
        <v>34800.730000000003</v>
      </c>
      <c r="P1690">
        <v>96.35</v>
      </c>
      <c r="Q1690">
        <v>204.14</v>
      </c>
      <c r="R1690">
        <v>23.5</v>
      </c>
      <c r="S1690">
        <v>17.37</v>
      </c>
      <c r="T1690">
        <v>971.38</v>
      </c>
      <c r="U1690">
        <v>0.74</v>
      </c>
      <c r="V1690">
        <v>0.76</v>
      </c>
      <c r="W1690">
        <v>1.1399999999999999</v>
      </c>
      <c r="X1690">
        <v>0.05</v>
      </c>
      <c r="Y1690">
        <v>1</v>
      </c>
      <c r="Z1690">
        <v>10</v>
      </c>
    </row>
    <row r="1691" spans="1:26" x14ac:dyDescent="0.3">
      <c r="A1691">
        <v>105</v>
      </c>
      <c r="B1691">
        <v>120</v>
      </c>
      <c r="C1691" t="s">
        <v>26</v>
      </c>
      <c r="D1691">
        <v>10.3833</v>
      </c>
      <c r="E1691">
        <v>9.6300000000000008</v>
      </c>
      <c r="F1691">
        <v>6.74</v>
      </c>
      <c r="G1691">
        <v>101.1</v>
      </c>
      <c r="H1691">
        <v>1.73</v>
      </c>
      <c r="I1691">
        <v>4</v>
      </c>
      <c r="J1691">
        <v>280.76</v>
      </c>
      <c r="K1691">
        <v>57.72</v>
      </c>
      <c r="L1691">
        <v>27.25</v>
      </c>
      <c r="M1691">
        <v>2</v>
      </c>
      <c r="N1691">
        <v>75.790000000000006</v>
      </c>
      <c r="O1691">
        <v>34861.53</v>
      </c>
      <c r="P1691">
        <v>96.18</v>
      </c>
      <c r="Q1691">
        <v>204.14</v>
      </c>
      <c r="R1691">
        <v>23.33</v>
      </c>
      <c r="S1691">
        <v>17.37</v>
      </c>
      <c r="T1691">
        <v>887.2</v>
      </c>
      <c r="U1691">
        <v>0.74</v>
      </c>
      <c r="V1691">
        <v>0.76</v>
      </c>
      <c r="W1691">
        <v>1.1399999999999999</v>
      </c>
      <c r="X1691">
        <v>0.05</v>
      </c>
      <c r="Y1691">
        <v>1</v>
      </c>
      <c r="Z1691">
        <v>10</v>
      </c>
    </row>
    <row r="1692" spans="1:26" x14ac:dyDescent="0.3">
      <c r="A1692">
        <v>106</v>
      </c>
      <c r="B1692">
        <v>120</v>
      </c>
      <c r="C1692" t="s">
        <v>26</v>
      </c>
      <c r="D1692">
        <v>10.380599999999999</v>
      </c>
      <c r="E1692">
        <v>9.6300000000000008</v>
      </c>
      <c r="F1692">
        <v>6.74</v>
      </c>
      <c r="G1692">
        <v>101.13</v>
      </c>
      <c r="H1692">
        <v>1.74</v>
      </c>
      <c r="I1692">
        <v>4</v>
      </c>
      <c r="J1692">
        <v>281.26</v>
      </c>
      <c r="K1692">
        <v>57.72</v>
      </c>
      <c r="L1692">
        <v>27.5</v>
      </c>
      <c r="M1692">
        <v>2</v>
      </c>
      <c r="N1692">
        <v>76.03</v>
      </c>
      <c r="O1692">
        <v>34922.42</v>
      </c>
      <c r="P1692">
        <v>96.07</v>
      </c>
      <c r="Q1692">
        <v>204.17</v>
      </c>
      <c r="R1692">
        <v>23.44</v>
      </c>
      <c r="S1692">
        <v>17.37</v>
      </c>
      <c r="T1692">
        <v>940.75</v>
      </c>
      <c r="U1692">
        <v>0.74</v>
      </c>
      <c r="V1692">
        <v>0.76</v>
      </c>
      <c r="W1692">
        <v>1.1399999999999999</v>
      </c>
      <c r="X1692">
        <v>0.05</v>
      </c>
      <c r="Y1692">
        <v>1</v>
      </c>
      <c r="Z1692">
        <v>10</v>
      </c>
    </row>
    <row r="1693" spans="1:26" x14ac:dyDescent="0.3">
      <c r="A1693">
        <v>107</v>
      </c>
      <c r="B1693">
        <v>120</v>
      </c>
      <c r="C1693" t="s">
        <v>26</v>
      </c>
      <c r="D1693">
        <v>10.38</v>
      </c>
      <c r="E1693">
        <v>9.6300000000000008</v>
      </c>
      <c r="F1693">
        <v>6.74</v>
      </c>
      <c r="G1693">
        <v>101.14</v>
      </c>
      <c r="H1693">
        <v>1.75</v>
      </c>
      <c r="I1693">
        <v>4</v>
      </c>
      <c r="J1693">
        <v>281.75</v>
      </c>
      <c r="K1693">
        <v>57.72</v>
      </c>
      <c r="L1693">
        <v>27.75</v>
      </c>
      <c r="M1693">
        <v>2</v>
      </c>
      <c r="N1693">
        <v>76.28</v>
      </c>
      <c r="O1693">
        <v>34983.410000000003</v>
      </c>
      <c r="P1693">
        <v>95.86</v>
      </c>
      <c r="Q1693">
        <v>204.14</v>
      </c>
      <c r="R1693">
        <v>23.49</v>
      </c>
      <c r="S1693">
        <v>17.37</v>
      </c>
      <c r="T1693">
        <v>969.66</v>
      </c>
      <c r="U1693">
        <v>0.74</v>
      </c>
      <c r="V1693">
        <v>0.76</v>
      </c>
      <c r="W1693">
        <v>1.1399999999999999</v>
      </c>
      <c r="X1693">
        <v>0.05</v>
      </c>
      <c r="Y1693">
        <v>1</v>
      </c>
      <c r="Z1693">
        <v>10</v>
      </c>
    </row>
    <row r="1694" spans="1:26" x14ac:dyDescent="0.3">
      <c r="A1694">
        <v>108</v>
      </c>
      <c r="B1694">
        <v>120</v>
      </c>
      <c r="C1694" t="s">
        <v>26</v>
      </c>
      <c r="D1694">
        <v>10.3812</v>
      </c>
      <c r="E1694">
        <v>9.6300000000000008</v>
      </c>
      <c r="F1694">
        <v>6.74</v>
      </c>
      <c r="G1694">
        <v>101.12</v>
      </c>
      <c r="H1694">
        <v>1.77</v>
      </c>
      <c r="I1694">
        <v>4</v>
      </c>
      <c r="J1694">
        <v>282.25</v>
      </c>
      <c r="K1694">
        <v>57.72</v>
      </c>
      <c r="L1694">
        <v>28</v>
      </c>
      <c r="M1694">
        <v>2</v>
      </c>
      <c r="N1694">
        <v>76.52</v>
      </c>
      <c r="O1694">
        <v>35044.49</v>
      </c>
      <c r="P1694">
        <v>95.74</v>
      </c>
      <c r="Q1694">
        <v>204.15</v>
      </c>
      <c r="R1694">
        <v>23.37</v>
      </c>
      <c r="S1694">
        <v>17.37</v>
      </c>
      <c r="T1694">
        <v>907.73</v>
      </c>
      <c r="U1694">
        <v>0.74</v>
      </c>
      <c r="V1694">
        <v>0.76</v>
      </c>
      <c r="W1694">
        <v>1.1399999999999999</v>
      </c>
      <c r="X1694">
        <v>0.05</v>
      </c>
      <c r="Y1694">
        <v>1</v>
      </c>
      <c r="Z1694">
        <v>10</v>
      </c>
    </row>
    <row r="1695" spans="1:26" x14ac:dyDescent="0.3">
      <c r="A1695">
        <v>109</v>
      </c>
      <c r="B1695">
        <v>120</v>
      </c>
      <c r="C1695" t="s">
        <v>26</v>
      </c>
      <c r="D1695">
        <v>10.3833</v>
      </c>
      <c r="E1695">
        <v>9.6300000000000008</v>
      </c>
      <c r="F1695">
        <v>6.74</v>
      </c>
      <c r="G1695">
        <v>101.1</v>
      </c>
      <c r="H1695">
        <v>1.78</v>
      </c>
      <c r="I1695">
        <v>4</v>
      </c>
      <c r="J1695">
        <v>282.74</v>
      </c>
      <c r="K1695">
        <v>57.72</v>
      </c>
      <c r="L1695">
        <v>28.25</v>
      </c>
      <c r="M1695">
        <v>2</v>
      </c>
      <c r="N1695">
        <v>76.77</v>
      </c>
      <c r="O1695">
        <v>35105.68</v>
      </c>
      <c r="P1695">
        <v>95.45</v>
      </c>
      <c r="Q1695">
        <v>204.14</v>
      </c>
      <c r="R1695">
        <v>23.37</v>
      </c>
      <c r="S1695">
        <v>17.37</v>
      </c>
      <c r="T1695">
        <v>904.96</v>
      </c>
      <c r="U1695">
        <v>0.74</v>
      </c>
      <c r="V1695">
        <v>0.76</v>
      </c>
      <c r="W1695">
        <v>1.1399999999999999</v>
      </c>
      <c r="X1695">
        <v>0.05</v>
      </c>
      <c r="Y1695">
        <v>1</v>
      </c>
      <c r="Z1695">
        <v>10</v>
      </c>
    </row>
    <row r="1696" spans="1:26" x14ac:dyDescent="0.3">
      <c r="A1696">
        <v>110</v>
      </c>
      <c r="B1696">
        <v>120</v>
      </c>
      <c r="C1696" t="s">
        <v>26</v>
      </c>
      <c r="D1696">
        <v>10.3794</v>
      </c>
      <c r="E1696">
        <v>9.6300000000000008</v>
      </c>
      <c r="F1696">
        <v>6.74</v>
      </c>
      <c r="G1696">
        <v>101.15</v>
      </c>
      <c r="H1696">
        <v>1.79</v>
      </c>
      <c r="I1696">
        <v>4</v>
      </c>
      <c r="J1696">
        <v>283.24</v>
      </c>
      <c r="K1696">
        <v>57.72</v>
      </c>
      <c r="L1696">
        <v>28.5</v>
      </c>
      <c r="M1696">
        <v>2</v>
      </c>
      <c r="N1696">
        <v>77.010000000000005</v>
      </c>
      <c r="O1696">
        <v>35166.959999999999</v>
      </c>
      <c r="P1696">
        <v>95.31</v>
      </c>
      <c r="Q1696">
        <v>204.14</v>
      </c>
      <c r="R1696">
        <v>23.44</v>
      </c>
      <c r="S1696">
        <v>17.37</v>
      </c>
      <c r="T1696">
        <v>943.11</v>
      </c>
      <c r="U1696">
        <v>0.74</v>
      </c>
      <c r="V1696">
        <v>0.76</v>
      </c>
      <c r="W1696">
        <v>1.1399999999999999</v>
      </c>
      <c r="X1696">
        <v>0.05</v>
      </c>
      <c r="Y1696">
        <v>1</v>
      </c>
      <c r="Z1696">
        <v>10</v>
      </c>
    </row>
    <row r="1697" spans="1:26" x14ac:dyDescent="0.3">
      <c r="A1697">
        <v>111</v>
      </c>
      <c r="B1697">
        <v>120</v>
      </c>
      <c r="C1697" t="s">
        <v>26</v>
      </c>
      <c r="D1697">
        <v>10.388999999999999</v>
      </c>
      <c r="E1697">
        <v>9.6300000000000008</v>
      </c>
      <c r="F1697">
        <v>6.73</v>
      </c>
      <c r="G1697">
        <v>101.02</v>
      </c>
      <c r="H1697">
        <v>1.8</v>
      </c>
      <c r="I1697">
        <v>4</v>
      </c>
      <c r="J1697">
        <v>283.74</v>
      </c>
      <c r="K1697">
        <v>57.72</v>
      </c>
      <c r="L1697">
        <v>28.75</v>
      </c>
      <c r="M1697">
        <v>2</v>
      </c>
      <c r="N1697">
        <v>77.260000000000005</v>
      </c>
      <c r="O1697">
        <v>35228.339999999997</v>
      </c>
      <c r="P1697">
        <v>95.01</v>
      </c>
      <c r="Q1697">
        <v>204.14</v>
      </c>
      <c r="R1697">
        <v>23.17</v>
      </c>
      <c r="S1697">
        <v>17.37</v>
      </c>
      <c r="T1697">
        <v>804.89</v>
      </c>
      <c r="U1697">
        <v>0.75</v>
      </c>
      <c r="V1697">
        <v>0.76</v>
      </c>
      <c r="W1697">
        <v>1.1399999999999999</v>
      </c>
      <c r="X1697">
        <v>0.04</v>
      </c>
      <c r="Y1697">
        <v>1</v>
      </c>
      <c r="Z1697">
        <v>10</v>
      </c>
    </row>
    <row r="1698" spans="1:26" x14ac:dyDescent="0.3">
      <c r="A1698">
        <v>112</v>
      </c>
      <c r="B1698">
        <v>120</v>
      </c>
      <c r="C1698" t="s">
        <v>26</v>
      </c>
      <c r="D1698">
        <v>10.385999999999999</v>
      </c>
      <c r="E1698">
        <v>9.6300000000000008</v>
      </c>
      <c r="F1698">
        <v>6.74</v>
      </c>
      <c r="G1698">
        <v>101.06</v>
      </c>
      <c r="H1698">
        <v>1.82</v>
      </c>
      <c r="I1698">
        <v>4</v>
      </c>
      <c r="J1698">
        <v>284.23</v>
      </c>
      <c r="K1698">
        <v>57.72</v>
      </c>
      <c r="L1698">
        <v>29</v>
      </c>
      <c r="M1698">
        <v>2</v>
      </c>
      <c r="N1698">
        <v>77.510000000000005</v>
      </c>
      <c r="O1698">
        <v>35289.82</v>
      </c>
      <c r="P1698">
        <v>94.86</v>
      </c>
      <c r="Q1698">
        <v>204.16</v>
      </c>
      <c r="R1698">
        <v>23.16</v>
      </c>
      <c r="S1698">
        <v>17.37</v>
      </c>
      <c r="T1698">
        <v>800</v>
      </c>
      <c r="U1698">
        <v>0.75</v>
      </c>
      <c r="V1698">
        <v>0.76</v>
      </c>
      <c r="W1698">
        <v>1.1399999999999999</v>
      </c>
      <c r="X1698">
        <v>0.05</v>
      </c>
      <c r="Y1698">
        <v>1</v>
      </c>
      <c r="Z1698">
        <v>10</v>
      </c>
    </row>
    <row r="1699" spans="1:26" x14ac:dyDescent="0.3">
      <c r="A1699">
        <v>113</v>
      </c>
      <c r="B1699">
        <v>120</v>
      </c>
      <c r="C1699" t="s">
        <v>26</v>
      </c>
      <c r="D1699">
        <v>10.387499999999999</v>
      </c>
      <c r="E1699">
        <v>9.6300000000000008</v>
      </c>
      <c r="F1699">
        <v>6.74</v>
      </c>
      <c r="G1699">
        <v>101.04</v>
      </c>
      <c r="H1699">
        <v>1.83</v>
      </c>
      <c r="I1699">
        <v>4</v>
      </c>
      <c r="J1699">
        <v>284.73</v>
      </c>
      <c r="K1699">
        <v>57.72</v>
      </c>
      <c r="L1699">
        <v>29.25</v>
      </c>
      <c r="M1699">
        <v>2</v>
      </c>
      <c r="N1699">
        <v>77.760000000000005</v>
      </c>
      <c r="O1699">
        <v>35351.4</v>
      </c>
      <c r="P1699">
        <v>94.58</v>
      </c>
      <c r="Q1699">
        <v>204.14</v>
      </c>
      <c r="R1699">
        <v>23.13</v>
      </c>
      <c r="S1699">
        <v>17.37</v>
      </c>
      <c r="T1699">
        <v>788.25</v>
      </c>
      <c r="U1699">
        <v>0.75</v>
      </c>
      <c r="V1699">
        <v>0.76</v>
      </c>
      <c r="W1699">
        <v>1.1399999999999999</v>
      </c>
      <c r="X1699">
        <v>0.04</v>
      </c>
      <c r="Y1699">
        <v>1</v>
      </c>
      <c r="Z1699">
        <v>10</v>
      </c>
    </row>
    <row r="1700" spans="1:26" x14ac:dyDescent="0.3">
      <c r="A1700">
        <v>114</v>
      </c>
      <c r="B1700">
        <v>120</v>
      </c>
      <c r="C1700" t="s">
        <v>26</v>
      </c>
      <c r="D1700">
        <v>10.3863</v>
      </c>
      <c r="E1700">
        <v>9.6300000000000008</v>
      </c>
      <c r="F1700">
        <v>6.74</v>
      </c>
      <c r="G1700">
        <v>101.05</v>
      </c>
      <c r="H1700">
        <v>1.84</v>
      </c>
      <c r="I1700">
        <v>4</v>
      </c>
      <c r="J1700">
        <v>285.23</v>
      </c>
      <c r="K1700">
        <v>57.72</v>
      </c>
      <c r="L1700">
        <v>29.5</v>
      </c>
      <c r="M1700">
        <v>2</v>
      </c>
      <c r="N1700">
        <v>78.010000000000005</v>
      </c>
      <c r="O1700">
        <v>35413.08</v>
      </c>
      <c r="P1700">
        <v>94.38</v>
      </c>
      <c r="Q1700">
        <v>204.14</v>
      </c>
      <c r="R1700">
        <v>23.19</v>
      </c>
      <c r="S1700">
        <v>17.37</v>
      </c>
      <c r="T1700">
        <v>818.89</v>
      </c>
      <c r="U1700">
        <v>0.75</v>
      </c>
      <c r="V1700">
        <v>0.76</v>
      </c>
      <c r="W1700">
        <v>1.1399999999999999</v>
      </c>
      <c r="X1700">
        <v>0.05</v>
      </c>
      <c r="Y1700">
        <v>1</v>
      </c>
      <c r="Z1700">
        <v>10</v>
      </c>
    </row>
    <row r="1701" spans="1:26" x14ac:dyDescent="0.3">
      <c r="A1701">
        <v>115</v>
      </c>
      <c r="B1701">
        <v>120</v>
      </c>
      <c r="C1701" t="s">
        <v>26</v>
      </c>
      <c r="D1701">
        <v>10.385400000000001</v>
      </c>
      <c r="E1701">
        <v>9.6300000000000008</v>
      </c>
      <c r="F1701">
        <v>6.74</v>
      </c>
      <c r="G1701">
        <v>101.07</v>
      </c>
      <c r="H1701">
        <v>1.85</v>
      </c>
      <c r="I1701">
        <v>4</v>
      </c>
      <c r="J1701">
        <v>285.73</v>
      </c>
      <c r="K1701">
        <v>57.72</v>
      </c>
      <c r="L1701">
        <v>29.75</v>
      </c>
      <c r="M1701">
        <v>2</v>
      </c>
      <c r="N1701">
        <v>78.260000000000005</v>
      </c>
      <c r="O1701">
        <v>35474.86</v>
      </c>
      <c r="P1701">
        <v>94.2</v>
      </c>
      <c r="Q1701">
        <v>204.14</v>
      </c>
      <c r="R1701">
        <v>23.24</v>
      </c>
      <c r="S1701">
        <v>17.37</v>
      </c>
      <c r="T1701">
        <v>842.18</v>
      </c>
      <c r="U1701">
        <v>0.75</v>
      </c>
      <c r="V1701">
        <v>0.76</v>
      </c>
      <c r="W1701">
        <v>1.1399999999999999</v>
      </c>
      <c r="X1701">
        <v>0.05</v>
      </c>
      <c r="Y1701">
        <v>1</v>
      </c>
      <c r="Z1701">
        <v>10</v>
      </c>
    </row>
    <row r="1702" spans="1:26" x14ac:dyDescent="0.3">
      <c r="A1702">
        <v>116</v>
      </c>
      <c r="B1702">
        <v>120</v>
      </c>
      <c r="C1702" t="s">
        <v>26</v>
      </c>
      <c r="D1702">
        <v>10.383599999999999</v>
      </c>
      <c r="E1702">
        <v>9.6300000000000008</v>
      </c>
      <c r="F1702">
        <v>6.74</v>
      </c>
      <c r="G1702">
        <v>101.09</v>
      </c>
      <c r="H1702">
        <v>1.87</v>
      </c>
      <c r="I1702">
        <v>4</v>
      </c>
      <c r="J1702">
        <v>286.24</v>
      </c>
      <c r="K1702">
        <v>57.72</v>
      </c>
      <c r="L1702">
        <v>30</v>
      </c>
      <c r="M1702">
        <v>2</v>
      </c>
      <c r="N1702">
        <v>78.510000000000005</v>
      </c>
      <c r="O1702">
        <v>35536.74</v>
      </c>
      <c r="P1702">
        <v>94.08</v>
      </c>
      <c r="Q1702">
        <v>204.14</v>
      </c>
      <c r="R1702">
        <v>23.26</v>
      </c>
      <c r="S1702">
        <v>17.37</v>
      </c>
      <c r="T1702">
        <v>850.91</v>
      </c>
      <c r="U1702">
        <v>0.75</v>
      </c>
      <c r="V1702">
        <v>0.76</v>
      </c>
      <c r="W1702">
        <v>1.1399999999999999</v>
      </c>
      <c r="X1702">
        <v>0.05</v>
      </c>
      <c r="Y1702">
        <v>1</v>
      </c>
      <c r="Z1702">
        <v>10</v>
      </c>
    </row>
    <row r="1703" spans="1:26" x14ac:dyDescent="0.3">
      <c r="A1703">
        <v>117</v>
      </c>
      <c r="B1703">
        <v>120</v>
      </c>
      <c r="C1703" t="s">
        <v>26</v>
      </c>
      <c r="D1703">
        <v>10.382099999999999</v>
      </c>
      <c r="E1703">
        <v>9.6300000000000008</v>
      </c>
      <c r="F1703">
        <v>6.74</v>
      </c>
      <c r="G1703">
        <v>101.11</v>
      </c>
      <c r="H1703">
        <v>1.88</v>
      </c>
      <c r="I1703">
        <v>4</v>
      </c>
      <c r="J1703">
        <v>286.74</v>
      </c>
      <c r="K1703">
        <v>57.72</v>
      </c>
      <c r="L1703">
        <v>30.25</v>
      </c>
      <c r="M1703">
        <v>2</v>
      </c>
      <c r="N1703">
        <v>78.77</v>
      </c>
      <c r="O1703">
        <v>35598.85</v>
      </c>
      <c r="P1703">
        <v>93.84</v>
      </c>
      <c r="Q1703">
        <v>204.14</v>
      </c>
      <c r="R1703">
        <v>23.38</v>
      </c>
      <c r="S1703">
        <v>17.37</v>
      </c>
      <c r="T1703">
        <v>911.84</v>
      </c>
      <c r="U1703">
        <v>0.74</v>
      </c>
      <c r="V1703">
        <v>0.76</v>
      </c>
      <c r="W1703">
        <v>1.1399999999999999</v>
      </c>
      <c r="X1703">
        <v>0.05</v>
      </c>
      <c r="Y1703">
        <v>1</v>
      </c>
      <c r="Z1703">
        <v>10</v>
      </c>
    </row>
    <row r="1704" spans="1:26" x14ac:dyDescent="0.3">
      <c r="A1704">
        <v>118</v>
      </c>
      <c r="B1704">
        <v>120</v>
      </c>
      <c r="C1704" t="s">
        <v>26</v>
      </c>
      <c r="D1704">
        <v>10.3797</v>
      </c>
      <c r="E1704">
        <v>9.6300000000000008</v>
      </c>
      <c r="F1704">
        <v>6.74</v>
      </c>
      <c r="G1704">
        <v>101.15</v>
      </c>
      <c r="H1704">
        <v>1.89</v>
      </c>
      <c r="I1704">
        <v>4</v>
      </c>
      <c r="J1704">
        <v>287.24</v>
      </c>
      <c r="K1704">
        <v>57.72</v>
      </c>
      <c r="L1704">
        <v>30.5</v>
      </c>
      <c r="M1704">
        <v>2</v>
      </c>
      <c r="N1704">
        <v>79.02</v>
      </c>
      <c r="O1704">
        <v>35660.94</v>
      </c>
      <c r="P1704">
        <v>93.59</v>
      </c>
      <c r="Q1704">
        <v>204.14</v>
      </c>
      <c r="R1704">
        <v>23.41</v>
      </c>
      <c r="S1704">
        <v>17.37</v>
      </c>
      <c r="T1704">
        <v>927.08</v>
      </c>
      <c r="U1704">
        <v>0.74</v>
      </c>
      <c r="V1704">
        <v>0.76</v>
      </c>
      <c r="W1704">
        <v>1.1399999999999999</v>
      </c>
      <c r="X1704">
        <v>0.05</v>
      </c>
      <c r="Y1704">
        <v>1</v>
      </c>
      <c r="Z1704">
        <v>10</v>
      </c>
    </row>
    <row r="1705" spans="1:26" x14ac:dyDescent="0.3">
      <c r="A1705">
        <v>119</v>
      </c>
      <c r="B1705">
        <v>120</v>
      </c>
      <c r="C1705" t="s">
        <v>26</v>
      </c>
      <c r="D1705">
        <v>10.385999999999999</v>
      </c>
      <c r="E1705">
        <v>9.6300000000000008</v>
      </c>
      <c r="F1705">
        <v>6.74</v>
      </c>
      <c r="G1705">
        <v>101.06</v>
      </c>
      <c r="H1705">
        <v>1.9</v>
      </c>
      <c r="I1705">
        <v>4</v>
      </c>
      <c r="J1705">
        <v>287.75</v>
      </c>
      <c r="K1705">
        <v>57.72</v>
      </c>
      <c r="L1705">
        <v>30.75</v>
      </c>
      <c r="M1705">
        <v>2</v>
      </c>
      <c r="N1705">
        <v>79.27</v>
      </c>
      <c r="O1705">
        <v>35723.129999999997</v>
      </c>
      <c r="P1705">
        <v>93.26</v>
      </c>
      <c r="Q1705">
        <v>204.14</v>
      </c>
      <c r="R1705">
        <v>23.29</v>
      </c>
      <c r="S1705">
        <v>17.37</v>
      </c>
      <c r="T1705">
        <v>865.68</v>
      </c>
      <c r="U1705">
        <v>0.75</v>
      </c>
      <c r="V1705">
        <v>0.76</v>
      </c>
      <c r="W1705">
        <v>1.1399999999999999</v>
      </c>
      <c r="X1705">
        <v>0.05</v>
      </c>
      <c r="Y1705">
        <v>1</v>
      </c>
      <c r="Z1705">
        <v>10</v>
      </c>
    </row>
    <row r="1706" spans="1:26" x14ac:dyDescent="0.3">
      <c r="A1706">
        <v>120</v>
      </c>
      <c r="B1706">
        <v>120</v>
      </c>
      <c r="C1706" t="s">
        <v>26</v>
      </c>
      <c r="D1706">
        <v>10.383900000000001</v>
      </c>
      <c r="E1706">
        <v>9.6300000000000008</v>
      </c>
      <c r="F1706">
        <v>6.74</v>
      </c>
      <c r="G1706">
        <v>101.09</v>
      </c>
      <c r="H1706">
        <v>1.92</v>
      </c>
      <c r="I1706">
        <v>4</v>
      </c>
      <c r="J1706">
        <v>288.25</v>
      </c>
      <c r="K1706">
        <v>57.72</v>
      </c>
      <c r="L1706">
        <v>31</v>
      </c>
      <c r="M1706">
        <v>2</v>
      </c>
      <c r="N1706">
        <v>79.53</v>
      </c>
      <c r="O1706">
        <v>35785.42</v>
      </c>
      <c r="P1706">
        <v>92.99</v>
      </c>
      <c r="Q1706">
        <v>204.15</v>
      </c>
      <c r="R1706">
        <v>23.25</v>
      </c>
      <c r="S1706">
        <v>17.37</v>
      </c>
      <c r="T1706">
        <v>846.15</v>
      </c>
      <c r="U1706">
        <v>0.75</v>
      </c>
      <c r="V1706">
        <v>0.76</v>
      </c>
      <c r="W1706">
        <v>1.1399999999999999</v>
      </c>
      <c r="X1706">
        <v>0.05</v>
      </c>
      <c r="Y1706">
        <v>1</v>
      </c>
      <c r="Z1706">
        <v>10</v>
      </c>
    </row>
    <row r="1707" spans="1:26" x14ac:dyDescent="0.3">
      <c r="A1707">
        <v>121</v>
      </c>
      <c r="B1707">
        <v>120</v>
      </c>
      <c r="C1707" t="s">
        <v>26</v>
      </c>
      <c r="D1707">
        <v>10.3833</v>
      </c>
      <c r="E1707">
        <v>9.6300000000000008</v>
      </c>
      <c r="F1707">
        <v>6.74</v>
      </c>
      <c r="G1707">
        <v>101.1</v>
      </c>
      <c r="H1707">
        <v>1.93</v>
      </c>
      <c r="I1707">
        <v>4</v>
      </c>
      <c r="J1707">
        <v>288.76</v>
      </c>
      <c r="K1707">
        <v>57.72</v>
      </c>
      <c r="L1707">
        <v>31.25</v>
      </c>
      <c r="M1707">
        <v>2</v>
      </c>
      <c r="N1707">
        <v>79.78</v>
      </c>
      <c r="O1707">
        <v>35847.82</v>
      </c>
      <c r="P1707">
        <v>92.89</v>
      </c>
      <c r="Q1707">
        <v>204.14</v>
      </c>
      <c r="R1707">
        <v>23.33</v>
      </c>
      <c r="S1707">
        <v>17.37</v>
      </c>
      <c r="T1707">
        <v>889.18</v>
      </c>
      <c r="U1707">
        <v>0.74</v>
      </c>
      <c r="V1707">
        <v>0.76</v>
      </c>
      <c r="W1707">
        <v>1.1399999999999999</v>
      </c>
      <c r="X1707">
        <v>0.05</v>
      </c>
      <c r="Y1707">
        <v>1</v>
      </c>
      <c r="Z1707">
        <v>10</v>
      </c>
    </row>
    <row r="1708" spans="1:26" x14ac:dyDescent="0.3">
      <c r="A1708">
        <v>122</v>
      </c>
      <c r="B1708">
        <v>120</v>
      </c>
      <c r="C1708" t="s">
        <v>26</v>
      </c>
      <c r="D1708">
        <v>10.3863</v>
      </c>
      <c r="E1708">
        <v>9.6300000000000008</v>
      </c>
      <c r="F1708">
        <v>6.74</v>
      </c>
      <c r="G1708">
        <v>101.05</v>
      </c>
      <c r="H1708">
        <v>1.94</v>
      </c>
      <c r="I1708">
        <v>4</v>
      </c>
      <c r="J1708">
        <v>289.27</v>
      </c>
      <c r="K1708">
        <v>57.72</v>
      </c>
      <c r="L1708">
        <v>31.5</v>
      </c>
      <c r="M1708">
        <v>2</v>
      </c>
      <c r="N1708">
        <v>80.040000000000006</v>
      </c>
      <c r="O1708">
        <v>35910.33</v>
      </c>
      <c r="P1708">
        <v>92.62</v>
      </c>
      <c r="Q1708">
        <v>204.14</v>
      </c>
      <c r="R1708">
        <v>23.23</v>
      </c>
      <c r="S1708">
        <v>17.37</v>
      </c>
      <c r="T1708">
        <v>834.86</v>
      </c>
      <c r="U1708">
        <v>0.75</v>
      </c>
      <c r="V1708">
        <v>0.76</v>
      </c>
      <c r="W1708">
        <v>1.1399999999999999</v>
      </c>
      <c r="X1708">
        <v>0.05</v>
      </c>
      <c r="Y1708">
        <v>1</v>
      </c>
      <c r="Z1708">
        <v>10</v>
      </c>
    </row>
    <row r="1709" spans="1:26" x14ac:dyDescent="0.3">
      <c r="A1709">
        <v>123</v>
      </c>
      <c r="B1709">
        <v>120</v>
      </c>
      <c r="C1709" t="s">
        <v>26</v>
      </c>
      <c r="D1709">
        <v>10.3803</v>
      </c>
      <c r="E1709">
        <v>9.6300000000000008</v>
      </c>
      <c r="F1709">
        <v>6.74</v>
      </c>
      <c r="G1709">
        <v>101.14</v>
      </c>
      <c r="H1709">
        <v>1.95</v>
      </c>
      <c r="I1709">
        <v>4</v>
      </c>
      <c r="J1709">
        <v>289.77</v>
      </c>
      <c r="K1709">
        <v>57.72</v>
      </c>
      <c r="L1709">
        <v>31.75</v>
      </c>
      <c r="M1709">
        <v>2</v>
      </c>
      <c r="N1709">
        <v>80.3</v>
      </c>
      <c r="O1709">
        <v>35972.93</v>
      </c>
      <c r="P1709">
        <v>92.37</v>
      </c>
      <c r="Q1709">
        <v>204.14</v>
      </c>
      <c r="R1709">
        <v>23.36</v>
      </c>
      <c r="S1709">
        <v>17.37</v>
      </c>
      <c r="T1709">
        <v>904.8</v>
      </c>
      <c r="U1709">
        <v>0.74</v>
      </c>
      <c r="V1709">
        <v>0.76</v>
      </c>
      <c r="W1709">
        <v>1.1399999999999999</v>
      </c>
      <c r="X1709">
        <v>0.05</v>
      </c>
      <c r="Y1709">
        <v>1</v>
      </c>
      <c r="Z1709">
        <v>10</v>
      </c>
    </row>
    <row r="1710" spans="1:26" x14ac:dyDescent="0.3">
      <c r="A1710">
        <v>124</v>
      </c>
      <c r="B1710">
        <v>120</v>
      </c>
      <c r="C1710" t="s">
        <v>26</v>
      </c>
      <c r="D1710">
        <v>10.3788</v>
      </c>
      <c r="E1710">
        <v>9.64</v>
      </c>
      <c r="F1710">
        <v>6.74</v>
      </c>
      <c r="G1710">
        <v>101.16</v>
      </c>
      <c r="H1710">
        <v>1.96</v>
      </c>
      <c r="I1710">
        <v>4</v>
      </c>
      <c r="J1710">
        <v>290.27999999999997</v>
      </c>
      <c r="K1710">
        <v>57.72</v>
      </c>
      <c r="L1710">
        <v>32</v>
      </c>
      <c r="M1710">
        <v>2</v>
      </c>
      <c r="N1710">
        <v>80.56</v>
      </c>
      <c r="O1710">
        <v>36035.65</v>
      </c>
      <c r="P1710">
        <v>91.99</v>
      </c>
      <c r="Q1710">
        <v>204.14</v>
      </c>
      <c r="R1710">
        <v>23.47</v>
      </c>
      <c r="S1710">
        <v>17.37</v>
      </c>
      <c r="T1710">
        <v>957.19</v>
      </c>
      <c r="U1710">
        <v>0.74</v>
      </c>
      <c r="V1710">
        <v>0.76</v>
      </c>
      <c r="W1710">
        <v>1.1399999999999999</v>
      </c>
      <c r="X1710">
        <v>0.05</v>
      </c>
      <c r="Y1710">
        <v>1</v>
      </c>
      <c r="Z1710">
        <v>10</v>
      </c>
    </row>
    <row r="1711" spans="1:26" x14ac:dyDescent="0.3">
      <c r="A1711">
        <v>125</v>
      </c>
      <c r="B1711">
        <v>120</v>
      </c>
      <c r="C1711" t="s">
        <v>26</v>
      </c>
      <c r="D1711">
        <v>10.382999999999999</v>
      </c>
      <c r="E1711">
        <v>9.6300000000000008</v>
      </c>
      <c r="F1711">
        <v>6.74</v>
      </c>
      <c r="G1711">
        <v>101.1</v>
      </c>
      <c r="H1711">
        <v>1.97</v>
      </c>
      <c r="I1711">
        <v>4</v>
      </c>
      <c r="J1711">
        <v>290.79000000000002</v>
      </c>
      <c r="K1711">
        <v>57.72</v>
      </c>
      <c r="L1711">
        <v>32.25</v>
      </c>
      <c r="M1711">
        <v>2</v>
      </c>
      <c r="N1711">
        <v>80.819999999999993</v>
      </c>
      <c r="O1711">
        <v>36098.46</v>
      </c>
      <c r="P1711">
        <v>91.6</v>
      </c>
      <c r="Q1711">
        <v>204.14</v>
      </c>
      <c r="R1711">
        <v>23.32</v>
      </c>
      <c r="S1711">
        <v>17.37</v>
      </c>
      <c r="T1711">
        <v>884.43</v>
      </c>
      <c r="U1711">
        <v>0.74</v>
      </c>
      <c r="V1711">
        <v>0.76</v>
      </c>
      <c r="W1711">
        <v>1.1399999999999999</v>
      </c>
      <c r="X1711">
        <v>0.05</v>
      </c>
      <c r="Y1711">
        <v>1</v>
      </c>
      <c r="Z1711">
        <v>10</v>
      </c>
    </row>
    <row r="1712" spans="1:26" x14ac:dyDescent="0.3">
      <c r="A1712">
        <v>126</v>
      </c>
      <c r="B1712">
        <v>120</v>
      </c>
      <c r="C1712" t="s">
        <v>26</v>
      </c>
      <c r="D1712">
        <v>10.459</v>
      </c>
      <c r="E1712">
        <v>9.56</v>
      </c>
      <c r="F1712">
        <v>6.72</v>
      </c>
      <c r="G1712">
        <v>134.31</v>
      </c>
      <c r="H1712">
        <v>1.99</v>
      </c>
      <c r="I1712">
        <v>3</v>
      </c>
      <c r="J1712">
        <v>291.3</v>
      </c>
      <c r="K1712">
        <v>57.72</v>
      </c>
      <c r="L1712">
        <v>32.5</v>
      </c>
      <c r="M1712">
        <v>1</v>
      </c>
      <c r="N1712">
        <v>81.08</v>
      </c>
      <c r="O1712">
        <v>36161.39</v>
      </c>
      <c r="P1712">
        <v>90.73</v>
      </c>
      <c r="Q1712">
        <v>204.14</v>
      </c>
      <c r="R1712">
        <v>22.58</v>
      </c>
      <c r="S1712">
        <v>17.37</v>
      </c>
      <c r="T1712">
        <v>516.14</v>
      </c>
      <c r="U1712">
        <v>0.77</v>
      </c>
      <c r="V1712">
        <v>0.76</v>
      </c>
      <c r="W1712">
        <v>1.1399999999999999</v>
      </c>
      <c r="X1712">
        <v>0.02</v>
      </c>
      <c r="Y1712">
        <v>1</v>
      </c>
      <c r="Z1712">
        <v>10</v>
      </c>
    </row>
    <row r="1713" spans="1:26" x14ac:dyDescent="0.3">
      <c r="A1713">
        <v>127</v>
      </c>
      <c r="B1713">
        <v>120</v>
      </c>
      <c r="C1713" t="s">
        <v>26</v>
      </c>
      <c r="D1713">
        <v>10.4557</v>
      </c>
      <c r="E1713">
        <v>9.56</v>
      </c>
      <c r="F1713">
        <v>6.72</v>
      </c>
      <c r="G1713">
        <v>134.37</v>
      </c>
      <c r="H1713">
        <v>2</v>
      </c>
      <c r="I1713">
        <v>3</v>
      </c>
      <c r="J1713">
        <v>291.81</v>
      </c>
      <c r="K1713">
        <v>57.72</v>
      </c>
      <c r="L1713">
        <v>32.75</v>
      </c>
      <c r="M1713">
        <v>1</v>
      </c>
      <c r="N1713">
        <v>81.34</v>
      </c>
      <c r="O1713">
        <v>36224.42</v>
      </c>
      <c r="P1713">
        <v>91.11</v>
      </c>
      <c r="Q1713">
        <v>204.14</v>
      </c>
      <c r="R1713">
        <v>22.63</v>
      </c>
      <c r="S1713">
        <v>17.37</v>
      </c>
      <c r="T1713">
        <v>540.47</v>
      </c>
      <c r="U1713">
        <v>0.77</v>
      </c>
      <c r="V1713">
        <v>0.76</v>
      </c>
      <c r="W1713">
        <v>1.1399999999999999</v>
      </c>
      <c r="X1713">
        <v>0.03</v>
      </c>
      <c r="Y1713">
        <v>1</v>
      </c>
      <c r="Z1713">
        <v>10</v>
      </c>
    </row>
    <row r="1714" spans="1:26" x14ac:dyDescent="0.3">
      <c r="A1714">
        <v>128</v>
      </c>
      <c r="B1714">
        <v>120</v>
      </c>
      <c r="C1714" t="s">
        <v>26</v>
      </c>
      <c r="D1714">
        <v>10.455399999999999</v>
      </c>
      <c r="E1714">
        <v>9.56</v>
      </c>
      <c r="F1714">
        <v>6.72</v>
      </c>
      <c r="G1714">
        <v>134.38</v>
      </c>
      <c r="H1714">
        <v>2.0099999999999998</v>
      </c>
      <c r="I1714">
        <v>3</v>
      </c>
      <c r="J1714">
        <v>292.32</v>
      </c>
      <c r="K1714">
        <v>57.72</v>
      </c>
      <c r="L1714">
        <v>33</v>
      </c>
      <c r="M1714">
        <v>1</v>
      </c>
      <c r="N1714">
        <v>81.599999999999994</v>
      </c>
      <c r="O1714">
        <v>36287.56</v>
      </c>
      <c r="P1714">
        <v>91.22</v>
      </c>
      <c r="Q1714">
        <v>204.15</v>
      </c>
      <c r="R1714">
        <v>22.67</v>
      </c>
      <c r="S1714">
        <v>17.37</v>
      </c>
      <c r="T1714">
        <v>560.34</v>
      </c>
      <c r="U1714">
        <v>0.77</v>
      </c>
      <c r="V1714">
        <v>0.76</v>
      </c>
      <c r="W1714">
        <v>1.1399999999999999</v>
      </c>
      <c r="X1714">
        <v>0.03</v>
      </c>
      <c r="Y1714">
        <v>1</v>
      </c>
      <c r="Z1714">
        <v>10</v>
      </c>
    </row>
    <row r="1715" spans="1:26" x14ac:dyDescent="0.3">
      <c r="A1715">
        <v>129</v>
      </c>
      <c r="B1715">
        <v>120</v>
      </c>
      <c r="C1715" t="s">
        <v>26</v>
      </c>
      <c r="D1715">
        <v>10.4557</v>
      </c>
      <c r="E1715">
        <v>9.56</v>
      </c>
      <c r="F1715">
        <v>6.72</v>
      </c>
      <c r="G1715">
        <v>134.37</v>
      </c>
      <c r="H1715">
        <v>2.02</v>
      </c>
      <c r="I1715">
        <v>3</v>
      </c>
      <c r="J1715">
        <v>292.83999999999997</v>
      </c>
      <c r="K1715">
        <v>57.72</v>
      </c>
      <c r="L1715">
        <v>33.25</v>
      </c>
      <c r="M1715">
        <v>1</v>
      </c>
      <c r="N1715">
        <v>81.86</v>
      </c>
      <c r="O1715">
        <v>36350.81</v>
      </c>
      <c r="P1715">
        <v>91.52</v>
      </c>
      <c r="Q1715">
        <v>204.14</v>
      </c>
      <c r="R1715">
        <v>22.65</v>
      </c>
      <c r="S1715">
        <v>17.37</v>
      </c>
      <c r="T1715">
        <v>554.6</v>
      </c>
      <c r="U1715">
        <v>0.77</v>
      </c>
      <c r="V1715">
        <v>0.76</v>
      </c>
      <c r="W1715">
        <v>1.1399999999999999</v>
      </c>
      <c r="X1715">
        <v>0.03</v>
      </c>
      <c r="Y1715">
        <v>1</v>
      </c>
      <c r="Z1715">
        <v>10</v>
      </c>
    </row>
    <row r="1716" spans="1:26" x14ac:dyDescent="0.3">
      <c r="A1716">
        <v>130</v>
      </c>
      <c r="B1716">
        <v>120</v>
      </c>
      <c r="C1716" t="s">
        <v>26</v>
      </c>
      <c r="D1716">
        <v>10.454800000000001</v>
      </c>
      <c r="E1716">
        <v>9.56</v>
      </c>
      <c r="F1716">
        <v>6.72</v>
      </c>
      <c r="G1716">
        <v>134.38999999999999</v>
      </c>
      <c r="H1716">
        <v>2.0299999999999998</v>
      </c>
      <c r="I1716">
        <v>3</v>
      </c>
      <c r="J1716">
        <v>293.35000000000002</v>
      </c>
      <c r="K1716">
        <v>57.72</v>
      </c>
      <c r="L1716">
        <v>33.5</v>
      </c>
      <c r="M1716">
        <v>1</v>
      </c>
      <c r="N1716">
        <v>82.13</v>
      </c>
      <c r="O1716">
        <v>36414.160000000003</v>
      </c>
      <c r="P1716">
        <v>91.59</v>
      </c>
      <c r="Q1716">
        <v>204.14</v>
      </c>
      <c r="R1716">
        <v>22.68</v>
      </c>
      <c r="S1716">
        <v>17.37</v>
      </c>
      <c r="T1716">
        <v>569.5</v>
      </c>
      <c r="U1716">
        <v>0.77</v>
      </c>
      <c r="V1716">
        <v>0.76</v>
      </c>
      <c r="W1716">
        <v>1.1399999999999999</v>
      </c>
      <c r="X1716">
        <v>0.03</v>
      </c>
      <c r="Y1716">
        <v>1</v>
      </c>
      <c r="Z1716">
        <v>10</v>
      </c>
    </row>
    <row r="1717" spans="1:26" x14ac:dyDescent="0.3">
      <c r="A1717">
        <v>131</v>
      </c>
      <c r="B1717">
        <v>120</v>
      </c>
      <c r="C1717" t="s">
        <v>26</v>
      </c>
      <c r="D1717">
        <v>10.457800000000001</v>
      </c>
      <c r="E1717">
        <v>9.56</v>
      </c>
      <c r="F1717">
        <v>6.72</v>
      </c>
      <c r="G1717">
        <v>134.33000000000001</v>
      </c>
      <c r="H1717">
        <v>2.0499999999999998</v>
      </c>
      <c r="I1717">
        <v>3</v>
      </c>
      <c r="J1717">
        <v>293.87</v>
      </c>
      <c r="K1717">
        <v>57.72</v>
      </c>
      <c r="L1717">
        <v>33.75</v>
      </c>
      <c r="M1717">
        <v>1</v>
      </c>
      <c r="N1717">
        <v>82.39</v>
      </c>
      <c r="O1717">
        <v>36477.629999999997</v>
      </c>
      <c r="P1717">
        <v>91.77</v>
      </c>
      <c r="Q1717">
        <v>204.14</v>
      </c>
      <c r="R1717">
        <v>22.61</v>
      </c>
      <c r="S1717">
        <v>17.37</v>
      </c>
      <c r="T1717">
        <v>533.72</v>
      </c>
      <c r="U1717">
        <v>0.77</v>
      </c>
      <c r="V1717">
        <v>0.76</v>
      </c>
      <c r="W1717">
        <v>1.1399999999999999</v>
      </c>
      <c r="X1717">
        <v>0.03</v>
      </c>
      <c r="Y1717">
        <v>1</v>
      </c>
      <c r="Z1717">
        <v>10</v>
      </c>
    </row>
    <row r="1718" spans="1:26" x14ac:dyDescent="0.3">
      <c r="A1718">
        <v>132</v>
      </c>
      <c r="B1718">
        <v>120</v>
      </c>
      <c r="C1718" t="s">
        <v>26</v>
      </c>
      <c r="D1718">
        <v>10.456300000000001</v>
      </c>
      <c r="E1718">
        <v>9.56</v>
      </c>
      <c r="F1718">
        <v>6.72</v>
      </c>
      <c r="G1718">
        <v>134.36000000000001</v>
      </c>
      <c r="H1718">
        <v>2.06</v>
      </c>
      <c r="I1718">
        <v>3</v>
      </c>
      <c r="J1718">
        <v>294.38</v>
      </c>
      <c r="K1718">
        <v>57.72</v>
      </c>
      <c r="L1718">
        <v>34</v>
      </c>
      <c r="M1718">
        <v>1</v>
      </c>
      <c r="N1718">
        <v>82.66</v>
      </c>
      <c r="O1718">
        <v>36541.199999999997</v>
      </c>
      <c r="P1718">
        <v>91.96</v>
      </c>
      <c r="Q1718">
        <v>204.14</v>
      </c>
      <c r="R1718">
        <v>22.61</v>
      </c>
      <c r="S1718">
        <v>17.37</v>
      </c>
      <c r="T1718">
        <v>534.28</v>
      </c>
      <c r="U1718">
        <v>0.77</v>
      </c>
      <c r="V1718">
        <v>0.76</v>
      </c>
      <c r="W1718">
        <v>1.1399999999999999</v>
      </c>
      <c r="X1718">
        <v>0.03</v>
      </c>
      <c r="Y1718">
        <v>1</v>
      </c>
      <c r="Z1718">
        <v>10</v>
      </c>
    </row>
    <row r="1719" spans="1:26" x14ac:dyDescent="0.3">
      <c r="A1719">
        <v>133</v>
      </c>
      <c r="B1719">
        <v>120</v>
      </c>
      <c r="C1719" t="s">
        <v>26</v>
      </c>
      <c r="D1719">
        <v>10.455399999999999</v>
      </c>
      <c r="E1719">
        <v>9.56</v>
      </c>
      <c r="F1719">
        <v>6.72</v>
      </c>
      <c r="G1719">
        <v>134.38</v>
      </c>
      <c r="H1719">
        <v>2.0699999999999998</v>
      </c>
      <c r="I1719">
        <v>3</v>
      </c>
      <c r="J1719">
        <v>294.89999999999998</v>
      </c>
      <c r="K1719">
        <v>57.72</v>
      </c>
      <c r="L1719">
        <v>34.25</v>
      </c>
      <c r="M1719">
        <v>1</v>
      </c>
      <c r="N1719">
        <v>82.92</v>
      </c>
      <c r="O1719">
        <v>36604.89</v>
      </c>
      <c r="P1719">
        <v>92.02</v>
      </c>
      <c r="Q1719">
        <v>204.14</v>
      </c>
      <c r="R1719">
        <v>22.69</v>
      </c>
      <c r="S1719">
        <v>17.37</v>
      </c>
      <c r="T1719">
        <v>572.79</v>
      </c>
      <c r="U1719">
        <v>0.77</v>
      </c>
      <c r="V1719">
        <v>0.76</v>
      </c>
      <c r="W1719">
        <v>1.1399999999999999</v>
      </c>
      <c r="X1719">
        <v>0.03</v>
      </c>
      <c r="Y1719">
        <v>1</v>
      </c>
      <c r="Z1719">
        <v>10</v>
      </c>
    </row>
    <row r="1720" spans="1:26" x14ac:dyDescent="0.3">
      <c r="A1720">
        <v>134</v>
      </c>
      <c r="B1720">
        <v>120</v>
      </c>
      <c r="C1720" t="s">
        <v>26</v>
      </c>
      <c r="D1720">
        <v>10.451700000000001</v>
      </c>
      <c r="E1720">
        <v>9.57</v>
      </c>
      <c r="F1720">
        <v>6.72</v>
      </c>
      <c r="G1720">
        <v>134.44</v>
      </c>
      <c r="H1720">
        <v>2.08</v>
      </c>
      <c r="I1720">
        <v>3</v>
      </c>
      <c r="J1720">
        <v>295.41000000000003</v>
      </c>
      <c r="K1720">
        <v>57.72</v>
      </c>
      <c r="L1720">
        <v>34.5</v>
      </c>
      <c r="M1720">
        <v>1</v>
      </c>
      <c r="N1720">
        <v>83.19</v>
      </c>
      <c r="O1720">
        <v>36668.68</v>
      </c>
      <c r="P1720">
        <v>92.1</v>
      </c>
      <c r="Q1720">
        <v>204.14</v>
      </c>
      <c r="R1720">
        <v>22.77</v>
      </c>
      <c r="S1720">
        <v>17.37</v>
      </c>
      <c r="T1720">
        <v>614.17999999999995</v>
      </c>
      <c r="U1720">
        <v>0.76</v>
      </c>
      <c r="V1720">
        <v>0.76</v>
      </c>
      <c r="W1720">
        <v>1.1399999999999999</v>
      </c>
      <c r="X1720">
        <v>0.03</v>
      </c>
      <c r="Y1720">
        <v>1</v>
      </c>
      <c r="Z1720">
        <v>10</v>
      </c>
    </row>
    <row r="1721" spans="1:26" x14ac:dyDescent="0.3">
      <c r="A1721">
        <v>135</v>
      </c>
      <c r="B1721">
        <v>120</v>
      </c>
      <c r="C1721" t="s">
        <v>26</v>
      </c>
      <c r="D1721">
        <v>10.4533</v>
      </c>
      <c r="E1721">
        <v>9.57</v>
      </c>
      <c r="F1721">
        <v>6.72</v>
      </c>
      <c r="G1721">
        <v>134.41999999999999</v>
      </c>
      <c r="H1721">
        <v>2.09</v>
      </c>
      <c r="I1721">
        <v>3</v>
      </c>
      <c r="J1721">
        <v>295.93</v>
      </c>
      <c r="K1721">
        <v>57.72</v>
      </c>
      <c r="L1721">
        <v>34.75</v>
      </c>
      <c r="M1721">
        <v>1</v>
      </c>
      <c r="N1721">
        <v>83.46</v>
      </c>
      <c r="O1721">
        <v>36732.589999999997</v>
      </c>
      <c r="P1721">
        <v>92.07</v>
      </c>
      <c r="Q1721">
        <v>204.14</v>
      </c>
      <c r="R1721">
        <v>22.74</v>
      </c>
      <c r="S1721">
        <v>17.37</v>
      </c>
      <c r="T1721">
        <v>598.02</v>
      </c>
      <c r="U1721">
        <v>0.76</v>
      </c>
      <c r="V1721">
        <v>0.76</v>
      </c>
      <c r="W1721">
        <v>1.1399999999999999</v>
      </c>
      <c r="X1721">
        <v>0.03</v>
      </c>
      <c r="Y1721">
        <v>1</v>
      </c>
      <c r="Z1721">
        <v>10</v>
      </c>
    </row>
    <row r="1722" spans="1:26" x14ac:dyDescent="0.3">
      <c r="A1722">
        <v>136</v>
      </c>
      <c r="B1722">
        <v>120</v>
      </c>
      <c r="C1722" t="s">
        <v>26</v>
      </c>
      <c r="D1722">
        <v>10.454800000000001</v>
      </c>
      <c r="E1722">
        <v>9.56</v>
      </c>
      <c r="F1722">
        <v>6.72</v>
      </c>
      <c r="G1722">
        <v>134.38999999999999</v>
      </c>
      <c r="H1722">
        <v>2.1</v>
      </c>
      <c r="I1722">
        <v>3</v>
      </c>
      <c r="J1722">
        <v>296.45</v>
      </c>
      <c r="K1722">
        <v>57.72</v>
      </c>
      <c r="L1722">
        <v>35</v>
      </c>
      <c r="M1722">
        <v>1</v>
      </c>
      <c r="N1722">
        <v>83.73</v>
      </c>
      <c r="O1722">
        <v>36796.61</v>
      </c>
      <c r="P1722">
        <v>92.17</v>
      </c>
      <c r="Q1722">
        <v>204.14</v>
      </c>
      <c r="R1722">
        <v>22.71</v>
      </c>
      <c r="S1722">
        <v>17.37</v>
      </c>
      <c r="T1722">
        <v>584.08000000000004</v>
      </c>
      <c r="U1722">
        <v>0.76</v>
      </c>
      <c r="V1722">
        <v>0.76</v>
      </c>
      <c r="W1722">
        <v>1.1399999999999999</v>
      </c>
      <c r="X1722">
        <v>0.03</v>
      </c>
      <c r="Y1722">
        <v>1</v>
      </c>
      <c r="Z1722">
        <v>10</v>
      </c>
    </row>
    <row r="1723" spans="1:26" x14ac:dyDescent="0.3">
      <c r="A1723">
        <v>137</v>
      </c>
      <c r="B1723">
        <v>120</v>
      </c>
      <c r="C1723" t="s">
        <v>26</v>
      </c>
      <c r="D1723">
        <v>10.4533</v>
      </c>
      <c r="E1723">
        <v>9.57</v>
      </c>
      <c r="F1723">
        <v>6.72</v>
      </c>
      <c r="G1723">
        <v>134.41999999999999</v>
      </c>
      <c r="H1723">
        <v>2.11</v>
      </c>
      <c r="I1723">
        <v>3</v>
      </c>
      <c r="J1723">
        <v>296.97000000000003</v>
      </c>
      <c r="K1723">
        <v>57.72</v>
      </c>
      <c r="L1723">
        <v>35.25</v>
      </c>
      <c r="M1723">
        <v>1</v>
      </c>
      <c r="N1723">
        <v>84</v>
      </c>
      <c r="O1723">
        <v>36860.74</v>
      </c>
      <c r="P1723">
        <v>92.27</v>
      </c>
      <c r="Q1723">
        <v>204.14</v>
      </c>
      <c r="R1723">
        <v>22.76</v>
      </c>
      <c r="S1723">
        <v>17.37</v>
      </c>
      <c r="T1723">
        <v>606.08000000000004</v>
      </c>
      <c r="U1723">
        <v>0.76</v>
      </c>
      <c r="V1723">
        <v>0.76</v>
      </c>
      <c r="W1723">
        <v>1.1399999999999999</v>
      </c>
      <c r="X1723">
        <v>0.03</v>
      </c>
      <c r="Y1723">
        <v>1</v>
      </c>
      <c r="Z1723">
        <v>10</v>
      </c>
    </row>
    <row r="1724" spans="1:26" x14ac:dyDescent="0.3">
      <c r="A1724">
        <v>138</v>
      </c>
      <c r="B1724">
        <v>120</v>
      </c>
      <c r="C1724" t="s">
        <v>26</v>
      </c>
      <c r="D1724">
        <v>10.452999999999999</v>
      </c>
      <c r="E1724">
        <v>9.57</v>
      </c>
      <c r="F1724">
        <v>6.72</v>
      </c>
      <c r="G1724">
        <v>134.41999999999999</v>
      </c>
      <c r="H1724">
        <v>2.13</v>
      </c>
      <c r="I1724">
        <v>3</v>
      </c>
      <c r="J1724">
        <v>297.49</v>
      </c>
      <c r="K1724">
        <v>57.72</v>
      </c>
      <c r="L1724">
        <v>35.5</v>
      </c>
      <c r="M1724">
        <v>1</v>
      </c>
      <c r="N1724">
        <v>84.27</v>
      </c>
      <c r="O1724">
        <v>36924.99</v>
      </c>
      <c r="P1724">
        <v>92.27</v>
      </c>
      <c r="Q1724">
        <v>204.14</v>
      </c>
      <c r="R1724">
        <v>22.73</v>
      </c>
      <c r="S1724">
        <v>17.37</v>
      </c>
      <c r="T1724">
        <v>592.88</v>
      </c>
      <c r="U1724">
        <v>0.76</v>
      </c>
      <c r="V1724">
        <v>0.76</v>
      </c>
      <c r="W1724">
        <v>1.1399999999999999</v>
      </c>
      <c r="X1724">
        <v>0.03</v>
      </c>
      <c r="Y1724">
        <v>1</v>
      </c>
      <c r="Z1724">
        <v>10</v>
      </c>
    </row>
    <row r="1725" spans="1:26" x14ac:dyDescent="0.3">
      <c r="A1725">
        <v>139</v>
      </c>
      <c r="B1725">
        <v>120</v>
      </c>
      <c r="C1725" t="s">
        <v>26</v>
      </c>
      <c r="D1725">
        <v>10.449</v>
      </c>
      <c r="E1725">
        <v>9.57</v>
      </c>
      <c r="F1725">
        <v>6.72</v>
      </c>
      <c r="G1725">
        <v>134.49</v>
      </c>
      <c r="H1725">
        <v>2.14</v>
      </c>
      <c r="I1725">
        <v>3</v>
      </c>
      <c r="J1725">
        <v>298.01</v>
      </c>
      <c r="K1725">
        <v>57.72</v>
      </c>
      <c r="L1725">
        <v>35.75</v>
      </c>
      <c r="M1725">
        <v>1</v>
      </c>
      <c r="N1725">
        <v>84.54</v>
      </c>
      <c r="O1725">
        <v>36989.35</v>
      </c>
      <c r="P1725">
        <v>92.39</v>
      </c>
      <c r="Q1725">
        <v>204.14</v>
      </c>
      <c r="R1725">
        <v>22.82</v>
      </c>
      <c r="S1725">
        <v>17.37</v>
      </c>
      <c r="T1725">
        <v>636.63</v>
      </c>
      <c r="U1725">
        <v>0.76</v>
      </c>
      <c r="V1725">
        <v>0.76</v>
      </c>
      <c r="W1725">
        <v>1.1399999999999999</v>
      </c>
      <c r="X1725">
        <v>0.03</v>
      </c>
      <c r="Y1725">
        <v>1</v>
      </c>
      <c r="Z1725">
        <v>10</v>
      </c>
    </row>
    <row r="1726" spans="1:26" x14ac:dyDescent="0.3">
      <c r="A1726">
        <v>140</v>
      </c>
      <c r="B1726">
        <v>120</v>
      </c>
      <c r="C1726" t="s">
        <v>26</v>
      </c>
      <c r="D1726">
        <v>10.4496</v>
      </c>
      <c r="E1726">
        <v>9.57</v>
      </c>
      <c r="F1726">
        <v>6.72</v>
      </c>
      <c r="G1726">
        <v>134.47999999999999</v>
      </c>
      <c r="H1726">
        <v>2.15</v>
      </c>
      <c r="I1726">
        <v>3</v>
      </c>
      <c r="J1726">
        <v>298.54000000000002</v>
      </c>
      <c r="K1726">
        <v>57.72</v>
      </c>
      <c r="L1726">
        <v>36</v>
      </c>
      <c r="M1726">
        <v>0</v>
      </c>
      <c r="N1726">
        <v>84.81</v>
      </c>
      <c r="O1726">
        <v>37053.82</v>
      </c>
      <c r="P1726">
        <v>92.53</v>
      </c>
      <c r="Q1726">
        <v>204.14</v>
      </c>
      <c r="R1726">
        <v>22.82</v>
      </c>
      <c r="S1726">
        <v>17.37</v>
      </c>
      <c r="T1726">
        <v>637.86</v>
      </c>
      <c r="U1726">
        <v>0.76</v>
      </c>
      <c r="V1726">
        <v>0.76</v>
      </c>
      <c r="W1726">
        <v>1.1399999999999999</v>
      </c>
      <c r="X1726">
        <v>0.03</v>
      </c>
      <c r="Y1726">
        <v>1</v>
      </c>
      <c r="Z1726">
        <v>10</v>
      </c>
    </row>
    <row r="1727" spans="1:26" x14ac:dyDescent="0.3">
      <c r="A1727">
        <v>0</v>
      </c>
      <c r="B1727">
        <v>145</v>
      </c>
      <c r="C1727" t="s">
        <v>26</v>
      </c>
      <c r="D1727">
        <v>5.4493</v>
      </c>
      <c r="E1727">
        <v>18.350000000000001</v>
      </c>
      <c r="F1727">
        <v>9.1</v>
      </c>
      <c r="G1727">
        <v>4.67</v>
      </c>
      <c r="H1727">
        <v>0.06</v>
      </c>
      <c r="I1727">
        <v>117</v>
      </c>
      <c r="J1727">
        <v>285.18</v>
      </c>
      <c r="K1727">
        <v>61.2</v>
      </c>
      <c r="L1727">
        <v>1</v>
      </c>
      <c r="M1727">
        <v>115</v>
      </c>
      <c r="N1727">
        <v>77.98</v>
      </c>
      <c r="O1727">
        <v>35406.83</v>
      </c>
      <c r="P1727">
        <v>161.87</v>
      </c>
      <c r="Q1727">
        <v>204.31</v>
      </c>
      <c r="R1727">
        <v>96.97</v>
      </c>
      <c r="S1727">
        <v>17.37</v>
      </c>
      <c r="T1727">
        <v>37141.699999999997</v>
      </c>
      <c r="U1727">
        <v>0.18</v>
      </c>
      <c r="V1727">
        <v>0.56000000000000005</v>
      </c>
      <c r="W1727">
        <v>1.32</v>
      </c>
      <c r="X1727">
        <v>2.4</v>
      </c>
      <c r="Y1727">
        <v>1</v>
      </c>
      <c r="Z1727">
        <v>10</v>
      </c>
    </row>
    <row r="1728" spans="1:26" x14ac:dyDescent="0.3">
      <c r="A1728">
        <v>1</v>
      </c>
      <c r="B1728">
        <v>145</v>
      </c>
      <c r="C1728" t="s">
        <v>26</v>
      </c>
      <c r="D1728">
        <v>6.1849999999999996</v>
      </c>
      <c r="E1728">
        <v>16.170000000000002</v>
      </c>
      <c r="F1728">
        <v>8.48</v>
      </c>
      <c r="G1728">
        <v>5.78</v>
      </c>
      <c r="H1728">
        <v>0.08</v>
      </c>
      <c r="I1728">
        <v>88</v>
      </c>
      <c r="J1728">
        <v>285.68</v>
      </c>
      <c r="K1728">
        <v>61.2</v>
      </c>
      <c r="L1728">
        <v>1.25</v>
      </c>
      <c r="M1728">
        <v>86</v>
      </c>
      <c r="N1728">
        <v>78.239999999999995</v>
      </c>
      <c r="O1728">
        <v>35468.6</v>
      </c>
      <c r="P1728">
        <v>150.75</v>
      </c>
      <c r="Q1728">
        <v>204.32</v>
      </c>
      <c r="R1728">
        <v>77.37</v>
      </c>
      <c r="S1728">
        <v>17.37</v>
      </c>
      <c r="T1728">
        <v>27485.9</v>
      </c>
      <c r="U1728">
        <v>0.22</v>
      </c>
      <c r="V1728">
        <v>0.6</v>
      </c>
      <c r="W1728">
        <v>1.28</v>
      </c>
      <c r="X1728">
        <v>1.78</v>
      </c>
      <c r="Y1728">
        <v>1</v>
      </c>
      <c r="Z1728">
        <v>10</v>
      </c>
    </row>
    <row r="1729" spans="1:26" x14ac:dyDescent="0.3">
      <c r="A1729">
        <v>2</v>
      </c>
      <c r="B1729">
        <v>145</v>
      </c>
      <c r="C1729" t="s">
        <v>26</v>
      </c>
      <c r="D1729">
        <v>6.7484999999999999</v>
      </c>
      <c r="E1729">
        <v>14.82</v>
      </c>
      <c r="F1729">
        <v>8.1</v>
      </c>
      <c r="G1729">
        <v>6.94</v>
      </c>
      <c r="H1729">
        <v>0.09</v>
      </c>
      <c r="I1729">
        <v>70</v>
      </c>
      <c r="J1729">
        <v>286.19</v>
      </c>
      <c r="K1729">
        <v>61.2</v>
      </c>
      <c r="L1729">
        <v>1.5</v>
      </c>
      <c r="M1729">
        <v>68</v>
      </c>
      <c r="N1729">
        <v>78.489999999999995</v>
      </c>
      <c r="O1729">
        <v>35530.47</v>
      </c>
      <c r="P1729">
        <v>143.91</v>
      </c>
      <c r="Q1729">
        <v>204.26</v>
      </c>
      <c r="R1729">
        <v>65.78</v>
      </c>
      <c r="S1729">
        <v>17.37</v>
      </c>
      <c r="T1729">
        <v>21782</v>
      </c>
      <c r="U1729">
        <v>0.26</v>
      </c>
      <c r="V1729">
        <v>0.63</v>
      </c>
      <c r="W1729">
        <v>1.24</v>
      </c>
      <c r="X1729">
        <v>1.4</v>
      </c>
      <c r="Y1729">
        <v>1</v>
      </c>
      <c r="Z1729">
        <v>10</v>
      </c>
    </row>
    <row r="1730" spans="1:26" x14ac:dyDescent="0.3">
      <c r="A1730">
        <v>3</v>
      </c>
      <c r="B1730">
        <v>145</v>
      </c>
      <c r="C1730" t="s">
        <v>26</v>
      </c>
      <c r="D1730">
        <v>7.1368</v>
      </c>
      <c r="E1730">
        <v>14.01</v>
      </c>
      <c r="F1730">
        <v>7.88</v>
      </c>
      <c r="G1730">
        <v>8.02</v>
      </c>
      <c r="H1730">
        <v>0.11</v>
      </c>
      <c r="I1730">
        <v>59</v>
      </c>
      <c r="J1730">
        <v>286.69</v>
      </c>
      <c r="K1730">
        <v>61.2</v>
      </c>
      <c r="L1730">
        <v>1.75</v>
      </c>
      <c r="M1730">
        <v>57</v>
      </c>
      <c r="N1730">
        <v>78.739999999999995</v>
      </c>
      <c r="O1730">
        <v>35592.57</v>
      </c>
      <c r="P1730">
        <v>140.05000000000001</v>
      </c>
      <c r="Q1730">
        <v>204.3</v>
      </c>
      <c r="R1730">
        <v>58.78</v>
      </c>
      <c r="S1730">
        <v>17.37</v>
      </c>
      <c r="T1730">
        <v>18337.48</v>
      </c>
      <c r="U1730">
        <v>0.3</v>
      </c>
      <c r="V1730">
        <v>0.65</v>
      </c>
      <c r="W1730">
        <v>1.24</v>
      </c>
      <c r="X1730">
        <v>1.19</v>
      </c>
      <c r="Y1730">
        <v>1</v>
      </c>
      <c r="Z1730">
        <v>10</v>
      </c>
    </row>
    <row r="1731" spans="1:26" x14ac:dyDescent="0.3">
      <c r="A1731">
        <v>4</v>
      </c>
      <c r="B1731">
        <v>145</v>
      </c>
      <c r="C1731" t="s">
        <v>26</v>
      </c>
      <c r="D1731">
        <v>7.5105000000000004</v>
      </c>
      <c r="E1731">
        <v>13.31</v>
      </c>
      <c r="F1731">
        <v>7.67</v>
      </c>
      <c r="G1731">
        <v>9.2100000000000009</v>
      </c>
      <c r="H1731">
        <v>0.12</v>
      </c>
      <c r="I1731">
        <v>50</v>
      </c>
      <c r="J1731">
        <v>287.19</v>
      </c>
      <c r="K1731">
        <v>61.2</v>
      </c>
      <c r="L1731">
        <v>2</v>
      </c>
      <c r="M1731">
        <v>48</v>
      </c>
      <c r="N1731">
        <v>78.989999999999995</v>
      </c>
      <c r="O1731">
        <v>35654.65</v>
      </c>
      <c r="P1731">
        <v>136.22</v>
      </c>
      <c r="Q1731">
        <v>204.15</v>
      </c>
      <c r="R1731">
        <v>52.25</v>
      </c>
      <c r="S1731">
        <v>17.37</v>
      </c>
      <c r="T1731">
        <v>15118.14</v>
      </c>
      <c r="U1731">
        <v>0.33</v>
      </c>
      <c r="V1731">
        <v>0.67</v>
      </c>
      <c r="W1731">
        <v>1.22</v>
      </c>
      <c r="X1731">
        <v>0.98</v>
      </c>
      <c r="Y1731">
        <v>1</v>
      </c>
      <c r="Z1731">
        <v>10</v>
      </c>
    </row>
    <row r="1732" spans="1:26" x14ac:dyDescent="0.3">
      <c r="A1732">
        <v>5</v>
      </c>
      <c r="B1732">
        <v>145</v>
      </c>
      <c r="C1732" t="s">
        <v>26</v>
      </c>
      <c r="D1732">
        <v>7.7541000000000002</v>
      </c>
      <c r="E1732">
        <v>12.9</v>
      </c>
      <c r="F1732">
        <v>7.58</v>
      </c>
      <c r="G1732">
        <v>10.33</v>
      </c>
      <c r="H1732">
        <v>0.14000000000000001</v>
      </c>
      <c r="I1732">
        <v>44</v>
      </c>
      <c r="J1732">
        <v>287.7</v>
      </c>
      <c r="K1732">
        <v>61.2</v>
      </c>
      <c r="L1732">
        <v>2.25</v>
      </c>
      <c r="M1732">
        <v>42</v>
      </c>
      <c r="N1732">
        <v>79.25</v>
      </c>
      <c r="O1732">
        <v>35716.83</v>
      </c>
      <c r="P1732">
        <v>134.46</v>
      </c>
      <c r="Q1732">
        <v>204.19</v>
      </c>
      <c r="R1732">
        <v>49.12</v>
      </c>
      <c r="S1732">
        <v>17.37</v>
      </c>
      <c r="T1732">
        <v>13580.69</v>
      </c>
      <c r="U1732">
        <v>0.35</v>
      </c>
      <c r="V1732">
        <v>0.67</v>
      </c>
      <c r="W1732">
        <v>1.21</v>
      </c>
      <c r="X1732">
        <v>0.88</v>
      </c>
      <c r="Y1732">
        <v>1</v>
      </c>
      <c r="Z1732">
        <v>10</v>
      </c>
    </row>
    <row r="1733" spans="1:26" x14ac:dyDescent="0.3">
      <c r="A1733">
        <v>6</v>
      </c>
      <c r="B1733">
        <v>145</v>
      </c>
      <c r="C1733" t="s">
        <v>26</v>
      </c>
      <c r="D1733">
        <v>7.9882999999999997</v>
      </c>
      <c r="E1733">
        <v>12.52</v>
      </c>
      <c r="F1733">
        <v>7.47</v>
      </c>
      <c r="G1733">
        <v>11.49</v>
      </c>
      <c r="H1733">
        <v>0.15</v>
      </c>
      <c r="I1733">
        <v>39</v>
      </c>
      <c r="J1733">
        <v>288.2</v>
      </c>
      <c r="K1733">
        <v>61.2</v>
      </c>
      <c r="L1733">
        <v>2.5</v>
      </c>
      <c r="M1733">
        <v>37</v>
      </c>
      <c r="N1733">
        <v>79.5</v>
      </c>
      <c r="O1733">
        <v>35779.11</v>
      </c>
      <c r="P1733">
        <v>132.47999999999999</v>
      </c>
      <c r="Q1733">
        <v>204.25</v>
      </c>
      <c r="R1733">
        <v>45.71</v>
      </c>
      <c r="S1733">
        <v>17.37</v>
      </c>
      <c r="T1733">
        <v>11900.03</v>
      </c>
      <c r="U1733">
        <v>0.38</v>
      </c>
      <c r="V1733">
        <v>0.68</v>
      </c>
      <c r="W1733">
        <v>1.21</v>
      </c>
      <c r="X1733">
        <v>0.77</v>
      </c>
      <c r="Y1733">
        <v>1</v>
      </c>
      <c r="Z1733">
        <v>10</v>
      </c>
    </row>
    <row r="1734" spans="1:26" x14ac:dyDescent="0.3">
      <c r="A1734">
        <v>7</v>
      </c>
      <c r="B1734">
        <v>145</v>
      </c>
      <c r="C1734" t="s">
        <v>26</v>
      </c>
      <c r="D1734">
        <v>8.1412999999999993</v>
      </c>
      <c r="E1734">
        <v>12.28</v>
      </c>
      <c r="F1734">
        <v>7.39</v>
      </c>
      <c r="G1734">
        <v>12.32</v>
      </c>
      <c r="H1734">
        <v>0.17</v>
      </c>
      <c r="I1734">
        <v>36</v>
      </c>
      <c r="J1734">
        <v>288.70999999999998</v>
      </c>
      <c r="K1734">
        <v>61.2</v>
      </c>
      <c r="L1734">
        <v>2.75</v>
      </c>
      <c r="M1734">
        <v>34</v>
      </c>
      <c r="N1734">
        <v>79.760000000000005</v>
      </c>
      <c r="O1734">
        <v>35841.5</v>
      </c>
      <c r="P1734">
        <v>131.1</v>
      </c>
      <c r="Q1734">
        <v>204.15</v>
      </c>
      <c r="R1734">
        <v>43.86</v>
      </c>
      <c r="S1734">
        <v>17.37</v>
      </c>
      <c r="T1734">
        <v>10991.32</v>
      </c>
      <c r="U1734">
        <v>0.4</v>
      </c>
      <c r="V1734">
        <v>0.69</v>
      </c>
      <c r="W1734">
        <v>1.19</v>
      </c>
      <c r="X1734">
        <v>0.7</v>
      </c>
      <c r="Y1734">
        <v>1</v>
      </c>
      <c r="Z1734">
        <v>10</v>
      </c>
    </row>
    <row r="1735" spans="1:26" x14ac:dyDescent="0.3">
      <c r="A1735">
        <v>8</v>
      </c>
      <c r="B1735">
        <v>145</v>
      </c>
      <c r="C1735" t="s">
        <v>26</v>
      </c>
      <c r="D1735">
        <v>8.3322000000000003</v>
      </c>
      <c r="E1735">
        <v>12</v>
      </c>
      <c r="F1735">
        <v>7.33</v>
      </c>
      <c r="G1735">
        <v>13.74</v>
      </c>
      <c r="H1735">
        <v>0.18</v>
      </c>
      <c r="I1735">
        <v>32</v>
      </c>
      <c r="J1735">
        <v>289.20999999999998</v>
      </c>
      <c r="K1735">
        <v>61.2</v>
      </c>
      <c r="L1735">
        <v>3</v>
      </c>
      <c r="M1735">
        <v>30</v>
      </c>
      <c r="N1735">
        <v>80.02</v>
      </c>
      <c r="O1735">
        <v>35903.99</v>
      </c>
      <c r="P1735">
        <v>129.84</v>
      </c>
      <c r="Q1735">
        <v>204.2</v>
      </c>
      <c r="R1735">
        <v>41.45</v>
      </c>
      <c r="S1735">
        <v>17.37</v>
      </c>
      <c r="T1735">
        <v>9809.4</v>
      </c>
      <c r="U1735">
        <v>0.42</v>
      </c>
      <c r="V1735">
        <v>0.7</v>
      </c>
      <c r="W1735">
        <v>1.19</v>
      </c>
      <c r="X1735">
        <v>0.64</v>
      </c>
      <c r="Y1735">
        <v>1</v>
      </c>
      <c r="Z1735">
        <v>10</v>
      </c>
    </row>
    <row r="1736" spans="1:26" x14ac:dyDescent="0.3">
      <c r="A1736">
        <v>9</v>
      </c>
      <c r="B1736">
        <v>145</v>
      </c>
      <c r="C1736" t="s">
        <v>26</v>
      </c>
      <c r="D1736">
        <v>8.4451999999999998</v>
      </c>
      <c r="E1736">
        <v>11.84</v>
      </c>
      <c r="F1736">
        <v>7.28</v>
      </c>
      <c r="G1736">
        <v>14.55</v>
      </c>
      <c r="H1736">
        <v>0.2</v>
      </c>
      <c r="I1736">
        <v>30</v>
      </c>
      <c r="J1736">
        <v>289.72000000000003</v>
      </c>
      <c r="K1736">
        <v>61.2</v>
      </c>
      <c r="L1736">
        <v>3.25</v>
      </c>
      <c r="M1736">
        <v>28</v>
      </c>
      <c r="N1736">
        <v>80.27</v>
      </c>
      <c r="O1736">
        <v>35966.589999999997</v>
      </c>
      <c r="P1736">
        <v>128.85</v>
      </c>
      <c r="Q1736">
        <v>204.17</v>
      </c>
      <c r="R1736">
        <v>40</v>
      </c>
      <c r="S1736">
        <v>17.37</v>
      </c>
      <c r="T1736">
        <v>9093.06</v>
      </c>
      <c r="U1736">
        <v>0.43</v>
      </c>
      <c r="V1736">
        <v>0.7</v>
      </c>
      <c r="W1736">
        <v>1.18</v>
      </c>
      <c r="X1736">
        <v>0.57999999999999996</v>
      </c>
      <c r="Y1736">
        <v>1</v>
      </c>
      <c r="Z1736">
        <v>10</v>
      </c>
    </row>
    <row r="1737" spans="1:26" x14ac:dyDescent="0.3">
      <c r="A1737">
        <v>10</v>
      </c>
      <c r="B1737">
        <v>145</v>
      </c>
      <c r="C1737" t="s">
        <v>26</v>
      </c>
      <c r="D1737">
        <v>8.5504999999999995</v>
      </c>
      <c r="E1737">
        <v>11.7</v>
      </c>
      <c r="F1737">
        <v>7.24</v>
      </c>
      <c r="G1737">
        <v>15.51</v>
      </c>
      <c r="H1737">
        <v>0.21</v>
      </c>
      <c r="I1737">
        <v>28</v>
      </c>
      <c r="J1737">
        <v>290.23</v>
      </c>
      <c r="K1737">
        <v>61.2</v>
      </c>
      <c r="L1737">
        <v>3.5</v>
      </c>
      <c r="M1737">
        <v>26</v>
      </c>
      <c r="N1737">
        <v>80.53</v>
      </c>
      <c r="O1737">
        <v>36029.29</v>
      </c>
      <c r="P1737">
        <v>128.09</v>
      </c>
      <c r="Q1737">
        <v>204.14</v>
      </c>
      <c r="R1737">
        <v>38.869999999999997</v>
      </c>
      <c r="S1737">
        <v>17.37</v>
      </c>
      <c r="T1737">
        <v>8539.66</v>
      </c>
      <c r="U1737">
        <v>0.45</v>
      </c>
      <c r="V1737">
        <v>0.71</v>
      </c>
      <c r="W1737">
        <v>1.18</v>
      </c>
      <c r="X1737">
        <v>0.55000000000000004</v>
      </c>
      <c r="Y1737">
        <v>1</v>
      </c>
      <c r="Z1737">
        <v>10</v>
      </c>
    </row>
    <row r="1738" spans="1:26" x14ac:dyDescent="0.3">
      <c r="A1738">
        <v>11</v>
      </c>
      <c r="B1738">
        <v>145</v>
      </c>
      <c r="C1738" t="s">
        <v>26</v>
      </c>
      <c r="D1738">
        <v>8.6620000000000008</v>
      </c>
      <c r="E1738">
        <v>11.54</v>
      </c>
      <c r="F1738">
        <v>7.19</v>
      </c>
      <c r="G1738">
        <v>16.600000000000001</v>
      </c>
      <c r="H1738">
        <v>0.23</v>
      </c>
      <c r="I1738">
        <v>26</v>
      </c>
      <c r="J1738">
        <v>290.74</v>
      </c>
      <c r="K1738">
        <v>61.2</v>
      </c>
      <c r="L1738">
        <v>3.75</v>
      </c>
      <c r="M1738">
        <v>24</v>
      </c>
      <c r="N1738">
        <v>80.790000000000006</v>
      </c>
      <c r="O1738">
        <v>36092.1</v>
      </c>
      <c r="P1738">
        <v>127.32</v>
      </c>
      <c r="Q1738">
        <v>204.15</v>
      </c>
      <c r="R1738">
        <v>37.450000000000003</v>
      </c>
      <c r="S1738">
        <v>17.37</v>
      </c>
      <c r="T1738">
        <v>7835.59</v>
      </c>
      <c r="U1738">
        <v>0.46</v>
      </c>
      <c r="V1738">
        <v>0.71</v>
      </c>
      <c r="W1738">
        <v>1.18</v>
      </c>
      <c r="X1738">
        <v>0.5</v>
      </c>
      <c r="Y1738">
        <v>1</v>
      </c>
      <c r="Z1738">
        <v>10</v>
      </c>
    </row>
    <row r="1739" spans="1:26" x14ac:dyDescent="0.3">
      <c r="A1739">
        <v>12</v>
      </c>
      <c r="B1739">
        <v>145</v>
      </c>
      <c r="C1739" t="s">
        <v>26</v>
      </c>
      <c r="D1739">
        <v>8.7696000000000005</v>
      </c>
      <c r="E1739">
        <v>11.4</v>
      </c>
      <c r="F1739">
        <v>7.16</v>
      </c>
      <c r="G1739">
        <v>17.899999999999999</v>
      </c>
      <c r="H1739">
        <v>0.24</v>
      </c>
      <c r="I1739">
        <v>24</v>
      </c>
      <c r="J1739">
        <v>291.25</v>
      </c>
      <c r="K1739">
        <v>61.2</v>
      </c>
      <c r="L1739">
        <v>4</v>
      </c>
      <c r="M1739">
        <v>22</v>
      </c>
      <c r="N1739">
        <v>81.05</v>
      </c>
      <c r="O1739">
        <v>36155.019999999997</v>
      </c>
      <c r="P1739">
        <v>126.66</v>
      </c>
      <c r="Q1739">
        <v>204.16</v>
      </c>
      <c r="R1739">
        <v>36.49</v>
      </c>
      <c r="S1739">
        <v>17.37</v>
      </c>
      <c r="T1739">
        <v>7368.82</v>
      </c>
      <c r="U1739">
        <v>0.48</v>
      </c>
      <c r="V1739">
        <v>0.71</v>
      </c>
      <c r="W1739">
        <v>1.17</v>
      </c>
      <c r="X1739">
        <v>0.47</v>
      </c>
      <c r="Y1739">
        <v>1</v>
      </c>
      <c r="Z1739">
        <v>10</v>
      </c>
    </row>
    <row r="1740" spans="1:26" x14ac:dyDescent="0.3">
      <c r="A1740">
        <v>13</v>
      </c>
      <c r="B1740">
        <v>145</v>
      </c>
      <c r="C1740" t="s">
        <v>26</v>
      </c>
      <c r="D1740">
        <v>8.8310999999999993</v>
      </c>
      <c r="E1740">
        <v>11.32</v>
      </c>
      <c r="F1740">
        <v>7.13</v>
      </c>
      <c r="G1740">
        <v>18.61</v>
      </c>
      <c r="H1740">
        <v>0.26</v>
      </c>
      <c r="I1740">
        <v>23</v>
      </c>
      <c r="J1740">
        <v>291.76</v>
      </c>
      <c r="K1740">
        <v>61.2</v>
      </c>
      <c r="L1740">
        <v>4.25</v>
      </c>
      <c r="M1740">
        <v>21</v>
      </c>
      <c r="N1740">
        <v>81.31</v>
      </c>
      <c r="O1740">
        <v>36218.04</v>
      </c>
      <c r="P1740">
        <v>126.16</v>
      </c>
      <c r="Q1740">
        <v>204.19</v>
      </c>
      <c r="R1740">
        <v>35.49</v>
      </c>
      <c r="S1740">
        <v>17.37</v>
      </c>
      <c r="T1740">
        <v>6870.56</v>
      </c>
      <c r="U1740">
        <v>0.49</v>
      </c>
      <c r="V1740">
        <v>0.72</v>
      </c>
      <c r="W1740">
        <v>1.18</v>
      </c>
      <c r="X1740">
        <v>0.44</v>
      </c>
      <c r="Y1740">
        <v>1</v>
      </c>
      <c r="Z1740">
        <v>10</v>
      </c>
    </row>
    <row r="1741" spans="1:26" x14ac:dyDescent="0.3">
      <c r="A1741">
        <v>14</v>
      </c>
      <c r="B1741">
        <v>145</v>
      </c>
      <c r="C1741" t="s">
        <v>26</v>
      </c>
      <c r="D1741">
        <v>8.9563000000000006</v>
      </c>
      <c r="E1741">
        <v>11.17</v>
      </c>
      <c r="F1741">
        <v>7.08</v>
      </c>
      <c r="G1741">
        <v>20.239999999999998</v>
      </c>
      <c r="H1741">
        <v>0.27</v>
      </c>
      <c r="I1741">
        <v>21</v>
      </c>
      <c r="J1741">
        <v>292.27</v>
      </c>
      <c r="K1741">
        <v>61.2</v>
      </c>
      <c r="L1741">
        <v>4.5</v>
      </c>
      <c r="M1741">
        <v>19</v>
      </c>
      <c r="N1741">
        <v>81.569999999999993</v>
      </c>
      <c r="O1741">
        <v>36281.160000000003</v>
      </c>
      <c r="P1741">
        <v>125.16</v>
      </c>
      <c r="Q1741">
        <v>204.14</v>
      </c>
      <c r="R1741">
        <v>34.03</v>
      </c>
      <c r="S1741">
        <v>17.37</v>
      </c>
      <c r="T1741">
        <v>6154.33</v>
      </c>
      <c r="U1741">
        <v>0.51</v>
      </c>
      <c r="V1741">
        <v>0.72</v>
      </c>
      <c r="W1741">
        <v>1.17</v>
      </c>
      <c r="X1741">
        <v>0.39</v>
      </c>
      <c r="Y1741">
        <v>1</v>
      </c>
      <c r="Z1741">
        <v>10</v>
      </c>
    </row>
    <row r="1742" spans="1:26" x14ac:dyDescent="0.3">
      <c r="A1742">
        <v>15</v>
      </c>
      <c r="B1742">
        <v>145</v>
      </c>
      <c r="C1742" t="s">
        <v>26</v>
      </c>
      <c r="D1742">
        <v>9.0109999999999992</v>
      </c>
      <c r="E1742">
        <v>11.1</v>
      </c>
      <c r="F1742">
        <v>7.07</v>
      </c>
      <c r="G1742">
        <v>21.21</v>
      </c>
      <c r="H1742">
        <v>0.28999999999999998</v>
      </c>
      <c r="I1742">
        <v>20</v>
      </c>
      <c r="J1742">
        <v>292.79000000000002</v>
      </c>
      <c r="K1742">
        <v>61.2</v>
      </c>
      <c r="L1742">
        <v>4.75</v>
      </c>
      <c r="M1742">
        <v>18</v>
      </c>
      <c r="N1742">
        <v>81.84</v>
      </c>
      <c r="O1742">
        <v>36344.400000000001</v>
      </c>
      <c r="P1742">
        <v>124.94</v>
      </c>
      <c r="Q1742">
        <v>204.18</v>
      </c>
      <c r="R1742">
        <v>33.590000000000003</v>
      </c>
      <c r="S1742">
        <v>17.37</v>
      </c>
      <c r="T1742">
        <v>5937.26</v>
      </c>
      <c r="U1742">
        <v>0.52</v>
      </c>
      <c r="V1742">
        <v>0.72</v>
      </c>
      <c r="W1742">
        <v>1.17</v>
      </c>
      <c r="X1742">
        <v>0.38</v>
      </c>
      <c r="Y1742">
        <v>1</v>
      </c>
      <c r="Z1742">
        <v>10</v>
      </c>
    </row>
    <row r="1743" spans="1:26" x14ac:dyDescent="0.3">
      <c r="A1743">
        <v>16</v>
      </c>
      <c r="B1743">
        <v>145</v>
      </c>
      <c r="C1743" t="s">
        <v>26</v>
      </c>
      <c r="D1743">
        <v>9.0714000000000006</v>
      </c>
      <c r="E1743">
        <v>11.02</v>
      </c>
      <c r="F1743">
        <v>7.05</v>
      </c>
      <c r="G1743">
        <v>22.26</v>
      </c>
      <c r="H1743">
        <v>0.3</v>
      </c>
      <c r="I1743">
        <v>19</v>
      </c>
      <c r="J1743">
        <v>293.3</v>
      </c>
      <c r="K1743">
        <v>61.2</v>
      </c>
      <c r="L1743">
        <v>5</v>
      </c>
      <c r="M1743">
        <v>17</v>
      </c>
      <c r="N1743">
        <v>82.1</v>
      </c>
      <c r="O1743">
        <v>36407.75</v>
      </c>
      <c r="P1743">
        <v>124.41</v>
      </c>
      <c r="Q1743">
        <v>204.21</v>
      </c>
      <c r="R1743">
        <v>32.909999999999997</v>
      </c>
      <c r="S1743">
        <v>17.37</v>
      </c>
      <c r="T1743">
        <v>5603.91</v>
      </c>
      <c r="U1743">
        <v>0.53</v>
      </c>
      <c r="V1743">
        <v>0.72</v>
      </c>
      <c r="W1743">
        <v>1.17</v>
      </c>
      <c r="X1743">
        <v>0.36</v>
      </c>
      <c r="Y1743">
        <v>1</v>
      </c>
      <c r="Z1743">
        <v>10</v>
      </c>
    </row>
    <row r="1744" spans="1:26" x14ac:dyDescent="0.3">
      <c r="A1744">
        <v>17</v>
      </c>
      <c r="B1744">
        <v>145</v>
      </c>
      <c r="C1744" t="s">
        <v>26</v>
      </c>
      <c r="D1744">
        <v>9.1344999999999992</v>
      </c>
      <c r="E1744">
        <v>10.95</v>
      </c>
      <c r="F1744">
        <v>7.03</v>
      </c>
      <c r="G1744">
        <v>23.43</v>
      </c>
      <c r="H1744">
        <v>0.32</v>
      </c>
      <c r="I1744">
        <v>18</v>
      </c>
      <c r="J1744">
        <v>293.81</v>
      </c>
      <c r="K1744">
        <v>61.2</v>
      </c>
      <c r="L1744">
        <v>5.25</v>
      </c>
      <c r="M1744">
        <v>16</v>
      </c>
      <c r="N1744">
        <v>82.36</v>
      </c>
      <c r="O1744">
        <v>36471.199999999997</v>
      </c>
      <c r="P1744">
        <v>124.01</v>
      </c>
      <c r="Q1744">
        <v>204.15</v>
      </c>
      <c r="R1744">
        <v>32.340000000000003</v>
      </c>
      <c r="S1744">
        <v>17.37</v>
      </c>
      <c r="T1744">
        <v>5324.09</v>
      </c>
      <c r="U1744">
        <v>0.54</v>
      </c>
      <c r="V1744">
        <v>0.73</v>
      </c>
      <c r="W1744">
        <v>1.1599999999999999</v>
      </c>
      <c r="X1744">
        <v>0.34</v>
      </c>
      <c r="Y1744">
        <v>1</v>
      </c>
      <c r="Z1744">
        <v>10</v>
      </c>
    </row>
    <row r="1745" spans="1:26" x14ac:dyDescent="0.3">
      <c r="A1745">
        <v>18</v>
      </c>
      <c r="B1745">
        <v>145</v>
      </c>
      <c r="C1745" t="s">
        <v>26</v>
      </c>
      <c r="D1745">
        <v>9.1338000000000008</v>
      </c>
      <c r="E1745">
        <v>10.95</v>
      </c>
      <c r="F1745">
        <v>7.03</v>
      </c>
      <c r="G1745">
        <v>23.43</v>
      </c>
      <c r="H1745">
        <v>0.33</v>
      </c>
      <c r="I1745">
        <v>18</v>
      </c>
      <c r="J1745">
        <v>294.33</v>
      </c>
      <c r="K1745">
        <v>61.2</v>
      </c>
      <c r="L1745">
        <v>5.5</v>
      </c>
      <c r="M1745">
        <v>16</v>
      </c>
      <c r="N1745">
        <v>82.63</v>
      </c>
      <c r="O1745">
        <v>36534.76</v>
      </c>
      <c r="P1745">
        <v>123.81</v>
      </c>
      <c r="Q1745">
        <v>204.17</v>
      </c>
      <c r="R1745">
        <v>32.14</v>
      </c>
      <c r="S1745">
        <v>17.37</v>
      </c>
      <c r="T1745">
        <v>5220.54</v>
      </c>
      <c r="U1745">
        <v>0.54</v>
      </c>
      <c r="V1745">
        <v>0.73</v>
      </c>
      <c r="W1745">
        <v>1.17</v>
      </c>
      <c r="X1745">
        <v>0.34</v>
      </c>
      <c r="Y1745">
        <v>1</v>
      </c>
      <c r="Z1745">
        <v>10</v>
      </c>
    </row>
    <row r="1746" spans="1:26" x14ac:dyDescent="0.3">
      <c r="A1746">
        <v>19</v>
      </c>
      <c r="B1746">
        <v>145</v>
      </c>
      <c r="C1746" t="s">
        <v>26</v>
      </c>
      <c r="D1746">
        <v>9.1838999999999995</v>
      </c>
      <c r="E1746">
        <v>10.89</v>
      </c>
      <c r="F1746">
        <v>7.02</v>
      </c>
      <c r="G1746">
        <v>24.79</v>
      </c>
      <c r="H1746">
        <v>0.35</v>
      </c>
      <c r="I1746">
        <v>17</v>
      </c>
      <c r="J1746">
        <v>294.83999999999997</v>
      </c>
      <c r="K1746">
        <v>61.2</v>
      </c>
      <c r="L1746">
        <v>5.75</v>
      </c>
      <c r="M1746">
        <v>15</v>
      </c>
      <c r="N1746">
        <v>82.9</v>
      </c>
      <c r="O1746">
        <v>36598.44</v>
      </c>
      <c r="P1746">
        <v>123.89</v>
      </c>
      <c r="Q1746">
        <v>204.15</v>
      </c>
      <c r="R1746">
        <v>32.19</v>
      </c>
      <c r="S1746">
        <v>17.37</v>
      </c>
      <c r="T1746">
        <v>5249.9</v>
      </c>
      <c r="U1746">
        <v>0.54</v>
      </c>
      <c r="V1746">
        <v>0.73</v>
      </c>
      <c r="W1746">
        <v>1.17</v>
      </c>
      <c r="X1746">
        <v>0.33</v>
      </c>
      <c r="Y1746">
        <v>1</v>
      </c>
      <c r="Z1746">
        <v>10</v>
      </c>
    </row>
    <row r="1747" spans="1:26" x14ac:dyDescent="0.3">
      <c r="A1747">
        <v>20</v>
      </c>
      <c r="B1747">
        <v>145</v>
      </c>
      <c r="C1747" t="s">
        <v>26</v>
      </c>
      <c r="D1747">
        <v>9.2583000000000002</v>
      </c>
      <c r="E1747">
        <v>10.8</v>
      </c>
      <c r="F1747">
        <v>6.99</v>
      </c>
      <c r="G1747">
        <v>26.21</v>
      </c>
      <c r="H1747">
        <v>0.36</v>
      </c>
      <c r="I1747">
        <v>16</v>
      </c>
      <c r="J1747">
        <v>295.36</v>
      </c>
      <c r="K1747">
        <v>61.2</v>
      </c>
      <c r="L1747">
        <v>6</v>
      </c>
      <c r="M1747">
        <v>14</v>
      </c>
      <c r="N1747">
        <v>83.16</v>
      </c>
      <c r="O1747">
        <v>36662.22</v>
      </c>
      <c r="P1747">
        <v>123.17</v>
      </c>
      <c r="Q1747">
        <v>204.14</v>
      </c>
      <c r="R1747">
        <v>31.11</v>
      </c>
      <c r="S1747">
        <v>17.37</v>
      </c>
      <c r="T1747">
        <v>4715.3999999999996</v>
      </c>
      <c r="U1747">
        <v>0.56000000000000005</v>
      </c>
      <c r="V1747">
        <v>0.73</v>
      </c>
      <c r="W1747">
        <v>1.1599999999999999</v>
      </c>
      <c r="X1747">
        <v>0.3</v>
      </c>
      <c r="Y1747">
        <v>1</v>
      </c>
      <c r="Z1747">
        <v>10</v>
      </c>
    </row>
    <row r="1748" spans="1:26" x14ac:dyDescent="0.3">
      <c r="A1748">
        <v>21</v>
      </c>
      <c r="B1748">
        <v>145</v>
      </c>
      <c r="C1748" t="s">
        <v>26</v>
      </c>
      <c r="D1748">
        <v>9.2364999999999995</v>
      </c>
      <c r="E1748">
        <v>10.83</v>
      </c>
      <c r="F1748">
        <v>7.02</v>
      </c>
      <c r="G1748">
        <v>26.31</v>
      </c>
      <c r="H1748">
        <v>0.38</v>
      </c>
      <c r="I1748">
        <v>16</v>
      </c>
      <c r="J1748">
        <v>295.88</v>
      </c>
      <c r="K1748">
        <v>61.2</v>
      </c>
      <c r="L1748">
        <v>6.25</v>
      </c>
      <c r="M1748">
        <v>14</v>
      </c>
      <c r="N1748">
        <v>83.43</v>
      </c>
      <c r="O1748">
        <v>36726.120000000003</v>
      </c>
      <c r="P1748">
        <v>123.61</v>
      </c>
      <c r="Q1748">
        <v>204.17</v>
      </c>
      <c r="R1748">
        <v>31.85</v>
      </c>
      <c r="S1748">
        <v>17.37</v>
      </c>
      <c r="T1748">
        <v>5084.91</v>
      </c>
      <c r="U1748">
        <v>0.55000000000000004</v>
      </c>
      <c r="V1748">
        <v>0.73</v>
      </c>
      <c r="W1748">
        <v>1.17</v>
      </c>
      <c r="X1748">
        <v>0.32</v>
      </c>
      <c r="Y1748">
        <v>1</v>
      </c>
      <c r="Z1748">
        <v>10</v>
      </c>
    </row>
    <row r="1749" spans="1:26" x14ac:dyDescent="0.3">
      <c r="A1749">
        <v>22</v>
      </c>
      <c r="B1749">
        <v>145</v>
      </c>
      <c r="C1749" t="s">
        <v>26</v>
      </c>
      <c r="D1749">
        <v>9.3259000000000007</v>
      </c>
      <c r="E1749">
        <v>10.72</v>
      </c>
      <c r="F1749">
        <v>6.97</v>
      </c>
      <c r="G1749">
        <v>27.86</v>
      </c>
      <c r="H1749">
        <v>0.39</v>
      </c>
      <c r="I1749">
        <v>15</v>
      </c>
      <c r="J1749">
        <v>296.39999999999998</v>
      </c>
      <c r="K1749">
        <v>61.2</v>
      </c>
      <c r="L1749">
        <v>6.5</v>
      </c>
      <c r="M1749">
        <v>13</v>
      </c>
      <c r="N1749">
        <v>83.7</v>
      </c>
      <c r="O1749">
        <v>36790.129999999997</v>
      </c>
      <c r="P1749">
        <v>122.69</v>
      </c>
      <c r="Q1749">
        <v>204.23</v>
      </c>
      <c r="R1749">
        <v>30.29</v>
      </c>
      <c r="S1749">
        <v>17.37</v>
      </c>
      <c r="T1749">
        <v>4313.79</v>
      </c>
      <c r="U1749">
        <v>0.56999999999999995</v>
      </c>
      <c r="V1749">
        <v>0.73</v>
      </c>
      <c r="W1749">
        <v>1.1599999999999999</v>
      </c>
      <c r="X1749">
        <v>0.27</v>
      </c>
      <c r="Y1749">
        <v>1</v>
      </c>
      <c r="Z1749">
        <v>10</v>
      </c>
    </row>
    <row r="1750" spans="1:26" x14ac:dyDescent="0.3">
      <c r="A1750">
        <v>23</v>
      </c>
      <c r="B1750">
        <v>145</v>
      </c>
      <c r="C1750" t="s">
        <v>26</v>
      </c>
      <c r="D1750">
        <v>9.3783999999999992</v>
      </c>
      <c r="E1750">
        <v>10.66</v>
      </c>
      <c r="F1750">
        <v>6.96</v>
      </c>
      <c r="G1750">
        <v>29.82</v>
      </c>
      <c r="H1750">
        <v>0.4</v>
      </c>
      <c r="I1750">
        <v>14</v>
      </c>
      <c r="J1750">
        <v>296.92</v>
      </c>
      <c r="K1750">
        <v>61.2</v>
      </c>
      <c r="L1750">
        <v>6.75</v>
      </c>
      <c r="M1750">
        <v>12</v>
      </c>
      <c r="N1750">
        <v>83.97</v>
      </c>
      <c r="O1750">
        <v>36854.25</v>
      </c>
      <c r="P1750">
        <v>122.41</v>
      </c>
      <c r="Q1750">
        <v>204.15</v>
      </c>
      <c r="R1750">
        <v>30.24</v>
      </c>
      <c r="S1750">
        <v>17.37</v>
      </c>
      <c r="T1750">
        <v>4291.1400000000003</v>
      </c>
      <c r="U1750">
        <v>0.56999999999999995</v>
      </c>
      <c r="V1750">
        <v>0.73</v>
      </c>
      <c r="W1750">
        <v>1.1599999999999999</v>
      </c>
      <c r="X1750">
        <v>0.27</v>
      </c>
      <c r="Y1750">
        <v>1</v>
      </c>
      <c r="Z1750">
        <v>10</v>
      </c>
    </row>
    <row r="1751" spans="1:26" x14ac:dyDescent="0.3">
      <c r="A1751">
        <v>24</v>
      </c>
      <c r="B1751">
        <v>145</v>
      </c>
      <c r="C1751" t="s">
        <v>26</v>
      </c>
      <c r="D1751">
        <v>9.3881999999999994</v>
      </c>
      <c r="E1751">
        <v>10.65</v>
      </c>
      <c r="F1751">
        <v>6.95</v>
      </c>
      <c r="G1751">
        <v>29.78</v>
      </c>
      <c r="H1751">
        <v>0.42</v>
      </c>
      <c r="I1751">
        <v>14</v>
      </c>
      <c r="J1751">
        <v>297.44</v>
      </c>
      <c r="K1751">
        <v>61.2</v>
      </c>
      <c r="L1751">
        <v>7</v>
      </c>
      <c r="M1751">
        <v>12</v>
      </c>
      <c r="N1751">
        <v>84.24</v>
      </c>
      <c r="O1751">
        <v>36918.480000000003</v>
      </c>
      <c r="P1751">
        <v>122.35</v>
      </c>
      <c r="Q1751">
        <v>204.15</v>
      </c>
      <c r="R1751">
        <v>29.7</v>
      </c>
      <c r="S1751">
        <v>17.37</v>
      </c>
      <c r="T1751">
        <v>4021.89</v>
      </c>
      <c r="U1751">
        <v>0.57999999999999996</v>
      </c>
      <c r="V1751">
        <v>0.74</v>
      </c>
      <c r="W1751">
        <v>1.1599999999999999</v>
      </c>
      <c r="X1751">
        <v>0.26</v>
      </c>
      <c r="Y1751">
        <v>1</v>
      </c>
      <c r="Z1751">
        <v>10</v>
      </c>
    </row>
    <row r="1752" spans="1:26" x14ac:dyDescent="0.3">
      <c r="A1752">
        <v>25</v>
      </c>
      <c r="B1752">
        <v>145</v>
      </c>
      <c r="C1752" t="s">
        <v>26</v>
      </c>
      <c r="D1752">
        <v>9.3848000000000003</v>
      </c>
      <c r="E1752">
        <v>10.66</v>
      </c>
      <c r="F1752">
        <v>6.95</v>
      </c>
      <c r="G1752">
        <v>29.79</v>
      </c>
      <c r="H1752">
        <v>0.43</v>
      </c>
      <c r="I1752">
        <v>14</v>
      </c>
      <c r="J1752">
        <v>297.95999999999998</v>
      </c>
      <c r="K1752">
        <v>61.2</v>
      </c>
      <c r="L1752">
        <v>7.25</v>
      </c>
      <c r="M1752">
        <v>12</v>
      </c>
      <c r="N1752">
        <v>84.51</v>
      </c>
      <c r="O1752">
        <v>36982.83</v>
      </c>
      <c r="P1752">
        <v>122.18</v>
      </c>
      <c r="Q1752">
        <v>204.14</v>
      </c>
      <c r="R1752">
        <v>29.9</v>
      </c>
      <c r="S1752">
        <v>17.37</v>
      </c>
      <c r="T1752">
        <v>4124</v>
      </c>
      <c r="U1752">
        <v>0.57999999999999996</v>
      </c>
      <c r="V1752">
        <v>0.73</v>
      </c>
      <c r="W1752">
        <v>1.1599999999999999</v>
      </c>
      <c r="X1752">
        <v>0.26</v>
      </c>
      <c r="Y1752">
        <v>1</v>
      </c>
      <c r="Z1752">
        <v>10</v>
      </c>
    </row>
    <row r="1753" spans="1:26" x14ac:dyDescent="0.3">
      <c r="A1753">
        <v>26</v>
      </c>
      <c r="B1753">
        <v>145</v>
      </c>
      <c r="C1753" t="s">
        <v>26</v>
      </c>
      <c r="D1753">
        <v>9.4481000000000002</v>
      </c>
      <c r="E1753">
        <v>10.58</v>
      </c>
      <c r="F1753">
        <v>6.93</v>
      </c>
      <c r="G1753">
        <v>32.01</v>
      </c>
      <c r="H1753">
        <v>0.45</v>
      </c>
      <c r="I1753">
        <v>13</v>
      </c>
      <c r="J1753">
        <v>298.48</v>
      </c>
      <c r="K1753">
        <v>61.2</v>
      </c>
      <c r="L1753">
        <v>7.5</v>
      </c>
      <c r="M1753">
        <v>11</v>
      </c>
      <c r="N1753">
        <v>84.79</v>
      </c>
      <c r="O1753">
        <v>37047.29</v>
      </c>
      <c r="P1753">
        <v>121.93</v>
      </c>
      <c r="Q1753">
        <v>204.14</v>
      </c>
      <c r="R1753">
        <v>29.37</v>
      </c>
      <c r="S1753">
        <v>17.37</v>
      </c>
      <c r="T1753">
        <v>3860.58</v>
      </c>
      <c r="U1753">
        <v>0.59</v>
      </c>
      <c r="V1753">
        <v>0.74</v>
      </c>
      <c r="W1753">
        <v>1.1599999999999999</v>
      </c>
      <c r="X1753">
        <v>0.24</v>
      </c>
      <c r="Y1753">
        <v>1</v>
      </c>
      <c r="Z1753">
        <v>10</v>
      </c>
    </row>
    <row r="1754" spans="1:26" x14ac:dyDescent="0.3">
      <c r="A1754">
        <v>27</v>
      </c>
      <c r="B1754">
        <v>145</v>
      </c>
      <c r="C1754" t="s">
        <v>26</v>
      </c>
      <c r="D1754">
        <v>9.4460999999999995</v>
      </c>
      <c r="E1754">
        <v>10.59</v>
      </c>
      <c r="F1754">
        <v>6.94</v>
      </c>
      <c r="G1754">
        <v>32.020000000000003</v>
      </c>
      <c r="H1754">
        <v>0.46</v>
      </c>
      <c r="I1754">
        <v>13</v>
      </c>
      <c r="J1754">
        <v>299.01</v>
      </c>
      <c r="K1754">
        <v>61.2</v>
      </c>
      <c r="L1754">
        <v>7.75</v>
      </c>
      <c r="M1754">
        <v>11</v>
      </c>
      <c r="N1754">
        <v>85.06</v>
      </c>
      <c r="O1754">
        <v>37111.870000000003</v>
      </c>
      <c r="P1754">
        <v>121.9</v>
      </c>
      <c r="Q1754">
        <v>204.15</v>
      </c>
      <c r="R1754">
        <v>29.41</v>
      </c>
      <c r="S1754">
        <v>17.37</v>
      </c>
      <c r="T1754">
        <v>3883.85</v>
      </c>
      <c r="U1754">
        <v>0.59</v>
      </c>
      <c r="V1754">
        <v>0.74</v>
      </c>
      <c r="W1754">
        <v>1.1599999999999999</v>
      </c>
      <c r="X1754">
        <v>0.25</v>
      </c>
      <c r="Y1754">
        <v>1</v>
      </c>
      <c r="Z1754">
        <v>10</v>
      </c>
    </row>
    <row r="1755" spans="1:26" x14ac:dyDescent="0.3">
      <c r="A1755">
        <v>28</v>
      </c>
      <c r="B1755">
        <v>145</v>
      </c>
      <c r="C1755" t="s">
        <v>26</v>
      </c>
      <c r="D1755">
        <v>9.5137</v>
      </c>
      <c r="E1755">
        <v>10.51</v>
      </c>
      <c r="F1755">
        <v>6.92</v>
      </c>
      <c r="G1755">
        <v>34.58</v>
      </c>
      <c r="H1755">
        <v>0.48</v>
      </c>
      <c r="I1755">
        <v>12</v>
      </c>
      <c r="J1755">
        <v>299.52999999999997</v>
      </c>
      <c r="K1755">
        <v>61.2</v>
      </c>
      <c r="L1755">
        <v>8</v>
      </c>
      <c r="M1755">
        <v>10</v>
      </c>
      <c r="N1755">
        <v>85.33</v>
      </c>
      <c r="O1755">
        <v>37176.68</v>
      </c>
      <c r="P1755">
        <v>121.51</v>
      </c>
      <c r="Q1755">
        <v>204.15</v>
      </c>
      <c r="R1755">
        <v>28.86</v>
      </c>
      <c r="S1755">
        <v>17.37</v>
      </c>
      <c r="T1755">
        <v>3612.7</v>
      </c>
      <c r="U1755">
        <v>0.6</v>
      </c>
      <c r="V1755">
        <v>0.74</v>
      </c>
      <c r="W1755">
        <v>1.1499999999999999</v>
      </c>
      <c r="X1755">
        <v>0.22</v>
      </c>
      <c r="Y1755">
        <v>1</v>
      </c>
      <c r="Z1755">
        <v>10</v>
      </c>
    </row>
    <row r="1756" spans="1:26" x14ac:dyDescent="0.3">
      <c r="A1756">
        <v>29</v>
      </c>
      <c r="B1756">
        <v>145</v>
      </c>
      <c r="C1756" t="s">
        <v>26</v>
      </c>
      <c r="D1756">
        <v>9.5127000000000006</v>
      </c>
      <c r="E1756">
        <v>10.51</v>
      </c>
      <c r="F1756">
        <v>6.92</v>
      </c>
      <c r="G1756">
        <v>34.58</v>
      </c>
      <c r="H1756">
        <v>0.49</v>
      </c>
      <c r="I1756">
        <v>12</v>
      </c>
      <c r="J1756">
        <v>300.06</v>
      </c>
      <c r="K1756">
        <v>61.2</v>
      </c>
      <c r="L1756">
        <v>8.25</v>
      </c>
      <c r="M1756">
        <v>10</v>
      </c>
      <c r="N1756">
        <v>85.61</v>
      </c>
      <c r="O1756">
        <v>37241.49</v>
      </c>
      <c r="P1756">
        <v>121.52</v>
      </c>
      <c r="Q1756">
        <v>204.14</v>
      </c>
      <c r="R1756">
        <v>28.75</v>
      </c>
      <c r="S1756">
        <v>17.37</v>
      </c>
      <c r="T1756">
        <v>3558.2</v>
      </c>
      <c r="U1756">
        <v>0.6</v>
      </c>
      <c r="V1756">
        <v>0.74</v>
      </c>
      <c r="W1756">
        <v>1.1599999999999999</v>
      </c>
      <c r="X1756">
        <v>0.23</v>
      </c>
      <c r="Y1756">
        <v>1</v>
      </c>
      <c r="Z1756">
        <v>10</v>
      </c>
    </row>
    <row r="1757" spans="1:26" x14ac:dyDescent="0.3">
      <c r="A1757">
        <v>30</v>
      </c>
      <c r="B1757">
        <v>145</v>
      </c>
      <c r="C1757" t="s">
        <v>26</v>
      </c>
      <c r="D1757">
        <v>9.5120000000000005</v>
      </c>
      <c r="E1757">
        <v>10.51</v>
      </c>
      <c r="F1757">
        <v>6.92</v>
      </c>
      <c r="G1757">
        <v>34.590000000000003</v>
      </c>
      <c r="H1757">
        <v>0.5</v>
      </c>
      <c r="I1757">
        <v>12</v>
      </c>
      <c r="J1757">
        <v>300.58999999999997</v>
      </c>
      <c r="K1757">
        <v>61.2</v>
      </c>
      <c r="L1757">
        <v>8.5</v>
      </c>
      <c r="M1757">
        <v>10</v>
      </c>
      <c r="N1757">
        <v>85.89</v>
      </c>
      <c r="O1757">
        <v>37306.42</v>
      </c>
      <c r="P1757">
        <v>121.4</v>
      </c>
      <c r="Q1757">
        <v>204.15</v>
      </c>
      <c r="R1757">
        <v>28.83</v>
      </c>
      <c r="S1757">
        <v>17.37</v>
      </c>
      <c r="T1757">
        <v>3596.56</v>
      </c>
      <c r="U1757">
        <v>0.6</v>
      </c>
      <c r="V1757">
        <v>0.74</v>
      </c>
      <c r="W1757">
        <v>1.1599999999999999</v>
      </c>
      <c r="X1757">
        <v>0.23</v>
      </c>
      <c r="Y1757">
        <v>1</v>
      </c>
      <c r="Z1757">
        <v>10</v>
      </c>
    </row>
    <row r="1758" spans="1:26" x14ac:dyDescent="0.3">
      <c r="A1758">
        <v>31</v>
      </c>
      <c r="B1758">
        <v>145</v>
      </c>
      <c r="C1758" t="s">
        <v>26</v>
      </c>
      <c r="D1758">
        <v>9.5915999999999997</v>
      </c>
      <c r="E1758">
        <v>10.43</v>
      </c>
      <c r="F1758">
        <v>6.88</v>
      </c>
      <c r="G1758">
        <v>37.549999999999997</v>
      </c>
      <c r="H1758">
        <v>0.52</v>
      </c>
      <c r="I1758">
        <v>11</v>
      </c>
      <c r="J1758">
        <v>301.11</v>
      </c>
      <c r="K1758">
        <v>61.2</v>
      </c>
      <c r="L1758">
        <v>8.75</v>
      </c>
      <c r="M1758">
        <v>9</v>
      </c>
      <c r="N1758">
        <v>86.16</v>
      </c>
      <c r="O1758">
        <v>37371.47</v>
      </c>
      <c r="P1758">
        <v>120.66</v>
      </c>
      <c r="Q1758">
        <v>204.15</v>
      </c>
      <c r="R1758">
        <v>27.68</v>
      </c>
      <c r="S1758">
        <v>17.37</v>
      </c>
      <c r="T1758">
        <v>3027.91</v>
      </c>
      <c r="U1758">
        <v>0.63</v>
      </c>
      <c r="V1758">
        <v>0.74</v>
      </c>
      <c r="W1758">
        <v>1.1599999999999999</v>
      </c>
      <c r="X1758">
        <v>0.19</v>
      </c>
      <c r="Y1758">
        <v>1</v>
      </c>
      <c r="Z1758">
        <v>10</v>
      </c>
    </row>
    <row r="1759" spans="1:26" x14ac:dyDescent="0.3">
      <c r="A1759">
        <v>32</v>
      </c>
      <c r="B1759">
        <v>145</v>
      </c>
      <c r="C1759" t="s">
        <v>26</v>
      </c>
      <c r="D1759">
        <v>9.5938999999999997</v>
      </c>
      <c r="E1759">
        <v>10.42</v>
      </c>
      <c r="F1759">
        <v>6.88</v>
      </c>
      <c r="G1759">
        <v>37.53</v>
      </c>
      <c r="H1759">
        <v>0.53</v>
      </c>
      <c r="I1759">
        <v>11</v>
      </c>
      <c r="J1759">
        <v>301.64</v>
      </c>
      <c r="K1759">
        <v>61.2</v>
      </c>
      <c r="L1759">
        <v>9</v>
      </c>
      <c r="M1759">
        <v>9</v>
      </c>
      <c r="N1759">
        <v>86.44</v>
      </c>
      <c r="O1759">
        <v>37436.629999999997</v>
      </c>
      <c r="P1759">
        <v>120.6</v>
      </c>
      <c r="Q1759">
        <v>204.15</v>
      </c>
      <c r="R1759">
        <v>27.71</v>
      </c>
      <c r="S1759">
        <v>17.37</v>
      </c>
      <c r="T1759">
        <v>3044.24</v>
      </c>
      <c r="U1759">
        <v>0.63</v>
      </c>
      <c r="V1759">
        <v>0.74</v>
      </c>
      <c r="W1759">
        <v>1.1499999999999999</v>
      </c>
      <c r="X1759">
        <v>0.19</v>
      </c>
      <c r="Y1759">
        <v>1</v>
      </c>
      <c r="Z1759">
        <v>10</v>
      </c>
    </row>
    <row r="1760" spans="1:26" x14ac:dyDescent="0.3">
      <c r="A1760">
        <v>33</v>
      </c>
      <c r="B1760">
        <v>145</v>
      </c>
      <c r="C1760" t="s">
        <v>26</v>
      </c>
      <c r="D1760">
        <v>9.5838999999999999</v>
      </c>
      <c r="E1760">
        <v>10.43</v>
      </c>
      <c r="F1760">
        <v>6.89</v>
      </c>
      <c r="G1760">
        <v>37.590000000000003</v>
      </c>
      <c r="H1760">
        <v>0.55000000000000004</v>
      </c>
      <c r="I1760">
        <v>11</v>
      </c>
      <c r="J1760">
        <v>302.17</v>
      </c>
      <c r="K1760">
        <v>61.2</v>
      </c>
      <c r="L1760">
        <v>9.25</v>
      </c>
      <c r="M1760">
        <v>9</v>
      </c>
      <c r="N1760">
        <v>86.72</v>
      </c>
      <c r="O1760">
        <v>37501.910000000003</v>
      </c>
      <c r="P1760">
        <v>120.78</v>
      </c>
      <c r="Q1760">
        <v>204.14</v>
      </c>
      <c r="R1760">
        <v>28.18</v>
      </c>
      <c r="S1760">
        <v>17.37</v>
      </c>
      <c r="T1760">
        <v>3278.71</v>
      </c>
      <c r="U1760">
        <v>0.62</v>
      </c>
      <c r="V1760">
        <v>0.74</v>
      </c>
      <c r="W1760">
        <v>1.1499999999999999</v>
      </c>
      <c r="X1760">
        <v>0.2</v>
      </c>
      <c r="Y1760">
        <v>1</v>
      </c>
      <c r="Z1760">
        <v>10</v>
      </c>
    </row>
    <row r="1761" spans="1:26" x14ac:dyDescent="0.3">
      <c r="A1761">
        <v>34</v>
      </c>
      <c r="B1761">
        <v>145</v>
      </c>
      <c r="C1761" t="s">
        <v>26</v>
      </c>
      <c r="D1761">
        <v>9.5886999999999993</v>
      </c>
      <c r="E1761">
        <v>10.43</v>
      </c>
      <c r="F1761">
        <v>6.89</v>
      </c>
      <c r="G1761">
        <v>37.57</v>
      </c>
      <c r="H1761">
        <v>0.56000000000000005</v>
      </c>
      <c r="I1761">
        <v>11</v>
      </c>
      <c r="J1761">
        <v>302.7</v>
      </c>
      <c r="K1761">
        <v>61.2</v>
      </c>
      <c r="L1761">
        <v>9.5</v>
      </c>
      <c r="M1761">
        <v>9</v>
      </c>
      <c r="N1761">
        <v>87</v>
      </c>
      <c r="O1761">
        <v>37567.32</v>
      </c>
      <c r="P1761">
        <v>120.5</v>
      </c>
      <c r="Q1761">
        <v>204.14</v>
      </c>
      <c r="R1761">
        <v>27.92</v>
      </c>
      <c r="S1761">
        <v>17.37</v>
      </c>
      <c r="T1761">
        <v>3146.27</v>
      </c>
      <c r="U1761">
        <v>0.62</v>
      </c>
      <c r="V1761">
        <v>0.74</v>
      </c>
      <c r="W1761">
        <v>1.1499999999999999</v>
      </c>
      <c r="X1761">
        <v>0.2</v>
      </c>
      <c r="Y1761">
        <v>1</v>
      </c>
      <c r="Z1761">
        <v>10</v>
      </c>
    </row>
    <row r="1762" spans="1:26" x14ac:dyDescent="0.3">
      <c r="A1762">
        <v>35</v>
      </c>
      <c r="B1762">
        <v>145</v>
      </c>
      <c r="C1762" t="s">
        <v>26</v>
      </c>
      <c r="D1762">
        <v>9.6633999999999993</v>
      </c>
      <c r="E1762">
        <v>10.35</v>
      </c>
      <c r="F1762">
        <v>6.86</v>
      </c>
      <c r="G1762">
        <v>41.16</v>
      </c>
      <c r="H1762">
        <v>0.56999999999999995</v>
      </c>
      <c r="I1762">
        <v>10</v>
      </c>
      <c r="J1762">
        <v>303.23</v>
      </c>
      <c r="K1762">
        <v>61.2</v>
      </c>
      <c r="L1762">
        <v>9.75</v>
      </c>
      <c r="M1762">
        <v>8</v>
      </c>
      <c r="N1762">
        <v>87.28</v>
      </c>
      <c r="O1762">
        <v>37632.839999999997</v>
      </c>
      <c r="P1762">
        <v>119.94</v>
      </c>
      <c r="Q1762">
        <v>204.14</v>
      </c>
      <c r="R1762">
        <v>27.12</v>
      </c>
      <c r="S1762">
        <v>17.37</v>
      </c>
      <c r="T1762">
        <v>2754.21</v>
      </c>
      <c r="U1762">
        <v>0.64</v>
      </c>
      <c r="V1762">
        <v>0.74</v>
      </c>
      <c r="W1762">
        <v>1.1499999999999999</v>
      </c>
      <c r="X1762">
        <v>0.17</v>
      </c>
      <c r="Y1762">
        <v>1</v>
      </c>
      <c r="Z1762">
        <v>10</v>
      </c>
    </row>
    <row r="1763" spans="1:26" x14ac:dyDescent="0.3">
      <c r="A1763">
        <v>36</v>
      </c>
      <c r="B1763">
        <v>145</v>
      </c>
      <c r="C1763" t="s">
        <v>26</v>
      </c>
      <c r="D1763">
        <v>9.6542999999999992</v>
      </c>
      <c r="E1763">
        <v>10.36</v>
      </c>
      <c r="F1763">
        <v>6.87</v>
      </c>
      <c r="G1763">
        <v>41.22</v>
      </c>
      <c r="H1763">
        <v>0.59</v>
      </c>
      <c r="I1763">
        <v>10</v>
      </c>
      <c r="J1763">
        <v>303.76</v>
      </c>
      <c r="K1763">
        <v>61.2</v>
      </c>
      <c r="L1763">
        <v>10</v>
      </c>
      <c r="M1763">
        <v>8</v>
      </c>
      <c r="N1763">
        <v>87.57</v>
      </c>
      <c r="O1763">
        <v>37698.480000000003</v>
      </c>
      <c r="P1763">
        <v>120.13</v>
      </c>
      <c r="Q1763">
        <v>204.14</v>
      </c>
      <c r="R1763">
        <v>27.38</v>
      </c>
      <c r="S1763">
        <v>17.37</v>
      </c>
      <c r="T1763">
        <v>2884.26</v>
      </c>
      <c r="U1763">
        <v>0.63</v>
      </c>
      <c r="V1763">
        <v>0.74</v>
      </c>
      <c r="W1763">
        <v>1.1499999999999999</v>
      </c>
      <c r="X1763">
        <v>0.18</v>
      </c>
      <c r="Y1763">
        <v>1</v>
      </c>
      <c r="Z1763">
        <v>10</v>
      </c>
    </row>
    <row r="1764" spans="1:26" x14ac:dyDescent="0.3">
      <c r="A1764">
        <v>37</v>
      </c>
      <c r="B1764">
        <v>145</v>
      </c>
      <c r="C1764" t="s">
        <v>26</v>
      </c>
      <c r="D1764">
        <v>9.6577000000000002</v>
      </c>
      <c r="E1764">
        <v>10.35</v>
      </c>
      <c r="F1764">
        <v>6.87</v>
      </c>
      <c r="G1764">
        <v>41.2</v>
      </c>
      <c r="H1764">
        <v>0.6</v>
      </c>
      <c r="I1764">
        <v>10</v>
      </c>
      <c r="J1764">
        <v>304.3</v>
      </c>
      <c r="K1764">
        <v>61.2</v>
      </c>
      <c r="L1764">
        <v>10.25</v>
      </c>
      <c r="M1764">
        <v>8</v>
      </c>
      <c r="N1764">
        <v>87.85</v>
      </c>
      <c r="O1764">
        <v>37764.25</v>
      </c>
      <c r="P1764">
        <v>120.14</v>
      </c>
      <c r="Q1764">
        <v>204.15</v>
      </c>
      <c r="R1764">
        <v>27.35</v>
      </c>
      <c r="S1764">
        <v>17.37</v>
      </c>
      <c r="T1764">
        <v>2865.55</v>
      </c>
      <c r="U1764">
        <v>0.64</v>
      </c>
      <c r="V1764">
        <v>0.74</v>
      </c>
      <c r="W1764">
        <v>1.1499999999999999</v>
      </c>
      <c r="X1764">
        <v>0.17</v>
      </c>
      <c r="Y1764">
        <v>1</v>
      </c>
      <c r="Z1764">
        <v>10</v>
      </c>
    </row>
    <row r="1765" spans="1:26" x14ac:dyDescent="0.3">
      <c r="A1765">
        <v>38</v>
      </c>
      <c r="B1765">
        <v>145</v>
      </c>
      <c r="C1765" t="s">
        <v>26</v>
      </c>
      <c r="D1765">
        <v>9.6594999999999995</v>
      </c>
      <c r="E1765">
        <v>10.35</v>
      </c>
      <c r="F1765">
        <v>6.86</v>
      </c>
      <c r="G1765">
        <v>41.19</v>
      </c>
      <c r="H1765">
        <v>0.61</v>
      </c>
      <c r="I1765">
        <v>10</v>
      </c>
      <c r="J1765">
        <v>304.83</v>
      </c>
      <c r="K1765">
        <v>61.2</v>
      </c>
      <c r="L1765">
        <v>10.5</v>
      </c>
      <c r="M1765">
        <v>8</v>
      </c>
      <c r="N1765">
        <v>88.13</v>
      </c>
      <c r="O1765">
        <v>37830.129999999997</v>
      </c>
      <c r="P1765">
        <v>120.05</v>
      </c>
      <c r="Q1765">
        <v>204.14</v>
      </c>
      <c r="R1765">
        <v>27.28</v>
      </c>
      <c r="S1765">
        <v>17.37</v>
      </c>
      <c r="T1765">
        <v>2830.87</v>
      </c>
      <c r="U1765">
        <v>0.64</v>
      </c>
      <c r="V1765">
        <v>0.74</v>
      </c>
      <c r="W1765">
        <v>1.1499999999999999</v>
      </c>
      <c r="X1765">
        <v>0.17</v>
      </c>
      <c r="Y1765">
        <v>1</v>
      </c>
      <c r="Z1765">
        <v>10</v>
      </c>
    </row>
    <row r="1766" spans="1:26" x14ac:dyDescent="0.3">
      <c r="A1766">
        <v>39</v>
      </c>
      <c r="B1766">
        <v>145</v>
      </c>
      <c r="C1766" t="s">
        <v>26</v>
      </c>
      <c r="D1766">
        <v>9.7288999999999994</v>
      </c>
      <c r="E1766">
        <v>10.28</v>
      </c>
      <c r="F1766">
        <v>6.84</v>
      </c>
      <c r="G1766">
        <v>45.63</v>
      </c>
      <c r="H1766">
        <v>0.63</v>
      </c>
      <c r="I1766">
        <v>9</v>
      </c>
      <c r="J1766">
        <v>305.37</v>
      </c>
      <c r="K1766">
        <v>61.2</v>
      </c>
      <c r="L1766">
        <v>10.75</v>
      </c>
      <c r="M1766">
        <v>7</v>
      </c>
      <c r="N1766">
        <v>88.42</v>
      </c>
      <c r="O1766">
        <v>37896.14</v>
      </c>
      <c r="P1766">
        <v>119.42</v>
      </c>
      <c r="Q1766">
        <v>204.16</v>
      </c>
      <c r="R1766">
        <v>26.6</v>
      </c>
      <c r="S1766">
        <v>17.37</v>
      </c>
      <c r="T1766">
        <v>2497.23</v>
      </c>
      <c r="U1766">
        <v>0.65</v>
      </c>
      <c r="V1766">
        <v>0.75</v>
      </c>
      <c r="W1766">
        <v>1.1499999999999999</v>
      </c>
      <c r="X1766">
        <v>0.15</v>
      </c>
      <c r="Y1766">
        <v>1</v>
      </c>
      <c r="Z1766">
        <v>10</v>
      </c>
    </row>
    <row r="1767" spans="1:26" x14ac:dyDescent="0.3">
      <c r="A1767">
        <v>40</v>
      </c>
      <c r="B1767">
        <v>145</v>
      </c>
      <c r="C1767" t="s">
        <v>26</v>
      </c>
      <c r="D1767">
        <v>9.7171000000000003</v>
      </c>
      <c r="E1767">
        <v>10.29</v>
      </c>
      <c r="F1767">
        <v>6.86</v>
      </c>
      <c r="G1767">
        <v>45.71</v>
      </c>
      <c r="H1767">
        <v>0.64</v>
      </c>
      <c r="I1767">
        <v>9</v>
      </c>
      <c r="J1767">
        <v>305.89999999999998</v>
      </c>
      <c r="K1767">
        <v>61.2</v>
      </c>
      <c r="L1767">
        <v>11</v>
      </c>
      <c r="M1767">
        <v>7</v>
      </c>
      <c r="N1767">
        <v>88.7</v>
      </c>
      <c r="O1767">
        <v>37962.28</v>
      </c>
      <c r="P1767">
        <v>119.9</v>
      </c>
      <c r="Q1767">
        <v>204.15</v>
      </c>
      <c r="R1767">
        <v>27.02</v>
      </c>
      <c r="S1767">
        <v>17.37</v>
      </c>
      <c r="T1767">
        <v>2709.3</v>
      </c>
      <c r="U1767">
        <v>0.64</v>
      </c>
      <c r="V1767">
        <v>0.74</v>
      </c>
      <c r="W1767">
        <v>1.1499999999999999</v>
      </c>
      <c r="X1767">
        <v>0.17</v>
      </c>
      <c r="Y1767">
        <v>1</v>
      </c>
      <c r="Z1767">
        <v>10</v>
      </c>
    </row>
    <row r="1768" spans="1:26" x14ac:dyDescent="0.3">
      <c r="A1768">
        <v>41</v>
      </c>
      <c r="B1768">
        <v>145</v>
      </c>
      <c r="C1768" t="s">
        <v>26</v>
      </c>
      <c r="D1768">
        <v>9.7208000000000006</v>
      </c>
      <c r="E1768">
        <v>10.29</v>
      </c>
      <c r="F1768">
        <v>6.85</v>
      </c>
      <c r="G1768">
        <v>45.69</v>
      </c>
      <c r="H1768">
        <v>0.65</v>
      </c>
      <c r="I1768">
        <v>9</v>
      </c>
      <c r="J1768">
        <v>306.44</v>
      </c>
      <c r="K1768">
        <v>61.2</v>
      </c>
      <c r="L1768">
        <v>11.25</v>
      </c>
      <c r="M1768">
        <v>7</v>
      </c>
      <c r="N1768">
        <v>88.99</v>
      </c>
      <c r="O1768">
        <v>38028.53</v>
      </c>
      <c r="P1768">
        <v>119.94</v>
      </c>
      <c r="Q1768">
        <v>204.16</v>
      </c>
      <c r="R1768">
        <v>26.89</v>
      </c>
      <c r="S1768">
        <v>17.37</v>
      </c>
      <c r="T1768">
        <v>2640.7</v>
      </c>
      <c r="U1768">
        <v>0.65</v>
      </c>
      <c r="V1768">
        <v>0.75</v>
      </c>
      <c r="W1768">
        <v>1.1499999999999999</v>
      </c>
      <c r="X1768">
        <v>0.16</v>
      </c>
      <c r="Y1768">
        <v>1</v>
      </c>
      <c r="Z1768">
        <v>10</v>
      </c>
    </row>
    <row r="1769" spans="1:26" x14ac:dyDescent="0.3">
      <c r="A1769">
        <v>42</v>
      </c>
      <c r="B1769">
        <v>145</v>
      </c>
      <c r="C1769" t="s">
        <v>26</v>
      </c>
      <c r="D1769">
        <v>9.7212999999999994</v>
      </c>
      <c r="E1769">
        <v>10.29</v>
      </c>
      <c r="F1769">
        <v>6.85</v>
      </c>
      <c r="G1769">
        <v>45.68</v>
      </c>
      <c r="H1769">
        <v>0.67</v>
      </c>
      <c r="I1769">
        <v>9</v>
      </c>
      <c r="J1769">
        <v>306.98</v>
      </c>
      <c r="K1769">
        <v>61.2</v>
      </c>
      <c r="L1769">
        <v>11.5</v>
      </c>
      <c r="M1769">
        <v>7</v>
      </c>
      <c r="N1769">
        <v>89.28</v>
      </c>
      <c r="O1769">
        <v>38094.910000000003</v>
      </c>
      <c r="P1769">
        <v>119.84</v>
      </c>
      <c r="Q1769">
        <v>204.14</v>
      </c>
      <c r="R1769">
        <v>26.88</v>
      </c>
      <c r="S1769">
        <v>17.37</v>
      </c>
      <c r="T1769">
        <v>2635.62</v>
      </c>
      <c r="U1769">
        <v>0.65</v>
      </c>
      <c r="V1769">
        <v>0.75</v>
      </c>
      <c r="W1769">
        <v>1.1499999999999999</v>
      </c>
      <c r="X1769">
        <v>0.16</v>
      </c>
      <c r="Y1769">
        <v>1</v>
      </c>
      <c r="Z1769">
        <v>10</v>
      </c>
    </row>
    <row r="1770" spans="1:26" x14ac:dyDescent="0.3">
      <c r="A1770">
        <v>43</v>
      </c>
      <c r="B1770">
        <v>145</v>
      </c>
      <c r="C1770" t="s">
        <v>26</v>
      </c>
      <c r="D1770">
        <v>9.7149999999999999</v>
      </c>
      <c r="E1770">
        <v>10.29</v>
      </c>
      <c r="F1770">
        <v>6.86</v>
      </c>
      <c r="G1770">
        <v>45.73</v>
      </c>
      <c r="H1770">
        <v>0.68</v>
      </c>
      <c r="I1770">
        <v>9</v>
      </c>
      <c r="J1770">
        <v>307.52</v>
      </c>
      <c r="K1770">
        <v>61.2</v>
      </c>
      <c r="L1770">
        <v>11.75</v>
      </c>
      <c r="M1770">
        <v>7</v>
      </c>
      <c r="N1770">
        <v>89.57</v>
      </c>
      <c r="O1770">
        <v>38161.42</v>
      </c>
      <c r="P1770">
        <v>119.8</v>
      </c>
      <c r="Q1770">
        <v>204.15</v>
      </c>
      <c r="R1770">
        <v>27.11</v>
      </c>
      <c r="S1770">
        <v>17.37</v>
      </c>
      <c r="T1770">
        <v>2752.57</v>
      </c>
      <c r="U1770">
        <v>0.64</v>
      </c>
      <c r="V1770">
        <v>0.74</v>
      </c>
      <c r="W1770">
        <v>1.1499999999999999</v>
      </c>
      <c r="X1770">
        <v>0.17</v>
      </c>
      <c r="Y1770">
        <v>1</v>
      </c>
      <c r="Z1770">
        <v>10</v>
      </c>
    </row>
    <row r="1771" spans="1:26" x14ac:dyDescent="0.3">
      <c r="A1771">
        <v>44</v>
      </c>
      <c r="B1771">
        <v>145</v>
      </c>
      <c r="C1771" t="s">
        <v>26</v>
      </c>
      <c r="D1771">
        <v>9.7187000000000001</v>
      </c>
      <c r="E1771">
        <v>10.29</v>
      </c>
      <c r="F1771">
        <v>6.86</v>
      </c>
      <c r="G1771">
        <v>45.7</v>
      </c>
      <c r="H1771">
        <v>0.69</v>
      </c>
      <c r="I1771">
        <v>9</v>
      </c>
      <c r="J1771">
        <v>308.06</v>
      </c>
      <c r="K1771">
        <v>61.2</v>
      </c>
      <c r="L1771">
        <v>12</v>
      </c>
      <c r="M1771">
        <v>7</v>
      </c>
      <c r="N1771">
        <v>89.86</v>
      </c>
      <c r="O1771">
        <v>38228.06</v>
      </c>
      <c r="P1771">
        <v>119.62</v>
      </c>
      <c r="Q1771">
        <v>204.14</v>
      </c>
      <c r="R1771">
        <v>27</v>
      </c>
      <c r="S1771">
        <v>17.37</v>
      </c>
      <c r="T1771">
        <v>2698.09</v>
      </c>
      <c r="U1771">
        <v>0.64</v>
      </c>
      <c r="V1771">
        <v>0.74</v>
      </c>
      <c r="W1771">
        <v>1.1499999999999999</v>
      </c>
      <c r="X1771">
        <v>0.16</v>
      </c>
      <c r="Y1771">
        <v>1</v>
      </c>
      <c r="Z1771">
        <v>10</v>
      </c>
    </row>
    <row r="1772" spans="1:26" x14ac:dyDescent="0.3">
      <c r="A1772">
        <v>45</v>
      </c>
      <c r="B1772">
        <v>145</v>
      </c>
      <c r="C1772" t="s">
        <v>26</v>
      </c>
      <c r="D1772">
        <v>9.7881999999999998</v>
      </c>
      <c r="E1772">
        <v>10.220000000000001</v>
      </c>
      <c r="F1772">
        <v>6.84</v>
      </c>
      <c r="G1772">
        <v>51.27</v>
      </c>
      <c r="H1772">
        <v>0.71</v>
      </c>
      <c r="I1772">
        <v>8</v>
      </c>
      <c r="J1772">
        <v>308.60000000000002</v>
      </c>
      <c r="K1772">
        <v>61.2</v>
      </c>
      <c r="L1772">
        <v>12.25</v>
      </c>
      <c r="M1772">
        <v>6</v>
      </c>
      <c r="N1772">
        <v>90.15</v>
      </c>
      <c r="O1772">
        <v>38294.82</v>
      </c>
      <c r="P1772">
        <v>119.14</v>
      </c>
      <c r="Q1772">
        <v>204.15</v>
      </c>
      <c r="R1772">
        <v>26.39</v>
      </c>
      <c r="S1772">
        <v>17.37</v>
      </c>
      <c r="T1772">
        <v>2396.34</v>
      </c>
      <c r="U1772">
        <v>0.66</v>
      </c>
      <c r="V1772">
        <v>0.75</v>
      </c>
      <c r="W1772">
        <v>1.1499999999999999</v>
      </c>
      <c r="X1772">
        <v>0.14000000000000001</v>
      </c>
      <c r="Y1772">
        <v>1</v>
      </c>
      <c r="Z1772">
        <v>10</v>
      </c>
    </row>
    <row r="1773" spans="1:26" x14ac:dyDescent="0.3">
      <c r="A1773">
        <v>46</v>
      </c>
      <c r="B1773">
        <v>145</v>
      </c>
      <c r="C1773" t="s">
        <v>26</v>
      </c>
      <c r="D1773">
        <v>9.8041999999999998</v>
      </c>
      <c r="E1773">
        <v>10.199999999999999</v>
      </c>
      <c r="F1773">
        <v>6.82</v>
      </c>
      <c r="G1773">
        <v>51.15</v>
      </c>
      <c r="H1773">
        <v>0.72</v>
      </c>
      <c r="I1773">
        <v>8</v>
      </c>
      <c r="J1773">
        <v>309.14</v>
      </c>
      <c r="K1773">
        <v>61.2</v>
      </c>
      <c r="L1773">
        <v>12.5</v>
      </c>
      <c r="M1773">
        <v>6</v>
      </c>
      <c r="N1773">
        <v>90.44</v>
      </c>
      <c r="O1773">
        <v>38361.699999999997</v>
      </c>
      <c r="P1773">
        <v>118.98</v>
      </c>
      <c r="Q1773">
        <v>204.19</v>
      </c>
      <c r="R1773">
        <v>25.72</v>
      </c>
      <c r="S1773">
        <v>17.37</v>
      </c>
      <c r="T1773">
        <v>2060.4499999999998</v>
      </c>
      <c r="U1773">
        <v>0.68</v>
      </c>
      <c r="V1773">
        <v>0.75</v>
      </c>
      <c r="W1773">
        <v>1.1499999999999999</v>
      </c>
      <c r="X1773">
        <v>0.13</v>
      </c>
      <c r="Y1773">
        <v>1</v>
      </c>
      <c r="Z1773">
        <v>10</v>
      </c>
    </row>
    <row r="1774" spans="1:26" x14ac:dyDescent="0.3">
      <c r="A1774">
        <v>47</v>
      </c>
      <c r="B1774">
        <v>145</v>
      </c>
      <c r="C1774" t="s">
        <v>26</v>
      </c>
      <c r="D1774">
        <v>9.8057999999999996</v>
      </c>
      <c r="E1774">
        <v>10.199999999999999</v>
      </c>
      <c r="F1774">
        <v>6.82</v>
      </c>
      <c r="G1774">
        <v>51.13</v>
      </c>
      <c r="H1774">
        <v>0.73</v>
      </c>
      <c r="I1774">
        <v>8</v>
      </c>
      <c r="J1774">
        <v>309.68</v>
      </c>
      <c r="K1774">
        <v>61.2</v>
      </c>
      <c r="L1774">
        <v>12.75</v>
      </c>
      <c r="M1774">
        <v>6</v>
      </c>
      <c r="N1774">
        <v>90.74</v>
      </c>
      <c r="O1774">
        <v>38428.720000000001</v>
      </c>
      <c r="P1774">
        <v>118.73</v>
      </c>
      <c r="Q1774">
        <v>204.15</v>
      </c>
      <c r="R1774">
        <v>25.86</v>
      </c>
      <c r="S1774">
        <v>17.37</v>
      </c>
      <c r="T1774">
        <v>2133.4899999999998</v>
      </c>
      <c r="U1774">
        <v>0.67</v>
      </c>
      <c r="V1774">
        <v>0.75</v>
      </c>
      <c r="W1774">
        <v>1.1499999999999999</v>
      </c>
      <c r="X1774">
        <v>0.13</v>
      </c>
      <c r="Y1774">
        <v>1</v>
      </c>
      <c r="Z1774">
        <v>10</v>
      </c>
    </row>
    <row r="1775" spans="1:26" x14ac:dyDescent="0.3">
      <c r="A1775">
        <v>48</v>
      </c>
      <c r="B1775">
        <v>145</v>
      </c>
      <c r="C1775" t="s">
        <v>26</v>
      </c>
      <c r="D1775">
        <v>9.7925000000000004</v>
      </c>
      <c r="E1775">
        <v>10.210000000000001</v>
      </c>
      <c r="F1775">
        <v>6.83</v>
      </c>
      <c r="G1775">
        <v>51.24</v>
      </c>
      <c r="H1775">
        <v>0.75</v>
      </c>
      <c r="I1775">
        <v>8</v>
      </c>
      <c r="J1775">
        <v>310.23</v>
      </c>
      <c r="K1775">
        <v>61.2</v>
      </c>
      <c r="L1775">
        <v>13</v>
      </c>
      <c r="M1775">
        <v>6</v>
      </c>
      <c r="N1775">
        <v>91.03</v>
      </c>
      <c r="O1775">
        <v>38495.870000000003</v>
      </c>
      <c r="P1775">
        <v>118.99</v>
      </c>
      <c r="Q1775">
        <v>204.14</v>
      </c>
      <c r="R1775">
        <v>26.02</v>
      </c>
      <c r="S1775">
        <v>17.37</v>
      </c>
      <c r="T1775">
        <v>2212.54</v>
      </c>
      <c r="U1775">
        <v>0.67</v>
      </c>
      <c r="V1775">
        <v>0.75</v>
      </c>
      <c r="W1775">
        <v>1.1499999999999999</v>
      </c>
      <c r="X1775">
        <v>0.14000000000000001</v>
      </c>
      <c r="Y1775">
        <v>1</v>
      </c>
      <c r="Z1775">
        <v>10</v>
      </c>
    </row>
    <row r="1776" spans="1:26" x14ac:dyDescent="0.3">
      <c r="A1776">
        <v>49</v>
      </c>
      <c r="B1776">
        <v>145</v>
      </c>
      <c r="C1776" t="s">
        <v>26</v>
      </c>
      <c r="D1776">
        <v>9.7972999999999999</v>
      </c>
      <c r="E1776">
        <v>10.210000000000001</v>
      </c>
      <c r="F1776">
        <v>6.83</v>
      </c>
      <c r="G1776">
        <v>51.2</v>
      </c>
      <c r="H1776">
        <v>0.76</v>
      </c>
      <c r="I1776">
        <v>8</v>
      </c>
      <c r="J1776">
        <v>310.77</v>
      </c>
      <c r="K1776">
        <v>61.2</v>
      </c>
      <c r="L1776">
        <v>13.25</v>
      </c>
      <c r="M1776">
        <v>6</v>
      </c>
      <c r="N1776">
        <v>91.33</v>
      </c>
      <c r="O1776">
        <v>38563.14</v>
      </c>
      <c r="P1776">
        <v>118.73</v>
      </c>
      <c r="Q1776">
        <v>204.14</v>
      </c>
      <c r="R1776">
        <v>26.15</v>
      </c>
      <c r="S1776">
        <v>17.37</v>
      </c>
      <c r="T1776">
        <v>2278.91</v>
      </c>
      <c r="U1776">
        <v>0.66</v>
      </c>
      <c r="V1776">
        <v>0.75</v>
      </c>
      <c r="W1776">
        <v>1.1499999999999999</v>
      </c>
      <c r="X1776">
        <v>0.14000000000000001</v>
      </c>
      <c r="Y1776">
        <v>1</v>
      </c>
      <c r="Z1776">
        <v>10</v>
      </c>
    </row>
    <row r="1777" spans="1:26" x14ac:dyDescent="0.3">
      <c r="A1777">
        <v>50</v>
      </c>
      <c r="B1777">
        <v>145</v>
      </c>
      <c r="C1777" t="s">
        <v>26</v>
      </c>
      <c r="D1777">
        <v>9.7988999999999997</v>
      </c>
      <c r="E1777">
        <v>10.210000000000001</v>
      </c>
      <c r="F1777">
        <v>6.83</v>
      </c>
      <c r="G1777">
        <v>51.19</v>
      </c>
      <c r="H1777">
        <v>0.77</v>
      </c>
      <c r="I1777">
        <v>8</v>
      </c>
      <c r="J1777">
        <v>311.32</v>
      </c>
      <c r="K1777">
        <v>61.2</v>
      </c>
      <c r="L1777">
        <v>13.5</v>
      </c>
      <c r="M1777">
        <v>6</v>
      </c>
      <c r="N1777">
        <v>91.62</v>
      </c>
      <c r="O1777">
        <v>38630.550000000003</v>
      </c>
      <c r="P1777">
        <v>118.8</v>
      </c>
      <c r="Q1777">
        <v>204.15</v>
      </c>
      <c r="R1777">
        <v>26.06</v>
      </c>
      <c r="S1777">
        <v>17.37</v>
      </c>
      <c r="T1777">
        <v>2230.9499999999998</v>
      </c>
      <c r="U1777">
        <v>0.67</v>
      </c>
      <c r="V1777">
        <v>0.75</v>
      </c>
      <c r="W1777">
        <v>1.1499999999999999</v>
      </c>
      <c r="X1777">
        <v>0.13</v>
      </c>
      <c r="Y1777">
        <v>1</v>
      </c>
      <c r="Z1777">
        <v>10</v>
      </c>
    </row>
    <row r="1778" spans="1:26" x14ac:dyDescent="0.3">
      <c r="A1778">
        <v>51</v>
      </c>
      <c r="B1778">
        <v>145</v>
      </c>
      <c r="C1778" t="s">
        <v>26</v>
      </c>
      <c r="D1778">
        <v>9.7962000000000007</v>
      </c>
      <c r="E1778">
        <v>10.210000000000001</v>
      </c>
      <c r="F1778">
        <v>6.83</v>
      </c>
      <c r="G1778">
        <v>51.21</v>
      </c>
      <c r="H1778">
        <v>0.79</v>
      </c>
      <c r="I1778">
        <v>8</v>
      </c>
      <c r="J1778">
        <v>311.87</v>
      </c>
      <c r="K1778">
        <v>61.2</v>
      </c>
      <c r="L1778">
        <v>13.75</v>
      </c>
      <c r="M1778">
        <v>6</v>
      </c>
      <c r="N1778">
        <v>91.92</v>
      </c>
      <c r="O1778">
        <v>38698.21</v>
      </c>
      <c r="P1778">
        <v>118.68</v>
      </c>
      <c r="Q1778">
        <v>204.14</v>
      </c>
      <c r="R1778">
        <v>26.06</v>
      </c>
      <c r="S1778">
        <v>17.37</v>
      </c>
      <c r="T1778">
        <v>2231.08</v>
      </c>
      <c r="U1778">
        <v>0.67</v>
      </c>
      <c r="V1778">
        <v>0.75</v>
      </c>
      <c r="W1778">
        <v>1.1499999999999999</v>
      </c>
      <c r="X1778">
        <v>0.14000000000000001</v>
      </c>
      <c r="Y1778">
        <v>1</v>
      </c>
      <c r="Z1778">
        <v>10</v>
      </c>
    </row>
    <row r="1779" spans="1:26" x14ac:dyDescent="0.3">
      <c r="A1779">
        <v>52</v>
      </c>
      <c r="B1779">
        <v>145</v>
      </c>
      <c r="C1779" t="s">
        <v>26</v>
      </c>
      <c r="D1779">
        <v>9.7934999999999999</v>
      </c>
      <c r="E1779">
        <v>10.210000000000001</v>
      </c>
      <c r="F1779">
        <v>6.83</v>
      </c>
      <c r="G1779">
        <v>51.23</v>
      </c>
      <c r="H1779">
        <v>0.8</v>
      </c>
      <c r="I1779">
        <v>8</v>
      </c>
      <c r="J1779">
        <v>312.42</v>
      </c>
      <c r="K1779">
        <v>61.2</v>
      </c>
      <c r="L1779">
        <v>14</v>
      </c>
      <c r="M1779">
        <v>6</v>
      </c>
      <c r="N1779">
        <v>92.22</v>
      </c>
      <c r="O1779">
        <v>38765.89</v>
      </c>
      <c r="P1779">
        <v>118.57</v>
      </c>
      <c r="Q1779">
        <v>204.19</v>
      </c>
      <c r="R1779">
        <v>26.11</v>
      </c>
      <c r="S1779">
        <v>17.37</v>
      </c>
      <c r="T1779">
        <v>2255.5700000000002</v>
      </c>
      <c r="U1779">
        <v>0.67</v>
      </c>
      <c r="V1779">
        <v>0.75</v>
      </c>
      <c r="W1779">
        <v>1.1499999999999999</v>
      </c>
      <c r="X1779">
        <v>0.14000000000000001</v>
      </c>
      <c r="Y1779">
        <v>1</v>
      </c>
      <c r="Z1779">
        <v>10</v>
      </c>
    </row>
    <row r="1780" spans="1:26" x14ac:dyDescent="0.3">
      <c r="A1780">
        <v>53</v>
      </c>
      <c r="B1780">
        <v>145</v>
      </c>
      <c r="C1780" t="s">
        <v>26</v>
      </c>
      <c r="D1780">
        <v>9.8737999999999992</v>
      </c>
      <c r="E1780">
        <v>10.130000000000001</v>
      </c>
      <c r="F1780">
        <v>6.8</v>
      </c>
      <c r="G1780">
        <v>58.3</v>
      </c>
      <c r="H1780">
        <v>0.81</v>
      </c>
      <c r="I1780">
        <v>7</v>
      </c>
      <c r="J1780">
        <v>312.97000000000003</v>
      </c>
      <c r="K1780">
        <v>61.2</v>
      </c>
      <c r="L1780">
        <v>14.25</v>
      </c>
      <c r="M1780">
        <v>5</v>
      </c>
      <c r="N1780">
        <v>92.52</v>
      </c>
      <c r="O1780">
        <v>38833.69</v>
      </c>
      <c r="P1780">
        <v>118.05</v>
      </c>
      <c r="Q1780">
        <v>204.16</v>
      </c>
      <c r="R1780">
        <v>25.25</v>
      </c>
      <c r="S1780">
        <v>17.37</v>
      </c>
      <c r="T1780">
        <v>1832.7</v>
      </c>
      <c r="U1780">
        <v>0.69</v>
      </c>
      <c r="V1780">
        <v>0.75</v>
      </c>
      <c r="W1780">
        <v>1.1499999999999999</v>
      </c>
      <c r="X1780">
        <v>0.11</v>
      </c>
      <c r="Y1780">
        <v>1</v>
      </c>
      <c r="Z1780">
        <v>10</v>
      </c>
    </row>
    <row r="1781" spans="1:26" x14ac:dyDescent="0.3">
      <c r="A1781">
        <v>54</v>
      </c>
      <c r="B1781">
        <v>145</v>
      </c>
      <c r="C1781" t="s">
        <v>26</v>
      </c>
      <c r="D1781">
        <v>9.8705999999999996</v>
      </c>
      <c r="E1781">
        <v>10.130000000000001</v>
      </c>
      <c r="F1781">
        <v>6.8</v>
      </c>
      <c r="G1781">
        <v>58.33</v>
      </c>
      <c r="H1781">
        <v>0.82</v>
      </c>
      <c r="I1781">
        <v>7</v>
      </c>
      <c r="J1781">
        <v>313.52</v>
      </c>
      <c r="K1781">
        <v>61.2</v>
      </c>
      <c r="L1781">
        <v>14.5</v>
      </c>
      <c r="M1781">
        <v>5</v>
      </c>
      <c r="N1781">
        <v>92.82</v>
      </c>
      <c r="O1781">
        <v>38901.629999999997</v>
      </c>
      <c r="P1781">
        <v>118.26</v>
      </c>
      <c r="Q1781">
        <v>204.14</v>
      </c>
      <c r="R1781">
        <v>25.32</v>
      </c>
      <c r="S1781">
        <v>17.37</v>
      </c>
      <c r="T1781">
        <v>1869.71</v>
      </c>
      <c r="U1781">
        <v>0.69</v>
      </c>
      <c r="V1781">
        <v>0.75</v>
      </c>
      <c r="W1781">
        <v>1.1499999999999999</v>
      </c>
      <c r="X1781">
        <v>0.11</v>
      </c>
      <c r="Y1781">
        <v>1</v>
      </c>
      <c r="Z1781">
        <v>10</v>
      </c>
    </row>
    <row r="1782" spans="1:26" x14ac:dyDescent="0.3">
      <c r="A1782">
        <v>55</v>
      </c>
      <c r="B1782">
        <v>145</v>
      </c>
      <c r="C1782" t="s">
        <v>26</v>
      </c>
      <c r="D1782">
        <v>9.8689999999999998</v>
      </c>
      <c r="E1782">
        <v>10.130000000000001</v>
      </c>
      <c r="F1782">
        <v>6.81</v>
      </c>
      <c r="G1782">
        <v>58.34</v>
      </c>
      <c r="H1782">
        <v>0.84</v>
      </c>
      <c r="I1782">
        <v>7</v>
      </c>
      <c r="J1782">
        <v>314.07</v>
      </c>
      <c r="K1782">
        <v>61.2</v>
      </c>
      <c r="L1782">
        <v>14.75</v>
      </c>
      <c r="M1782">
        <v>5</v>
      </c>
      <c r="N1782">
        <v>93.12</v>
      </c>
      <c r="O1782">
        <v>38969.71</v>
      </c>
      <c r="P1782">
        <v>118.51</v>
      </c>
      <c r="Q1782">
        <v>204.14</v>
      </c>
      <c r="R1782">
        <v>25.35</v>
      </c>
      <c r="S1782">
        <v>17.37</v>
      </c>
      <c r="T1782">
        <v>1884.4</v>
      </c>
      <c r="U1782">
        <v>0.69</v>
      </c>
      <c r="V1782">
        <v>0.75</v>
      </c>
      <c r="W1782">
        <v>1.1499999999999999</v>
      </c>
      <c r="X1782">
        <v>0.12</v>
      </c>
      <c r="Y1782">
        <v>1</v>
      </c>
      <c r="Z1782">
        <v>10</v>
      </c>
    </row>
    <row r="1783" spans="1:26" x14ac:dyDescent="0.3">
      <c r="A1783">
        <v>56</v>
      </c>
      <c r="B1783">
        <v>145</v>
      </c>
      <c r="C1783" t="s">
        <v>26</v>
      </c>
      <c r="D1783">
        <v>9.8683999999999994</v>
      </c>
      <c r="E1783">
        <v>10.130000000000001</v>
      </c>
      <c r="F1783">
        <v>6.81</v>
      </c>
      <c r="G1783">
        <v>58.35</v>
      </c>
      <c r="H1783">
        <v>0.85</v>
      </c>
      <c r="I1783">
        <v>7</v>
      </c>
      <c r="J1783">
        <v>314.62</v>
      </c>
      <c r="K1783">
        <v>61.2</v>
      </c>
      <c r="L1783">
        <v>15</v>
      </c>
      <c r="M1783">
        <v>5</v>
      </c>
      <c r="N1783">
        <v>93.43</v>
      </c>
      <c r="O1783">
        <v>39037.919999999998</v>
      </c>
      <c r="P1783">
        <v>118.55</v>
      </c>
      <c r="Q1783">
        <v>204.15</v>
      </c>
      <c r="R1783">
        <v>25.41</v>
      </c>
      <c r="S1783">
        <v>17.37</v>
      </c>
      <c r="T1783">
        <v>1911.21</v>
      </c>
      <c r="U1783">
        <v>0.68</v>
      </c>
      <c r="V1783">
        <v>0.75</v>
      </c>
      <c r="W1783">
        <v>1.1499999999999999</v>
      </c>
      <c r="X1783">
        <v>0.12</v>
      </c>
      <c r="Y1783">
        <v>1</v>
      </c>
      <c r="Z1783">
        <v>10</v>
      </c>
    </row>
    <row r="1784" spans="1:26" x14ac:dyDescent="0.3">
      <c r="A1784">
        <v>57</v>
      </c>
      <c r="B1784">
        <v>145</v>
      </c>
      <c r="C1784" t="s">
        <v>26</v>
      </c>
      <c r="D1784">
        <v>9.8625000000000007</v>
      </c>
      <c r="E1784">
        <v>10.14</v>
      </c>
      <c r="F1784">
        <v>6.81</v>
      </c>
      <c r="G1784">
        <v>58.4</v>
      </c>
      <c r="H1784">
        <v>0.86</v>
      </c>
      <c r="I1784">
        <v>7</v>
      </c>
      <c r="J1784">
        <v>315.18</v>
      </c>
      <c r="K1784">
        <v>61.2</v>
      </c>
      <c r="L1784">
        <v>15.25</v>
      </c>
      <c r="M1784">
        <v>5</v>
      </c>
      <c r="N1784">
        <v>93.73</v>
      </c>
      <c r="O1784">
        <v>39106.269999999997</v>
      </c>
      <c r="P1784">
        <v>118.63</v>
      </c>
      <c r="Q1784">
        <v>204.14</v>
      </c>
      <c r="R1784">
        <v>25.63</v>
      </c>
      <c r="S1784">
        <v>17.37</v>
      </c>
      <c r="T1784">
        <v>2021.55</v>
      </c>
      <c r="U1784">
        <v>0.68</v>
      </c>
      <c r="V1784">
        <v>0.75</v>
      </c>
      <c r="W1784">
        <v>1.1499999999999999</v>
      </c>
      <c r="X1784">
        <v>0.12</v>
      </c>
      <c r="Y1784">
        <v>1</v>
      </c>
      <c r="Z1784">
        <v>10</v>
      </c>
    </row>
    <row r="1785" spans="1:26" x14ac:dyDescent="0.3">
      <c r="A1785">
        <v>58</v>
      </c>
      <c r="B1785">
        <v>145</v>
      </c>
      <c r="C1785" t="s">
        <v>26</v>
      </c>
      <c r="D1785">
        <v>9.8675999999999995</v>
      </c>
      <c r="E1785">
        <v>10.130000000000001</v>
      </c>
      <c r="F1785">
        <v>6.81</v>
      </c>
      <c r="G1785">
        <v>58.35</v>
      </c>
      <c r="H1785">
        <v>0.87</v>
      </c>
      <c r="I1785">
        <v>7</v>
      </c>
      <c r="J1785">
        <v>315.73</v>
      </c>
      <c r="K1785">
        <v>61.2</v>
      </c>
      <c r="L1785">
        <v>15.5</v>
      </c>
      <c r="M1785">
        <v>5</v>
      </c>
      <c r="N1785">
        <v>94.03</v>
      </c>
      <c r="O1785">
        <v>39174.75</v>
      </c>
      <c r="P1785">
        <v>118.51</v>
      </c>
      <c r="Q1785">
        <v>204.14</v>
      </c>
      <c r="R1785">
        <v>25.52</v>
      </c>
      <c r="S1785">
        <v>17.37</v>
      </c>
      <c r="T1785">
        <v>1969.33</v>
      </c>
      <c r="U1785">
        <v>0.68</v>
      </c>
      <c r="V1785">
        <v>0.75</v>
      </c>
      <c r="W1785">
        <v>1.1499999999999999</v>
      </c>
      <c r="X1785">
        <v>0.12</v>
      </c>
      <c r="Y1785">
        <v>1</v>
      </c>
      <c r="Z1785">
        <v>10</v>
      </c>
    </row>
    <row r="1786" spans="1:26" x14ac:dyDescent="0.3">
      <c r="A1786">
        <v>59</v>
      </c>
      <c r="B1786">
        <v>145</v>
      </c>
      <c r="C1786" t="s">
        <v>26</v>
      </c>
      <c r="D1786">
        <v>9.8611000000000004</v>
      </c>
      <c r="E1786">
        <v>10.14</v>
      </c>
      <c r="F1786">
        <v>6.81</v>
      </c>
      <c r="G1786">
        <v>58.41</v>
      </c>
      <c r="H1786">
        <v>0.89</v>
      </c>
      <c r="I1786">
        <v>7</v>
      </c>
      <c r="J1786">
        <v>316.29000000000002</v>
      </c>
      <c r="K1786">
        <v>61.2</v>
      </c>
      <c r="L1786">
        <v>15.75</v>
      </c>
      <c r="M1786">
        <v>5</v>
      </c>
      <c r="N1786">
        <v>94.34</v>
      </c>
      <c r="O1786">
        <v>39243.370000000003</v>
      </c>
      <c r="P1786">
        <v>118.43</v>
      </c>
      <c r="Q1786">
        <v>204.14</v>
      </c>
      <c r="R1786">
        <v>25.64</v>
      </c>
      <c r="S1786">
        <v>17.37</v>
      </c>
      <c r="T1786">
        <v>2026.82</v>
      </c>
      <c r="U1786">
        <v>0.68</v>
      </c>
      <c r="V1786">
        <v>0.75</v>
      </c>
      <c r="W1786">
        <v>1.1499999999999999</v>
      </c>
      <c r="X1786">
        <v>0.12</v>
      </c>
      <c r="Y1786">
        <v>1</v>
      </c>
      <c r="Z1786">
        <v>10</v>
      </c>
    </row>
    <row r="1787" spans="1:26" x14ac:dyDescent="0.3">
      <c r="A1787">
        <v>60</v>
      </c>
      <c r="B1787">
        <v>145</v>
      </c>
      <c r="C1787" t="s">
        <v>26</v>
      </c>
      <c r="D1787">
        <v>9.8609000000000009</v>
      </c>
      <c r="E1787">
        <v>10.14</v>
      </c>
      <c r="F1787">
        <v>6.81</v>
      </c>
      <c r="G1787">
        <v>58.41</v>
      </c>
      <c r="H1787">
        <v>0.9</v>
      </c>
      <c r="I1787">
        <v>7</v>
      </c>
      <c r="J1787">
        <v>316.85000000000002</v>
      </c>
      <c r="K1787">
        <v>61.2</v>
      </c>
      <c r="L1787">
        <v>16</v>
      </c>
      <c r="M1787">
        <v>5</v>
      </c>
      <c r="N1787">
        <v>94.65</v>
      </c>
      <c r="O1787">
        <v>39312.129999999997</v>
      </c>
      <c r="P1787">
        <v>118.34</v>
      </c>
      <c r="Q1787">
        <v>204.14</v>
      </c>
      <c r="R1787">
        <v>25.67</v>
      </c>
      <c r="S1787">
        <v>17.37</v>
      </c>
      <c r="T1787">
        <v>2042.19</v>
      </c>
      <c r="U1787">
        <v>0.68</v>
      </c>
      <c r="V1787">
        <v>0.75</v>
      </c>
      <c r="W1787">
        <v>1.1499999999999999</v>
      </c>
      <c r="X1787">
        <v>0.12</v>
      </c>
      <c r="Y1787">
        <v>1</v>
      </c>
      <c r="Z1787">
        <v>10</v>
      </c>
    </row>
    <row r="1788" spans="1:26" x14ac:dyDescent="0.3">
      <c r="A1788">
        <v>61</v>
      </c>
      <c r="B1788">
        <v>145</v>
      </c>
      <c r="C1788" t="s">
        <v>26</v>
      </c>
      <c r="D1788">
        <v>9.8591999999999995</v>
      </c>
      <c r="E1788">
        <v>10.14</v>
      </c>
      <c r="F1788">
        <v>6.82</v>
      </c>
      <c r="G1788">
        <v>58.43</v>
      </c>
      <c r="H1788">
        <v>0.91</v>
      </c>
      <c r="I1788">
        <v>7</v>
      </c>
      <c r="J1788">
        <v>317.41000000000003</v>
      </c>
      <c r="K1788">
        <v>61.2</v>
      </c>
      <c r="L1788">
        <v>16.25</v>
      </c>
      <c r="M1788">
        <v>5</v>
      </c>
      <c r="N1788">
        <v>94.96</v>
      </c>
      <c r="O1788">
        <v>39381.03</v>
      </c>
      <c r="P1788">
        <v>118.25</v>
      </c>
      <c r="Q1788">
        <v>204.14</v>
      </c>
      <c r="R1788">
        <v>25.8</v>
      </c>
      <c r="S1788">
        <v>17.37</v>
      </c>
      <c r="T1788">
        <v>2106.9299999999998</v>
      </c>
      <c r="U1788">
        <v>0.67</v>
      </c>
      <c r="V1788">
        <v>0.75</v>
      </c>
      <c r="W1788">
        <v>1.1499999999999999</v>
      </c>
      <c r="X1788">
        <v>0.12</v>
      </c>
      <c r="Y1788">
        <v>1</v>
      </c>
      <c r="Z1788">
        <v>10</v>
      </c>
    </row>
    <row r="1789" spans="1:26" x14ac:dyDescent="0.3">
      <c r="A1789">
        <v>62</v>
      </c>
      <c r="B1789">
        <v>145</v>
      </c>
      <c r="C1789" t="s">
        <v>26</v>
      </c>
      <c r="D1789">
        <v>9.8595000000000006</v>
      </c>
      <c r="E1789">
        <v>10.14</v>
      </c>
      <c r="F1789">
        <v>6.82</v>
      </c>
      <c r="G1789">
        <v>58.42</v>
      </c>
      <c r="H1789">
        <v>0.92</v>
      </c>
      <c r="I1789">
        <v>7</v>
      </c>
      <c r="J1789">
        <v>317.97000000000003</v>
      </c>
      <c r="K1789">
        <v>61.2</v>
      </c>
      <c r="L1789">
        <v>16.5</v>
      </c>
      <c r="M1789">
        <v>5</v>
      </c>
      <c r="N1789">
        <v>95.27</v>
      </c>
      <c r="O1789">
        <v>39450.07</v>
      </c>
      <c r="P1789">
        <v>118.12</v>
      </c>
      <c r="Q1789">
        <v>204.15</v>
      </c>
      <c r="R1789">
        <v>25.66</v>
      </c>
      <c r="S1789">
        <v>17.37</v>
      </c>
      <c r="T1789">
        <v>2037.51</v>
      </c>
      <c r="U1789">
        <v>0.68</v>
      </c>
      <c r="V1789">
        <v>0.75</v>
      </c>
      <c r="W1789">
        <v>1.1499999999999999</v>
      </c>
      <c r="X1789">
        <v>0.12</v>
      </c>
      <c r="Y1789">
        <v>1</v>
      </c>
      <c r="Z1789">
        <v>10</v>
      </c>
    </row>
    <row r="1790" spans="1:26" x14ac:dyDescent="0.3">
      <c r="A1790">
        <v>63</v>
      </c>
      <c r="B1790">
        <v>145</v>
      </c>
      <c r="C1790" t="s">
        <v>26</v>
      </c>
      <c r="D1790">
        <v>9.8689999999999998</v>
      </c>
      <c r="E1790">
        <v>10.130000000000001</v>
      </c>
      <c r="F1790">
        <v>6.81</v>
      </c>
      <c r="G1790">
        <v>58.34</v>
      </c>
      <c r="H1790">
        <v>0.94</v>
      </c>
      <c r="I1790">
        <v>7</v>
      </c>
      <c r="J1790">
        <v>318.52999999999997</v>
      </c>
      <c r="K1790">
        <v>61.2</v>
      </c>
      <c r="L1790">
        <v>16.75</v>
      </c>
      <c r="M1790">
        <v>5</v>
      </c>
      <c r="N1790">
        <v>95.58</v>
      </c>
      <c r="O1790">
        <v>39519.26</v>
      </c>
      <c r="P1790">
        <v>117.76</v>
      </c>
      <c r="Q1790">
        <v>204.16</v>
      </c>
      <c r="R1790">
        <v>25.41</v>
      </c>
      <c r="S1790">
        <v>17.37</v>
      </c>
      <c r="T1790">
        <v>1914.32</v>
      </c>
      <c r="U1790">
        <v>0.68</v>
      </c>
      <c r="V1790">
        <v>0.75</v>
      </c>
      <c r="W1790">
        <v>1.1499999999999999</v>
      </c>
      <c r="X1790">
        <v>0.11</v>
      </c>
      <c r="Y1790">
        <v>1</v>
      </c>
      <c r="Z1790">
        <v>10</v>
      </c>
    </row>
    <row r="1791" spans="1:26" x14ac:dyDescent="0.3">
      <c r="A1791">
        <v>64</v>
      </c>
      <c r="B1791">
        <v>145</v>
      </c>
      <c r="C1791" t="s">
        <v>26</v>
      </c>
      <c r="D1791">
        <v>9.9405999999999999</v>
      </c>
      <c r="E1791">
        <v>10.06</v>
      </c>
      <c r="F1791">
        <v>6.79</v>
      </c>
      <c r="G1791">
        <v>67.87</v>
      </c>
      <c r="H1791">
        <v>0.95</v>
      </c>
      <c r="I1791">
        <v>6</v>
      </c>
      <c r="J1791">
        <v>319.08999999999997</v>
      </c>
      <c r="K1791">
        <v>61.2</v>
      </c>
      <c r="L1791">
        <v>17</v>
      </c>
      <c r="M1791">
        <v>4</v>
      </c>
      <c r="N1791">
        <v>95.89</v>
      </c>
      <c r="O1791">
        <v>39588.58</v>
      </c>
      <c r="P1791">
        <v>117.41</v>
      </c>
      <c r="Q1791">
        <v>204.14</v>
      </c>
      <c r="R1791">
        <v>24.72</v>
      </c>
      <c r="S1791">
        <v>17.37</v>
      </c>
      <c r="T1791">
        <v>1573.14</v>
      </c>
      <c r="U1791">
        <v>0.7</v>
      </c>
      <c r="V1791">
        <v>0.75</v>
      </c>
      <c r="W1791">
        <v>1.1499999999999999</v>
      </c>
      <c r="X1791">
        <v>0.1</v>
      </c>
      <c r="Y1791">
        <v>1</v>
      </c>
      <c r="Z1791">
        <v>10</v>
      </c>
    </row>
    <row r="1792" spans="1:26" x14ac:dyDescent="0.3">
      <c r="A1792">
        <v>65</v>
      </c>
      <c r="B1792">
        <v>145</v>
      </c>
      <c r="C1792" t="s">
        <v>26</v>
      </c>
      <c r="D1792">
        <v>9.9400999999999993</v>
      </c>
      <c r="E1792">
        <v>10.06</v>
      </c>
      <c r="F1792">
        <v>6.79</v>
      </c>
      <c r="G1792">
        <v>67.88</v>
      </c>
      <c r="H1792">
        <v>0.96</v>
      </c>
      <c r="I1792">
        <v>6</v>
      </c>
      <c r="J1792">
        <v>319.64999999999998</v>
      </c>
      <c r="K1792">
        <v>61.2</v>
      </c>
      <c r="L1792">
        <v>17.25</v>
      </c>
      <c r="M1792">
        <v>4</v>
      </c>
      <c r="N1792">
        <v>96.2</v>
      </c>
      <c r="O1792">
        <v>39658.050000000003</v>
      </c>
      <c r="P1792">
        <v>117.52</v>
      </c>
      <c r="Q1792">
        <v>204.14</v>
      </c>
      <c r="R1792">
        <v>24.75</v>
      </c>
      <c r="S1792">
        <v>17.37</v>
      </c>
      <c r="T1792">
        <v>1588.52</v>
      </c>
      <c r="U1792">
        <v>0.7</v>
      </c>
      <c r="V1792">
        <v>0.75</v>
      </c>
      <c r="W1792">
        <v>1.1499999999999999</v>
      </c>
      <c r="X1792">
        <v>0.1</v>
      </c>
      <c r="Y1792">
        <v>1</v>
      </c>
      <c r="Z1792">
        <v>10</v>
      </c>
    </row>
    <row r="1793" spans="1:26" x14ac:dyDescent="0.3">
      <c r="A1793">
        <v>66</v>
      </c>
      <c r="B1793">
        <v>145</v>
      </c>
      <c r="C1793" t="s">
        <v>26</v>
      </c>
      <c r="D1793">
        <v>9.9412000000000003</v>
      </c>
      <c r="E1793">
        <v>10.06</v>
      </c>
      <c r="F1793">
        <v>6.79</v>
      </c>
      <c r="G1793">
        <v>67.87</v>
      </c>
      <c r="H1793">
        <v>0.97</v>
      </c>
      <c r="I1793">
        <v>6</v>
      </c>
      <c r="J1793">
        <v>320.22000000000003</v>
      </c>
      <c r="K1793">
        <v>61.2</v>
      </c>
      <c r="L1793">
        <v>17.5</v>
      </c>
      <c r="M1793">
        <v>4</v>
      </c>
      <c r="N1793">
        <v>96.52</v>
      </c>
      <c r="O1793">
        <v>39727.660000000003</v>
      </c>
      <c r="P1793">
        <v>117.52</v>
      </c>
      <c r="Q1793">
        <v>204.15</v>
      </c>
      <c r="R1793">
        <v>24.86</v>
      </c>
      <c r="S1793">
        <v>17.37</v>
      </c>
      <c r="T1793">
        <v>1641.91</v>
      </c>
      <c r="U1793">
        <v>0.7</v>
      </c>
      <c r="V1793">
        <v>0.75</v>
      </c>
      <c r="W1793">
        <v>1.1399999999999999</v>
      </c>
      <c r="X1793">
        <v>0.1</v>
      </c>
      <c r="Y1793">
        <v>1</v>
      </c>
      <c r="Z1793">
        <v>10</v>
      </c>
    </row>
    <row r="1794" spans="1:26" x14ac:dyDescent="0.3">
      <c r="A1794">
        <v>67</v>
      </c>
      <c r="B1794">
        <v>145</v>
      </c>
      <c r="C1794" t="s">
        <v>26</v>
      </c>
      <c r="D1794">
        <v>9.9417000000000009</v>
      </c>
      <c r="E1794">
        <v>10.06</v>
      </c>
      <c r="F1794">
        <v>6.79</v>
      </c>
      <c r="G1794">
        <v>67.86</v>
      </c>
      <c r="H1794">
        <v>0.99</v>
      </c>
      <c r="I1794">
        <v>6</v>
      </c>
      <c r="J1794">
        <v>320.77999999999997</v>
      </c>
      <c r="K1794">
        <v>61.2</v>
      </c>
      <c r="L1794">
        <v>17.75</v>
      </c>
      <c r="M1794">
        <v>4</v>
      </c>
      <c r="N1794">
        <v>96.83</v>
      </c>
      <c r="O1794">
        <v>39797.410000000003</v>
      </c>
      <c r="P1794">
        <v>117.68</v>
      </c>
      <c r="Q1794">
        <v>204.14</v>
      </c>
      <c r="R1794">
        <v>24.76</v>
      </c>
      <c r="S1794">
        <v>17.37</v>
      </c>
      <c r="T1794">
        <v>1594.5</v>
      </c>
      <c r="U1794">
        <v>0.7</v>
      </c>
      <c r="V1794">
        <v>0.75</v>
      </c>
      <c r="W1794">
        <v>1.1499999999999999</v>
      </c>
      <c r="X1794">
        <v>0.09</v>
      </c>
      <c r="Y1794">
        <v>1</v>
      </c>
      <c r="Z1794">
        <v>10</v>
      </c>
    </row>
    <row r="1795" spans="1:26" x14ac:dyDescent="0.3">
      <c r="A1795">
        <v>68</v>
      </c>
      <c r="B1795">
        <v>145</v>
      </c>
      <c r="C1795" t="s">
        <v>26</v>
      </c>
      <c r="D1795">
        <v>9.9395000000000007</v>
      </c>
      <c r="E1795">
        <v>10.06</v>
      </c>
      <c r="F1795">
        <v>6.79</v>
      </c>
      <c r="G1795">
        <v>67.88</v>
      </c>
      <c r="H1795">
        <v>1</v>
      </c>
      <c r="I1795">
        <v>6</v>
      </c>
      <c r="J1795">
        <v>321.35000000000002</v>
      </c>
      <c r="K1795">
        <v>61.2</v>
      </c>
      <c r="L1795">
        <v>18</v>
      </c>
      <c r="M1795">
        <v>4</v>
      </c>
      <c r="N1795">
        <v>97.15</v>
      </c>
      <c r="O1795">
        <v>39867.32</v>
      </c>
      <c r="P1795">
        <v>117.76</v>
      </c>
      <c r="Q1795">
        <v>204.14</v>
      </c>
      <c r="R1795">
        <v>24.98</v>
      </c>
      <c r="S1795">
        <v>17.37</v>
      </c>
      <c r="T1795">
        <v>1702.16</v>
      </c>
      <c r="U1795">
        <v>0.7</v>
      </c>
      <c r="V1795">
        <v>0.75</v>
      </c>
      <c r="W1795">
        <v>1.1399999999999999</v>
      </c>
      <c r="X1795">
        <v>0.1</v>
      </c>
      <c r="Y1795">
        <v>1</v>
      </c>
      <c r="Z1795">
        <v>10</v>
      </c>
    </row>
    <row r="1796" spans="1:26" x14ac:dyDescent="0.3">
      <c r="A1796">
        <v>69</v>
      </c>
      <c r="B1796">
        <v>145</v>
      </c>
      <c r="C1796" t="s">
        <v>26</v>
      </c>
      <c r="D1796">
        <v>9.9412000000000003</v>
      </c>
      <c r="E1796">
        <v>10.06</v>
      </c>
      <c r="F1796">
        <v>6.79</v>
      </c>
      <c r="G1796">
        <v>67.87</v>
      </c>
      <c r="H1796">
        <v>1.01</v>
      </c>
      <c r="I1796">
        <v>6</v>
      </c>
      <c r="J1796">
        <v>321.92</v>
      </c>
      <c r="K1796">
        <v>61.2</v>
      </c>
      <c r="L1796">
        <v>18.25</v>
      </c>
      <c r="M1796">
        <v>4</v>
      </c>
      <c r="N1796">
        <v>97.47</v>
      </c>
      <c r="O1796">
        <v>39937.360000000001</v>
      </c>
      <c r="P1796">
        <v>117.76</v>
      </c>
      <c r="Q1796">
        <v>204.14</v>
      </c>
      <c r="R1796">
        <v>24.74</v>
      </c>
      <c r="S1796">
        <v>17.37</v>
      </c>
      <c r="T1796">
        <v>1579.96</v>
      </c>
      <c r="U1796">
        <v>0.7</v>
      </c>
      <c r="V1796">
        <v>0.75</v>
      </c>
      <c r="W1796">
        <v>1.1499999999999999</v>
      </c>
      <c r="X1796">
        <v>0.1</v>
      </c>
      <c r="Y1796">
        <v>1</v>
      </c>
      <c r="Z1796">
        <v>10</v>
      </c>
    </row>
    <row r="1797" spans="1:26" x14ac:dyDescent="0.3">
      <c r="A1797">
        <v>70</v>
      </c>
      <c r="B1797">
        <v>145</v>
      </c>
      <c r="C1797" t="s">
        <v>26</v>
      </c>
      <c r="D1797">
        <v>9.9468999999999994</v>
      </c>
      <c r="E1797">
        <v>10.050000000000001</v>
      </c>
      <c r="F1797">
        <v>6.78</v>
      </c>
      <c r="G1797">
        <v>67.81</v>
      </c>
      <c r="H1797">
        <v>1.02</v>
      </c>
      <c r="I1797">
        <v>6</v>
      </c>
      <c r="J1797">
        <v>322.49</v>
      </c>
      <c r="K1797">
        <v>61.2</v>
      </c>
      <c r="L1797">
        <v>18.5</v>
      </c>
      <c r="M1797">
        <v>4</v>
      </c>
      <c r="N1797">
        <v>97.79</v>
      </c>
      <c r="O1797">
        <v>40007.56</v>
      </c>
      <c r="P1797">
        <v>117.66</v>
      </c>
      <c r="Q1797">
        <v>204.14</v>
      </c>
      <c r="R1797">
        <v>24.6</v>
      </c>
      <c r="S1797">
        <v>17.37</v>
      </c>
      <c r="T1797">
        <v>1513.72</v>
      </c>
      <c r="U1797">
        <v>0.71</v>
      </c>
      <c r="V1797">
        <v>0.75</v>
      </c>
      <c r="W1797">
        <v>1.1499999999999999</v>
      </c>
      <c r="X1797">
        <v>0.09</v>
      </c>
      <c r="Y1797">
        <v>1</v>
      </c>
      <c r="Z1797">
        <v>10</v>
      </c>
    </row>
    <row r="1798" spans="1:26" x14ac:dyDescent="0.3">
      <c r="A1798">
        <v>71</v>
      </c>
      <c r="B1798">
        <v>145</v>
      </c>
      <c r="C1798" t="s">
        <v>26</v>
      </c>
      <c r="D1798">
        <v>9.9450000000000003</v>
      </c>
      <c r="E1798">
        <v>10.06</v>
      </c>
      <c r="F1798">
        <v>6.78</v>
      </c>
      <c r="G1798">
        <v>67.83</v>
      </c>
      <c r="H1798">
        <v>1.03</v>
      </c>
      <c r="I1798">
        <v>6</v>
      </c>
      <c r="J1798">
        <v>323.06</v>
      </c>
      <c r="K1798">
        <v>61.2</v>
      </c>
      <c r="L1798">
        <v>18.75</v>
      </c>
      <c r="M1798">
        <v>4</v>
      </c>
      <c r="N1798">
        <v>98.11</v>
      </c>
      <c r="O1798">
        <v>40077.9</v>
      </c>
      <c r="P1798">
        <v>117.51</v>
      </c>
      <c r="Q1798">
        <v>204.14</v>
      </c>
      <c r="R1798">
        <v>24.64</v>
      </c>
      <c r="S1798">
        <v>17.37</v>
      </c>
      <c r="T1798">
        <v>1534.34</v>
      </c>
      <c r="U1798">
        <v>0.7</v>
      </c>
      <c r="V1798">
        <v>0.75</v>
      </c>
      <c r="W1798">
        <v>1.1499999999999999</v>
      </c>
      <c r="X1798">
        <v>0.09</v>
      </c>
      <c r="Y1798">
        <v>1</v>
      </c>
      <c r="Z1798">
        <v>10</v>
      </c>
    </row>
    <row r="1799" spans="1:26" x14ac:dyDescent="0.3">
      <c r="A1799">
        <v>72</v>
      </c>
      <c r="B1799">
        <v>145</v>
      </c>
      <c r="C1799" t="s">
        <v>26</v>
      </c>
      <c r="D1799">
        <v>9.9450000000000003</v>
      </c>
      <c r="E1799">
        <v>10.06</v>
      </c>
      <c r="F1799">
        <v>6.78</v>
      </c>
      <c r="G1799">
        <v>67.83</v>
      </c>
      <c r="H1799">
        <v>1.05</v>
      </c>
      <c r="I1799">
        <v>6</v>
      </c>
      <c r="J1799">
        <v>323.63</v>
      </c>
      <c r="K1799">
        <v>61.2</v>
      </c>
      <c r="L1799">
        <v>19</v>
      </c>
      <c r="M1799">
        <v>4</v>
      </c>
      <c r="N1799">
        <v>98.43</v>
      </c>
      <c r="O1799">
        <v>40148.519999999997</v>
      </c>
      <c r="P1799">
        <v>117.49</v>
      </c>
      <c r="Q1799">
        <v>204.14</v>
      </c>
      <c r="R1799">
        <v>24.76</v>
      </c>
      <c r="S1799">
        <v>17.37</v>
      </c>
      <c r="T1799">
        <v>1593.7</v>
      </c>
      <c r="U1799">
        <v>0.7</v>
      </c>
      <c r="V1799">
        <v>0.75</v>
      </c>
      <c r="W1799">
        <v>1.1399999999999999</v>
      </c>
      <c r="X1799">
        <v>0.09</v>
      </c>
      <c r="Y1799">
        <v>1</v>
      </c>
      <c r="Z1799">
        <v>10</v>
      </c>
    </row>
    <row r="1800" spans="1:26" x14ac:dyDescent="0.3">
      <c r="A1800">
        <v>73</v>
      </c>
      <c r="B1800">
        <v>145</v>
      </c>
      <c r="C1800" t="s">
        <v>26</v>
      </c>
      <c r="D1800">
        <v>9.9327000000000005</v>
      </c>
      <c r="E1800">
        <v>10.07</v>
      </c>
      <c r="F1800">
        <v>6.8</v>
      </c>
      <c r="G1800">
        <v>67.95</v>
      </c>
      <c r="H1800">
        <v>1.06</v>
      </c>
      <c r="I1800">
        <v>6</v>
      </c>
      <c r="J1800">
        <v>324.2</v>
      </c>
      <c r="K1800">
        <v>61.2</v>
      </c>
      <c r="L1800">
        <v>19.25</v>
      </c>
      <c r="M1800">
        <v>4</v>
      </c>
      <c r="N1800">
        <v>98.75</v>
      </c>
      <c r="O1800">
        <v>40219.17</v>
      </c>
      <c r="P1800">
        <v>117.68</v>
      </c>
      <c r="Q1800">
        <v>204.14</v>
      </c>
      <c r="R1800">
        <v>25.06</v>
      </c>
      <c r="S1800">
        <v>17.37</v>
      </c>
      <c r="T1800">
        <v>1743.32</v>
      </c>
      <c r="U1800">
        <v>0.69</v>
      </c>
      <c r="V1800">
        <v>0.75</v>
      </c>
      <c r="W1800">
        <v>1.1499999999999999</v>
      </c>
      <c r="X1800">
        <v>0.1</v>
      </c>
      <c r="Y1800">
        <v>1</v>
      </c>
      <c r="Z1800">
        <v>10</v>
      </c>
    </row>
    <row r="1801" spans="1:26" x14ac:dyDescent="0.3">
      <c r="A1801">
        <v>74</v>
      </c>
      <c r="B1801">
        <v>145</v>
      </c>
      <c r="C1801" t="s">
        <v>26</v>
      </c>
      <c r="D1801">
        <v>9.9339999999999993</v>
      </c>
      <c r="E1801">
        <v>10.07</v>
      </c>
      <c r="F1801">
        <v>6.79</v>
      </c>
      <c r="G1801">
        <v>67.94</v>
      </c>
      <c r="H1801">
        <v>1.07</v>
      </c>
      <c r="I1801">
        <v>6</v>
      </c>
      <c r="J1801">
        <v>324.77999999999997</v>
      </c>
      <c r="K1801">
        <v>61.2</v>
      </c>
      <c r="L1801">
        <v>19.5</v>
      </c>
      <c r="M1801">
        <v>4</v>
      </c>
      <c r="N1801">
        <v>99.08</v>
      </c>
      <c r="O1801">
        <v>40289.97</v>
      </c>
      <c r="P1801">
        <v>117.52</v>
      </c>
      <c r="Q1801">
        <v>204.15</v>
      </c>
      <c r="R1801">
        <v>25.06</v>
      </c>
      <c r="S1801">
        <v>17.37</v>
      </c>
      <c r="T1801">
        <v>1744.25</v>
      </c>
      <c r="U1801">
        <v>0.69</v>
      </c>
      <c r="V1801">
        <v>0.75</v>
      </c>
      <c r="W1801">
        <v>1.1399999999999999</v>
      </c>
      <c r="X1801">
        <v>0.1</v>
      </c>
      <c r="Y1801">
        <v>1</v>
      </c>
      <c r="Z1801">
        <v>10</v>
      </c>
    </row>
    <row r="1802" spans="1:26" x14ac:dyDescent="0.3">
      <c r="A1802">
        <v>75</v>
      </c>
      <c r="B1802">
        <v>145</v>
      </c>
      <c r="C1802" t="s">
        <v>26</v>
      </c>
      <c r="D1802">
        <v>9.9405999999999999</v>
      </c>
      <c r="E1802">
        <v>10.06</v>
      </c>
      <c r="F1802">
        <v>6.79</v>
      </c>
      <c r="G1802">
        <v>67.87</v>
      </c>
      <c r="H1802">
        <v>1.08</v>
      </c>
      <c r="I1802">
        <v>6</v>
      </c>
      <c r="J1802">
        <v>325.35000000000002</v>
      </c>
      <c r="K1802">
        <v>61.2</v>
      </c>
      <c r="L1802">
        <v>19.75</v>
      </c>
      <c r="M1802">
        <v>4</v>
      </c>
      <c r="N1802">
        <v>99.4</v>
      </c>
      <c r="O1802">
        <v>40360.92</v>
      </c>
      <c r="P1802">
        <v>117.26</v>
      </c>
      <c r="Q1802">
        <v>204.18</v>
      </c>
      <c r="R1802">
        <v>24.85</v>
      </c>
      <c r="S1802">
        <v>17.37</v>
      </c>
      <c r="T1802">
        <v>1639.42</v>
      </c>
      <c r="U1802">
        <v>0.7</v>
      </c>
      <c r="V1802">
        <v>0.75</v>
      </c>
      <c r="W1802">
        <v>1.1399999999999999</v>
      </c>
      <c r="X1802">
        <v>0.1</v>
      </c>
      <c r="Y1802">
        <v>1</v>
      </c>
      <c r="Z1802">
        <v>10</v>
      </c>
    </row>
    <row r="1803" spans="1:26" x14ac:dyDescent="0.3">
      <c r="A1803">
        <v>76</v>
      </c>
      <c r="B1803">
        <v>145</v>
      </c>
      <c r="C1803" t="s">
        <v>26</v>
      </c>
      <c r="D1803">
        <v>9.9436999999999998</v>
      </c>
      <c r="E1803">
        <v>10.06</v>
      </c>
      <c r="F1803">
        <v>6.78</v>
      </c>
      <c r="G1803">
        <v>67.84</v>
      </c>
      <c r="H1803">
        <v>1.0900000000000001</v>
      </c>
      <c r="I1803">
        <v>6</v>
      </c>
      <c r="J1803">
        <v>325.93</v>
      </c>
      <c r="K1803">
        <v>61.2</v>
      </c>
      <c r="L1803">
        <v>20</v>
      </c>
      <c r="M1803">
        <v>4</v>
      </c>
      <c r="N1803">
        <v>99.73</v>
      </c>
      <c r="O1803">
        <v>40432.03</v>
      </c>
      <c r="P1803">
        <v>117.16</v>
      </c>
      <c r="Q1803">
        <v>204.18</v>
      </c>
      <c r="R1803">
        <v>24.82</v>
      </c>
      <c r="S1803">
        <v>17.37</v>
      </c>
      <c r="T1803">
        <v>1622.54</v>
      </c>
      <c r="U1803">
        <v>0.7</v>
      </c>
      <c r="V1803">
        <v>0.75</v>
      </c>
      <c r="W1803">
        <v>1.1399999999999999</v>
      </c>
      <c r="X1803">
        <v>0.09</v>
      </c>
      <c r="Y1803">
        <v>1</v>
      </c>
      <c r="Z1803">
        <v>10</v>
      </c>
    </row>
    <row r="1804" spans="1:26" x14ac:dyDescent="0.3">
      <c r="A1804">
        <v>77</v>
      </c>
      <c r="B1804">
        <v>145</v>
      </c>
      <c r="C1804" t="s">
        <v>26</v>
      </c>
      <c r="D1804">
        <v>9.9436999999999998</v>
      </c>
      <c r="E1804">
        <v>10.06</v>
      </c>
      <c r="F1804">
        <v>6.78</v>
      </c>
      <c r="G1804">
        <v>67.84</v>
      </c>
      <c r="H1804">
        <v>1.1100000000000001</v>
      </c>
      <c r="I1804">
        <v>6</v>
      </c>
      <c r="J1804">
        <v>326.51</v>
      </c>
      <c r="K1804">
        <v>61.2</v>
      </c>
      <c r="L1804">
        <v>20.25</v>
      </c>
      <c r="M1804">
        <v>4</v>
      </c>
      <c r="N1804">
        <v>100.06</v>
      </c>
      <c r="O1804">
        <v>40503.29</v>
      </c>
      <c r="P1804">
        <v>117.18</v>
      </c>
      <c r="Q1804">
        <v>204.15</v>
      </c>
      <c r="R1804">
        <v>24.75</v>
      </c>
      <c r="S1804">
        <v>17.37</v>
      </c>
      <c r="T1804">
        <v>1587.54</v>
      </c>
      <c r="U1804">
        <v>0.7</v>
      </c>
      <c r="V1804">
        <v>0.75</v>
      </c>
      <c r="W1804">
        <v>1.1399999999999999</v>
      </c>
      <c r="X1804">
        <v>0.09</v>
      </c>
      <c r="Y1804">
        <v>1</v>
      </c>
      <c r="Z1804">
        <v>10</v>
      </c>
    </row>
    <row r="1805" spans="1:26" x14ac:dyDescent="0.3">
      <c r="A1805">
        <v>78</v>
      </c>
      <c r="B1805">
        <v>145</v>
      </c>
      <c r="C1805" t="s">
        <v>26</v>
      </c>
      <c r="D1805">
        <v>9.9365000000000006</v>
      </c>
      <c r="E1805">
        <v>10.06</v>
      </c>
      <c r="F1805">
        <v>6.79</v>
      </c>
      <c r="G1805">
        <v>67.91</v>
      </c>
      <c r="H1805">
        <v>1.1200000000000001</v>
      </c>
      <c r="I1805">
        <v>6</v>
      </c>
      <c r="J1805">
        <v>327.08</v>
      </c>
      <c r="K1805">
        <v>61.2</v>
      </c>
      <c r="L1805">
        <v>20.5</v>
      </c>
      <c r="M1805">
        <v>4</v>
      </c>
      <c r="N1805">
        <v>100.39</v>
      </c>
      <c r="O1805">
        <v>40574.699999999997</v>
      </c>
      <c r="P1805">
        <v>117.12</v>
      </c>
      <c r="Q1805">
        <v>204.14</v>
      </c>
      <c r="R1805">
        <v>24.99</v>
      </c>
      <c r="S1805">
        <v>17.37</v>
      </c>
      <c r="T1805">
        <v>1704.9</v>
      </c>
      <c r="U1805">
        <v>0.7</v>
      </c>
      <c r="V1805">
        <v>0.75</v>
      </c>
      <c r="W1805">
        <v>1.1499999999999999</v>
      </c>
      <c r="X1805">
        <v>0.1</v>
      </c>
      <c r="Y1805">
        <v>1</v>
      </c>
      <c r="Z1805">
        <v>10</v>
      </c>
    </row>
    <row r="1806" spans="1:26" x14ac:dyDescent="0.3">
      <c r="A1806">
        <v>79</v>
      </c>
      <c r="B1806">
        <v>145</v>
      </c>
      <c r="C1806" t="s">
        <v>26</v>
      </c>
      <c r="D1806">
        <v>9.9375999999999998</v>
      </c>
      <c r="E1806">
        <v>10.06</v>
      </c>
      <c r="F1806">
        <v>6.79</v>
      </c>
      <c r="G1806">
        <v>67.900000000000006</v>
      </c>
      <c r="H1806">
        <v>1.1299999999999999</v>
      </c>
      <c r="I1806">
        <v>6</v>
      </c>
      <c r="J1806">
        <v>327.66000000000003</v>
      </c>
      <c r="K1806">
        <v>61.2</v>
      </c>
      <c r="L1806">
        <v>20.75</v>
      </c>
      <c r="M1806">
        <v>4</v>
      </c>
      <c r="N1806">
        <v>100.72</v>
      </c>
      <c r="O1806">
        <v>40646.269999999997</v>
      </c>
      <c r="P1806">
        <v>116.77</v>
      </c>
      <c r="Q1806">
        <v>204.15</v>
      </c>
      <c r="R1806">
        <v>24.97</v>
      </c>
      <c r="S1806">
        <v>17.37</v>
      </c>
      <c r="T1806">
        <v>1696.28</v>
      </c>
      <c r="U1806">
        <v>0.7</v>
      </c>
      <c r="V1806">
        <v>0.75</v>
      </c>
      <c r="W1806">
        <v>1.1399999999999999</v>
      </c>
      <c r="X1806">
        <v>0.1</v>
      </c>
      <c r="Y1806">
        <v>1</v>
      </c>
      <c r="Z1806">
        <v>10</v>
      </c>
    </row>
    <row r="1807" spans="1:26" x14ac:dyDescent="0.3">
      <c r="A1807">
        <v>80</v>
      </c>
      <c r="B1807">
        <v>145</v>
      </c>
      <c r="C1807" t="s">
        <v>26</v>
      </c>
      <c r="D1807">
        <v>10.012499999999999</v>
      </c>
      <c r="E1807">
        <v>9.99</v>
      </c>
      <c r="F1807">
        <v>6.77</v>
      </c>
      <c r="G1807">
        <v>81.23</v>
      </c>
      <c r="H1807">
        <v>1.1399999999999999</v>
      </c>
      <c r="I1807">
        <v>5</v>
      </c>
      <c r="J1807">
        <v>328.25</v>
      </c>
      <c r="K1807">
        <v>61.2</v>
      </c>
      <c r="L1807">
        <v>21</v>
      </c>
      <c r="M1807">
        <v>3</v>
      </c>
      <c r="N1807">
        <v>101.05</v>
      </c>
      <c r="O1807">
        <v>40718</v>
      </c>
      <c r="P1807">
        <v>116.3</v>
      </c>
      <c r="Q1807">
        <v>204.14</v>
      </c>
      <c r="R1807">
        <v>24.3</v>
      </c>
      <c r="S1807">
        <v>17.37</v>
      </c>
      <c r="T1807">
        <v>1366.24</v>
      </c>
      <c r="U1807">
        <v>0.72</v>
      </c>
      <c r="V1807">
        <v>0.75</v>
      </c>
      <c r="W1807">
        <v>1.1399999999999999</v>
      </c>
      <c r="X1807">
        <v>0.08</v>
      </c>
      <c r="Y1807">
        <v>1</v>
      </c>
      <c r="Z1807">
        <v>10</v>
      </c>
    </row>
    <row r="1808" spans="1:26" x14ac:dyDescent="0.3">
      <c r="A1808">
        <v>81</v>
      </c>
      <c r="B1808">
        <v>145</v>
      </c>
      <c r="C1808" t="s">
        <v>26</v>
      </c>
      <c r="D1808">
        <v>10.0083</v>
      </c>
      <c r="E1808">
        <v>9.99</v>
      </c>
      <c r="F1808">
        <v>6.77</v>
      </c>
      <c r="G1808">
        <v>81.28</v>
      </c>
      <c r="H1808">
        <v>1.1499999999999999</v>
      </c>
      <c r="I1808">
        <v>5</v>
      </c>
      <c r="J1808">
        <v>328.83</v>
      </c>
      <c r="K1808">
        <v>61.2</v>
      </c>
      <c r="L1808">
        <v>21.25</v>
      </c>
      <c r="M1808">
        <v>3</v>
      </c>
      <c r="N1808">
        <v>101.38</v>
      </c>
      <c r="O1808">
        <v>40789.89</v>
      </c>
      <c r="P1808">
        <v>116.69</v>
      </c>
      <c r="Q1808">
        <v>204.14</v>
      </c>
      <c r="R1808">
        <v>24.38</v>
      </c>
      <c r="S1808">
        <v>17.37</v>
      </c>
      <c r="T1808">
        <v>1408.58</v>
      </c>
      <c r="U1808">
        <v>0.71</v>
      </c>
      <c r="V1808">
        <v>0.75</v>
      </c>
      <c r="W1808">
        <v>1.1399999999999999</v>
      </c>
      <c r="X1808">
        <v>0.08</v>
      </c>
      <c r="Y1808">
        <v>1</v>
      </c>
      <c r="Z1808">
        <v>10</v>
      </c>
    </row>
    <row r="1809" spans="1:26" x14ac:dyDescent="0.3">
      <c r="A1809">
        <v>82</v>
      </c>
      <c r="B1809">
        <v>145</v>
      </c>
      <c r="C1809" t="s">
        <v>26</v>
      </c>
      <c r="D1809">
        <v>10.003299999999999</v>
      </c>
      <c r="E1809">
        <v>10</v>
      </c>
      <c r="F1809">
        <v>6.78</v>
      </c>
      <c r="G1809">
        <v>81.34</v>
      </c>
      <c r="H1809">
        <v>1.1599999999999999</v>
      </c>
      <c r="I1809">
        <v>5</v>
      </c>
      <c r="J1809">
        <v>329.41</v>
      </c>
      <c r="K1809">
        <v>61.2</v>
      </c>
      <c r="L1809">
        <v>21.5</v>
      </c>
      <c r="M1809">
        <v>3</v>
      </c>
      <c r="N1809">
        <v>101.71</v>
      </c>
      <c r="O1809">
        <v>40861.93</v>
      </c>
      <c r="P1809">
        <v>116.96</v>
      </c>
      <c r="Q1809">
        <v>204.14</v>
      </c>
      <c r="R1809">
        <v>24.58</v>
      </c>
      <c r="S1809">
        <v>17.37</v>
      </c>
      <c r="T1809">
        <v>1506.98</v>
      </c>
      <c r="U1809">
        <v>0.71</v>
      </c>
      <c r="V1809">
        <v>0.75</v>
      </c>
      <c r="W1809">
        <v>1.1399999999999999</v>
      </c>
      <c r="X1809">
        <v>0.09</v>
      </c>
      <c r="Y1809">
        <v>1</v>
      </c>
      <c r="Z1809">
        <v>10</v>
      </c>
    </row>
    <row r="1810" spans="1:26" x14ac:dyDescent="0.3">
      <c r="A1810">
        <v>83</v>
      </c>
      <c r="B1810">
        <v>145</v>
      </c>
      <c r="C1810" t="s">
        <v>26</v>
      </c>
      <c r="D1810">
        <v>10.0097</v>
      </c>
      <c r="E1810">
        <v>9.99</v>
      </c>
      <c r="F1810">
        <v>6.77</v>
      </c>
      <c r="G1810">
        <v>81.260000000000005</v>
      </c>
      <c r="H1810">
        <v>1.17</v>
      </c>
      <c r="I1810">
        <v>5</v>
      </c>
      <c r="J1810">
        <v>330</v>
      </c>
      <c r="K1810">
        <v>61.2</v>
      </c>
      <c r="L1810">
        <v>21.75</v>
      </c>
      <c r="M1810">
        <v>3</v>
      </c>
      <c r="N1810">
        <v>102.05</v>
      </c>
      <c r="O1810">
        <v>40934.14</v>
      </c>
      <c r="P1810">
        <v>116.96</v>
      </c>
      <c r="Q1810">
        <v>204.14</v>
      </c>
      <c r="R1810">
        <v>24.41</v>
      </c>
      <c r="S1810">
        <v>17.37</v>
      </c>
      <c r="T1810">
        <v>1423.7</v>
      </c>
      <c r="U1810">
        <v>0.71</v>
      </c>
      <c r="V1810">
        <v>0.75</v>
      </c>
      <c r="W1810">
        <v>1.1399999999999999</v>
      </c>
      <c r="X1810">
        <v>0.08</v>
      </c>
      <c r="Y1810">
        <v>1</v>
      </c>
      <c r="Z1810">
        <v>10</v>
      </c>
    </row>
    <row r="1811" spans="1:26" x14ac:dyDescent="0.3">
      <c r="A1811">
        <v>84</v>
      </c>
      <c r="B1811">
        <v>145</v>
      </c>
      <c r="C1811" t="s">
        <v>26</v>
      </c>
      <c r="D1811">
        <v>10.0092</v>
      </c>
      <c r="E1811">
        <v>9.99</v>
      </c>
      <c r="F1811">
        <v>6.77</v>
      </c>
      <c r="G1811">
        <v>81.27</v>
      </c>
      <c r="H1811">
        <v>1.19</v>
      </c>
      <c r="I1811">
        <v>5</v>
      </c>
      <c r="J1811">
        <v>330.59</v>
      </c>
      <c r="K1811">
        <v>61.2</v>
      </c>
      <c r="L1811">
        <v>22</v>
      </c>
      <c r="M1811">
        <v>3</v>
      </c>
      <c r="N1811">
        <v>102.39</v>
      </c>
      <c r="O1811">
        <v>41006.51</v>
      </c>
      <c r="P1811">
        <v>117.14</v>
      </c>
      <c r="Q1811">
        <v>204.17</v>
      </c>
      <c r="R1811">
        <v>24.34</v>
      </c>
      <c r="S1811">
        <v>17.37</v>
      </c>
      <c r="T1811">
        <v>1388.74</v>
      </c>
      <c r="U1811">
        <v>0.71</v>
      </c>
      <c r="V1811">
        <v>0.75</v>
      </c>
      <c r="W1811">
        <v>1.1499999999999999</v>
      </c>
      <c r="X1811">
        <v>0.08</v>
      </c>
      <c r="Y1811">
        <v>1</v>
      </c>
      <c r="Z1811">
        <v>10</v>
      </c>
    </row>
    <row r="1812" spans="1:26" x14ac:dyDescent="0.3">
      <c r="A1812">
        <v>85</v>
      </c>
      <c r="B1812">
        <v>145</v>
      </c>
      <c r="C1812" t="s">
        <v>26</v>
      </c>
      <c r="D1812">
        <v>10.0061</v>
      </c>
      <c r="E1812">
        <v>9.99</v>
      </c>
      <c r="F1812">
        <v>6.78</v>
      </c>
      <c r="G1812">
        <v>81.3</v>
      </c>
      <c r="H1812">
        <v>1.2</v>
      </c>
      <c r="I1812">
        <v>5</v>
      </c>
      <c r="J1812">
        <v>331.17</v>
      </c>
      <c r="K1812">
        <v>61.2</v>
      </c>
      <c r="L1812">
        <v>22.25</v>
      </c>
      <c r="M1812">
        <v>3</v>
      </c>
      <c r="N1812">
        <v>102.72</v>
      </c>
      <c r="O1812">
        <v>41079.040000000001</v>
      </c>
      <c r="P1812">
        <v>117.32</v>
      </c>
      <c r="Q1812">
        <v>204.14</v>
      </c>
      <c r="R1812">
        <v>24.5</v>
      </c>
      <c r="S1812">
        <v>17.37</v>
      </c>
      <c r="T1812">
        <v>1464.95</v>
      </c>
      <c r="U1812">
        <v>0.71</v>
      </c>
      <c r="V1812">
        <v>0.75</v>
      </c>
      <c r="W1812">
        <v>1.1399999999999999</v>
      </c>
      <c r="X1812">
        <v>0.08</v>
      </c>
      <c r="Y1812">
        <v>1</v>
      </c>
      <c r="Z1812">
        <v>10</v>
      </c>
    </row>
    <row r="1813" spans="1:26" x14ac:dyDescent="0.3">
      <c r="A1813">
        <v>86</v>
      </c>
      <c r="B1813">
        <v>145</v>
      </c>
      <c r="C1813" t="s">
        <v>26</v>
      </c>
      <c r="D1813">
        <v>10.004200000000001</v>
      </c>
      <c r="E1813">
        <v>10</v>
      </c>
      <c r="F1813">
        <v>6.78</v>
      </c>
      <c r="G1813">
        <v>81.33</v>
      </c>
      <c r="H1813">
        <v>1.21</v>
      </c>
      <c r="I1813">
        <v>5</v>
      </c>
      <c r="J1813">
        <v>331.76</v>
      </c>
      <c r="K1813">
        <v>61.2</v>
      </c>
      <c r="L1813">
        <v>22.5</v>
      </c>
      <c r="M1813">
        <v>3</v>
      </c>
      <c r="N1813">
        <v>103.06</v>
      </c>
      <c r="O1813">
        <v>41151.74</v>
      </c>
      <c r="P1813">
        <v>117.26</v>
      </c>
      <c r="Q1813">
        <v>204.14</v>
      </c>
      <c r="R1813">
        <v>24.5</v>
      </c>
      <c r="S1813">
        <v>17.37</v>
      </c>
      <c r="T1813">
        <v>1468.51</v>
      </c>
      <c r="U1813">
        <v>0.71</v>
      </c>
      <c r="V1813">
        <v>0.75</v>
      </c>
      <c r="W1813">
        <v>1.1499999999999999</v>
      </c>
      <c r="X1813">
        <v>0.09</v>
      </c>
      <c r="Y1813">
        <v>1</v>
      </c>
      <c r="Z1813">
        <v>10</v>
      </c>
    </row>
    <row r="1814" spans="1:26" x14ac:dyDescent="0.3">
      <c r="A1814">
        <v>87</v>
      </c>
      <c r="B1814">
        <v>145</v>
      </c>
      <c r="C1814" t="s">
        <v>26</v>
      </c>
      <c r="D1814">
        <v>10.009499999999999</v>
      </c>
      <c r="E1814">
        <v>9.99</v>
      </c>
      <c r="F1814">
        <v>6.77</v>
      </c>
      <c r="G1814">
        <v>81.260000000000005</v>
      </c>
      <c r="H1814">
        <v>1.22</v>
      </c>
      <c r="I1814">
        <v>5</v>
      </c>
      <c r="J1814">
        <v>332.35</v>
      </c>
      <c r="K1814">
        <v>61.2</v>
      </c>
      <c r="L1814">
        <v>22.75</v>
      </c>
      <c r="M1814">
        <v>3</v>
      </c>
      <c r="N1814">
        <v>103.41</v>
      </c>
      <c r="O1814">
        <v>41224.6</v>
      </c>
      <c r="P1814">
        <v>117.19</v>
      </c>
      <c r="Q1814">
        <v>204.14</v>
      </c>
      <c r="R1814">
        <v>24.4</v>
      </c>
      <c r="S1814">
        <v>17.37</v>
      </c>
      <c r="T1814">
        <v>1418.79</v>
      </c>
      <c r="U1814">
        <v>0.71</v>
      </c>
      <c r="V1814">
        <v>0.75</v>
      </c>
      <c r="W1814">
        <v>1.1399999999999999</v>
      </c>
      <c r="X1814">
        <v>0.08</v>
      </c>
      <c r="Y1814">
        <v>1</v>
      </c>
      <c r="Z1814">
        <v>10</v>
      </c>
    </row>
    <row r="1815" spans="1:26" x14ac:dyDescent="0.3">
      <c r="A1815">
        <v>88</v>
      </c>
      <c r="B1815">
        <v>145</v>
      </c>
      <c r="C1815" t="s">
        <v>26</v>
      </c>
      <c r="D1815">
        <v>10.0075</v>
      </c>
      <c r="E1815">
        <v>9.99</v>
      </c>
      <c r="F1815">
        <v>6.77</v>
      </c>
      <c r="G1815">
        <v>81.290000000000006</v>
      </c>
      <c r="H1815">
        <v>1.23</v>
      </c>
      <c r="I1815">
        <v>5</v>
      </c>
      <c r="J1815">
        <v>332.95</v>
      </c>
      <c r="K1815">
        <v>61.2</v>
      </c>
      <c r="L1815">
        <v>23</v>
      </c>
      <c r="M1815">
        <v>3</v>
      </c>
      <c r="N1815">
        <v>103.75</v>
      </c>
      <c r="O1815">
        <v>41297.620000000003</v>
      </c>
      <c r="P1815">
        <v>117.24</v>
      </c>
      <c r="Q1815">
        <v>204.14</v>
      </c>
      <c r="R1815">
        <v>24.5</v>
      </c>
      <c r="S1815">
        <v>17.37</v>
      </c>
      <c r="T1815">
        <v>1467.13</v>
      </c>
      <c r="U1815">
        <v>0.71</v>
      </c>
      <c r="V1815">
        <v>0.75</v>
      </c>
      <c r="W1815">
        <v>1.1399999999999999</v>
      </c>
      <c r="X1815">
        <v>0.08</v>
      </c>
      <c r="Y1815">
        <v>1</v>
      </c>
      <c r="Z1815">
        <v>10</v>
      </c>
    </row>
    <row r="1816" spans="1:26" x14ac:dyDescent="0.3">
      <c r="A1816">
        <v>89</v>
      </c>
      <c r="B1816">
        <v>145</v>
      </c>
      <c r="C1816" t="s">
        <v>26</v>
      </c>
      <c r="D1816">
        <v>10.0053</v>
      </c>
      <c r="E1816">
        <v>9.99</v>
      </c>
      <c r="F1816">
        <v>6.78</v>
      </c>
      <c r="G1816">
        <v>81.31</v>
      </c>
      <c r="H1816">
        <v>1.24</v>
      </c>
      <c r="I1816">
        <v>5</v>
      </c>
      <c r="J1816">
        <v>333.54</v>
      </c>
      <c r="K1816">
        <v>61.2</v>
      </c>
      <c r="L1816">
        <v>23.25</v>
      </c>
      <c r="M1816">
        <v>3</v>
      </c>
      <c r="N1816">
        <v>104.09</v>
      </c>
      <c r="O1816">
        <v>41370.82</v>
      </c>
      <c r="P1816">
        <v>117.28</v>
      </c>
      <c r="Q1816">
        <v>204.14</v>
      </c>
      <c r="R1816">
        <v>24.53</v>
      </c>
      <c r="S1816">
        <v>17.37</v>
      </c>
      <c r="T1816">
        <v>1480.56</v>
      </c>
      <c r="U1816">
        <v>0.71</v>
      </c>
      <c r="V1816">
        <v>0.75</v>
      </c>
      <c r="W1816">
        <v>1.1399999999999999</v>
      </c>
      <c r="X1816">
        <v>0.09</v>
      </c>
      <c r="Y1816">
        <v>1</v>
      </c>
      <c r="Z1816">
        <v>10</v>
      </c>
    </row>
    <row r="1817" spans="1:26" x14ac:dyDescent="0.3">
      <c r="A1817">
        <v>90</v>
      </c>
      <c r="B1817">
        <v>145</v>
      </c>
      <c r="C1817" t="s">
        <v>26</v>
      </c>
      <c r="D1817">
        <v>10.0053</v>
      </c>
      <c r="E1817">
        <v>9.99</v>
      </c>
      <c r="F1817">
        <v>6.78</v>
      </c>
      <c r="G1817">
        <v>81.31</v>
      </c>
      <c r="H1817">
        <v>1.25</v>
      </c>
      <c r="I1817">
        <v>5</v>
      </c>
      <c r="J1817">
        <v>334.14</v>
      </c>
      <c r="K1817">
        <v>61.2</v>
      </c>
      <c r="L1817">
        <v>23.5</v>
      </c>
      <c r="M1817">
        <v>3</v>
      </c>
      <c r="N1817">
        <v>104.44</v>
      </c>
      <c r="O1817">
        <v>41444.300000000003</v>
      </c>
      <c r="P1817">
        <v>117.28</v>
      </c>
      <c r="Q1817">
        <v>204.14</v>
      </c>
      <c r="R1817">
        <v>24.51</v>
      </c>
      <c r="S1817">
        <v>17.37</v>
      </c>
      <c r="T1817">
        <v>1472.55</v>
      </c>
      <c r="U1817">
        <v>0.71</v>
      </c>
      <c r="V1817">
        <v>0.75</v>
      </c>
      <c r="W1817">
        <v>1.1399999999999999</v>
      </c>
      <c r="X1817">
        <v>0.09</v>
      </c>
      <c r="Y1817">
        <v>1</v>
      </c>
      <c r="Z1817">
        <v>10</v>
      </c>
    </row>
    <row r="1818" spans="1:26" x14ac:dyDescent="0.3">
      <c r="A1818">
        <v>91</v>
      </c>
      <c r="B1818">
        <v>145</v>
      </c>
      <c r="C1818" t="s">
        <v>26</v>
      </c>
      <c r="D1818">
        <v>10.008900000000001</v>
      </c>
      <c r="E1818">
        <v>9.99</v>
      </c>
      <c r="F1818">
        <v>6.77</v>
      </c>
      <c r="G1818">
        <v>81.27</v>
      </c>
      <c r="H1818">
        <v>1.26</v>
      </c>
      <c r="I1818">
        <v>5</v>
      </c>
      <c r="J1818">
        <v>334.73</v>
      </c>
      <c r="K1818">
        <v>61.2</v>
      </c>
      <c r="L1818">
        <v>23.75</v>
      </c>
      <c r="M1818">
        <v>3</v>
      </c>
      <c r="N1818">
        <v>104.78</v>
      </c>
      <c r="O1818">
        <v>41517.839999999997</v>
      </c>
      <c r="P1818">
        <v>117.11</v>
      </c>
      <c r="Q1818">
        <v>204.14</v>
      </c>
      <c r="R1818">
        <v>24.41</v>
      </c>
      <c r="S1818">
        <v>17.37</v>
      </c>
      <c r="T1818">
        <v>1420.05</v>
      </c>
      <c r="U1818">
        <v>0.71</v>
      </c>
      <c r="V1818">
        <v>0.75</v>
      </c>
      <c r="W1818">
        <v>1.1399999999999999</v>
      </c>
      <c r="X1818">
        <v>0.08</v>
      </c>
      <c r="Y1818">
        <v>1</v>
      </c>
      <c r="Z1818">
        <v>10</v>
      </c>
    </row>
    <row r="1819" spans="1:26" x14ac:dyDescent="0.3">
      <c r="A1819">
        <v>92</v>
      </c>
      <c r="B1819">
        <v>145</v>
      </c>
      <c r="C1819" t="s">
        <v>26</v>
      </c>
      <c r="D1819">
        <v>10.0114</v>
      </c>
      <c r="E1819">
        <v>9.99</v>
      </c>
      <c r="F1819">
        <v>6.77</v>
      </c>
      <c r="G1819">
        <v>81.239999999999995</v>
      </c>
      <c r="H1819">
        <v>1.28</v>
      </c>
      <c r="I1819">
        <v>5</v>
      </c>
      <c r="J1819">
        <v>335.33</v>
      </c>
      <c r="K1819">
        <v>61.2</v>
      </c>
      <c r="L1819">
        <v>24</v>
      </c>
      <c r="M1819">
        <v>3</v>
      </c>
      <c r="N1819">
        <v>105.13</v>
      </c>
      <c r="O1819">
        <v>41591.550000000003</v>
      </c>
      <c r="P1819">
        <v>117.05</v>
      </c>
      <c r="Q1819">
        <v>204.14</v>
      </c>
      <c r="R1819">
        <v>24.35</v>
      </c>
      <c r="S1819">
        <v>17.37</v>
      </c>
      <c r="T1819">
        <v>1394.03</v>
      </c>
      <c r="U1819">
        <v>0.71</v>
      </c>
      <c r="V1819">
        <v>0.75</v>
      </c>
      <c r="W1819">
        <v>1.1399999999999999</v>
      </c>
      <c r="X1819">
        <v>0.08</v>
      </c>
      <c r="Y1819">
        <v>1</v>
      </c>
      <c r="Z1819">
        <v>10</v>
      </c>
    </row>
    <row r="1820" spans="1:26" x14ac:dyDescent="0.3">
      <c r="A1820">
        <v>93</v>
      </c>
      <c r="B1820">
        <v>145</v>
      </c>
      <c r="C1820" t="s">
        <v>26</v>
      </c>
      <c r="D1820">
        <v>10.0175</v>
      </c>
      <c r="E1820">
        <v>9.98</v>
      </c>
      <c r="F1820">
        <v>6.76</v>
      </c>
      <c r="G1820">
        <v>81.17</v>
      </c>
      <c r="H1820">
        <v>1.29</v>
      </c>
      <c r="I1820">
        <v>5</v>
      </c>
      <c r="J1820">
        <v>335.93</v>
      </c>
      <c r="K1820">
        <v>61.2</v>
      </c>
      <c r="L1820">
        <v>24.25</v>
      </c>
      <c r="M1820">
        <v>3</v>
      </c>
      <c r="N1820">
        <v>105.48</v>
      </c>
      <c r="O1820">
        <v>41665.42</v>
      </c>
      <c r="P1820">
        <v>116.84</v>
      </c>
      <c r="Q1820">
        <v>204.14</v>
      </c>
      <c r="R1820">
        <v>24.18</v>
      </c>
      <c r="S1820">
        <v>17.37</v>
      </c>
      <c r="T1820">
        <v>1308.45</v>
      </c>
      <c r="U1820">
        <v>0.72</v>
      </c>
      <c r="V1820">
        <v>0.75</v>
      </c>
      <c r="W1820">
        <v>1.1399999999999999</v>
      </c>
      <c r="X1820">
        <v>7.0000000000000007E-2</v>
      </c>
      <c r="Y1820">
        <v>1</v>
      </c>
      <c r="Z1820">
        <v>10</v>
      </c>
    </row>
    <row r="1821" spans="1:26" x14ac:dyDescent="0.3">
      <c r="A1821">
        <v>94</v>
      </c>
      <c r="B1821">
        <v>145</v>
      </c>
      <c r="C1821" t="s">
        <v>26</v>
      </c>
      <c r="D1821">
        <v>10.016999999999999</v>
      </c>
      <c r="E1821">
        <v>9.98</v>
      </c>
      <c r="F1821">
        <v>6.76</v>
      </c>
      <c r="G1821">
        <v>81.17</v>
      </c>
      <c r="H1821">
        <v>1.3</v>
      </c>
      <c r="I1821">
        <v>5</v>
      </c>
      <c r="J1821">
        <v>336.53</v>
      </c>
      <c r="K1821">
        <v>61.2</v>
      </c>
      <c r="L1821">
        <v>24.5</v>
      </c>
      <c r="M1821">
        <v>3</v>
      </c>
      <c r="N1821">
        <v>105.83</v>
      </c>
      <c r="O1821">
        <v>41739.480000000003</v>
      </c>
      <c r="P1821">
        <v>116.75</v>
      </c>
      <c r="Q1821">
        <v>204.14</v>
      </c>
      <c r="R1821">
        <v>24.17</v>
      </c>
      <c r="S1821">
        <v>17.37</v>
      </c>
      <c r="T1821">
        <v>1302.44</v>
      </c>
      <c r="U1821">
        <v>0.72</v>
      </c>
      <c r="V1821">
        <v>0.75</v>
      </c>
      <c r="W1821">
        <v>1.1399999999999999</v>
      </c>
      <c r="X1821">
        <v>7.0000000000000007E-2</v>
      </c>
      <c r="Y1821">
        <v>1</v>
      </c>
      <c r="Z1821">
        <v>10</v>
      </c>
    </row>
    <row r="1822" spans="1:26" x14ac:dyDescent="0.3">
      <c r="A1822">
        <v>95</v>
      </c>
      <c r="B1822">
        <v>145</v>
      </c>
      <c r="C1822" t="s">
        <v>26</v>
      </c>
      <c r="D1822">
        <v>10.02</v>
      </c>
      <c r="E1822">
        <v>9.98</v>
      </c>
      <c r="F1822">
        <v>6.76</v>
      </c>
      <c r="G1822">
        <v>81.14</v>
      </c>
      <c r="H1822">
        <v>1.31</v>
      </c>
      <c r="I1822">
        <v>5</v>
      </c>
      <c r="J1822">
        <v>337.13</v>
      </c>
      <c r="K1822">
        <v>61.2</v>
      </c>
      <c r="L1822">
        <v>24.75</v>
      </c>
      <c r="M1822">
        <v>3</v>
      </c>
      <c r="N1822">
        <v>106.18</v>
      </c>
      <c r="O1822">
        <v>41813.699999999997</v>
      </c>
      <c r="P1822">
        <v>116.48</v>
      </c>
      <c r="Q1822">
        <v>204.14</v>
      </c>
      <c r="R1822">
        <v>24.09</v>
      </c>
      <c r="S1822">
        <v>17.37</v>
      </c>
      <c r="T1822">
        <v>1261.99</v>
      </c>
      <c r="U1822">
        <v>0.72</v>
      </c>
      <c r="V1822">
        <v>0.76</v>
      </c>
      <c r="W1822">
        <v>1.1399999999999999</v>
      </c>
      <c r="X1822">
        <v>7.0000000000000007E-2</v>
      </c>
      <c r="Y1822">
        <v>1</v>
      </c>
      <c r="Z1822">
        <v>10</v>
      </c>
    </row>
    <row r="1823" spans="1:26" x14ac:dyDescent="0.3">
      <c r="A1823">
        <v>96</v>
      </c>
      <c r="B1823">
        <v>145</v>
      </c>
      <c r="C1823" t="s">
        <v>26</v>
      </c>
      <c r="D1823">
        <v>10.019500000000001</v>
      </c>
      <c r="E1823">
        <v>9.98</v>
      </c>
      <c r="F1823">
        <v>6.76</v>
      </c>
      <c r="G1823">
        <v>81.14</v>
      </c>
      <c r="H1823">
        <v>1.32</v>
      </c>
      <c r="I1823">
        <v>5</v>
      </c>
      <c r="J1823">
        <v>337.73</v>
      </c>
      <c r="K1823">
        <v>61.2</v>
      </c>
      <c r="L1823">
        <v>25</v>
      </c>
      <c r="M1823">
        <v>3</v>
      </c>
      <c r="N1823">
        <v>106.53</v>
      </c>
      <c r="O1823">
        <v>41888.1</v>
      </c>
      <c r="P1823">
        <v>116.35</v>
      </c>
      <c r="Q1823">
        <v>204.14</v>
      </c>
      <c r="R1823">
        <v>24.06</v>
      </c>
      <c r="S1823">
        <v>17.37</v>
      </c>
      <c r="T1823">
        <v>1244.8800000000001</v>
      </c>
      <c r="U1823">
        <v>0.72</v>
      </c>
      <c r="V1823">
        <v>0.76</v>
      </c>
      <c r="W1823">
        <v>1.1399999999999999</v>
      </c>
      <c r="X1823">
        <v>7.0000000000000007E-2</v>
      </c>
      <c r="Y1823">
        <v>1</v>
      </c>
      <c r="Z1823">
        <v>10</v>
      </c>
    </row>
    <row r="1824" spans="1:26" x14ac:dyDescent="0.3">
      <c r="A1824">
        <v>97</v>
      </c>
      <c r="B1824">
        <v>145</v>
      </c>
      <c r="C1824" t="s">
        <v>26</v>
      </c>
      <c r="D1824">
        <v>10.0167</v>
      </c>
      <c r="E1824">
        <v>9.98</v>
      </c>
      <c r="F1824">
        <v>6.76</v>
      </c>
      <c r="G1824">
        <v>81.180000000000007</v>
      </c>
      <c r="H1824">
        <v>1.33</v>
      </c>
      <c r="I1824">
        <v>5</v>
      </c>
      <c r="J1824">
        <v>338.34</v>
      </c>
      <c r="K1824">
        <v>61.2</v>
      </c>
      <c r="L1824">
        <v>25.25</v>
      </c>
      <c r="M1824">
        <v>3</v>
      </c>
      <c r="N1824">
        <v>106.89</v>
      </c>
      <c r="O1824">
        <v>41962.68</v>
      </c>
      <c r="P1824">
        <v>116.25</v>
      </c>
      <c r="Q1824">
        <v>204.14</v>
      </c>
      <c r="R1824">
        <v>24.09</v>
      </c>
      <c r="S1824">
        <v>17.37</v>
      </c>
      <c r="T1824">
        <v>1261.8</v>
      </c>
      <c r="U1824">
        <v>0.72</v>
      </c>
      <c r="V1824">
        <v>0.75</v>
      </c>
      <c r="W1824">
        <v>1.1399999999999999</v>
      </c>
      <c r="X1824">
        <v>7.0000000000000007E-2</v>
      </c>
      <c r="Y1824">
        <v>1</v>
      </c>
      <c r="Z1824">
        <v>10</v>
      </c>
    </row>
    <row r="1825" spans="1:26" x14ac:dyDescent="0.3">
      <c r="A1825">
        <v>98</v>
      </c>
      <c r="B1825">
        <v>145</v>
      </c>
      <c r="C1825" t="s">
        <v>26</v>
      </c>
      <c r="D1825">
        <v>10.0128</v>
      </c>
      <c r="E1825">
        <v>9.99</v>
      </c>
      <c r="F1825">
        <v>6.77</v>
      </c>
      <c r="G1825">
        <v>81.22</v>
      </c>
      <c r="H1825">
        <v>1.34</v>
      </c>
      <c r="I1825">
        <v>5</v>
      </c>
      <c r="J1825">
        <v>338.94</v>
      </c>
      <c r="K1825">
        <v>61.2</v>
      </c>
      <c r="L1825">
        <v>25.5</v>
      </c>
      <c r="M1825">
        <v>3</v>
      </c>
      <c r="N1825">
        <v>107.25</v>
      </c>
      <c r="O1825">
        <v>42037.440000000002</v>
      </c>
      <c r="P1825">
        <v>116.07</v>
      </c>
      <c r="Q1825">
        <v>204.14</v>
      </c>
      <c r="R1825">
        <v>24.24</v>
      </c>
      <c r="S1825">
        <v>17.37</v>
      </c>
      <c r="T1825">
        <v>1338.27</v>
      </c>
      <c r="U1825">
        <v>0.72</v>
      </c>
      <c r="V1825">
        <v>0.75</v>
      </c>
      <c r="W1825">
        <v>1.1399999999999999</v>
      </c>
      <c r="X1825">
        <v>0.08</v>
      </c>
      <c r="Y1825">
        <v>1</v>
      </c>
      <c r="Z1825">
        <v>10</v>
      </c>
    </row>
    <row r="1826" spans="1:26" x14ac:dyDescent="0.3">
      <c r="A1826">
        <v>99</v>
      </c>
      <c r="B1826">
        <v>145</v>
      </c>
      <c r="C1826" t="s">
        <v>26</v>
      </c>
      <c r="D1826">
        <v>10.0139</v>
      </c>
      <c r="E1826">
        <v>9.99</v>
      </c>
      <c r="F1826">
        <v>6.77</v>
      </c>
      <c r="G1826">
        <v>81.209999999999994</v>
      </c>
      <c r="H1826">
        <v>1.35</v>
      </c>
      <c r="I1826">
        <v>5</v>
      </c>
      <c r="J1826">
        <v>339.55</v>
      </c>
      <c r="K1826">
        <v>61.2</v>
      </c>
      <c r="L1826">
        <v>25.75</v>
      </c>
      <c r="M1826">
        <v>3</v>
      </c>
      <c r="N1826">
        <v>107.6</v>
      </c>
      <c r="O1826">
        <v>42112.37</v>
      </c>
      <c r="P1826">
        <v>115.9</v>
      </c>
      <c r="Q1826">
        <v>204.15</v>
      </c>
      <c r="R1826">
        <v>24.13</v>
      </c>
      <c r="S1826">
        <v>17.37</v>
      </c>
      <c r="T1826">
        <v>1283.69</v>
      </c>
      <c r="U1826">
        <v>0.72</v>
      </c>
      <c r="V1826">
        <v>0.75</v>
      </c>
      <c r="W1826">
        <v>1.1499999999999999</v>
      </c>
      <c r="X1826">
        <v>0.08</v>
      </c>
      <c r="Y1826">
        <v>1</v>
      </c>
      <c r="Z1826">
        <v>10</v>
      </c>
    </row>
    <row r="1827" spans="1:26" x14ac:dyDescent="0.3">
      <c r="A1827">
        <v>100</v>
      </c>
      <c r="B1827">
        <v>145</v>
      </c>
      <c r="C1827" t="s">
        <v>26</v>
      </c>
      <c r="D1827">
        <v>10.009499999999999</v>
      </c>
      <c r="E1827">
        <v>9.99</v>
      </c>
      <c r="F1827">
        <v>6.77</v>
      </c>
      <c r="G1827">
        <v>81.260000000000005</v>
      </c>
      <c r="H1827">
        <v>1.36</v>
      </c>
      <c r="I1827">
        <v>5</v>
      </c>
      <c r="J1827">
        <v>340.16</v>
      </c>
      <c r="K1827">
        <v>61.2</v>
      </c>
      <c r="L1827">
        <v>26</v>
      </c>
      <c r="M1827">
        <v>3</v>
      </c>
      <c r="N1827">
        <v>107.96</v>
      </c>
      <c r="O1827">
        <v>42187.49</v>
      </c>
      <c r="P1827">
        <v>115.98</v>
      </c>
      <c r="Q1827">
        <v>204.14</v>
      </c>
      <c r="R1827">
        <v>24.29</v>
      </c>
      <c r="S1827">
        <v>17.37</v>
      </c>
      <c r="T1827">
        <v>1361.83</v>
      </c>
      <c r="U1827">
        <v>0.72</v>
      </c>
      <c r="V1827">
        <v>0.75</v>
      </c>
      <c r="W1827">
        <v>1.1499999999999999</v>
      </c>
      <c r="X1827">
        <v>0.08</v>
      </c>
      <c r="Y1827">
        <v>1</v>
      </c>
      <c r="Z1827">
        <v>10</v>
      </c>
    </row>
    <row r="1828" spans="1:26" x14ac:dyDescent="0.3">
      <c r="A1828">
        <v>101</v>
      </c>
      <c r="B1828">
        <v>145</v>
      </c>
      <c r="C1828" t="s">
        <v>26</v>
      </c>
      <c r="D1828">
        <v>10.010300000000001</v>
      </c>
      <c r="E1828">
        <v>9.99</v>
      </c>
      <c r="F1828">
        <v>6.77</v>
      </c>
      <c r="G1828">
        <v>81.25</v>
      </c>
      <c r="H1828">
        <v>1.37</v>
      </c>
      <c r="I1828">
        <v>5</v>
      </c>
      <c r="J1828">
        <v>340.77</v>
      </c>
      <c r="K1828">
        <v>61.2</v>
      </c>
      <c r="L1828">
        <v>26.25</v>
      </c>
      <c r="M1828">
        <v>3</v>
      </c>
      <c r="N1828">
        <v>108.32</v>
      </c>
      <c r="O1828">
        <v>42262.79</v>
      </c>
      <c r="P1828">
        <v>115.98</v>
      </c>
      <c r="Q1828">
        <v>204.16</v>
      </c>
      <c r="R1828">
        <v>24.27</v>
      </c>
      <c r="S1828">
        <v>17.37</v>
      </c>
      <c r="T1828">
        <v>1353.49</v>
      </c>
      <c r="U1828">
        <v>0.72</v>
      </c>
      <c r="V1828">
        <v>0.75</v>
      </c>
      <c r="W1828">
        <v>1.1499999999999999</v>
      </c>
      <c r="X1828">
        <v>0.08</v>
      </c>
      <c r="Y1828">
        <v>1</v>
      </c>
      <c r="Z1828">
        <v>10</v>
      </c>
    </row>
    <row r="1829" spans="1:26" x14ac:dyDescent="0.3">
      <c r="A1829">
        <v>102</v>
      </c>
      <c r="B1829">
        <v>145</v>
      </c>
      <c r="C1829" t="s">
        <v>26</v>
      </c>
      <c r="D1829">
        <v>10.0122</v>
      </c>
      <c r="E1829">
        <v>9.99</v>
      </c>
      <c r="F1829">
        <v>6.77</v>
      </c>
      <c r="G1829">
        <v>81.23</v>
      </c>
      <c r="H1829">
        <v>1.38</v>
      </c>
      <c r="I1829">
        <v>5</v>
      </c>
      <c r="J1829">
        <v>341.38</v>
      </c>
      <c r="K1829">
        <v>61.2</v>
      </c>
      <c r="L1829">
        <v>26.5</v>
      </c>
      <c r="M1829">
        <v>3</v>
      </c>
      <c r="N1829">
        <v>108.68</v>
      </c>
      <c r="O1829">
        <v>42338.27</v>
      </c>
      <c r="P1829">
        <v>115.8</v>
      </c>
      <c r="Q1829">
        <v>204.14</v>
      </c>
      <c r="R1829">
        <v>24.35</v>
      </c>
      <c r="S1829">
        <v>17.37</v>
      </c>
      <c r="T1829">
        <v>1390.19</v>
      </c>
      <c r="U1829">
        <v>0.71</v>
      </c>
      <c r="V1829">
        <v>0.75</v>
      </c>
      <c r="W1829">
        <v>1.1399999999999999</v>
      </c>
      <c r="X1829">
        <v>0.08</v>
      </c>
      <c r="Y1829">
        <v>1</v>
      </c>
      <c r="Z1829">
        <v>10</v>
      </c>
    </row>
    <row r="1830" spans="1:26" x14ac:dyDescent="0.3">
      <c r="A1830">
        <v>103</v>
      </c>
      <c r="B1830">
        <v>145</v>
      </c>
      <c r="C1830" t="s">
        <v>26</v>
      </c>
      <c r="D1830">
        <v>10.0061</v>
      </c>
      <c r="E1830">
        <v>9.99</v>
      </c>
      <c r="F1830">
        <v>6.78</v>
      </c>
      <c r="G1830">
        <v>81.3</v>
      </c>
      <c r="H1830">
        <v>1.39</v>
      </c>
      <c r="I1830">
        <v>5</v>
      </c>
      <c r="J1830">
        <v>342</v>
      </c>
      <c r="K1830">
        <v>61.2</v>
      </c>
      <c r="L1830">
        <v>26.75</v>
      </c>
      <c r="M1830">
        <v>3</v>
      </c>
      <c r="N1830">
        <v>109.05</v>
      </c>
      <c r="O1830">
        <v>42413.94</v>
      </c>
      <c r="P1830">
        <v>115.84</v>
      </c>
      <c r="Q1830">
        <v>204.15</v>
      </c>
      <c r="R1830">
        <v>24.39</v>
      </c>
      <c r="S1830">
        <v>17.37</v>
      </c>
      <c r="T1830">
        <v>1411.82</v>
      </c>
      <c r="U1830">
        <v>0.71</v>
      </c>
      <c r="V1830">
        <v>0.75</v>
      </c>
      <c r="W1830">
        <v>1.1499999999999999</v>
      </c>
      <c r="X1830">
        <v>0.08</v>
      </c>
      <c r="Y1830">
        <v>1</v>
      </c>
      <c r="Z1830">
        <v>10</v>
      </c>
    </row>
    <row r="1831" spans="1:26" x14ac:dyDescent="0.3">
      <c r="A1831">
        <v>104</v>
      </c>
      <c r="B1831">
        <v>145</v>
      </c>
      <c r="C1831" t="s">
        <v>26</v>
      </c>
      <c r="D1831">
        <v>10.011699999999999</v>
      </c>
      <c r="E1831">
        <v>9.99</v>
      </c>
      <c r="F1831">
        <v>6.77</v>
      </c>
      <c r="G1831">
        <v>81.239999999999995</v>
      </c>
      <c r="H1831">
        <v>1.4</v>
      </c>
      <c r="I1831">
        <v>5</v>
      </c>
      <c r="J1831">
        <v>342.61</v>
      </c>
      <c r="K1831">
        <v>61.2</v>
      </c>
      <c r="L1831">
        <v>27</v>
      </c>
      <c r="M1831">
        <v>3</v>
      </c>
      <c r="N1831">
        <v>109.41</v>
      </c>
      <c r="O1831">
        <v>42489.79</v>
      </c>
      <c r="P1831">
        <v>115.51</v>
      </c>
      <c r="Q1831">
        <v>204.14</v>
      </c>
      <c r="R1831">
        <v>24.25</v>
      </c>
      <c r="S1831">
        <v>17.37</v>
      </c>
      <c r="T1831">
        <v>1342.52</v>
      </c>
      <c r="U1831">
        <v>0.72</v>
      </c>
      <c r="V1831">
        <v>0.75</v>
      </c>
      <c r="W1831">
        <v>1.1499999999999999</v>
      </c>
      <c r="X1831">
        <v>0.08</v>
      </c>
      <c r="Y1831">
        <v>1</v>
      </c>
      <c r="Z1831">
        <v>10</v>
      </c>
    </row>
    <row r="1832" spans="1:26" x14ac:dyDescent="0.3">
      <c r="A1832">
        <v>105</v>
      </c>
      <c r="B1832">
        <v>145</v>
      </c>
      <c r="C1832" t="s">
        <v>26</v>
      </c>
      <c r="D1832">
        <v>10.013400000000001</v>
      </c>
      <c r="E1832">
        <v>9.99</v>
      </c>
      <c r="F1832">
        <v>6.77</v>
      </c>
      <c r="G1832">
        <v>81.22</v>
      </c>
      <c r="H1832">
        <v>1.42</v>
      </c>
      <c r="I1832">
        <v>5</v>
      </c>
      <c r="J1832">
        <v>343.23</v>
      </c>
      <c r="K1832">
        <v>61.2</v>
      </c>
      <c r="L1832">
        <v>27.25</v>
      </c>
      <c r="M1832">
        <v>3</v>
      </c>
      <c r="N1832">
        <v>109.78</v>
      </c>
      <c r="O1832">
        <v>42565.83</v>
      </c>
      <c r="P1832">
        <v>115.33</v>
      </c>
      <c r="Q1832">
        <v>204.14</v>
      </c>
      <c r="R1832">
        <v>24.21</v>
      </c>
      <c r="S1832">
        <v>17.37</v>
      </c>
      <c r="T1832">
        <v>1321.92</v>
      </c>
      <c r="U1832">
        <v>0.72</v>
      </c>
      <c r="V1832">
        <v>0.75</v>
      </c>
      <c r="W1832">
        <v>1.1499999999999999</v>
      </c>
      <c r="X1832">
        <v>0.08</v>
      </c>
      <c r="Y1832">
        <v>1</v>
      </c>
      <c r="Z1832">
        <v>10</v>
      </c>
    </row>
    <row r="1833" spans="1:26" x14ac:dyDescent="0.3">
      <c r="A1833">
        <v>106</v>
      </c>
      <c r="B1833">
        <v>145</v>
      </c>
      <c r="C1833" t="s">
        <v>26</v>
      </c>
      <c r="D1833">
        <v>10.0945</v>
      </c>
      <c r="E1833">
        <v>9.91</v>
      </c>
      <c r="F1833">
        <v>6.74</v>
      </c>
      <c r="G1833">
        <v>101.12</v>
      </c>
      <c r="H1833">
        <v>1.43</v>
      </c>
      <c r="I1833">
        <v>4</v>
      </c>
      <c r="J1833">
        <v>343.85</v>
      </c>
      <c r="K1833">
        <v>61.2</v>
      </c>
      <c r="L1833">
        <v>27.5</v>
      </c>
      <c r="M1833">
        <v>2</v>
      </c>
      <c r="N1833">
        <v>110.15</v>
      </c>
      <c r="O1833">
        <v>42642.18</v>
      </c>
      <c r="P1833">
        <v>114.74</v>
      </c>
      <c r="Q1833">
        <v>204.14</v>
      </c>
      <c r="R1833">
        <v>23.46</v>
      </c>
      <c r="S1833">
        <v>17.37</v>
      </c>
      <c r="T1833">
        <v>952.32</v>
      </c>
      <c r="U1833">
        <v>0.74</v>
      </c>
      <c r="V1833">
        <v>0.76</v>
      </c>
      <c r="W1833">
        <v>1.1399999999999999</v>
      </c>
      <c r="X1833">
        <v>0.05</v>
      </c>
      <c r="Y1833">
        <v>1</v>
      </c>
      <c r="Z1833">
        <v>10</v>
      </c>
    </row>
    <row r="1834" spans="1:26" x14ac:dyDescent="0.3">
      <c r="A1834">
        <v>107</v>
      </c>
      <c r="B1834">
        <v>145</v>
      </c>
      <c r="C1834" t="s">
        <v>26</v>
      </c>
      <c r="D1834">
        <v>10.092499999999999</v>
      </c>
      <c r="E1834">
        <v>9.91</v>
      </c>
      <c r="F1834">
        <v>6.74</v>
      </c>
      <c r="G1834">
        <v>101.15</v>
      </c>
      <c r="H1834">
        <v>1.44</v>
      </c>
      <c r="I1834">
        <v>4</v>
      </c>
      <c r="J1834">
        <v>344.47</v>
      </c>
      <c r="K1834">
        <v>61.2</v>
      </c>
      <c r="L1834">
        <v>27.75</v>
      </c>
      <c r="M1834">
        <v>2</v>
      </c>
      <c r="N1834">
        <v>110.52</v>
      </c>
      <c r="O1834">
        <v>42718.61</v>
      </c>
      <c r="P1834">
        <v>114.83</v>
      </c>
      <c r="Q1834">
        <v>204.16</v>
      </c>
      <c r="R1834">
        <v>23.47</v>
      </c>
      <c r="S1834">
        <v>17.37</v>
      </c>
      <c r="T1834">
        <v>957.75</v>
      </c>
      <c r="U1834">
        <v>0.74</v>
      </c>
      <c r="V1834">
        <v>0.76</v>
      </c>
      <c r="W1834">
        <v>1.1399999999999999</v>
      </c>
      <c r="X1834">
        <v>0.05</v>
      </c>
      <c r="Y1834">
        <v>1</v>
      </c>
      <c r="Z1834">
        <v>10</v>
      </c>
    </row>
    <row r="1835" spans="1:26" x14ac:dyDescent="0.3">
      <c r="A1835">
        <v>108</v>
      </c>
      <c r="B1835">
        <v>145</v>
      </c>
      <c r="C1835" t="s">
        <v>26</v>
      </c>
      <c r="D1835">
        <v>10.0951</v>
      </c>
      <c r="E1835">
        <v>9.91</v>
      </c>
      <c r="F1835">
        <v>6.74</v>
      </c>
      <c r="G1835">
        <v>101.12</v>
      </c>
      <c r="H1835">
        <v>1.45</v>
      </c>
      <c r="I1835">
        <v>4</v>
      </c>
      <c r="J1835">
        <v>345.09</v>
      </c>
      <c r="K1835">
        <v>61.2</v>
      </c>
      <c r="L1835">
        <v>28</v>
      </c>
      <c r="M1835">
        <v>2</v>
      </c>
      <c r="N1835">
        <v>110.89</v>
      </c>
      <c r="O1835">
        <v>42795.22</v>
      </c>
      <c r="P1835">
        <v>114.95</v>
      </c>
      <c r="Q1835">
        <v>204.14</v>
      </c>
      <c r="R1835">
        <v>23.44</v>
      </c>
      <c r="S1835">
        <v>17.37</v>
      </c>
      <c r="T1835">
        <v>944.14</v>
      </c>
      <c r="U1835">
        <v>0.74</v>
      </c>
      <c r="V1835">
        <v>0.76</v>
      </c>
      <c r="W1835">
        <v>1.1399999999999999</v>
      </c>
      <c r="X1835">
        <v>0.05</v>
      </c>
      <c r="Y1835">
        <v>1</v>
      </c>
      <c r="Z1835">
        <v>10</v>
      </c>
    </row>
    <row r="1836" spans="1:26" x14ac:dyDescent="0.3">
      <c r="A1836">
        <v>109</v>
      </c>
      <c r="B1836">
        <v>145</v>
      </c>
      <c r="C1836" t="s">
        <v>26</v>
      </c>
      <c r="D1836">
        <v>10.087400000000001</v>
      </c>
      <c r="E1836">
        <v>9.91</v>
      </c>
      <c r="F1836">
        <v>6.75</v>
      </c>
      <c r="G1836">
        <v>101.23</v>
      </c>
      <c r="H1836">
        <v>1.46</v>
      </c>
      <c r="I1836">
        <v>4</v>
      </c>
      <c r="J1836">
        <v>345.71</v>
      </c>
      <c r="K1836">
        <v>61.2</v>
      </c>
      <c r="L1836">
        <v>28.25</v>
      </c>
      <c r="M1836">
        <v>2</v>
      </c>
      <c r="N1836">
        <v>111.26</v>
      </c>
      <c r="O1836">
        <v>42872.03</v>
      </c>
      <c r="P1836">
        <v>115.19</v>
      </c>
      <c r="Q1836">
        <v>204.14</v>
      </c>
      <c r="R1836">
        <v>23.58</v>
      </c>
      <c r="S1836">
        <v>17.37</v>
      </c>
      <c r="T1836">
        <v>1011.22</v>
      </c>
      <c r="U1836">
        <v>0.74</v>
      </c>
      <c r="V1836">
        <v>0.76</v>
      </c>
      <c r="W1836">
        <v>1.1399999999999999</v>
      </c>
      <c r="X1836">
        <v>0.06</v>
      </c>
      <c r="Y1836">
        <v>1</v>
      </c>
      <c r="Z1836">
        <v>10</v>
      </c>
    </row>
    <row r="1837" spans="1:26" x14ac:dyDescent="0.3">
      <c r="A1837">
        <v>110</v>
      </c>
      <c r="B1837">
        <v>145</v>
      </c>
      <c r="C1837" t="s">
        <v>26</v>
      </c>
      <c r="D1837">
        <v>10.084300000000001</v>
      </c>
      <c r="E1837">
        <v>9.92</v>
      </c>
      <c r="F1837">
        <v>6.75</v>
      </c>
      <c r="G1837">
        <v>101.28</v>
      </c>
      <c r="H1837">
        <v>1.47</v>
      </c>
      <c r="I1837">
        <v>4</v>
      </c>
      <c r="J1837">
        <v>346.34</v>
      </c>
      <c r="K1837">
        <v>61.2</v>
      </c>
      <c r="L1837">
        <v>28.5</v>
      </c>
      <c r="M1837">
        <v>2</v>
      </c>
      <c r="N1837">
        <v>111.64</v>
      </c>
      <c r="O1837">
        <v>42949.03</v>
      </c>
      <c r="P1837">
        <v>115.41</v>
      </c>
      <c r="Q1837">
        <v>204.14</v>
      </c>
      <c r="R1837">
        <v>23.67</v>
      </c>
      <c r="S1837">
        <v>17.37</v>
      </c>
      <c r="T1837">
        <v>1058.82</v>
      </c>
      <c r="U1837">
        <v>0.73</v>
      </c>
      <c r="V1837">
        <v>0.76</v>
      </c>
      <c r="W1837">
        <v>1.1399999999999999</v>
      </c>
      <c r="X1837">
        <v>0.06</v>
      </c>
      <c r="Y1837">
        <v>1</v>
      </c>
      <c r="Z1837">
        <v>10</v>
      </c>
    </row>
    <row r="1838" spans="1:26" x14ac:dyDescent="0.3">
      <c r="A1838">
        <v>111</v>
      </c>
      <c r="B1838">
        <v>145</v>
      </c>
      <c r="C1838" t="s">
        <v>26</v>
      </c>
      <c r="D1838">
        <v>10.0871</v>
      </c>
      <c r="E1838">
        <v>9.91</v>
      </c>
      <c r="F1838">
        <v>6.75</v>
      </c>
      <c r="G1838">
        <v>101.23</v>
      </c>
      <c r="H1838">
        <v>1.48</v>
      </c>
      <c r="I1838">
        <v>4</v>
      </c>
      <c r="J1838">
        <v>346.96</v>
      </c>
      <c r="K1838">
        <v>61.2</v>
      </c>
      <c r="L1838">
        <v>28.75</v>
      </c>
      <c r="M1838">
        <v>2</v>
      </c>
      <c r="N1838">
        <v>112.01</v>
      </c>
      <c r="O1838">
        <v>43026.23</v>
      </c>
      <c r="P1838">
        <v>115.52</v>
      </c>
      <c r="Q1838">
        <v>204.14</v>
      </c>
      <c r="R1838">
        <v>23.64</v>
      </c>
      <c r="S1838">
        <v>17.37</v>
      </c>
      <c r="T1838">
        <v>1040.4000000000001</v>
      </c>
      <c r="U1838">
        <v>0.74</v>
      </c>
      <c r="V1838">
        <v>0.76</v>
      </c>
      <c r="W1838">
        <v>1.1399999999999999</v>
      </c>
      <c r="X1838">
        <v>0.06</v>
      </c>
      <c r="Y1838">
        <v>1</v>
      </c>
      <c r="Z1838">
        <v>10</v>
      </c>
    </row>
    <row r="1839" spans="1:26" x14ac:dyDescent="0.3">
      <c r="A1839">
        <v>112</v>
      </c>
      <c r="B1839">
        <v>145</v>
      </c>
      <c r="C1839" t="s">
        <v>26</v>
      </c>
      <c r="D1839">
        <v>10.087400000000001</v>
      </c>
      <c r="E1839">
        <v>9.91</v>
      </c>
      <c r="F1839">
        <v>6.75</v>
      </c>
      <c r="G1839">
        <v>101.23</v>
      </c>
      <c r="H1839">
        <v>1.49</v>
      </c>
      <c r="I1839">
        <v>4</v>
      </c>
      <c r="J1839">
        <v>347.59</v>
      </c>
      <c r="K1839">
        <v>61.2</v>
      </c>
      <c r="L1839">
        <v>29</v>
      </c>
      <c r="M1839">
        <v>2</v>
      </c>
      <c r="N1839">
        <v>112.39</v>
      </c>
      <c r="O1839">
        <v>43103.63</v>
      </c>
      <c r="P1839">
        <v>115.68</v>
      </c>
      <c r="Q1839">
        <v>204.14</v>
      </c>
      <c r="R1839">
        <v>23.6</v>
      </c>
      <c r="S1839">
        <v>17.37</v>
      </c>
      <c r="T1839">
        <v>1023.55</v>
      </c>
      <c r="U1839">
        <v>0.74</v>
      </c>
      <c r="V1839">
        <v>0.76</v>
      </c>
      <c r="W1839">
        <v>1.1399999999999999</v>
      </c>
      <c r="X1839">
        <v>0.06</v>
      </c>
      <c r="Y1839">
        <v>1</v>
      </c>
      <c r="Z1839">
        <v>10</v>
      </c>
    </row>
    <row r="1840" spans="1:26" x14ac:dyDescent="0.3">
      <c r="A1840">
        <v>113</v>
      </c>
      <c r="B1840">
        <v>145</v>
      </c>
      <c r="C1840" t="s">
        <v>26</v>
      </c>
      <c r="D1840">
        <v>10.0852</v>
      </c>
      <c r="E1840">
        <v>9.92</v>
      </c>
      <c r="F1840">
        <v>6.75</v>
      </c>
      <c r="G1840">
        <v>101.26</v>
      </c>
      <c r="H1840">
        <v>1.5</v>
      </c>
      <c r="I1840">
        <v>4</v>
      </c>
      <c r="J1840">
        <v>348.22</v>
      </c>
      <c r="K1840">
        <v>61.2</v>
      </c>
      <c r="L1840">
        <v>29.25</v>
      </c>
      <c r="M1840">
        <v>2</v>
      </c>
      <c r="N1840">
        <v>112.77</v>
      </c>
      <c r="O1840">
        <v>43181.22</v>
      </c>
      <c r="P1840">
        <v>115.73</v>
      </c>
      <c r="Q1840">
        <v>204.14</v>
      </c>
      <c r="R1840">
        <v>23.73</v>
      </c>
      <c r="S1840">
        <v>17.37</v>
      </c>
      <c r="T1840">
        <v>1088.8399999999999</v>
      </c>
      <c r="U1840">
        <v>0.73</v>
      </c>
      <c r="V1840">
        <v>0.76</v>
      </c>
      <c r="W1840">
        <v>1.1399999999999999</v>
      </c>
      <c r="X1840">
        <v>0.06</v>
      </c>
      <c r="Y1840">
        <v>1</v>
      </c>
      <c r="Z1840">
        <v>10</v>
      </c>
    </row>
    <row r="1841" spans="1:26" x14ac:dyDescent="0.3">
      <c r="A1841">
        <v>114</v>
      </c>
      <c r="B1841">
        <v>145</v>
      </c>
      <c r="C1841" t="s">
        <v>26</v>
      </c>
      <c r="D1841">
        <v>10.0905</v>
      </c>
      <c r="E1841">
        <v>9.91</v>
      </c>
      <c r="F1841">
        <v>6.75</v>
      </c>
      <c r="G1841">
        <v>101.18</v>
      </c>
      <c r="H1841">
        <v>1.51</v>
      </c>
      <c r="I1841">
        <v>4</v>
      </c>
      <c r="J1841">
        <v>348.85</v>
      </c>
      <c r="K1841">
        <v>61.2</v>
      </c>
      <c r="L1841">
        <v>29.5</v>
      </c>
      <c r="M1841">
        <v>2</v>
      </c>
      <c r="N1841">
        <v>113.15</v>
      </c>
      <c r="O1841">
        <v>43259.02</v>
      </c>
      <c r="P1841">
        <v>115.89</v>
      </c>
      <c r="Q1841">
        <v>204.16</v>
      </c>
      <c r="R1841">
        <v>23.58</v>
      </c>
      <c r="S1841">
        <v>17.37</v>
      </c>
      <c r="T1841">
        <v>1012.05</v>
      </c>
      <c r="U1841">
        <v>0.74</v>
      </c>
      <c r="V1841">
        <v>0.76</v>
      </c>
      <c r="W1841">
        <v>1.1399999999999999</v>
      </c>
      <c r="X1841">
        <v>0.05</v>
      </c>
      <c r="Y1841">
        <v>1</v>
      </c>
      <c r="Z1841">
        <v>10</v>
      </c>
    </row>
    <row r="1842" spans="1:26" x14ac:dyDescent="0.3">
      <c r="A1842">
        <v>115</v>
      </c>
      <c r="B1842">
        <v>145</v>
      </c>
      <c r="C1842" t="s">
        <v>26</v>
      </c>
      <c r="D1842">
        <v>10.0886</v>
      </c>
      <c r="E1842">
        <v>9.91</v>
      </c>
      <c r="F1842">
        <v>6.75</v>
      </c>
      <c r="G1842">
        <v>101.21</v>
      </c>
      <c r="H1842">
        <v>1.52</v>
      </c>
      <c r="I1842">
        <v>4</v>
      </c>
      <c r="J1842">
        <v>349.48</v>
      </c>
      <c r="K1842">
        <v>61.2</v>
      </c>
      <c r="L1842">
        <v>29.75</v>
      </c>
      <c r="M1842">
        <v>2</v>
      </c>
      <c r="N1842">
        <v>113.53</v>
      </c>
      <c r="O1842">
        <v>43337.02</v>
      </c>
      <c r="P1842">
        <v>116.08</v>
      </c>
      <c r="Q1842">
        <v>204.14</v>
      </c>
      <c r="R1842">
        <v>23.6</v>
      </c>
      <c r="S1842">
        <v>17.37</v>
      </c>
      <c r="T1842">
        <v>1023.54</v>
      </c>
      <c r="U1842">
        <v>0.74</v>
      </c>
      <c r="V1842">
        <v>0.76</v>
      </c>
      <c r="W1842">
        <v>1.1399999999999999</v>
      </c>
      <c r="X1842">
        <v>0.06</v>
      </c>
      <c r="Y1842">
        <v>1</v>
      </c>
      <c r="Z1842">
        <v>10</v>
      </c>
    </row>
    <row r="1843" spans="1:26" x14ac:dyDescent="0.3">
      <c r="A1843">
        <v>116</v>
      </c>
      <c r="B1843">
        <v>145</v>
      </c>
      <c r="C1843" t="s">
        <v>26</v>
      </c>
      <c r="D1843">
        <v>10.094200000000001</v>
      </c>
      <c r="E1843">
        <v>9.91</v>
      </c>
      <c r="F1843">
        <v>6.74</v>
      </c>
      <c r="G1843">
        <v>101.13</v>
      </c>
      <c r="H1843">
        <v>1.53</v>
      </c>
      <c r="I1843">
        <v>4</v>
      </c>
      <c r="J1843">
        <v>350.12</v>
      </c>
      <c r="K1843">
        <v>61.2</v>
      </c>
      <c r="L1843">
        <v>30</v>
      </c>
      <c r="M1843">
        <v>2</v>
      </c>
      <c r="N1843">
        <v>113.92</v>
      </c>
      <c r="O1843">
        <v>43415.22</v>
      </c>
      <c r="P1843">
        <v>116.05</v>
      </c>
      <c r="Q1843">
        <v>204.15</v>
      </c>
      <c r="R1843">
        <v>23.46</v>
      </c>
      <c r="S1843">
        <v>17.37</v>
      </c>
      <c r="T1843">
        <v>953.48</v>
      </c>
      <c r="U1843">
        <v>0.74</v>
      </c>
      <c r="V1843">
        <v>0.76</v>
      </c>
      <c r="W1843">
        <v>1.1399999999999999</v>
      </c>
      <c r="X1843">
        <v>0.05</v>
      </c>
      <c r="Y1843">
        <v>1</v>
      </c>
      <c r="Z1843">
        <v>10</v>
      </c>
    </row>
    <row r="1844" spans="1:26" x14ac:dyDescent="0.3">
      <c r="A1844">
        <v>117</v>
      </c>
      <c r="B1844">
        <v>145</v>
      </c>
      <c r="C1844" t="s">
        <v>26</v>
      </c>
      <c r="D1844">
        <v>10.0939</v>
      </c>
      <c r="E1844">
        <v>9.91</v>
      </c>
      <c r="F1844">
        <v>6.74</v>
      </c>
      <c r="G1844">
        <v>101.13</v>
      </c>
      <c r="H1844">
        <v>1.54</v>
      </c>
      <c r="I1844">
        <v>4</v>
      </c>
      <c r="J1844">
        <v>350.75</v>
      </c>
      <c r="K1844">
        <v>61.2</v>
      </c>
      <c r="L1844">
        <v>30.25</v>
      </c>
      <c r="M1844">
        <v>2</v>
      </c>
      <c r="N1844">
        <v>114.3</v>
      </c>
      <c r="O1844">
        <v>43493.63</v>
      </c>
      <c r="P1844">
        <v>116.11</v>
      </c>
      <c r="Q1844">
        <v>204.14</v>
      </c>
      <c r="R1844">
        <v>23.47</v>
      </c>
      <c r="S1844">
        <v>17.37</v>
      </c>
      <c r="T1844">
        <v>955.82</v>
      </c>
      <c r="U1844">
        <v>0.74</v>
      </c>
      <c r="V1844">
        <v>0.76</v>
      </c>
      <c r="W1844">
        <v>1.1399999999999999</v>
      </c>
      <c r="X1844">
        <v>0.05</v>
      </c>
      <c r="Y1844">
        <v>1</v>
      </c>
      <c r="Z1844">
        <v>10</v>
      </c>
    </row>
    <row r="1845" spans="1:26" x14ac:dyDescent="0.3">
      <c r="A1845">
        <v>118</v>
      </c>
      <c r="B1845">
        <v>145</v>
      </c>
      <c r="C1845" t="s">
        <v>26</v>
      </c>
      <c r="D1845">
        <v>10.088800000000001</v>
      </c>
      <c r="E1845">
        <v>9.91</v>
      </c>
      <c r="F1845">
        <v>6.75</v>
      </c>
      <c r="G1845">
        <v>101.21</v>
      </c>
      <c r="H1845">
        <v>1.55</v>
      </c>
      <c r="I1845">
        <v>4</v>
      </c>
      <c r="J1845">
        <v>351.39</v>
      </c>
      <c r="K1845">
        <v>61.2</v>
      </c>
      <c r="L1845">
        <v>30.5</v>
      </c>
      <c r="M1845">
        <v>2</v>
      </c>
      <c r="N1845">
        <v>114.69</v>
      </c>
      <c r="O1845">
        <v>43572.25</v>
      </c>
      <c r="P1845">
        <v>116.28</v>
      </c>
      <c r="Q1845">
        <v>204.14</v>
      </c>
      <c r="R1845">
        <v>23.5</v>
      </c>
      <c r="S1845">
        <v>17.37</v>
      </c>
      <c r="T1845">
        <v>970.78</v>
      </c>
      <c r="U1845">
        <v>0.74</v>
      </c>
      <c r="V1845">
        <v>0.76</v>
      </c>
      <c r="W1845">
        <v>1.1399999999999999</v>
      </c>
      <c r="X1845">
        <v>0.06</v>
      </c>
      <c r="Y1845">
        <v>1</v>
      </c>
      <c r="Z1845">
        <v>10</v>
      </c>
    </row>
    <row r="1846" spans="1:26" x14ac:dyDescent="0.3">
      <c r="A1846">
        <v>119</v>
      </c>
      <c r="B1846">
        <v>145</v>
      </c>
      <c r="C1846" t="s">
        <v>26</v>
      </c>
      <c r="D1846">
        <v>10.0922</v>
      </c>
      <c r="E1846">
        <v>9.91</v>
      </c>
      <c r="F1846">
        <v>6.74</v>
      </c>
      <c r="G1846">
        <v>101.16</v>
      </c>
      <c r="H1846">
        <v>1.56</v>
      </c>
      <c r="I1846">
        <v>4</v>
      </c>
      <c r="J1846">
        <v>352.03</v>
      </c>
      <c r="K1846">
        <v>61.2</v>
      </c>
      <c r="L1846">
        <v>30.75</v>
      </c>
      <c r="M1846">
        <v>2</v>
      </c>
      <c r="N1846">
        <v>115.08</v>
      </c>
      <c r="O1846">
        <v>43651.07</v>
      </c>
      <c r="P1846">
        <v>116.28</v>
      </c>
      <c r="Q1846">
        <v>204.17</v>
      </c>
      <c r="R1846">
        <v>23.52</v>
      </c>
      <c r="S1846">
        <v>17.37</v>
      </c>
      <c r="T1846">
        <v>981.58</v>
      </c>
      <c r="U1846">
        <v>0.74</v>
      </c>
      <c r="V1846">
        <v>0.76</v>
      </c>
      <c r="W1846">
        <v>1.1399999999999999</v>
      </c>
      <c r="X1846">
        <v>0.05</v>
      </c>
      <c r="Y1846">
        <v>1</v>
      </c>
      <c r="Z1846">
        <v>10</v>
      </c>
    </row>
    <row r="1847" spans="1:26" x14ac:dyDescent="0.3">
      <c r="A1847">
        <v>120</v>
      </c>
      <c r="B1847">
        <v>145</v>
      </c>
      <c r="C1847" t="s">
        <v>26</v>
      </c>
      <c r="D1847">
        <v>10.0869</v>
      </c>
      <c r="E1847">
        <v>9.91</v>
      </c>
      <c r="F1847">
        <v>6.75</v>
      </c>
      <c r="G1847">
        <v>101.24</v>
      </c>
      <c r="H1847">
        <v>1.57</v>
      </c>
      <c r="I1847">
        <v>4</v>
      </c>
      <c r="J1847">
        <v>352.67</v>
      </c>
      <c r="K1847">
        <v>61.2</v>
      </c>
      <c r="L1847">
        <v>31</v>
      </c>
      <c r="M1847">
        <v>2</v>
      </c>
      <c r="N1847">
        <v>115.47</v>
      </c>
      <c r="O1847">
        <v>43730.1</v>
      </c>
      <c r="P1847">
        <v>116.41</v>
      </c>
      <c r="Q1847">
        <v>204.14</v>
      </c>
      <c r="R1847">
        <v>23.67</v>
      </c>
      <c r="S1847">
        <v>17.37</v>
      </c>
      <c r="T1847">
        <v>1056.4000000000001</v>
      </c>
      <c r="U1847">
        <v>0.73</v>
      </c>
      <c r="V1847">
        <v>0.76</v>
      </c>
      <c r="W1847">
        <v>1.1399999999999999</v>
      </c>
      <c r="X1847">
        <v>0.06</v>
      </c>
      <c r="Y1847">
        <v>1</v>
      </c>
      <c r="Z1847">
        <v>10</v>
      </c>
    </row>
    <row r="1848" spans="1:26" x14ac:dyDescent="0.3">
      <c r="A1848">
        <v>121</v>
      </c>
      <c r="B1848">
        <v>145</v>
      </c>
      <c r="C1848" t="s">
        <v>26</v>
      </c>
      <c r="D1848">
        <v>10.081200000000001</v>
      </c>
      <c r="E1848">
        <v>9.92</v>
      </c>
      <c r="F1848">
        <v>6.75</v>
      </c>
      <c r="G1848">
        <v>101.32</v>
      </c>
      <c r="H1848">
        <v>1.58</v>
      </c>
      <c r="I1848">
        <v>4</v>
      </c>
      <c r="J1848">
        <v>353.31</v>
      </c>
      <c r="K1848">
        <v>61.2</v>
      </c>
      <c r="L1848">
        <v>31.25</v>
      </c>
      <c r="M1848">
        <v>2</v>
      </c>
      <c r="N1848">
        <v>115.86</v>
      </c>
      <c r="O1848">
        <v>43809.48</v>
      </c>
      <c r="P1848">
        <v>116.57</v>
      </c>
      <c r="Q1848">
        <v>204.15</v>
      </c>
      <c r="R1848">
        <v>23.73</v>
      </c>
      <c r="S1848">
        <v>17.37</v>
      </c>
      <c r="T1848">
        <v>1088.58</v>
      </c>
      <c r="U1848">
        <v>0.73</v>
      </c>
      <c r="V1848">
        <v>0.76</v>
      </c>
      <c r="W1848">
        <v>1.1499999999999999</v>
      </c>
      <c r="X1848">
        <v>0.06</v>
      </c>
      <c r="Y1848">
        <v>1</v>
      </c>
      <c r="Z1848">
        <v>10</v>
      </c>
    </row>
    <row r="1849" spans="1:26" x14ac:dyDescent="0.3">
      <c r="A1849">
        <v>122</v>
      </c>
      <c r="B1849">
        <v>145</v>
      </c>
      <c r="C1849" t="s">
        <v>26</v>
      </c>
      <c r="D1849">
        <v>10.086</v>
      </c>
      <c r="E1849">
        <v>9.91</v>
      </c>
      <c r="F1849">
        <v>6.75</v>
      </c>
      <c r="G1849">
        <v>101.25</v>
      </c>
      <c r="H1849">
        <v>1.59</v>
      </c>
      <c r="I1849">
        <v>4</v>
      </c>
      <c r="J1849">
        <v>353.96</v>
      </c>
      <c r="K1849">
        <v>61.2</v>
      </c>
      <c r="L1849">
        <v>31.5</v>
      </c>
      <c r="M1849">
        <v>2</v>
      </c>
      <c r="N1849">
        <v>116.26</v>
      </c>
      <c r="O1849">
        <v>43888.94</v>
      </c>
      <c r="P1849">
        <v>116.5</v>
      </c>
      <c r="Q1849">
        <v>204.14</v>
      </c>
      <c r="R1849">
        <v>23.71</v>
      </c>
      <c r="S1849">
        <v>17.37</v>
      </c>
      <c r="T1849">
        <v>1075.47</v>
      </c>
      <c r="U1849">
        <v>0.73</v>
      </c>
      <c r="V1849">
        <v>0.76</v>
      </c>
      <c r="W1849">
        <v>1.1399999999999999</v>
      </c>
      <c r="X1849">
        <v>0.06</v>
      </c>
      <c r="Y1849">
        <v>1</v>
      </c>
      <c r="Z1849">
        <v>10</v>
      </c>
    </row>
    <row r="1850" spans="1:26" x14ac:dyDescent="0.3">
      <c r="A1850">
        <v>123</v>
      </c>
      <c r="B1850">
        <v>145</v>
      </c>
      <c r="C1850" t="s">
        <v>26</v>
      </c>
      <c r="D1850">
        <v>10.084</v>
      </c>
      <c r="E1850">
        <v>9.92</v>
      </c>
      <c r="F1850">
        <v>6.75</v>
      </c>
      <c r="G1850">
        <v>101.28</v>
      </c>
      <c r="H1850">
        <v>1.6</v>
      </c>
      <c r="I1850">
        <v>4</v>
      </c>
      <c r="J1850">
        <v>354.6</v>
      </c>
      <c r="K1850">
        <v>61.2</v>
      </c>
      <c r="L1850">
        <v>31.75</v>
      </c>
      <c r="M1850">
        <v>2</v>
      </c>
      <c r="N1850">
        <v>116.65</v>
      </c>
      <c r="O1850">
        <v>43968.62</v>
      </c>
      <c r="P1850">
        <v>116.6</v>
      </c>
      <c r="Q1850">
        <v>204.14</v>
      </c>
      <c r="R1850">
        <v>23.74</v>
      </c>
      <c r="S1850">
        <v>17.37</v>
      </c>
      <c r="T1850">
        <v>1094.56</v>
      </c>
      <c r="U1850">
        <v>0.73</v>
      </c>
      <c r="V1850">
        <v>0.76</v>
      </c>
      <c r="W1850">
        <v>1.1399999999999999</v>
      </c>
      <c r="X1850">
        <v>0.06</v>
      </c>
      <c r="Y1850">
        <v>1</v>
      </c>
      <c r="Z1850">
        <v>10</v>
      </c>
    </row>
    <row r="1851" spans="1:26" x14ac:dyDescent="0.3">
      <c r="A1851">
        <v>124</v>
      </c>
      <c r="B1851">
        <v>145</v>
      </c>
      <c r="C1851" t="s">
        <v>26</v>
      </c>
      <c r="D1851">
        <v>10.086600000000001</v>
      </c>
      <c r="E1851">
        <v>9.91</v>
      </c>
      <c r="F1851">
        <v>6.75</v>
      </c>
      <c r="G1851">
        <v>101.24</v>
      </c>
      <c r="H1851">
        <v>1.61</v>
      </c>
      <c r="I1851">
        <v>4</v>
      </c>
      <c r="J1851">
        <v>355.25</v>
      </c>
      <c r="K1851">
        <v>61.2</v>
      </c>
      <c r="L1851">
        <v>32</v>
      </c>
      <c r="M1851">
        <v>2</v>
      </c>
      <c r="N1851">
        <v>117.05</v>
      </c>
      <c r="O1851">
        <v>44048.52</v>
      </c>
      <c r="P1851">
        <v>116.54</v>
      </c>
      <c r="Q1851">
        <v>204.14</v>
      </c>
      <c r="R1851">
        <v>23.64</v>
      </c>
      <c r="S1851">
        <v>17.37</v>
      </c>
      <c r="T1851">
        <v>1041.46</v>
      </c>
      <c r="U1851">
        <v>0.73</v>
      </c>
      <c r="V1851">
        <v>0.76</v>
      </c>
      <c r="W1851">
        <v>1.1399999999999999</v>
      </c>
      <c r="X1851">
        <v>0.06</v>
      </c>
      <c r="Y1851">
        <v>1</v>
      </c>
      <c r="Z1851">
        <v>10</v>
      </c>
    </row>
    <row r="1852" spans="1:26" x14ac:dyDescent="0.3">
      <c r="A1852">
        <v>125</v>
      </c>
      <c r="B1852">
        <v>145</v>
      </c>
      <c r="C1852" t="s">
        <v>26</v>
      </c>
      <c r="D1852">
        <v>10.0905</v>
      </c>
      <c r="E1852">
        <v>9.91</v>
      </c>
      <c r="F1852">
        <v>6.75</v>
      </c>
      <c r="G1852">
        <v>101.18</v>
      </c>
      <c r="H1852">
        <v>1.62</v>
      </c>
      <c r="I1852">
        <v>4</v>
      </c>
      <c r="J1852">
        <v>355.9</v>
      </c>
      <c r="K1852">
        <v>61.2</v>
      </c>
      <c r="L1852">
        <v>32.25</v>
      </c>
      <c r="M1852">
        <v>2</v>
      </c>
      <c r="N1852">
        <v>117.45</v>
      </c>
      <c r="O1852">
        <v>44128.639999999999</v>
      </c>
      <c r="P1852">
        <v>116.41</v>
      </c>
      <c r="Q1852">
        <v>204.14</v>
      </c>
      <c r="R1852">
        <v>23.55</v>
      </c>
      <c r="S1852">
        <v>17.37</v>
      </c>
      <c r="T1852">
        <v>997.52</v>
      </c>
      <c r="U1852">
        <v>0.74</v>
      </c>
      <c r="V1852">
        <v>0.76</v>
      </c>
      <c r="W1852">
        <v>1.1399999999999999</v>
      </c>
      <c r="X1852">
        <v>0.05</v>
      </c>
      <c r="Y1852">
        <v>1</v>
      </c>
      <c r="Z1852">
        <v>10</v>
      </c>
    </row>
    <row r="1853" spans="1:26" x14ac:dyDescent="0.3">
      <c r="A1853">
        <v>126</v>
      </c>
      <c r="B1853">
        <v>145</v>
      </c>
      <c r="C1853" t="s">
        <v>26</v>
      </c>
      <c r="D1853">
        <v>10.091900000000001</v>
      </c>
      <c r="E1853">
        <v>9.91</v>
      </c>
      <c r="F1853">
        <v>6.74</v>
      </c>
      <c r="G1853">
        <v>101.16</v>
      </c>
      <c r="H1853">
        <v>1.63</v>
      </c>
      <c r="I1853">
        <v>4</v>
      </c>
      <c r="J1853">
        <v>356.55</v>
      </c>
      <c r="K1853">
        <v>61.2</v>
      </c>
      <c r="L1853">
        <v>32.5</v>
      </c>
      <c r="M1853">
        <v>2</v>
      </c>
      <c r="N1853">
        <v>117.85</v>
      </c>
      <c r="O1853">
        <v>44208.97</v>
      </c>
      <c r="P1853">
        <v>116.45</v>
      </c>
      <c r="Q1853">
        <v>204.15</v>
      </c>
      <c r="R1853">
        <v>23.51</v>
      </c>
      <c r="S1853">
        <v>17.37</v>
      </c>
      <c r="T1853">
        <v>979.7</v>
      </c>
      <c r="U1853">
        <v>0.74</v>
      </c>
      <c r="V1853">
        <v>0.76</v>
      </c>
      <c r="W1853">
        <v>1.1399999999999999</v>
      </c>
      <c r="X1853">
        <v>0.05</v>
      </c>
      <c r="Y1853">
        <v>1</v>
      </c>
      <c r="Z1853">
        <v>10</v>
      </c>
    </row>
    <row r="1854" spans="1:26" x14ac:dyDescent="0.3">
      <c r="A1854">
        <v>127</v>
      </c>
      <c r="B1854">
        <v>145</v>
      </c>
      <c r="C1854" t="s">
        <v>26</v>
      </c>
      <c r="D1854">
        <v>10.0905</v>
      </c>
      <c r="E1854">
        <v>9.91</v>
      </c>
      <c r="F1854">
        <v>6.75</v>
      </c>
      <c r="G1854">
        <v>101.18</v>
      </c>
      <c r="H1854">
        <v>1.63</v>
      </c>
      <c r="I1854">
        <v>4</v>
      </c>
      <c r="J1854">
        <v>357.2</v>
      </c>
      <c r="K1854">
        <v>61.2</v>
      </c>
      <c r="L1854">
        <v>32.75</v>
      </c>
      <c r="M1854">
        <v>2</v>
      </c>
      <c r="N1854">
        <v>118.26</v>
      </c>
      <c r="O1854">
        <v>44289.53</v>
      </c>
      <c r="P1854">
        <v>116.48</v>
      </c>
      <c r="Q1854">
        <v>204.14</v>
      </c>
      <c r="R1854">
        <v>23.55</v>
      </c>
      <c r="S1854">
        <v>17.37</v>
      </c>
      <c r="T1854">
        <v>994.92</v>
      </c>
      <c r="U1854">
        <v>0.74</v>
      </c>
      <c r="V1854">
        <v>0.76</v>
      </c>
      <c r="W1854">
        <v>1.1399999999999999</v>
      </c>
      <c r="X1854">
        <v>0.05</v>
      </c>
      <c r="Y1854">
        <v>1</v>
      </c>
      <c r="Z1854">
        <v>10</v>
      </c>
    </row>
    <row r="1855" spans="1:26" x14ac:dyDescent="0.3">
      <c r="A1855">
        <v>128</v>
      </c>
      <c r="B1855">
        <v>145</v>
      </c>
      <c r="C1855" t="s">
        <v>26</v>
      </c>
      <c r="D1855">
        <v>10.092499999999999</v>
      </c>
      <c r="E1855">
        <v>9.91</v>
      </c>
      <c r="F1855">
        <v>6.74</v>
      </c>
      <c r="G1855">
        <v>101.15</v>
      </c>
      <c r="H1855">
        <v>1.64</v>
      </c>
      <c r="I1855">
        <v>4</v>
      </c>
      <c r="J1855">
        <v>357.86</v>
      </c>
      <c r="K1855">
        <v>61.2</v>
      </c>
      <c r="L1855">
        <v>33</v>
      </c>
      <c r="M1855">
        <v>2</v>
      </c>
      <c r="N1855">
        <v>118.66</v>
      </c>
      <c r="O1855">
        <v>44370.32</v>
      </c>
      <c r="P1855">
        <v>116.41</v>
      </c>
      <c r="Q1855">
        <v>204.14</v>
      </c>
      <c r="R1855">
        <v>23.43</v>
      </c>
      <c r="S1855">
        <v>17.37</v>
      </c>
      <c r="T1855">
        <v>937</v>
      </c>
      <c r="U1855">
        <v>0.74</v>
      </c>
      <c r="V1855">
        <v>0.76</v>
      </c>
      <c r="W1855">
        <v>1.1399999999999999</v>
      </c>
      <c r="X1855">
        <v>0.05</v>
      </c>
      <c r="Y1855">
        <v>1</v>
      </c>
      <c r="Z1855">
        <v>10</v>
      </c>
    </row>
    <row r="1856" spans="1:26" x14ac:dyDescent="0.3">
      <c r="A1856">
        <v>129</v>
      </c>
      <c r="B1856">
        <v>145</v>
      </c>
      <c r="C1856" t="s">
        <v>26</v>
      </c>
      <c r="D1856">
        <v>10.0959</v>
      </c>
      <c r="E1856">
        <v>9.9</v>
      </c>
      <c r="F1856">
        <v>6.74</v>
      </c>
      <c r="G1856">
        <v>101.1</v>
      </c>
      <c r="H1856">
        <v>1.65</v>
      </c>
      <c r="I1856">
        <v>4</v>
      </c>
      <c r="J1856">
        <v>358.52</v>
      </c>
      <c r="K1856">
        <v>61.2</v>
      </c>
      <c r="L1856">
        <v>33.25</v>
      </c>
      <c r="M1856">
        <v>2</v>
      </c>
      <c r="N1856">
        <v>119.07</v>
      </c>
      <c r="O1856">
        <v>44451.33</v>
      </c>
      <c r="P1856">
        <v>116.36</v>
      </c>
      <c r="Q1856">
        <v>204.14</v>
      </c>
      <c r="R1856">
        <v>23.34</v>
      </c>
      <c r="S1856">
        <v>17.37</v>
      </c>
      <c r="T1856">
        <v>889.91</v>
      </c>
      <c r="U1856">
        <v>0.74</v>
      </c>
      <c r="V1856">
        <v>0.76</v>
      </c>
      <c r="W1856">
        <v>1.1399999999999999</v>
      </c>
      <c r="X1856">
        <v>0.05</v>
      </c>
      <c r="Y1856">
        <v>1</v>
      </c>
      <c r="Z1856">
        <v>10</v>
      </c>
    </row>
    <row r="1857" spans="1:26" x14ac:dyDescent="0.3">
      <c r="A1857">
        <v>130</v>
      </c>
      <c r="B1857">
        <v>145</v>
      </c>
      <c r="C1857" t="s">
        <v>26</v>
      </c>
      <c r="D1857">
        <v>10.093400000000001</v>
      </c>
      <c r="E1857">
        <v>9.91</v>
      </c>
      <c r="F1857">
        <v>6.74</v>
      </c>
      <c r="G1857">
        <v>101.14</v>
      </c>
      <c r="H1857">
        <v>1.66</v>
      </c>
      <c r="I1857">
        <v>4</v>
      </c>
      <c r="J1857">
        <v>359.17</v>
      </c>
      <c r="K1857">
        <v>61.2</v>
      </c>
      <c r="L1857">
        <v>33.5</v>
      </c>
      <c r="M1857">
        <v>2</v>
      </c>
      <c r="N1857">
        <v>119.48</v>
      </c>
      <c r="O1857">
        <v>44532.57</v>
      </c>
      <c r="P1857">
        <v>116.35</v>
      </c>
      <c r="Q1857">
        <v>204.14</v>
      </c>
      <c r="R1857">
        <v>23.46</v>
      </c>
      <c r="S1857">
        <v>17.37</v>
      </c>
      <c r="T1857">
        <v>953.72</v>
      </c>
      <c r="U1857">
        <v>0.74</v>
      </c>
      <c r="V1857">
        <v>0.76</v>
      </c>
      <c r="W1857">
        <v>1.1399999999999999</v>
      </c>
      <c r="X1857">
        <v>0.05</v>
      </c>
      <c r="Y1857">
        <v>1</v>
      </c>
      <c r="Z1857">
        <v>10</v>
      </c>
    </row>
    <row r="1858" spans="1:26" x14ac:dyDescent="0.3">
      <c r="A1858">
        <v>131</v>
      </c>
      <c r="B1858">
        <v>145</v>
      </c>
      <c r="C1858" t="s">
        <v>26</v>
      </c>
      <c r="D1858">
        <v>10.09</v>
      </c>
      <c r="E1858">
        <v>9.91</v>
      </c>
      <c r="F1858">
        <v>6.75</v>
      </c>
      <c r="G1858">
        <v>101.19</v>
      </c>
      <c r="H1858">
        <v>1.67</v>
      </c>
      <c r="I1858">
        <v>4</v>
      </c>
      <c r="J1858">
        <v>359.84</v>
      </c>
      <c r="K1858">
        <v>61.2</v>
      </c>
      <c r="L1858">
        <v>33.75</v>
      </c>
      <c r="M1858">
        <v>2</v>
      </c>
      <c r="N1858">
        <v>119.89</v>
      </c>
      <c r="O1858">
        <v>44614.04</v>
      </c>
      <c r="P1858">
        <v>116.35</v>
      </c>
      <c r="Q1858">
        <v>204.14</v>
      </c>
      <c r="R1858">
        <v>23.45</v>
      </c>
      <c r="S1858">
        <v>17.37</v>
      </c>
      <c r="T1858">
        <v>947.29</v>
      </c>
      <c r="U1858">
        <v>0.74</v>
      </c>
      <c r="V1858">
        <v>0.76</v>
      </c>
      <c r="W1858">
        <v>1.1399999999999999</v>
      </c>
      <c r="X1858">
        <v>0.06</v>
      </c>
      <c r="Y1858">
        <v>1</v>
      </c>
      <c r="Z1858">
        <v>10</v>
      </c>
    </row>
    <row r="1859" spans="1:26" x14ac:dyDescent="0.3">
      <c r="A1859">
        <v>132</v>
      </c>
      <c r="B1859">
        <v>145</v>
      </c>
      <c r="C1859" t="s">
        <v>26</v>
      </c>
      <c r="D1859">
        <v>10.0953</v>
      </c>
      <c r="E1859">
        <v>9.91</v>
      </c>
      <c r="F1859">
        <v>6.74</v>
      </c>
      <c r="G1859">
        <v>101.11</v>
      </c>
      <c r="H1859">
        <v>1.68</v>
      </c>
      <c r="I1859">
        <v>4</v>
      </c>
      <c r="J1859">
        <v>360.5</v>
      </c>
      <c r="K1859">
        <v>61.2</v>
      </c>
      <c r="L1859">
        <v>34</v>
      </c>
      <c r="M1859">
        <v>2</v>
      </c>
      <c r="N1859">
        <v>120.3</v>
      </c>
      <c r="O1859">
        <v>44695.75</v>
      </c>
      <c r="P1859">
        <v>116.21</v>
      </c>
      <c r="Q1859">
        <v>204.14</v>
      </c>
      <c r="R1859">
        <v>23.42</v>
      </c>
      <c r="S1859">
        <v>17.37</v>
      </c>
      <c r="T1859">
        <v>932.53</v>
      </c>
      <c r="U1859">
        <v>0.74</v>
      </c>
      <c r="V1859">
        <v>0.76</v>
      </c>
      <c r="W1859">
        <v>1.1399999999999999</v>
      </c>
      <c r="X1859">
        <v>0.05</v>
      </c>
      <c r="Y1859">
        <v>1</v>
      </c>
      <c r="Z1859">
        <v>10</v>
      </c>
    </row>
    <row r="1860" spans="1:26" x14ac:dyDescent="0.3">
      <c r="A1860">
        <v>133</v>
      </c>
      <c r="B1860">
        <v>145</v>
      </c>
      <c r="C1860" t="s">
        <v>26</v>
      </c>
      <c r="D1860">
        <v>10.0968</v>
      </c>
      <c r="E1860">
        <v>9.9</v>
      </c>
      <c r="F1860">
        <v>6.74</v>
      </c>
      <c r="G1860">
        <v>101.09</v>
      </c>
      <c r="H1860">
        <v>1.69</v>
      </c>
      <c r="I1860">
        <v>4</v>
      </c>
      <c r="J1860">
        <v>361.16</v>
      </c>
      <c r="K1860">
        <v>61.2</v>
      </c>
      <c r="L1860">
        <v>34.25</v>
      </c>
      <c r="M1860">
        <v>2</v>
      </c>
      <c r="N1860">
        <v>120.71</v>
      </c>
      <c r="O1860">
        <v>44777.68</v>
      </c>
      <c r="P1860">
        <v>116.16</v>
      </c>
      <c r="Q1860">
        <v>204.14</v>
      </c>
      <c r="R1860">
        <v>23.38</v>
      </c>
      <c r="S1860">
        <v>17.37</v>
      </c>
      <c r="T1860">
        <v>912.97</v>
      </c>
      <c r="U1860">
        <v>0.74</v>
      </c>
      <c r="V1860">
        <v>0.76</v>
      </c>
      <c r="W1860">
        <v>1.1399999999999999</v>
      </c>
      <c r="X1860">
        <v>0.05</v>
      </c>
      <c r="Y1860">
        <v>1</v>
      </c>
      <c r="Z1860">
        <v>10</v>
      </c>
    </row>
    <row r="1861" spans="1:26" x14ac:dyDescent="0.3">
      <c r="A1861">
        <v>134</v>
      </c>
      <c r="B1861">
        <v>145</v>
      </c>
      <c r="C1861" t="s">
        <v>26</v>
      </c>
      <c r="D1861">
        <v>10.0959</v>
      </c>
      <c r="E1861">
        <v>9.9</v>
      </c>
      <c r="F1861">
        <v>6.74</v>
      </c>
      <c r="G1861">
        <v>101.1</v>
      </c>
      <c r="H1861">
        <v>1.7</v>
      </c>
      <c r="I1861">
        <v>4</v>
      </c>
      <c r="J1861">
        <v>361.83</v>
      </c>
      <c r="K1861">
        <v>61.2</v>
      </c>
      <c r="L1861">
        <v>34.5</v>
      </c>
      <c r="M1861">
        <v>2</v>
      </c>
      <c r="N1861">
        <v>121.13</v>
      </c>
      <c r="O1861">
        <v>44859.98</v>
      </c>
      <c r="P1861">
        <v>116.08</v>
      </c>
      <c r="Q1861">
        <v>204.15</v>
      </c>
      <c r="R1861">
        <v>23.38</v>
      </c>
      <c r="S1861">
        <v>17.37</v>
      </c>
      <c r="T1861">
        <v>910.65</v>
      </c>
      <c r="U1861">
        <v>0.74</v>
      </c>
      <c r="V1861">
        <v>0.76</v>
      </c>
      <c r="W1861">
        <v>1.1399999999999999</v>
      </c>
      <c r="X1861">
        <v>0.05</v>
      </c>
      <c r="Y1861">
        <v>1</v>
      </c>
      <c r="Z1861">
        <v>10</v>
      </c>
    </row>
    <row r="1862" spans="1:26" x14ac:dyDescent="0.3">
      <c r="A1862">
        <v>135</v>
      </c>
      <c r="B1862">
        <v>145</v>
      </c>
      <c r="C1862" t="s">
        <v>26</v>
      </c>
      <c r="D1862">
        <v>10.0928</v>
      </c>
      <c r="E1862">
        <v>9.91</v>
      </c>
      <c r="F1862">
        <v>6.74</v>
      </c>
      <c r="G1862">
        <v>101.15</v>
      </c>
      <c r="H1862">
        <v>1.71</v>
      </c>
      <c r="I1862">
        <v>4</v>
      </c>
      <c r="J1862">
        <v>362.5</v>
      </c>
      <c r="K1862">
        <v>61.2</v>
      </c>
      <c r="L1862">
        <v>34.75</v>
      </c>
      <c r="M1862">
        <v>2</v>
      </c>
      <c r="N1862">
        <v>121.55</v>
      </c>
      <c r="O1862">
        <v>44942.400000000001</v>
      </c>
      <c r="P1862">
        <v>116.04</v>
      </c>
      <c r="Q1862">
        <v>204.14</v>
      </c>
      <c r="R1862">
        <v>23.41</v>
      </c>
      <c r="S1862">
        <v>17.37</v>
      </c>
      <c r="T1862">
        <v>928.16</v>
      </c>
      <c r="U1862">
        <v>0.74</v>
      </c>
      <c r="V1862">
        <v>0.76</v>
      </c>
      <c r="W1862">
        <v>1.1399999999999999</v>
      </c>
      <c r="X1862">
        <v>0.05</v>
      </c>
      <c r="Y1862">
        <v>1</v>
      </c>
      <c r="Z1862">
        <v>10</v>
      </c>
    </row>
    <row r="1863" spans="1:26" x14ac:dyDescent="0.3">
      <c r="A1863">
        <v>136</v>
      </c>
      <c r="B1863">
        <v>145</v>
      </c>
      <c r="C1863" t="s">
        <v>26</v>
      </c>
      <c r="D1863">
        <v>10.0931</v>
      </c>
      <c r="E1863">
        <v>9.91</v>
      </c>
      <c r="F1863">
        <v>6.74</v>
      </c>
      <c r="G1863">
        <v>101.15</v>
      </c>
      <c r="H1863">
        <v>1.72</v>
      </c>
      <c r="I1863">
        <v>4</v>
      </c>
      <c r="J1863">
        <v>363.17</v>
      </c>
      <c r="K1863">
        <v>61.2</v>
      </c>
      <c r="L1863">
        <v>35</v>
      </c>
      <c r="M1863">
        <v>2</v>
      </c>
      <c r="N1863">
        <v>121.97</v>
      </c>
      <c r="O1863">
        <v>45025.06</v>
      </c>
      <c r="P1863">
        <v>115.94</v>
      </c>
      <c r="Q1863">
        <v>204.14</v>
      </c>
      <c r="R1863">
        <v>23.42</v>
      </c>
      <c r="S1863">
        <v>17.37</v>
      </c>
      <c r="T1863">
        <v>933.06</v>
      </c>
      <c r="U1863">
        <v>0.74</v>
      </c>
      <c r="V1863">
        <v>0.76</v>
      </c>
      <c r="W1863">
        <v>1.1399999999999999</v>
      </c>
      <c r="X1863">
        <v>0.05</v>
      </c>
      <c r="Y1863">
        <v>1</v>
      </c>
      <c r="Z1863">
        <v>10</v>
      </c>
    </row>
    <row r="1864" spans="1:26" x14ac:dyDescent="0.3">
      <c r="A1864">
        <v>137</v>
      </c>
      <c r="B1864">
        <v>145</v>
      </c>
      <c r="C1864" t="s">
        <v>26</v>
      </c>
      <c r="D1864">
        <v>10.0999</v>
      </c>
      <c r="E1864">
        <v>9.9</v>
      </c>
      <c r="F1864">
        <v>6.74</v>
      </c>
      <c r="G1864">
        <v>101.05</v>
      </c>
      <c r="H1864">
        <v>1.73</v>
      </c>
      <c r="I1864">
        <v>4</v>
      </c>
      <c r="J1864">
        <v>363.84</v>
      </c>
      <c r="K1864">
        <v>61.2</v>
      </c>
      <c r="L1864">
        <v>35.25</v>
      </c>
      <c r="M1864">
        <v>2</v>
      </c>
      <c r="N1864">
        <v>122.39</v>
      </c>
      <c r="O1864">
        <v>45107.96</v>
      </c>
      <c r="P1864">
        <v>115.78</v>
      </c>
      <c r="Q1864">
        <v>204.14</v>
      </c>
      <c r="R1864">
        <v>23.18</v>
      </c>
      <c r="S1864">
        <v>17.37</v>
      </c>
      <c r="T1864">
        <v>811.18</v>
      </c>
      <c r="U1864">
        <v>0.75</v>
      </c>
      <c r="V1864">
        <v>0.76</v>
      </c>
      <c r="W1864">
        <v>1.1399999999999999</v>
      </c>
      <c r="X1864">
        <v>0.05</v>
      </c>
      <c r="Y1864">
        <v>1</v>
      </c>
      <c r="Z1864">
        <v>10</v>
      </c>
    </row>
    <row r="1865" spans="1:26" x14ac:dyDescent="0.3">
      <c r="A1865">
        <v>138</v>
      </c>
      <c r="B1865">
        <v>145</v>
      </c>
      <c r="C1865" t="s">
        <v>26</v>
      </c>
      <c r="D1865">
        <v>10.0982</v>
      </c>
      <c r="E1865">
        <v>9.9</v>
      </c>
      <c r="F1865">
        <v>6.74</v>
      </c>
      <c r="G1865">
        <v>101.07</v>
      </c>
      <c r="H1865">
        <v>1.74</v>
      </c>
      <c r="I1865">
        <v>4</v>
      </c>
      <c r="J1865">
        <v>364.51</v>
      </c>
      <c r="K1865">
        <v>61.2</v>
      </c>
      <c r="L1865">
        <v>35.5</v>
      </c>
      <c r="M1865">
        <v>2</v>
      </c>
      <c r="N1865">
        <v>122.82</v>
      </c>
      <c r="O1865">
        <v>45191.1</v>
      </c>
      <c r="P1865">
        <v>115.7</v>
      </c>
      <c r="Q1865">
        <v>204.14</v>
      </c>
      <c r="R1865">
        <v>23.18</v>
      </c>
      <c r="S1865">
        <v>17.37</v>
      </c>
      <c r="T1865">
        <v>811.3</v>
      </c>
      <c r="U1865">
        <v>0.75</v>
      </c>
      <c r="V1865">
        <v>0.76</v>
      </c>
      <c r="W1865">
        <v>1.1399999999999999</v>
      </c>
      <c r="X1865">
        <v>0.05</v>
      </c>
      <c r="Y1865">
        <v>1</v>
      </c>
      <c r="Z1865">
        <v>10</v>
      </c>
    </row>
    <row r="1866" spans="1:26" x14ac:dyDescent="0.3">
      <c r="A1866">
        <v>139</v>
      </c>
      <c r="B1866">
        <v>145</v>
      </c>
      <c r="C1866" t="s">
        <v>26</v>
      </c>
      <c r="D1866">
        <v>10.102399999999999</v>
      </c>
      <c r="E1866">
        <v>9.9</v>
      </c>
      <c r="F1866">
        <v>6.73</v>
      </c>
      <c r="G1866">
        <v>101.01</v>
      </c>
      <c r="H1866">
        <v>1.75</v>
      </c>
      <c r="I1866">
        <v>4</v>
      </c>
      <c r="J1866">
        <v>365.19</v>
      </c>
      <c r="K1866">
        <v>61.2</v>
      </c>
      <c r="L1866">
        <v>35.75</v>
      </c>
      <c r="M1866">
        <v>2</v>
      </c>
      <c r="N1866">
        <v>123.24</v>
      </c>
      <c r="O1866">
        <v>45274.49</v>
      </c>
      <c r="P1866">
        <v>115.63</v>
      </c>
      <c r="Q1866">
        <v>204.14</v>
      </c>
      <c r="R1866">
        <v>23.07</v>
      </c>
      <c r="S1866">
        <v>17.37</v>
      </c>
      <c r="T1866">
        <v>757.99</v>
      </c>
      <c r="U1866">
        <v>0.75</v>
      </c>
      <c r="V1866">
        <v>0.76</v>
      </c>
      <c r="W1866">
        <v>1.1399999999999999</v>
      </c>
      <c r="X1866">
        <v>0.04</v>
      </c>
      <c r="Y1866">
        <v>1</v>
      </c>
      <c r="Z1866">
        <v>10</v>
      </c>
    </row>
    <row r="1867" spans="1:26" x14ac:dyDescent="0.3">
      <c r="A1867">
        <v>140</v>
      </c>
      <c r="B1867">
        <v>145</v>
      </c>
      <c r="C1867" t="s">
        <v>26</v>
      </c>
      <c r="D1867">
        <v>10.1013</v>
      </c>
      <c r="E1867">
        <v>9.9</v>
      </c>
      <c r="F1867">
        <v>6.74</v>
      </c>
      <c r="G1867">
        <v>101.03</v>
      </c>
      <c r="H1867">
        <v>1.75</v>
      </c>
      <c r="I1867">
        <v>4</v>
      </c>
      <c r="J1867">
        <v>365.87</v>
      </c>
      <c r="K1867">
        <v>61.2</v>
      </c>
      <c r="L1867">
        <v>36</v>
      </c>
      <c r="M1867">
        <v>2</v>
      </c>
      <c r="N1867">
        <v>123.67</v>
      </c>
      <c r="O1867">
        <v>45358.13</v>
      </c>
      <c r="P1867">
        <v>115.51</v>
      </c>
      <c r="Q1867">
        <v>204.14</v>
      </c>
      <c r="R1867">
        <v>23.15</v>
      </c>
      <c r="S1867">
        <v>17.37</v>
      </c>
      <c r="T1867">
        <v>797.35</v>
      </c>
      <c r="U1867">
        <v>0.75</v>
      </c>
      <c r="V1867">
        <v>0.76</v>
      </c>
      <c r="W1867">
        <v>1.1399999999999999</v>
      </c>
      <c r="X1867">
        <v>0.04</v>
      </c>
      <c r="Y1867">
        <v>1</v>
      </c>
      <c r="Z1867">
        <v>10</v>
      </c>
    </row>
    <row r="1868" spans="1:26" x14ac:dyDescent="0.3">
      <c r="A1868">
        <v>141</v>
      </c>
      <c r="B1868">
        <v>145</v>
      </c>
      <c r="C1868" t="s">
        <v>26</v>
      </c>
      <c r="D1868">
        <v>10.1004</v>
      </c>
      <c r="E1868">
        <v>9.9</v>
      </c>
      <c r="F1868">
        <v>6.74</v>
      </c>
      <c r="G1868">
        <v>101.04</v>
      </c>
      <c r="H1868">
        <v>1.76</v>
      </c>
      <c r="I1868">
        <v>4</v>
      </c>
      <c r="J1868">
        <v>366.55</v>
      </c>
      <c r="K1868">
        <v>61.2</v>
      </c>
      <c r="L1868">
        <v>36.25</v>
      </c>
      <c r="M1868">
        <v>2</v>
      </c>
      <c r="N1868">
        <v>124.1</v>
      </c>
      <c r="O1868">
        <v>45442.03</v>
      </c>
      <c r="P1868">
        <v>115.44</v>
      </c>
      <c r="Q1868">
        <v>204.14</v>
      </c>
      <c r="R1868">
        <v>23.19</v>
      </c>
      <c r="S1868">
        <v>17.37</v>
      </c>
      <c r="T1868">
        <v>815.27</v>
      </c>
      <c r="U1868">
        <v>0.75</v>
      </c>
      <c r="V1868">
        <v>0.76</v>
      </c>
      <c r="W1868">
        <v>1.1399999999999999</v>
      </c>
      <c r="X1868">
        <v>0.04</v>
      </c>
      <c r="Y1868">
        <v>1</v>
      </c>
      <c r="Z1868">
        <v>10</v>
      </c>
    </row>
    <row r="1869" spans="1:26" x14ac:dyDescent="0.3">
      <c r="A1869">
        <v>142</v>
      </c>
      <c r="B1869">
        <v>145</v>
      </c>
      <c r="C1869" t="s">
        <v>26</v>
      </c>
      <c r="D1869">
        <v>10.1007</v>
      </c>
      <c r="E1869">
        <v>9.9</v>
      </c>
      <c r="F1869">
        <v>6.74</v>
      </c>
      <c r="G1869">
        <v>101.03</v>
      </c>
      <c r="H1869">
        <v>1.77</v>
      </c>
      <c r="I1869">
        <v>4</v>
      </c>
      <c r="J1869">
        <v>367.23</v>
      </c>
      <c r="K1869">
        <v>61.2</v>
      </c>
      <c r="L1869">
        <v>36.5</v>
      </c>
      <c r="M1869">
        <v>2</v>
      </c>
      <c r="N1869">
        <v>124.53</v>
      </c>
      <c r="O1869">
        <v>45526.17</v>
      </c>
      <c r="P1869">
        <v>115.34</v>
      </c>
      <c r="Q1869">
        <v>204.14</v>
      </c>
      <c r="R1869">
        <v>23.22</v>
      </c>
      <c r="S1869">
        <v>17.37</v>
      </c>
      <c r="T1869">
        <v>832.3</v>
      </c>
      <c r="U1869">
        <v>0.75</v>
      </c>
      <c r="V1869">
        <v>0.76</v>
      </c>
      <c r="W1869">
        <v>1.1399999999999999</v>
      </c>
      <c r="X1869">
        <v>0.04</v>
      </c>
      <c r="Y1869">
        <v>1</v>
      </c>
      <c r="Z1869">
        <v>10</v>
      </c>
    </row>
    <row r="1870" spans="1:26" x14ac:dyDescent="0.3">
      <c r="A1870">
        <v>143</v>
      </c>
      <c r="B1870">
        <v>145</v>
      </c>
      <c r="C1870" t="s">
        <v>26</v>
      </c>
      <c r="D1870">
        <v>10.0999</v>
      </c>
      <c r="E1870">
        <v>9.9</v>
      </c>
      <c r="F1870">
        <v>6.74</v>
      </c>
      <c r="G1870">
        <v>101.05</v>
      </c>
      <c r="H1870">
        <v>1.78</v>
      </c>
      <c r="I1870">
        <v>4</v>
      </c>
      <c r="J1870">
        <v>367.92</v>
      </c>
      <c r="K1870">
        <v>61.2</v>
      </c>
      <c r="L1870">
        <v>36.75</v>
      </c>
      <c r="M1870">
        <v>2</v>
      </c>
      <c r="N1870">
        <v>124.97</v>
      </c>
      <c r="O1870">
        <v>45610.57</v>
      </c>
      <c r="P1870">
        <v>115.32</v>
      </c>
      <c r="Q1870">
        <v>204.14</v>
      </c>
      <c r="R1870">
        <v>23.23</v>
      </c>
      <c r="S1870">
        <v>17.37</v>
      </c>
      <c r="T1870">
        <v>838.62</v>
      </c>
      <c r="U1870">
        <v>0.75</v>
      </c>
      <c r="V1870">
        <v>0.76</v>
      </c>
      <c r="W1870">
        <v>1.1399999999999999</v>
      </c>
      <c r="X1870">
        <v>0.05</v>
      </c>
      <c r="Y1870">
        <v>1</v>
      </c>
      <c r="Z1870">
        <v>10</v>
      </c>
    </row>
    <row r="1871" spans="1:26" x14ac:dyDescent="0.3">
      <c r="A1871">
        <v>144</v>
      </c>
      <c r="B1871">
        <v>145</v>
      </c>
      <c r="C1871" t="s">
        <v>26</v>
      </c>
      <c r="D1871">
        <v>10.0985</v>
      </c>
      <c r="E1871">
        <v>9.9</v>
      </c>
      <c r="F1871">
        <v>6.74</v>
      </c>
      <c r="G1871">
        <v>101.07</v>
      </c>
      <c r="H1871">
        <v>1.79</v>
      </c>
      <c r="I1871">
        <v>4</v>
      </c>
      <c r="J1871">
        <v>368.6</v>
      </c>
      <c r="K1871">
        <v>61.2</v>
      </c>
      <c r="L1871">
        <v>37</v>
      </c>
      <c r="M1871">
        <v>2</v>
      </c>
      <c r="N1871">
        <v>125.4</v>
      </c>
      <c r="O1871">
        <v>45695.24</v>
      </c>
      <c r="P1871">
        <v>115.3</v>
      </c>
      <c r="Q1871">
        <v>204.14</v>
      </c>
      <c r="R1871">
        <v>23.23</v>
      </c>
      <c r="S1871">
        <v>17.37</v>
      </c>
      <c r="T1871">
        <v>839.35</v>
      </c>
      <c r="U1871">
        <v>0.75</v>
      </c>
      <c r="V1871">
        <v>0.76</v>
      </c>
      <c r="W1871">
        <v>1.1399999999999999</v>
      </c>
      <c r="X1871">
        <v>0.05</v>
      </c>
      <c r="Y1871">
        <v>1</v>
      </c>
      <c r="Z1871">
        <v>10</v>
      </c>
    </row>
    <row r="1872" spans="1:26" x14ac:dyDescent="0.3">
      <c r="A1872">
        <v>145</v>
      </c>
      <c r="B1872">
        <v>145</v>
      </c>
      <c r="C1872" t="s">
        <v>26</v>
      </c>
      <c r="D1872">
        <v>10.0968</v>
      </c>
      <c r="E1872">
        <v>9.9</v>
      </c>
      <c r="F1872">
        <v>6.74</v>
      </c>
      <c r="G1872">
        <v>101.09</v>
      </c>
      <c r="H1872">
        <v>1.8</v>
      </c>
      <c r="I1872">
        <v>4</v>
      </c>
      <c r="J1872">
        <v>369.29</v>
      </c>
      <c r="K1872">
        <v>61.2</v>
      </c>
      <c r="L1872">
        <v>37.25</v>
      </c>
      <c r="M1872">
        <v>2</v>
      </c>
      <c r="N1872">
        <v>125.84</v>
      </c>
      <c r="O1872">
        <v>45780.160000000003</v>
      </c>
      <c r="P1872">
        <v>115.25</v>
      </c>
      <c r="Q1872">
        <v>204.14</v>
      </c>
      <c r="R1872">
        <v>23.34</v>
      </c>
      <c r="S1872">
        <v>17.37</v>
      </c>
      <c r="T1872">
        <v>892.14</v>
      </c>
      <c r="U1872">
        <v>0.74</v>
      </c>
      <c r="V1872">
        <v>0.76</v>
      </c>
      <c r="W1872">
        <v>1.1399999999999999</v>
      </c>
      <c r="X1872">
        <v>0.05</v>
      </c>
      <c r="Y1872">
        <v>1</v>
      </c>
      <c r="Z1872">
        <v>10</v>
      </c>
    </row>
    <row r="1873" spans="1:26" x14ac:dyDescent="0.3">
      <c r="A1873">
        <v>146</v>
      </c>
      <c r="B1873">
        <v>145</v>
      </c>
      <c r="C1873" t="s">
        <v>26</v>
      </c>
      <c r="D1873">
        <v>10.097</v>
      </c>
      <c r="E1873">
        <v>9.9</v>
      </c>
      <c r="F1873">
        <v>6.74</v>
      </c>
      <c r="G1873">
        <v>101.09</v>
      </c>
      <c r="H1873">
        <v>1.81</v>
      </c>
      <c r="I1873">
        <v>4</v>
      </c>
      <c r="J1873">
        <v>369.98</v>
      </c>
      <c r="K1873">
        <v>61.2</v>
      </c>
      <c r="L1873">
        <v>37.5</v>
      </c>
      <c r="M1873">
        <v>2</v>
      </c>
      <c r="N1873">
        <v>126.28</v>
      </c>
      <c r="O1873">
        <v>45865.47</v>
      </c>
      <c r="P1873">
        <v>115.04</v>
      </c>
      <c r="Q1873">
        <v>204.14</v>
      </c>
      <c r="R1873">
        <v>23.36</v>
      </c>
      <c r="S1873">
        <v>17.37</v>
      </c>
      <c r="T1873">
        <v>902.05</v>
      </c>
      <c r="U1873">
        <v>0.74</v>
      </c>
      <c r="V1873">
        <v>0.76</v>
      </c>
      <c r="W1873">
        <v>1.1399999999999999</v>
      </c>
      <c r="X1873">
        <v>0.05</v>
      </c>
      <c r="Y1873">
        <v>1</v>
      </c>
      <c r="Z1873">
        <v>10</v>
      </c>
    </row>
    <row r="1874" spans="1:26" x14ac:dyDescent="0.3">
      <c r="A1874">
        <v>147</v>
      </c>
      <c r="B1874">
        <v>145</v>
      </c>
      <c r="C1874" t="s">
        <v>26</v>
      </c>
      <c r="D1874">
        <v>10.0939</v>
      </c>
      <c r="E1874">
        <v>9.91</v>
      </c>
      <c r="F1874">
        <v>6.74</v>
      </c>
      <c r="G1874">
        <v>101.13</v>
      </c>
      <c r="H1874">
        <v>1.82</v>
      </c>
      <c r="I1874">
        <v>4</v>
      </c>
      <c r="J1874">
        <v>370.67</v>
      </c>
      <c r="K1874">
        <v>61.2</v>
      </c>
      <c r="L1874">
        <v>37.75</v>
      </c>
      <c r="M1874">
        <v>2</v>
      </c>
      <c r="N1874">
        <v>126.73</v>
      </c>
      <c r="O1874">
        <v>45950.92</v>
      </c>
      <c r="P1874">
        <v>115.05</v>
      </c>
      <c r="Q1874">
        <v>204.14</v>
      </c>
      <c r="R1874">
        <v>23.38</v>
      </c>
      <c r="S1874">
        <v>17.37</v>
      </c>
      <c r="T1874">
        <v>912.46</v>
      </c>
      <c r="U1874">
        <v>0.74</v>
      </c>
      <c r="V1874">
        <v>0.76</v>
      </c>
      <c r="W1874">
        <v>1.1399999999999999</v>
      </c>
      <c r="X1874">
        <v>0.05</v>
      </c>
      <c r="Y1874">
        <v>1</v>
      </c>
      <c r="Z1874">
        <v>10</v>
      </c>
    </row>
    <row r="1875" spans="1:26" x14ac:dyDescent="0.3">
      <c r="A1875">
        <v>148</v>
      </c>
      <c r="B1875">
        <v>145</v>
      </c>
      <c r="C1875" t="s">
        <v>26</v>
      </c>
      <c r="D1875">
        <v>10.0953</v>
      </c>
      <c r="E1875">
        <v>9.91</v>
      </c>
      <c r="F1875">
        <v>6.74</v>
      </c>
      <c r="G1875">
        <v>101.11</v>
      </c>
      <c r="H1875">
        <v>1.82</v>
      </c>
      <c r="I1875">
        <v>4</v>
      </c>
      <c r="J1875">
        <v>371.37</v>
      </c>
      <c r="K1875">
        <v>61.2</v>
      </c>
      <c r="L1875">
        <v>38</v>
      </c>
      <c r="M1875">
        <v>2</v>
      </c>
      <c r="N1875">
        <v>127.17</v>
      </c>
      <c r="O1875">
        <v>46036.65</v>
      </c>
      <c r="P1875">
        <v>114.91</v>
      </c>
      <c r="Q1875">
        <v>204.16</v>
      </c>
      <c r="R1875">
        <v>23.31</v>
      </c>
      <c r="S1875">
        <v>17.37</v>
      </c>
      <c r="T1875">
        <v>876.41</v>
      </c>
      <c r="U1875">
        <v>0.75</v>
      </c>
      <c r="V1875">
        <v>0.76</v>
      </c>
      <c r="W1875">
        <v>1.1399999999999999</v>
      </c>
      <c r="X1875">
        <v>0.05</v>
      </c>
      <c r="Y1875">
        <v>1</v>
      </c>
      <c r="Z1875">
        <v>10</v>
      </c>
    </row>
    <row r="1876" spans="1:26" x14ac:dyDescent="0.3">
      <c r="A1876">
        <v>149</v>
      </c>
      <c r="B1876">
        <v>145</v>
      </c>
      <c r="C1876" t="s">
        <v>26</v>
      </c>
      <c r="D1876">
        <v>10.099299999999999</v>
      </c>
      <c r="E1876">
        <v>9.9</v>
      </c>
      <c r="F1876">
        <v>6.74</v>
      </c>
      <c r="G1876">
        <v>101.05</v>
      </c>
      <c r="H1876">
        <v>1.83</v>
      </c>
      <c r="I1876">
        <v>4</v>
      </c>
      <c r="J1876">
        <v>372.07</v>
      </c>
      <c r="K1876">
        <v>61.2</v>
      </c>
      <c r="L1876">
        <v>38.25</v>
      </c>
      <c r="M1876">
        <v>2</v>
      </c>
      <c r="N1876">
        <v>127.62</v>
      </c>
      <c r="O1876">
        <v>46122.64</v>
      </c>
      <c r="P1876">
        <v>114.75</v>
      </c>
      <c r="Q1876">
        <v>204.14</v>
      </c>
      <c r="R1876">
        <v>23.26</v>
      </c>
      <c r="S1876">
        <v>17.37</v>
      </c>
      <c r="T1876">
        <v>854.53</v>
      </c>
      <c r="U1876">
        <v>0.75</v>
      </c>
      <c r="V1876">
        <v>0.76</v>
      </c>
      <c r="W1876">
        <v>1.1399999999999999</v>
      </c>
      <c r="X1876">
        <v>0.05</v>
      </c>
      <c r="Y1876">
        <v>1</v>
      </c>
      <c r="Z1876">
        <v>10</v>
      </c>
    </row>
    <row r="1877" spans="1:26" x14ac:dyDescent="0.3">
      <c r="A1877">
        <v>150</v>
      </c>
      <c r="B1877">
        <v>145</v>
      </c>
      <c r="C1877" t="s">
        <v>26</v>
      </c>
      <c r="D1877">
        <v>10.096500000000001</v>
      </c>
      <c r="E1877">
        <v>9.9</v>
      </c>
      <c r="F1877">
        <v>6.74</v>
      </c>
      <c r="G1877">
        <v>101.1</v>
      </c>
      <c r="H1877">
        <v>1.84</v>
      </c>
      <c r="I1877">
        <v>4</v>
      </c>
      <c r="J1877">
        <v>372.77</v>
      </c>
      <c r="K1877">
        <v>61.2</v>
      </c>
      <c r="L1877">
        <v>38.5</v>
      </c>
      <c r="M1877">
        <v>2</v>
      </c>
      <c r="N1877">
        <v>128.07</v>
      </c>
      <c r="O1877">
        <v>46208.91</v>
      </c>
      <c r="P1877">
        <v>114.75</v>
      </c>
      <c r="Q1877">
        <v>204.14</v>
      </c>
      <c r="R1877">
        <v>23.28</v>
      </c>
      <c r="S1877">
        <v>17.37</v>
      </c>
      <c r="T1877">
        <v>862.44</v>
      </c>
      <c r="U1877">
        <v>0.75</v>
      </c>
      <c r="V1877">
        <v>0.76</v>
      </c>
      <c r="W1877">
        <v>1.1399999999999999</v>
      </c>
      <c r="X1877">
        <v>0.05</v>
      </c>
      <c r="Y1877">
        <v>1</v>
      </c>
      <c r="Z1877">
        <v>10</v>
      </c>
    </row>
    <row r="1878" spans="1:26" x14ac:dyDescent="0.3">
      <c r="A1878">
        <v>151</v>
      </c>
      <c r="B1878">
        <v>145</v>
      </c>
      <c r="C1878" t="s">
        <v>26</v>
      </c>
      <c r="D1878">
        <v>10.0962</v>
      </c>
      <c r="E1878">
        <v>9.9</v>
      </c>
      <c r="F1878">
        <v>6.74</v>
      </c>
      <c r="G1878">
        <v>101.1</v>
      </c>
      <c r="H1878">
        <v>1.85</v>
      </c>
      <c r="I1878">
        <v>4</v>
      </c>
      <c r="J1878">
        <v>373.47</v>
      </c>
      <c r="K1878">
        <v>61.2</v>
      </c>
      <c r="L1878">
        <v>38.75</v>
      </c>
      <c r="M1878">
        <v>2</v>
      </c>
      <c r="N1878">
        <v>128.52000000000001</v>
      </c>
      <c r="O1878">
        <v>46295.45</v>
      </c>
      <c r="P1878">
        <v>114.68</v>
      </c>
      <c r="Q1878">
        <v>204.14</v>
      </c>
      <c r="R1878">
        <v>23.34</v>
      </c>
      <c r="S1878">
        <v>17.37</v>
      </c>
      <c r="T1878">
        <v>891.45</v>
      </c>
      <c r="U1878">
        <v>0.74</v>
      </c>
      <c r="V1878">
        <v>0.76</v>
      </c>
      <c r="W1878">
        <v>1.1399999999999999</v>
      </c>
      <c r="X1878">
        <v>0.05</v>
      </c>
      <c r="Y1878">
        <v>1</v>
      </c>
      <c r="Z1878">
        <v>10</v>
      </c>
    </row>
    <row r="1879" spans="1:26" x14ac:dyDescent="0.3">
      <c r="A1879">
        <v>152</v>
      </c>
      <c r="B1879">
        <v>145</v>
      </c>
      <c r="C1879" t="s">
        <v>26</v>
      </c>
      <c r="D1879">
        <v>10.098699999999999</v>
      </c>
      <c r="E1879">
        <v>9.9</v>
      </c>
      <c r="F1879">
        <v>6.74</v>
      </c>
      <c r="G1879">
        <v>101.06</v>
      </c>
      <c r="H1879">
        <v>1.86</v>
      </c>
      <c r="I1879">
        <v>4</v>
      </c>
      <c r="J1879">
        <v>374.17</v>
      </c>
      <c r="K1879">
        <v>61.2</v>
      </c>
      <c r="L1879">
        <v>39</v>
      </c>
      <c r="M1879">
        <v>2</v>
      </c>
      <c r="N1879">
        <v>128.97</v>
      </c>
      <c r="O1879">
        <v>46382.28</v>
      </c>
      <c r="P1879">
        <v>114.59</v>
      </c>
      <c r="Q1879">
        <v>204.15</v>
      </c>
      <c r="R1879">
        <v>23.22</v>
      </c>
      <c r="S1879">
        <v>17.37</v>
      </c>
      <c r="T1879">
        <v>834.3</v>
      </c>
      <c r="U1879">
        <v>0.75</v>
      </c>
      <c r="V1879">
        <v>0.76</v>
      </c>
      <c r="W1879">
        <v>1.1399999999999999</v>
      </c>
      <c r="X1879">
        <v>0.05</v>
      </c>
      <c r="Y1879">
        <v>1</v>
      </c>
      <c r="Z1879">
        <v>10</v>
      </c>
    </row>
    <row r="1880" spans="1:26" x14ac:dyDescent="0.3">
      <c r="A1880">
        <v>153</v>
      </c>
      <c r="B1880">
        <v>145</v>
      </c>
      <c r="C1880" t="s">
        <v>26</v>
      </c>
      <c r="D1880">
        <v>10.0959</v>
      </c>
      <c r="E1880">
        <v>9.9</v>
      </c>
      <c r="F1880">
        <v>6.74</v>
      </c>
      <c r="G1880">
        <v>101.1</v>
      </c>
      <c r="H1880">
        <v>1.87</v>
      </c>
      <c r="I1880">
        <v>4</v>
      </c>
      <c r="J1880">
        <v>374.88</v>
      </c>
      <c r="K1880">
        <v>61.2</v>
      </c>
      <c r="L1880">
        <v>39.25</v>
      </c>
      <c r="M1880">
        <v>2</v>
      </c>
      <c r="N1880">
        <v>129.43</v>
      </c>
      <c r="O1880">
        <v>46469.38</v>
      </c>
      <c r="P1880">
        <v>114.5</v>
      </c>
      <c r="Q1880">
        <v>204.14</v>
      </c>
      <c r="R1880">
        <v>23.27</v>
      </c>
      <c r="S1880">
        <v>17.37</v>
      </c>
      <c r="T1880">
        <v>858.8</v>
      </c>
      <c r="U1880">
        <v>0.75</v>
      </c>
      <c r="V1880">
        <v>0.76</v>
      </c>
      <c r="W1880">
        <v>1.1399999999999999</v>
      </c>
      <c r="X1880">
        <v>0.05</v>
      </c>
      <c r="Y1880">
        <v>1</v>
      </c>
      <c r="Z1880">
        <v>10</v>
      </c>
    </row>
    <row r="1881" spans="1:26" x14ac:dyDescent="0.3">
      <c r="A1881">
        <v>154</v>
      </c>
      <c r="B1881">
        <v>145</v>
      </c>
      <c r="C1881" t="s">
        <v>26</v>
      </c>
      <c r="D1881">
        <v>10.095599999999999</v>
      </c>
      <c r="E1881">
        <v>9.91</v>
      </c>
      <c r="F1881">
        <v>6.74</v>
      </c>
      <c r="G1881">
        <v>101.11</v>
      </c>
      <c r="H1881">
        <v>1.88</v>
      </c>
      <c r="I1881">
        <v>4</v>
      </c>
      <c r="J1881">
        <v>375.59</v>
      </c>
      <c r="K1881">
        <v>61.2</v>
      </c>
      <c r="L1881">
        <v>39.5</v>
      </c>
      <c r="M1881">
        <v>2</v>
      </c>
      <c r="N1881">
        <v>129.88999999999999</v>
      </c>
      <c r="O1881">
        <v>46556.77</v>
      </c>
      <c r="P1881">
        <v>114.3</v>
      </c>
      <c r="Q1881">
        <v>204.15</v>
      </c>
      <c r="R1881">
        <v>23.31</v>
      </c>
      <c r="S1881">
        <v>17.37</v>
      </c>
      <c r="T1881">
        <v>877.61</v>
      </c>
      <c r="U1881">
        <v>0.75</v>
      </c>
      <c r="V1881">
        <v>0.76</v>
      </c>
      <c r="W1881">
        <v>1.1399999999999999</v>
      </c>
      <c r="X1881">
        <v>0.05</v>
      </c>
      <c r="Y1881">
        <v>1</v>
      </c>
      <c r="Z1881">
        <v>10</v>
      </c>
    </row>
    <row r="1882" spans="1:26" x14ac:dyDescent="0.3">
      <c r="A1882">
        <v>155</v>
      </c>
      <c r="B1882">
        <v>145</v>
      </c>
      <c r="C1882" t="s">
        <v>26</v>
      </c>
      <c r="D1882">
        <v>10.0914</v>
      </c>
      <c r="E1882">
        <v>9.91</v>
      </c>
      <c r="F1882">
        <v>6.74</v>
      </c>
      <c r="G1882">
        <v>101.17</v>
      </c>
      <c r="H1882">
        <v>1.88</v>
      </c>
      <c r="I1882">
        <v>4</v>
      </c>
      <c r="J1882">
        <v>376.3</v>
      </c>
      <c r="K1882">
        <v>61.2</v>
      </c>
      <c r="L1882">
        <v>39.75</v>
      </c>
      <c r="M1882">
        <v>2</v>
      </c>
      <c r="N1882">
        <v>130.35</v>
      </c>
      <c r="O1882">
        <v>46644.44</v>
      </c>
      <c r="P1882">
        <v>114.27</v>
      </c>
      <c r="Q1882">
        <v>204.14</v>
      </c>
      <c r="R1882">
        <v>23.51</v>
      </c>
      <c r="S1882">
        <v>17.37</v>
      </c>
      <c r="T1882">
        <v>975.99</v>
      </c>
      <c r="U1882">
        <v>0.74</v>
      </c>
      <c r="V1882">
        <v>0.76</v>
      </c>
      <c r="W1882">
        <v>1.1399999999999999</v>
      </c>
      <c r="X1882">
        <v>0.05</v>
      </c>
      <c r="Y1882">
        <v>1</v>
      </c>
      <c r="Z1882">
        <v>10</v>
      </c>
    </row>
    <row r="1883" spans="1:26" x14ac:dyDescent="0.3">
      <c r="A1883">
        <v>156</v>
      </c>
      <c r="B1883">
        <v>145</v>
      </c>
      <c r="C1883" t="s">
        <v>26</v>
      </c>
      <c r="D1883">
        <v>10.0914</v>
      </c>
      <c r="E1883">
        <v>9.91</v>
      </c>
      <c r="F1883">
        <v>6.74</v>
      </c>
      <c r="G1883">
        <v>101.17</v>
      </c>
      <c r="H1883">
        <v>1.89</v>
      </c>
      <c r="I1883">
        <v>4</v>
      </c>
      <c r="J1883">
        <v>377.01</v>
      </c>
      <c r="K1883">
        <v>61.2</v>
      </c>
      <c r="L1883">
        <v>40</v>
      </c>
      <c r="M1883">
        <v>2</v>
      </c>
      <c r="N1883">
        <v>130.81</v>
      </c>
      <c r="O1883">
        <v>46732.41</v>
      </c>
      <c r="P1883">
        <v>114.02</v>
      </c>
      <c r="Q1883">
        <v>204.15</v>
      </c>
      <c r="R1883">
        <v>23.4</v>
      </c>
      <c r="S1883">
        <v>17.37</v>
      </c>
      <c r="T1883">
        <v>923.09</v>
      </c>
      <c r="U1883">
        <v>0.74</v>
      </c>
      <c r="V1883">
        <v>0.76</v>
      </c>
      <c r="W1883">
        <v>1.1399999999999999</v>
      </c>
      <c r="X1883">
        <v>0.05</v>
      </c>
      <c r="Y1883">
        <v>1</v>
      </c>
      <c r="Z1883">
        <v>10</v>
      </c>
    </row>
    <row r="1884" spans="1:26" x14ac:dyDescent="0.3">
      <c r="A1884">
        <v>0</v>
      </c>
      <c r="B1884">
        <v>65</v>
      </c>
      <c r="C1884" t="s">
        <v>26</v>
      </c>
      <c r="D1884">
        <v>8.4445999999999994</v>
      </c>
      <c r="E1884">
        <v>11.84</v>
      </c>
      <c r="F1884">
        <v>7.95</v>
      </c>
      <c r="G1884">
        <v>7.57</v>
      </c>
      <c r="H1884">
        <v>0.13</v>
      </c>
      <c r="I1884">
        <v>63</v>
      </c>
      <c r="J1884">
        <v>133.21</v>
      </c>
      <c r="K1884">
        <v>46.47</v>
      </c>
      <c r="L1884">
        <v>1</v>
      </c>
      <c r="M1884">
        <v>61</v>
      </c>
      <c r="N1884">
        <v>20.75</v>
      </c>
      <c r="O1884">
        <v>16663.419999999998</v>
      </c>
      <c r="P1884">
        <v>86.56</v>
      </c>
      <c r="Q1884">
        <v>204.24</v>
      </c>
      <c r="R1884">
        <v>61.16</v>
      </c>
      <c r="S1884">
        <v>17.37</v>
      </c>
      <c r="T1884">
        <v>19507.7</v>
      </c>
      <c r="U1884">
        <v>0.28000000000000003</v>
      </c>
      <c r="V1884">
        <v>0.64</v>
      </c>
      <c r="W1884">
        <v>1.23</v>
      </c>
      <c r="X1884">
        <v>1.25</v>
      </c>
      <c r="Y1884">
        <v>1</v>
      </c>
      <c r="Z1884">
        <v>10</v>
      </c>
    </row>
    <row r="1885" spans="1:26" x14ac:dyDescent="0.3">
      <c r="A1885">
        <v>1</v>
      </c>
      <c r="B1885">
        <v>65</v>
      </c>
      <c r="C1885" t="s">
        <v>26</v>
      </c>
      <c r="D1885">
        <v>8.9374000000000002</v>
      </c>
      <c r="E1885">
        <v>11.19</v>
      </c>
      <c r="F1885">
        <v>7.67</v>
      </c>
      <c r="G1885">
        <v>9.4</v>
      </c>
      <c r="H1885">
        <v>0.17</v>
      </c>
      <c r="I1885">
        <v>49</v>
      </c>
      <c r="J1885">
        <v>133.55000000000001</v>
      </c>
      <c r="K1885">
        <v>46.47</v>
      </c>
      <c r="L1885">
        <v>1.25</v>
      </c>
      <c r="M1885">
        <v>47</v>
      </c>
      <c r="N1885">
        <v>20.83</v>
      </c>
      <c r="O1885">
        <v>16704.7</v>
      </c>
      <c r="P1885">
        <v>83.36</v>
      </c>
      <c r="Q1885">
        <v>204.24</v>
      </c>
      <c r="R1885">
        <v>52.73</v>
      </c>
      <c r="S1885">
        <v>17.37</v>
      </c>
      <c r="T1885">
        <v>15361.07</v>
      </c>
      <c r="U1885">
        <v>0.33</v>
      </c>
      <c r="V1885">
        <v>0.67</v>
      </c>
      <c r="W1885">
        <v>1.21</v>
      </c>
      <c r="X1885">
        <v>0.98</v>
      </c>
      <c r="Y1885">
        <v>1</v>
      </c>
      <c r="Z1885">
        <v>10</v>
      </c>
    </row>
    <row r="1886" spans="1:26" x14ac:dyDescent="0.3">
      <c r="A1886">
        <v>2</v>
      </c>
      <c r="B1886">
        <v>65</v>
      </c>
      <c r="C1886" t="s">
        <v>26</v>
      </c>
      <c r="D1886">
        <v>9.3133999999999997</v>
      </c>
      <c r="E1886">
        <v>10.74</v>
      </c>
      <c r="F1886">
        <v>7.47</v>
      </c>
      <c r="G1886">
        <v>11.2</v>
      </c>
      <c r="H1886">
        <v>0.2</v>
      </c>
      <c r="I1886">
        <v>40</v>
      </c>
      <c r="J1886">
        <v>133.88</v>
      </c>
      <c r="K1886">
        <v>46.47</v>
      </c>
      <c r="L1886">
        <v>1.5</v>
      </c>
      <c r="M1886">
        <v>38</v>
      </c>
      <c r="N1886">
        <v>20.91</v>
      </c>
      <c r="O1886">
        <v>16746.009999999998</v>
      </c>
      <c r="P1886">
        <v>80.819999999999993</v>
      </c>
      <c r="Q1886">
        <v>204.15</v>
      </c>
      <c r="R1886">
        <v>45.98</v>
      </c>
      <c r="S1886">
        <v>17.37</v>
      </c>
      <c r="T1886">
        <v>12032.11</v>
      </c>
      <c r="U1886">
        <v>0.38</v>
      </c>
      <c r="V1886">
        <v>0.68</v>
      </c>
      <c r="W1886">
        <v>1.2</v>
      </c>
      <c r="X1886">
        <v>0.78</v>
      </c>
      <c r="Y1886">
        <v>1</v>
      </c>
      <c r="Z1886">
        <v>10</v>
      </c>
    </row>
    <row r="1887" spans="1:26" x14ac:dyDescent="0.3">
      <c r="A1887">
        <v>3</v>
      </c>
      <c r="B1887">
        <v>65</v>
      </c>
      <c r="C1887" t="s">
        <v>26</v>
      </c>
      <c r="D1887">
        <v>9.5587</v>
      </c>
      <c r="E1887">
        <v>10.46</v>
      </c>
      <c r="F1887">
        <v>7.36</v>
      </c>
      <c r="G1887">
        <v>12.98</v>
      </c>
      <c r="H1887">
        <v>0.23</v>
      </c>
      <c r="I1887">
        <v>34</v>
      </c>
      <c r="J1887">
        <v>134.22</v>
      </c>
      <c r="K1887">
        <v>46.47</v>
      </c>
      <c r="L1887">
        <v>1.75</v>
      </c>
      <c r="M1887">
        <v>32</v>
      </c>
      <c r="N1887">
        <v>21</v>
      </c>
      <c r="O1887">
        <v>16787.349999999999</v>
      </c>
      <c r="P1887">
        <v>79.31</v>
      </c>
      <c r="Q1887">
        <v>204.14</v>
      </c>
      <c r="R1887">
        <v>42.66</v>
      </c>
      <c r="S1887">
        <v>17.37</v>
      </c>
      <c r="T1887">
        <v>10401.27</v>
      </c>
      <c r="U1887">
        <v>0.41</v>
      </c>
      <c r="V1887">
        <v>0.69</v>
      </c>
      <c r="W1887">
        <v>1.19</v>
      </c>
      <c r="X1887">
        <v>0.66</v>
      </c>
      <c r="Y1887">
        <v>1</v>
      </c>
      <c r="Z1887">
        <v>10</v>
      </c>
    </row>
    <row r="1888" spans="1:26" x14ac:dyDescent="0.3">
      <c r="A1888">
        <v>4</v>
      </c>
      <c r="B1888">
        <v>65</v>
      </c>
      <c r="C1888" t="s">
        <v>26</v>
      </c>
      <c r="D1888">
        <v>9.7737999999999996</v>
      </c>
      <c r="E1888">
        <v>10.23</v>
      </c>
      <c r="F1888">
        <v>7.26</v>
      </c>
      <c r="G1888">
        <v>15.02</v>
      </c>
      <c r="H1888">
        <v>0.26</v>
      </c>
      <c r="I1888">
        <v>29</v>
      </c>
      <c r="J1888">
        <v>134.55000000000001</v>
      </c>
      <c r="K1888">
        <v>46.47</v>
      </c>
      <c r="L1888">
        <v>2</v>
      </c>
      <c r="M1888">
        <v>27</v>
      </c>
      <c r="N1888">
        <v>21.09</v>
      </c>
      <c r="O1888">
        <v>16828.84</v>
      </c>
      <c r="P1888">
        <v>78.05</v>
      </c>
      <c r="Q1888">
        <v>204.14</v>
      </c>
      <c r="R1888">
        <v>39.69</v>
      </c>
      <c r="S1888">
        <v>17.37</v>
      </c>
      <c r="T1888">
        <v>8942.49</v>
      </c>
      <c r="U1888">
        <v>0.44</v>
      </c>
      <c r="V1888">
        <v>0.7</v>
      </c>
      <c r="W1888">
        <v>1.18</v>
      </c>
      <c r="X1888">
        <v>0.56999999999999995</v>
      </c>
      <c r="Y1888">
        <v>1</v>
      </c>
      <c r="Z1888">
        <v>10</v>
      </c>
    </row>
    <row r="1889" spans="1:26" x14ac:dyDescent="0.3">
      <c r="A1889">
        <v>5</v>
      </c>
      <c r="B1889">
        <v>65</v>
      </c>
      <c r="C1889" t="s">
        <v>26</v>
      </c>
      <c r="D1889">
        <v>9.9088999999999992</v>
      </c>
      <c r="E1889">
        <v>10.09</v>
      </c>
      <c r="F1889">
        <v>7.2</v>
      </c>
      <c r="G1889">
        <v>16.62</v>
      </c>
      <c r="H1889">
        <v>0.28999999999999998</v>
      </c>
      <c r="I1889">
        <v>26</v>
      </c>
      <c r="J1889">
        <v>134.88999999999999</v>
      </c>
      <c r="K1889">
        <v>46.47</v>
      </c>
      <c r="L1889">
        <v>2.25</v>
      </c>
      <c r="M1889">
        <v>24</v>
      </c>
      <c r="N1889">
        <v>21.17</v>
      </c>
      <c r="O1889">
        <v>16870.25</v>
      </c>
      <c r="P1889">
        <v>77.209999999999994</v>
      </c>
      <c r="Q1889">
        <v>204.15</v>
      </c>
      <c r="R1889">
        <v>37.67</v>
      </c>
      <c r="S1889">
        <v>17.37</v>
      </c>
      <c r="T1889">
        <v>7944.97</v>
      </c>
      <c r="U1889">
        <v>0.46</v>
      </c>
      <c r="V1889">
        <v>0.71</v>
      </c>
      <c r="W1889">
        <v>1.18</v>
      </c>
      <c r="X1889">
        <v>0.51</v>
      </c>
      <c r="Y1889">
        <v>1</v>
      </c>
      <c r="Z1889">
        <v>10</v>
      </c>
    </row>
    <row r="1890" spans="1:26" x14ac:dyDescent="0.3">
      <c r="A1890">
        <v>6</v>
      </c>
      <c r="B1890">
        <v>65</v>
      </c>
      <c r="C1890" t="s">
        <v>26</v>
      </c>
      <c r="D1890">
        <v>10.0601</v>
      </c>
      <c r="E1890">
        <v>9.94</v>
      </c>
      <c r="F1890">
        <v>7.13</v>
      </c>
      <c r="G1890">
        <v>18.61</v>
      </c>
      <c r="H1890">
        <v>0.33</v>
      </c>
      <c r="I1890">
        <v>23</v>
      </c>
      <c r="J1890">
        <v>135.22</v>
      </c>
      <c r="K1890">
        <v>46.47</v>
      </c>
      <c r="L1890">
        <v>2.5</v>
      </c>
      <c r="M1890">
        <v>21</v>
      </c>
      <c r="N1890">
        <v>21.26</v>
      </c>
      <c r="O1890">
        <v>16911.68</v>
      </c>
      <c r="P1890">
        <v>76.180000000000007</v>
      </c>
      <c r="Q1890">
        <v>204.18</v>
      </c>
      <c r="R1890">
        <v>35.729999999999997</v>
      </c>
      <c r="S1890">
        <v>17.37</v>
      </c>
      <c r="T1890">
        <v>6994.64</v>
      </c>
      <c r="U1890">
        <v>0.49</v>
      </c>
      <c r="V1890">
        <v>0.72</v>
      </c>
      <c r="W1890">
        <v>1.17</v>
      </c>
      <c r="X1890">
        <v>0.44</v>
      </c>
      <c r="Y1890">
        <v>1</v>
      </c>
      <c r="Z1890">
        <v>10</v>
      </c>
    </row>
    <row r="1891" spans="1:26" x14ac:dyDescent="0.3">
      <c r="A1891">
        <v>7</v>
      </c>
      <c r="B1891">
        <v>65</v>
      </c>
      <c r="C1891" t="s">
        <v>26</v>
      </c>
      <c r="D1891">
        <v>10.160600000000001</v>
      </c>
      <c r="E1891">
        <v>9.84</v>
      </c>
      <c r="F1891">
        <v>7.09</v>
      </c>
      <c r="G1891">
        <v>20.260000000000002</v>
      </c>
      <c r="H1891">
        <v>0.36</v>
      </c>
      <c r="I1891">
        <v>21</v>
      </c>
      <c r="J1891">
        <v>135.56</v>
      </c>
      <c r="K1891">
        <v>46.47</v>
      </c>
      <c r="L1891">
        <v>2.75</v>
      </c>
      <c r="M1891">
        <v>19</v>
      </c>
      <c r="N1891">
        <v>21.34</v>
      </c>
      <c r="O1891">
        <v>16953.14</v>
      </c>
      <c r="P1891">
        <v>75.430000000000007</v>
      </c>
      <c r="Q1891">
        <v>204.15</v>
      </c>
      <c r="R1891">
        <v>34.26</v>
      </c>
      <c r="S1891">
        <v>17.37</v>
      </c>
      <c r="T1891">
        <v>6266.3</v>
      </c>
      <c r="U1891">
        <v>0.51</v>
      </c>
      <c r="V1891">
        <v>0.72</v>
      </c>
      <c r="W1891">
        <v>1.17</v>
      </c>
      <c r="X1891">
        <v>0.4</v>
      </c>
      <c r="Y1891">
        <v>1</v>
      </c>
      <c r="Z1891">
        <v>10</v>
      </c>
    </row>
    <row r="1892" spans="1:26" x14ac:dyDescent="0.3">
      <c r="A1892">
        <v>8</v>
      </c>
      <c r="B1892">
        <v>65</v>
      </c>
      <c r="C1892" t="s">
        <v>26</v>
      </c>
      <c r="D1892">
        <v>10.2623</v>
      </c>
      <c r="E1892">
        <v>9.74</v>
      </c>
      <c r="F1892">
        <v>7.05</v>
      </c>
      <c r="G1892">
        <v>22.25</v>
      </c>
      <c r="H1892">
        <v>0.39</v>
      </c>
      <c r="I1892">
        <v>19</v>
      </c>
      <c r="J1892">
        <v>135.9</v>
      </c>
      <c r="K1892">
        <v>46.47</v>
      </c>
      <c r="L1892">
        <v>3</v>
      </c>
      <c r="M1892">
        <v>17</v>
      </c>
      <c r="N1892">
        <v>21.43</v>
      </c>
      <c r="O1892">
        <v>16994.64</v>
      </c>
      <c r="P1892">
        <v>74.650000000000006</v>
      </c>
      <c r="Q1892">
        <v>204.18</v>
      </c>
      <c r="R1892">
        <v>32.880000000000003</v>
      </c>
      <c r="S1892">
        <v>17.37</v>
      </c>
      <c r="T1892">
        <v>5589.44</v>
      </c>
      <c r="U1892">
        <v>0.53</v>
      </c>
      <c r="V1892">
        <v>0.72</v>
      </c>
      <c r="W1892">
        <v>1.17</v>
      </c>
      <c r="X1892">
        <v>0.35</v>
      </c>
      <c r="Y1892">
        <v>1</v>
      </c>
      <c r="Z1892">
        <v>10</v>
      </c>
    </row>
    <row r="1893" spans="1:26" x14ac:dyDescent="0.3">
      <c r="A1893">
        <v>9</v>
      </c>
      <c r="B1893">
        <v>65</v>
      </c>
      <c r="C1893" t="s">
        <v>26</v>
      </c>
      <c r="D1893">
        <v>10.304600000000001</v>
      </c>
      <c r="E1893">
        <v>9.6999999999999993</v>
      </c>
      <c r="F1893">
        <v>7.03</v>
      </c>
      <c r="G1893">
        <v>23.45</v>
      </c>
      <c r="H1893">
        <v>0.42</v>
      </c>
      <c r="I1893">
        <v>18</v>
      </c>
      <c r="J1893">
        <v>136.22999999999999</v>
      </c>
      <c r="K1893">
        <v>46.47</v>
      </c>
      <c r="L1893">
        <v>3.25</v>
      </c>
      <c r="M1893">
        <v>16</v>
      </c>
      <c r="N1893">
        <v>21.52</v>
      </c>
      <c r="O1893">
        <v>17036.16</v>
      </c>
      <c r="P1893">
        <v>74.239999999999995</v>
      </c>
      <c r="Q1893">
        <v>204.14</v>
      </c>
      <c r="R1893">
        <v>32.58</v>
      </c>
      <c r="S1893">
        <v>17.37</v>
      </c>
      <c r="T1893">
        <v>5440.01</v>
      </c>
      <c r="U1893">
        <v>0.53</v>
      </c>
      <c r="V1893">
        <v>0.73</v>
      </c>
      <c r="W1893">
        <v>1.1599999999999999</v>
      </c>
      <c r="X1893">
        <v>0.34</v>
      </c>
      <c r="Y1893">
        <v>1</v>
      </c>
      <c r="Z1893">
        <v>10</v>
      </c>
    </row>
    <row r="1894" spans="1:26" x14ac:dyDescent="0.3">
      <c r="A1894">
        <v>10</v>
      </c>
      <c r="B1894">
        <v>65</v>
      </c>
      <c r="C1894" t="s">
        <v>26</v>
      </c>
      <c r="D1894">
        <v>10.3558</v>
      </c>
      <c r="E1894">
        <v>9.66</v>
      </c>
      <c r="F1894">
        <v>7.01</v>
      </c>
      <c r="G1894">
        <v>24.75</v>
      </c>
      <c r="H1894">
        <v>0.45</v>
      </c>
      <c r="I1894">
        <v>17</v>
      </c>
      <c r="J1894">
        <v>136.57</v>
      </c>
      <c r="K1894">
        <v>46.47</v>
      </c>
      <c r="L1894">
        <v>3.5</v>
      </c>
      <c r="M1894">
        <v>15</v>
      </c>
      <c r="N1894">
        <v>21.6</v>
      </c>
      <c r="O1894">
        <v>17077.72</v>
      </c>
      <c r="P1894">
        <v>73.900000000000006</v>
      </c>
      <c r="Q1894">
        <v>204.14</v>
      </c>
      <c r="R1894">
        <v>31.88</v>
      </c>
      <c r="S1894">
        <v>17.37</v>
      </c>
      <c r="T1894">
        <v>5099.1099999999997</v>
      </c>
      <c r="U1894">
        <v>0.54</v>
      </c>
      <c r="V1894">
        <v>0.73</v>
      </c>
      <c r="W1894">
        <v>1.1599999999999999</v>
      </c>
      <c r="X1894">
        <v>0.32</v>
      </c>
      <c r="Y1894">
        <v>1</v>
      </c>
      <c r="Z1894">
        <v>10</v>
      </c>
    </row>
    <row r="1895" spans="1:26" x14ac:dyDescent="0.3">
      <c r="A1895">
        <v>11</v>
      </c>
      <c r="B1895">
        <v>65</v>
      </c>
      <c r="C1895" t="s">
        <v>26</v>
      </c>
      <c r="D1895">
        <v>10.4381</v>
      </c>
      <c r="E1895">
        <v>9.58</v>
      </c>
      <c r="F1895">
        <v>6.99</v>
      </c>
      <c r="G1895">
        <v>27.97</v>
      </c>
      <c r="H1895">
        <v>0.48</v>
      </c>
      <c r="I1895">
        <v>15</v>
      </c>
      <c r="J1895">
        <v>136.91</v>
      </c>
      <c r="K1895">
        <v>46.47</v>
      </c>
      <c r="L1895">
        <v>3.75</v>
      </c>
      <c r="M1895">
        <v>13</v>
      </c>
      <c r="N1895">
        <v>21.69</v>
      </c>
      <c r="O1895">
        <v>17119.3</v>
      </c>
      <c r="P1895">
        <v>73.27</v>
      </c>
      <c r="Q1895">
        <v>204.14</v>
      </c>
      <c r="R1895">
        <v>31.23</v>
      </c>
      <c r="S1895">
        <v>17.37</v>
      </c>
      <c r="T1895">
        <v>4780.25</v>
      </c>
      <c r="U1895">
        <v>0.56000000000000005</v>
      </c>
      <c r="V1895">
        <v>0.73</v>
      </c>
      <c r="W1895">
        <v>1.1599999999999999</v>
      </c>
      <c r="X1895">
        <v>0.3</v>
      </c>
      <c r="Y1895">
        <v>1</v>
      </c>
      <c r="Z1895">
        <v>10</v>
      </c>
    </row>
    <row r="1896" spans="1:26" x14ac:dyDescent="0.3">
      <c r="A1896">
        <v>12</v>
      </c>
      <c r="B1896">
        <v>65</v>
      </c>
      <c r="C1896" t="s">
        <v>26</v>
      </c>
      <c r="D1896">
        <v>10.5024</v>
      </c>
      <c r="E1896">
        <v>9.52</v>
      </c>
      <c r="F1896">
        <v>6.96</v>
      </c>
      <c r="G1896">
        <v>29.83</v>
      </c>
      <c r="H1896">
        <v>0.52</v>
      </c>
      <c r="I1896">
        <v>14</v>
      </c>
      <c r="J1896">
        <v>137.25</v>
      </c>
      <c r="K1896">
        <v>46.47</v>
      </c>
      <c r="L1896">
        <v>4</v>
      </c>
      <c r="M1896">
        <v>12</v>
      </c>
      <c r="N1896">
        <v>21.78</v>
      </c>
      <c r="O1896">
        <v>17160.919999999998</v>
      </c>
      <c r="P1896">
        <v>72.67</v>
      </c>
      <c r="Q1896">
        <v>204.14</v>
      </c>
      <c r="R1896">
        <v>30.25</v>
      </c>
      <c r="S1896">
        <v>17.37</v>
      </c>
      <c r="T1896">
        <v>4299.38</v>
      </c>
      <c r="U1896">
        <v>0.56999999999999995</v>
      </c>
      <c r="V1896">
        <v>0.73</v>
      </c>
      <c r="W1896">
        <v>1.1599999999999999</v>
      </c>
      <c r="X1896">
        <v>0.27</v>
      </c>
      <c r="Y1896">
        <v>1</v>
      </c>
      <c r="Z1896">
        <v>10</v>
      </c>
    </row>
    <row r="1897" spans="1:26" x14ac:dyDescent="0.3">
      <c r="A1897">
        <v>13</v>
      </c>
      <c r="B1897">
        <v>65</v>
      </c>
      <c r="C1897" t="s">
        <v>26</v>
      </c>
      <c r="D1897">
        <v>10.507</v>
      </c>
      <c r="E1897">
        <v>9.52</v>
      </c>
      <c r="F1897">
        <v>6.96</v>
      </c>
      <c r="G1897">
        <v>29.81</v>
      </c>
      <c r="H1897">
        <v>0.55000000000000004</v>
      </c>
      <c r="I1897">
        <v>14</v>
      </c>
      <c r="J1897">
        <v>137.58000000000001</v>
      </c>
      <c r="K1897">
        <v>46.47</v>
      </c>
      <c r="L1897">
        <v>4.25</v>
      </c>
      <c r="M1897">
        <v>12</v>
      </c>
      <c r="N1897">
        <v>21.87</v>
      </c>
      <c r="O1897">
        <v>17202.57</v>
      </c>
      <c r="P1897">
        <v>72.45</v>
      </c>
      <c r="Q1897">
        <v>204.18</v>
      </c>
      <c r="R1897">
        <v>30.08</v>
      </c>
      <c r="S1897">
        <v>17.37</v>
      </c>
      <c r="T1897">
        <v>4210.13</v>
      </c>
      <c r="U1897">
        <v>0.57999999999999996</v>
      </c>
      <c r="V1897">
        <v>0.73</v>
      </c>
      <c r="W1897">
        <v>1.1599999999999999</v>
      </c>
      <c r="X1897">
        <v>0.26</v>
      </c>
      <c r="Y1897">
        <v>1</v>
      </c>
      <c r="Z1897">
        <v>10</v>
      </c>
    </row>
    <row r="1898" spans="1:26" x14ac:dyDescent="0.3">
      <c r="A1898">
        <v>14</v>
      </c>
      <c r="B1898">
        <v>65</v>
      </c>
      <c r="C1898" t="s">
        <v>26</v>
      </c>
      <c r="D1898">
        <v>10.5746</v>
      </c>
      <c r="E1898">
        <v>9.4600000000000009</v>
      </c>
      <c r="F1898">
        <v>6.92</v>
      </c>
      <c r="G1898">
        <v>31.95</v>
      </c>
      <c r="H1898">
        <v>0.57999999999999996</v>
      </c>
      <c r="I1898">
        <v>13</v>
      </c>
      <c r="J1898">
        <v>137.91999999999999</v>
      </c>
      <c r="K1898">
        <v>46.47</v>
      </c>
      <c r="L1898">
        <v>4.5</v>
      </c>
      <c r="M1898">
        <v>11</v>
      </c>
      <c r="N1898">
        <v>21.95</v>
      </c>
      <c r="O1898">
        <v>17244.240000000002</v>
      </c>
      <c r="P1898">
        <v>71.95</v>
      </c>
      <c r="Q1898">
        <v>204.14</v>
      </c>
      <c r="R1898">
        <v>29</v>
      </c>
      <c r="S1898">
        <v>17.37</v>
      </c>
      <c r="T1898">
        <v>3676.83</v>
      </c>
      <c r="U1898">
        <v>0.6</v>
      </c>
      <c r="V1898">
        <v>0.74</v>
      </c>
      <c r="W1898">
        <v>1.1599999999999999</v>
      </c>
      <c r="X1898">
        <v>0.23</v>
      </c>
      <c r="Y1898">
        <v>1</v>
      </c>
      <c r="Z1898">
        <v>10</v>
      </c>
    </row>
    <row r="1899" spans="1:26" x14ac:dyDescent="0.3">
      <c r="A1899">
        <v>15</v>
      </c>
      <c r="B1899">
        <v>65</v>
      </c>
      <c r="C1899" t="s">
        <v>26</v>
      </c>
      <c r="D1899">
        <v>10.6073</v>
      </c>
      <c r="E1899">
        <v>9.43</v>
      </c>
      <c r="F1899">
        <v>6.92</v>
      </c>
      <c r="G1899">
        <v>34.6</v>
      </c>
      <c r="H1899">
        <v>0.61</v>
      </c>
      <c r="I1899">
        <v>12</v>
      </c>
      <c r="J1899">
        <v>138.26</v>
      </c>
      <c r="K1899">
        <v>46.47</v>
      </c>
      <c r="L1899">
        <v>4.75</v>
      </c>
      <c r="M1899">
        <v>10</v>
      </c>
      <c r="N1899">
        <v>22.04</v>
      </c>
      <c r="O1899">
        <v>17285.95</v>
      </c>
      <c r="P1899">
        <v>71.650000000000006</v>
      </c>
      <c r="Q1899">
        <v>204.26</v>
      </c>
      <c r="R1899">
        <v>28.96</v>
      </c>
      <c r="S1899">
        <v>17.37</v>
      </c>
      <c r="T1899">
        <v>3663</v>
      </c>
      <c r="U1899">
        <v>0.6</v>
      </c>
      <c r="V1899">
        <v>0.74</v>
      </c>
      <c r="W1899">
        <v>1.1599999999999999</v>
      </c>
      <c r="X1899">
        <v>0.23</v>
      </c>
      <c r="Y1899">
        <v>1</v>
      </c>
      <c r="Z1899">
        <v>10</v>
      </c>
    </row>
    <row r="1900" spans="1:26" x14ac:dyDescent="0.3">
      <c r="A1900">
        <v>16</v>
      </c>
      <c r="B1900">
        <v>65</v>
      </c>
      <c r="C1900" t="s">
        <v>26</v>
      </c>
      <c r="D1900">
        <v>10.6213</v>
      </c>
      <c r="E1900">
        <v>9.41</v>
      </c>
      <c r="F1900">
        <v>6.91</v>
      </c>
      <c r="G1900">
        <v>34.54</v>
      </c>
      <c r="H1900">
        <v>0.64</v>
      </c>
      <c r="I1900">
        <v>12</v>
      </c>
      <c r="J1900">
        <v>138.6</v>
      </c>
      <c r="K1900">
        <v>46.47</v>
      </c>
      <c r="L1900">
        <v>5</v>
      </c>
      <c r="M1900">
        <v>10</v>
      </c>
      <c r="N1900">
        <v>22.13</v>
      </c>
      <c r="O1900">
        <v>17327.689999999999</v>
      </c>
      <c r="P1900">
        <v>71.099999999999994</v>
      </c>
      <c r="Q1900">
        <v>204.16</v>
      </c>
      <c r="R1900">
        <v>28.67</v>
      </c>
      <c r="S1900">
        <v>17.37</v>
      </c>
      <c r="T1900">
        <v>3518.9</v>
      </c>
      <c r="U1900">
        <v>0.61</v>
      </c>
      <c r="V1900">
        <v>0.74</v>
      </c>
      <c r="W1900">
        <v>1.1499999999999999</v>
      </c>
      <c r="X1900">
        <v>0.22</v>
      </c>
      <c r="Y1900">
        <v>1</v>
      </c>
      <c r="Z1900">
        <v>10</v>
      </c>
    </row>
    <row r="1901" spans="1:26" x14ac:dyDescent="0.3">
      <c r="A1901">
        <v>17</v>
      </c>
      <c r="B1901">
        <v>65</v>
      </c>
      <c r="C1901" t="s">
        <v>26</v>
      </c>
      <c r="D1901">
        <v>10.6866</v>
      </c>
      <c r="E1901">
        <v>9.36</v>
      </c>
      <c r="F1901">
        <v>6.88</v>
      </c>
      <c r="G1901">
        <v>37.520000000000003</v>
      </c>
      <c r="H1901">
        <v>0.67</v>
      </c>
      <c r="I1901">
        <v>11</v>
      </c>
      <c r="J1901">
        <v>138.94</v>
      </c>
      <c r="K1901">
        <v>46.47</v>
      </c>
      <c r="L1901">
        <v>5.25</v>
      </c>
      <c r="M1901">
        <v>9</v>
      </c>
      <c r="N1901">
        <v>22.22</v>
      </c>
      <c r="O1901">
        <v>17369.47</v>
      </c>
      <c r="P1901">
        <v>70.569999999999993</v>
      </c>
      <c r="Q1901">
        <v>204.14</v>
      </c>
      <c r="R1901">
        <v>27.65</v>
      </c>
      <c r="S1901">
        <v>17.37</v>
      </c>
      <c r="T1901">
        <v>3010.31</v>
      </c>
      <c r="U1901">
        <v>0.63</v>
      </c>
      <c r="V1901">
        <v>0.74</v>
      </c>
      <c r="W1901">
        <v>1.1499999999999999</v>
      </c>
      <c r="X1901">
        <v>0.19</v>
      </c>
      <c r="Y1901">
        <v>1</v>
      </c>
      <c r="Z1901">
        <v>10</v>
      </c>
    </row>
    <row r="1902" spans="1:26" x14ac:dyDescent="0.3">
      <c r="A1902">
        <v>18</v>
      </c>
      <c r="B1902">
        <v>65</v>
      </c>
      <c r="C1902" t="s">
        <v>26</v>
      </c>
      <c r="D1902">
        <v>10.676500000000001</v>
      </c>
      <c r="E1902">
        <v>9.3699999999999992</v>
      </c>
      <c r="F1902">
        <v>6.89</v>
      </c>
      <c r="G1902">
        <v>37.56</v>
      </c>
      <c r="H1902">
        <v>0.7</v>
      </c>
      <c r="I1902">
        <v>11</v>
      </c>
      <c r="J1902">
        <v>139.28</v>
      </c>
      <c r="K1902">
        <v>46.47</v>
      </c>
      <c r="L1902">
        <v>5.5</v>
      </c>
      <c r="M1902">
        <v>9</v>
      </c>
      <c r="N1902">
        <v>22.31</v>
      </c>
      <c r="O1902">
        <v>17411.27</v>
      </c>
      <c r="P1902">
        <v>70.239999999999995</v>
      </c>
      <c r="Q1902">
        <v>204.15</v>
      </c>
      <c r="R1902">
        <v>27.9</v>
      </c>
      <c r="S1902">
        <v>17.37</v>
      </c>
      <c r="T1902">
        <v>3136.71</v>
      </c>
      <c r="U1902">
        <v>0.62</v>
      </c>
      <c r="V1902">
        <v>0.74</v>
      </c>
      <c r="W1902">
        <v>1.1499999999999999</v>
      </c>
      <c r="X1902">
        <v>0.2</v>
      </c>
      <c r="Y1902">
        <v>1</v>
      </c>
      <c r="Z1902">
        <v>10</v>
      </c>
    </row>
    <row r="1903" spans="1:26" x14ac:dyDescent="0.3">
      <c r="A1903">
        <v>19</v>
      </c>
      <c r="B1903">
        <v>65</v>
      </c>
      <c r="C1903" t="s">
        <v>26</v>
      </c>
      <c r="D1903">
        <v>10.7258</v>
      </c>
      <c r="E1903">
        <v>9.32</v>
      </c>
      <c r="F1903">
        <v>6.87</v>
      </c>
      <c r="G1903">
        <v>41.23</v>
      </c>
      <c r="H1903">
        <v>0.73</v>
      </c>
      <c r="I1903">
        <v>10</v>
      </c>
      <c r="J1903">
        <v>139.61000000000001</v>
      </c>
      <c r="K1903">
        <v>46.47</v>
      </c>
      <c r="L1903">
        <v>5.75</v>
      </c>
      <c r="M1903">
        <v>8</v>
      </c>
      <c r="N1903">
        <v>22.4</v>
      </c>
      <c r="O1903">
        <v>17453.099999999999</v>
      </c>
      <c r="P1903">
        <v>69.709999999999994</v>
      </c>
      <c r="Q1903">
        <v>204.14</v>
      </c>
      <c r="R1903">
        <v>27.46</v>
      </c>
      <c r="S1903">
        <v>17.37</v>
      </c>
      <c r="T1903">
        <v>2920.34</v>
      </c>
      <c r="U1903">
        <v>0.63</v>
      </c>
      <c r="V1903">
        <v>0.74</v>
      </c>
      <c r="W1903">
        <v>1.1499999999999999</v>
      </c>
      <c r="X1903">
        <v>0.18</v>
      </c>
      <c r="Y1903">
        <v>1</v>
      </c>
      <c r="Z1903">
        <v>10</v>
      </c>
    </row>
    <row r="1904" spans="1:26" x14ac:dyDescent="0.3">
      <c r="A1904">
        <v>20</v>
      </c>
      <c r="B1904">
        <v>65</v>
      </c>
      <c r="C1904" t="s">
        <v>26</v>
      </c>
      <c r="D1904">
        <v>10.737</v>
      </c>
      <c r="E1904">
        <v>9.31</v>
      </c>
      <c r="F1904">
        <v>6.86</v>
      </c>
      <c r="G1904">
        <v>41.17</v>
      </c>
      <c r="H1904">
        <v>0.76</v>
      </c>
      <c r="I1904">
        <v>10</v>
      </c>
      <c r="J1904">
        <v>139.94999999999999</v>
      </c>
      <c r="K1904">
        <v>46.47</v>
      </c>
      <c r="L1904">
        <v>6</v>
      </c>
      <c r="M1904">
        <v>8</v>
      </c>
      <c r="N1904">
        <v>22.49</v>
      </c>
      <c r="O1904">
        <v>17494.97</v>
      </c>
      <c r="P1904">
        <v>69.67</v>
      </c>
      <c r="Q1904">
        <v>204.14</v>
      </c>
      <c r="R1904">
        <v>27.08</v>
      </c>
      <c r="S1904">
        <v>17.37</v>
      </c>
      <c r="T1904">
        <v>2734.28</v>
      </c>
      <c r="U1904">
        <v>0.64</v>
      </c>
      <c r="V1904">
        <v>0.74</v>
      </c>
      <c r="W1904">
        <v>1.1499999999999999</v>
      </c>
      <c r="X1904">
        <v>0.17</v>
      </c>
      <c r="Y1904">
        <v>1</v>
      </c>
      <c r="Z1904">
        <v>10</v>
      </c>
    </row>
    <row r="1905" spans="1:26" x14ac:dyDescent="0.3">
      <c r="A1905">
        <v>21</v>
      </c>
      <c r="B1905">
        <v>65</v>
      </c>
      <c r="C1905" t="s">
        <v>26</v>
      </c>
      <c r="D1905">
        <v>10.777799999999999</v>
      </c>
      <c r="E1905">
        <v>9.2799999999999994</v>
      </c>
      <c r="F1905">
        <v>6.85</v>
      </c>
      <c r="G1905">
        <v>45.69</v>
      </c>
      <c r="H1905">
        <v>0.79</v>
      </c>
      <c r="I1905">
        <v>9</v>
      </c>
      <c r="J1905">
        <v>140.29</v>
      </c>
      <c r="K1905">
        <v>46.47</v>
      </c>
      <c r="L1905">
        <v>6.25</v>
      </c>
      <c r="M1905">
        <v>7</v>
      </c>
      <c r="N1905">
        <v>22.58</v>
      </c>
      <c r="O1905">
        <v>17536.87</v>
      </c>
      <c r="P1905">
        <v>69.11</v>
      </c>
      <c r="Q1905">
        <v>204.14</v>
      </c>
      <c r="R1905">
        <v>26.84</v>
      </c>
      <c r="S1905">
        <v>17.37</v>
      </c>
      <c r="T1905">
        <v>2616.9299999999998</v>
      </c>
      <c r="U1905">
        <v>0.65</v>
      </c>
      <c r="V1905">
        <v>0.75</v>
      </c>
      <c r="W1905">
        <v>1.1499999999999999</v>
      </c>
      <c r="X1905">
        <v>0.16</v>
      </c>
      <c r="Y1905">
        <v>1</v>
      </c>
      <c r="Z1905">
        <v>10</v>
      </c>
    </row>
    <row r="1906" spans="1:26" x14ac:dyDescent="0.3">
      <c r="A1906">
        <v>22</v>
      </c>
      <c r="B1906">
        <v>65</v>
      </c>
      <c r="C1906" t="s">
        <v>26</v>
      </c>
      <c r="D1906">
        <v>10.7707</v>
      </c>
      <c r="E1906">
        <v>9.2799999999999994</v>
      </c>
      <c r="F1906">
        <v>6.86</v>
      </c>
      <c r="G1906">
        <v>45.73</v>
      </c>
      <c r="H1906">
        <v>0.82</v>
      </c>
      <c r="I1906">
        <v>9</v>
      </c>
      <c r="J1906">
        <v>140.63</v>
      </c>
      <c r="K1906">
        <v>46.47</v>
      </c>
      <c r="L1906">
        <v>6.5</v>
      </c>
      <c r="M1906">
        <v>7</v>
      </c>
      <c r="N1906">
        <v>22.67</v>
      </c>
      <c r="O1906">
        <v>17578.8</v>
      </c>
      <c r="P1906">
        <v>69.33</v>
      </c>
      <c r="Q1906">
        <v>204.15</v>
      </c>
      <c r="R1906">
        <v>26.96</v>
      </c>
      <c r="S1906">
        <v>17.37</v>
      </c>
      <c r="T1906">
        <v>2678.81</v>
      </c>
      <c r="U1906">
        <v>0.64</v>
      </c>
      <c r="V1906">
        <v>0.74</v>
      </c>
      <c r="W1906">
        <v>1.1499999999999999</v>
      </c>
      <c r="X1906">
        <v>0.17</v>
      </c>
      <c r="Y1906">
        <v>1</v>
      </c>
      <c r="Z1906">
        <v>10</v>
      </c>
    </row>
    <row r="1907" spans="1:26" x14ac:dyDescent="0.3">
      <c r="A1907">
        <v>23</v>
      </c>
      <c r="B1907">
        <v>65</v>
      </c>
      <c r="C1907" t="s">
        <v>26</v>
      </c>
      <c r="D1907">
        <v>10.7723</v>
      </c>
      <c r="E1907">
        <v>9.2799999999999994</v>
      </c>
      <c r="F1907">
        <v>6.86</v>
      </c>
      <c r="G1907">
        <v>45.72</v>
      </c>
      <c r="H1907">
        <v>0.85</v>
      </c>
      <c r="I1907">
        <v>9</v>
      </c>
      <c r="J1907">
        <v>140.97</v>
      </c>
      <c r="K1907">
        <v>46.47</v>
      </c>
      <c r="L1907">
        <v>6.75</v>
      </c>
      <c r="M1907">
        <v>7</v>
      </c>
      <c r="N1907">
        <v>22.76</v>
      </c>
      <c r="O1907">
        <v>17620.759999999998</v>
      </c>
      <c r="P1907">
        <v>68.819999999999993</v>
      </c>
      <c r="Q1907">
        <v>204.15</v>
      </c>
      <c r="R1907">
        <v>27.14</v>
      </c>
      <c r="S1907">
        <v>17.37</v>
      </c>
      <c r="T1907">
        <v>2768.03</v>
      </c>
      <c r="U1907">
        <v>0.64</v>
      </c>
      <c r="V1907">
        <v>0.74</v>
      </c>
      <c r="W1907">
        <v>1.1499999999999999</v>
      </c>
      <c r="X1907">
        <v>0.17</v>
      </c>
      <c r="Y1907">
        <v>1</v>
      </c>
      <c r="Z1907">
        <v>10</v>
      </c>
    </row>
    <row r="1908" spans="1:26" x14ac:dyDescent="0.3">
      <c r="A1908">
        <v>24</v>
      </c>
      <c r="B1908">
        <v>65</v>
      </c>
      <c r="C1908" t="s">
        <v>26</v>
      </c>
      <c r="D1908">
        <v>10.8329</v>
      </c>
      <c r="E1908">
        <v>9.23</v>
      </c>
      <c r="F1908">
        <v>6.83</v>
      </c>
      <c r="G1908">
        <v>51.25</v>
      </c>
      <c r="H1908">
        <v>0.88</v>
      </c>
      <c r="I1908">
        <v>8</v>
      </c>
      <c r="J1908">
        <v>141.31</v>
      </c>
      <c r="K1908">
        <v>46.47</v>
      </c>
      <c r="L1908">
        <v>7</v>
      </c>
      <c r="M1908">
        <v>6</v>
      </c>
      <c r="N1908">
        <v>22.85</v>
      </c>
      <c r="O1908">
        <v>17662.75</v>
      </c>
      <c r="P1908">
        <v>68.09</v>
      </c>
      <c r="Q1908">
        <v>204.14</v>
      </c>
      <c r="R1908">
        <v>26.35</v>
      </c>
      <c r="S1908">
        <v>17.37</v>
      </c>
      <c r="T1908">
        <v>2376.91</v>
      </c>
      <c r="U1908">
        <v>0.66</v>
      </c>
      <c r="V1908">
        <v>0.75</v>
      </c>
      <c r="W1908">
        <v>1.1499999999999999</v>
      </c>
      <c r="X1908">
        <v>0.14000000000000001</v>
      </c>
      <c r="Y1908">
        <v>1</v>
      </c>
      <c r="Z1908">
        <v>10</v>
      </c>
    </row>
    <row r="1909" spans="1:26" x14ac:dyDescent="0.3">
      <c r="A1909">
        <v>25</v>
      </c>
      <c r="B1909">
        <v>65</v>
      </c>
      <c r="C1909" t="s">
        <v>26</v>
      </c>
      <c r="D1909">
        <v>10.8444</v>
      </c>
      <c r="E1909">
        <v>9.2200000000000006</v>
      </c>
      <c r="F1909">
        <v>6.82</v>
      </c>
      <c r="G1909">
        <v>51.17</v>
      </c>
      <c r="H1909">
        <v>0.91</v>
      </c>
      <c r="I1909">
        <v>8</v>
      </c>
      <c r="J1909">
        <v>141.66</v>
      </c>
      <c r="K1909">
        <v>46.47</v>
      </c>
      <c r="L1909">
        <v>7.25</v>
      </c>
      <c r="M1909">
        <v>6</v>
      </c>
      <c r="N1909">
        <v>22.94</v>
      </c>
      <c r="O1909">
        <v>17704.77</v>
      </c>
      <c r="P1909">
        <v>67.62</v>
      </c>
      <c r="Q1909">
        <v>204.15</v>
      </c>
      <c r="R1909">
        <v>25.89</v>
      </c>
      <c r="S1909">
        <v>17.37</v>
      </c>
      <c r="T1909">
        <v>2145.8200000000002</v>
      </c>
      <c r="U1909">
        <v>0.67</v>
      </c>
      <c r="V1909">
        <v>0.75</v>
      </c>
      <c r="W1909">
        <v>1.1499999999999999</v>
      </c>
      <c r="X1909">
        <v>0.13</v>
      </c>
      <c r="Y1909">
        <v>1</v>
      </c>
      <c r="Z1909">
        <v>10</v>
      </c>
    </row>
    <row r="1910" spans="1:26" x14ac:dyDescent="0.3">
      <c r="A1910">
        <v>26</v>
      </c>
      <c r="B1910">
        <v>65</v>
      </c>
      <c r="C1910" t="s">
        <v>26</v>
      </c>
      <c r="D1910">
        <v>10.837199999999999</v>
      </c>
      <c r="E1910">
        <v>9.23</v>
      </c>
      <c r="F1910">
        <v>6.83</v>
      </c>
      <c r="G1910">
        <v>51.22</v>
      </c>
      <c r="H1910">
        <v>0.93</v>
      </c>
      <c r="I1910">
        <v>8</v>
      </c>
      <c r="J1910">
        <v>142</v>
      </c>
      <c r="K1910">
        <v>46.47</v>
      </c>
      <c r="L1910">
        <v>7.5</v>
      </c>
      <c r="M1910">
        <v>6</v>
      </c>
      <c r="N1910">
        <v>23.03</v>
      </c>
      <c r="O1910">
        <v>17746.830000000002</v>
      </c>
      <c r="P1910">
        <v>67.319999999999993</v>
      </c>
      <c r="Q1910">
        <v>204.15</v>
      </c>
      <c r="R1910">
        <v>26.1</v>
      </c>
      <c r="S1910">
        <v>17.37</v>
      </c>
      <c r="T1910">
        <v>2254.17</v>
      </c>
      <c r="U1910">
        <v>0.67</v>
      </c>
      <c r="V1910">
        <v>0.75</v>
      </c>
      <c r="W1910">
        <v>1.1499999999999999</v>
      </c>
      <c r="X1910">
        <v>0.14000000000000001</v>
      </c>
      <c r="Y1910">
        <v>1</v>
      </c>
      <c r="Z1910">
        <v>10</v>
      </c>
    </row>
    <row r="1911" spans="1:26" x14ac:dyDescent="0.3">
      <c r="A1911">
        <v>27</v>
      </c>
      <c r="B1911">
        <v>65</v>
      </c>
      <c r="C1911" t="s">
        <v>26</v>
      </c>
      <c r="D1911">
        <v>10.833299999999999</v>
      </c>
      <c r="E1911">
        <v>9.23</v>
      </c>
      <c r="F1911">
        <v>6.83</v>
      </c>
      <c r="G1911">
        <v>51.25</v>
      </c>
      <c r="H1911">
        <v>0.96</v>
      </c>
      <c r="I1911">
        <v>8</v>
      </c>
      <c r="J1911">
        <v>142.34</v>
      </c>
      <c r="K1911">
        <v>46.47</v>
      </c>
      <c r="L1911">
        <v>7.75</v>
      </c>
      <c r="M1911">
        <v>6</v>
      </c>
      <c r="N1911">
        <v>23.12</v>
      </c>
      <c r="O1911">
        <v>17788.919999999998</v>
      </c>
      <c r="P1911">
        <v>67.13</v>
      </c>
      <c r="Q1911">
        <v>204.14</v>
      </c>
      <c r="R1911">
        <v>26.18</v>
      </c>
      <c r="S1911">
        <v>17.37</v>
      </c>
      <c r="T1911">
        <v>2293.09</v>
      </c>
      <c r="U1911">
        <v>0.66</v>
      </c>
      <c r="V1911">
        <v>0.75</v>
      </c>
      <c r="W1911">
        <v>1.1499999999999999</v>
      </c>
      <c r="X1911">
        <v>0.14000000000000001</v>
      </c>
      <c r="Y1911">
        <v>1</v>
      </c>
      <c r="Z1911">
        <v>10</v>
      </c>
    </row>
    <row r="1912" spans="1:26" x14ac:dyDescent="0.3">
      <c r="A1912">
        <v>28</v>
      </c>
      <c r="B1912">
        <v>65</v>
      </c>
      <c r="C1912" t="s">
        <v>26</v>
      </c>
      <c r="D1912">
        <v>10.901199999999999</v>
      </c>
      <c r="E1912">
        <v>9.17</v>
      </c>
      <c r="F1912">
        <v>6.8</v>
      </c>
      <c r="G1912">
        <v>58.31</v>
      </c>
      <c r="H1912">
        <v>0.99</v>
      </c>
      <c r="I1912">
        <v>7</v>
      </c>
      <c r="J1912">
        <v>142.68</v>
      </c>
      <c r="K1912">
        <v>46.47</v>
      </c>
      <c r="L1912">
        <v>8</v>
      </c>
      <c r="M1912">
        <v>5</v>
      </c>
      <c r="N1912">
        <v>23.21</v>
      </c>
      <c r="O1912">
        <v>17831.04</v>
      </c>
      <c r="P1912">
        <v>66.47</v>
      </c>
      <c r="Q1912">
        <v>204.16</v>
      </c>
      <c r="R1912">
        <v>25.27</v>
      </c>
      <c r="S1912">
        <v>17.37</v>
      </c>
      <c r="T1912">
        <v>1841.67</v>
      </c>
      <c r="U1912">
        <v>0.69</v>
      </c>
      <c r="V1912">
        <v>0.75</v>
      </c>
      <c r="W1912">
        <v>1.1499999999999999</v>
      </c>
      <c r="X1912">
        <v>0.11</v>
      </c>
      <c r="Y1912">
        <v>1</v>
      </c>
      <c r="Z1912">
        <v>10</v>
      </c>
    </row>
    <row r="1913" spans="1:26" x14ac:dyDescent="0.3">
      <c r="A1913">
        <v>29</v>
      </c>
      <c r="B1913">
        <v>65</v>
      </c>
      <c r="C1913" t="s">
        <v>26</v>
      </c>
      <c r="D1913">
        <v>10.900499999999999</v>
      </c>
      <c r="E1913">
        <v>9.17</v>
      </c>
      <c r="F1913">
        <v>6.8</v>
      </c>
      <c r="G1913">
        <v>58.31</v>
      </c>
      <c r="H1913">
        <v>1.02</v>
      </c>
      <c r="I1913">
        <v>7</v>
      </c>
      <c r="J1913">
        <v>143.02000000000001</v>
      </c>
      <c r="K1913">
        <v>46.47</v>
      </c>
      <c r="L1913">
        <v>8.25</v>
      </c>
      <c r="M1913">
        <v>5</v>
      </c>
      <c r="N1913">
        <v>23.3</v>
      </c>
      <c r="O1913">
        <v>17873.189999999999</v>
      </c>
      <c r="P1913">
        <v>66.75</v>
      </c>
      <c r="Q1913">
        <v>204.17</v>
      </c>
      <c r="R1913">
        <v>25.33</v>
      </c>
      <c r="S1913">
        <v>17.37</v>
      </c>
      <c r="T1913">
        <v>1872.83</v>
      </c>
      <c r="U1913">
        <v>0.69</v>
      </c>
      <c r="V1913">
        <v>0.75</v>
      </c>
      <c r="W1913">
        <v>1.1499999999999999</v>
      </c>
      <c r="X1913">
        <v>0.11</v>
      </c>
      <c r="Y1913">
        <v>1</v>
      </c>
      <c r="Z1913">
        <v>10</v>
      </c>
    </row>
    <row r="1914" spans="1:26" x14ac:dyDescent="0.3">
      <c r="A1914">
        <v>30</v>
      </c>
      <c r="B1914">
        <v>65</v>
      </c>
      <c r="C1914" t="s">
        <v>26</v>
      </c>
      <c r="D1914">
        <v>10.887600000000001</v>
      </c>
      <c r="E1914">
        <v>9.18</v>
      </c>
      <c r="F1914">
        <v>6.81</v>
      </c>
      <c r="G1914">
        <v>58.4</v>
      </c>
      <c r="H1914">
        <v>1.05</v>
      </c>
      <c r="I1914">
        <v>7</v>
      </c>
      <c r="J1914">
        <v>143.36000000000001</v>
      </c>
      <c r="K1914">
        <v>46.47</v>
      </c>
      <c r="L1914">
        <v>8.5</v>
      </c>
      <c r="M1914">
        <v>5</v>
      </c>
      <c r="N1914">
        <v>23.4</v>
      </c>
      <c r="O1914">
        <v>17915.37</v>
      </c>
      <c r="P1914">
        <v>66.599999999999994</v>
      </c>
      <c r="Q1914">
        <v>204.15</v>
      </c>
      <c r="R1914">
        <v>25.63</v>
      </c>
      <c r="S1914">
        <v>17.37</v>
      </c>
      <c r="T1914">
        <v>2023.79</v>
      </c>
      <c r="U1914">
        <v>0.68</v>
      </c>
      <c r="V1914">
        <v>0.75</v>
      </c>
      <c r="W1914">
        <v>1.1499999999999999</v>
      </c>
      <c r="X1914">
        <v>0.12</v>
      </c>
      <c r="Y1914">
        <v>1</v>
      </c>
      <c r="Z1914">
        <v>10</v>
      </c>
    </row>
    <row r="1915" spans="1:26" x14ac:dyDescent="0.3">
      <c r="A1915">
        <v>31</v>
      </c>
      <c r="B1915">
        <v>65</v>
      </c>
      <c r="C1915" t="s">
        <v>26</v>
      </c>
      <c r="D1915">
        <v>10.8909</v>
      </c>
      <c r="E1915">
        <v>9.18</v>
      </c>
      <c r="F1915">
        <v>6.81</v>
      </c>
      <c r="G1915">
        <v>58.38</v>
      </c>
      <c r="H1915">
        <v>1.08</v>
      </c>
      <c r="I1915">
        <v>7</v>
      </c>
      <c r="J1915">
        <v>143.69999999999999</v>
      </c>
      <c r="K1915">
        <v>46.47</v>
      </c>
      <c r="L1915">
        <v>8.75</v>
      </c>
      <c r="M1915">
        <v>5</v>
      </c>
      <c r="N1915">
        <v>23.49</v>
      </c>
      <c r="O1915">
        <v>17957.59</v>
      </c>
      <c r="P1915">
        <v>66.22</v>
      </c>
      <c r="Q1915">
        <v>204.14</v>
      </c>
      <c r="R1915">
        <v>25.59</v>
      </c>
      <c r="S1915">
        <v>17.37</v>
      </c>
      <c r="T1915">
        <v>2003.8</v>
      </c>
      <c r="U1915">
        <v>0.68</v>
      </c>
      <c r="V1915">
        <v>0.75</v>
      </c>
      <c r="W1915">
        <v>1.1499999999999999</v>
      </c>
      <c r="X1915">
        <v>0.12</v>
      </c>
      <c r="Y1915">
        <v>1</v>
      </c>
      <c r="Z1915">
        <v>10</v>
      </c>
    </row>
    <row r="1916" spans="1:26" x14ac:dyDescent="0.3">
      <c r="A1916">
        <v>32</v>
      </c>
      <c r="B1916">
        <v>65</v>
      </c>
      <c r="C1916" t="s">
        <v>26</v>
      </c>
      <c r="D1916">
        <v>10.882099999999999</v>
      </c>
      <c r="E1916">
        <v>9.19</v>
      </c>
      <c r="F1916">
        <v>6.82</v>
      </c>
      <c r="G1916">
        <v>58.45</v>
      </c>
      <c r="H1916">
        <v>1.1100000000000001</v>
      </c>
      <c r="I1916">
        <v>7</v>
      </c>
      <c r="J1916">
        <v>144.05000000000001</v>
      </c>
      <c r="K1916">
        <v>46.47</v>
      </c>
      <c r="L1916">
        <v>9</v>
      </c>
      <c r="M1916">
        <v>5</v>
      </c>
      <c r="N1916">
        <v>23.58</v>
      </c>
      <c r="O1916">
        <v>17999.830000000002</v>
      </c>
      <c r="P1916">
        <v>65.73</v>
      </c>
      <c r="Q1916">
        <v>204.14</v>
      </c>
      <c r="R1916">
        <v>25.86</v>
      </c>
      <c r="S1916">
        <v>17.37</v>
      </c>
      <c r="T1916">
        <v>2137.75</v>
      </c>
      <c r="U1916">
        <v>0.67</v>
      </c>
      <c r="V1916">
        <v>0.75</v>
      </c>
      <c r="W1916">
        <v>1.1499999999999999</v>
      </c>
      <c r="X1916">
        <v>0.13</v>
      </c>
      <c r="Y1916">
        <v>1</v>
      </c>
      <c r="Z1916">
        <v>10</v>
      </c>
    </row>
    <row r="1917" spans="1:26" x14ac:dyDescent="0.3">
      <c r="A1917">
        <v>33</v>
      </c>
      <c r="B1917">
        <v>65</v>
      </c>
      <c r="C1917" t="s">
        <v>26</v>
      </c>
      <c r="D1917">
        <v>10.898899999999999</v>
      </c>
      <c r="E1917">
        <v>9.18</v>
      </c>
      <c r="F1917">
        <v>6.8</v>
      </c>
      <c r="G1917">
        <v>58.32</v>
      </c>
      <c r="H1917">
        <v>1.1299999999999999</v>
      </c>
      <c r="I1917">
        <v>7</v>
      </c>
      <c r="J1917">
        <v>144.38999999999999</v>
      </c>
      <c r="K1917">
        <v>46.47</v>
      </c>
      <c r="L1917">
        <v>9.25</v>
      </c>
      <c r="M1917">
        <v>5</v>
      </c>
      <c r="N1917">
        <v>23.67</v>
      </c>
      <c r="O1917">
        <v>18042.12</v>
      </c>
      <c r="P1917">
        <v>65.09</v>
      </c>
      <c r="Q1917">
        <v>204.14</v>
      </c>
      <c r="R1917">
        <v>25.43</v>
      </c>
      <c r="S1917">
        <v>17.37</v>
      </c>
      <c r="T1917">
        <v>1921.82</v>
      </c>
      <c r="U1917">
        <v>0.68</v>
      </c>
      <c r="V1917">
        <v>0.75</v>
      </c>
      <c r="W1917">
        <v>1.1499999999999999</v>
      </c>
      <c r="X1917">
        <v>0.11</v>
      </c>
      <c r="Y1917">
        <v>1</v>
      </c>
      <c r="Z1917">
        <v>10</v>
      </c>
    </row>
    <row r="1918" spans="1:26" x14ac:dyDescent="0.3">
      <c r="A1918">
        <v>34</v>
      </c>
      <c r="B1918">
        <v>65</v>
      </c>
      <c r="C1918" t="s">
        <v>26</v>
      </c>
      <c r="D1918">
        <v>10.9506</v>
      </c>
      <c r="E1918">
        <v>9.1300000000000008</v>
      </c>
      <c r="F1918">
        <v>6.79</v>
      </c>
      <c r="G1918">
        <v>67.88</v>
      </c>
      <c r="H1918">
        <v>1.1599999999999999</v>
      </c>
      <c r="I1918">
        <v>6</v>
      </c>
      <c r="J1918">
        <v>144.72999999999999</v>
      </c>
      <c r="K1918">
        <v>46.47</v>
      </c>
      <c r="L1918">
        <v>9.5</v>
      </c>
      <c r="M1918">
        <v>4</v>
      </c>
      <c r="N1918">
        <v>23.77</v>
      </c>
      <c r="O1918">
        <v>18084.43</v>
      </c>
      <c r="P1918">
        <v>64.7</v>
      </c>
      <c r="Q1918">
        <v>204.14</v>
      </c>
      <c r="R1918">
        <v>24.86</v>
      </c>
      <c r="S1918">
        <v>17.37</v>
      </c>
      <c r="T1918">
        <v>1643.79</v>
      </c>
      <c r="U1918">
        <v>0.7</v>
      </c>
      <c r="V1918">
        <v>0.75</v>
      </c>
      <c r="W1918">
        <v>1.1499999999999999</v>
      </c>
      <c r="X1918">
        <v>0.1</v>
      </c>
      <c r="Y1918">
        <v>1</v>
      </c>
      <c r="Z1918">
        <v>10</v>
      </c>
    </row>
    <row r="1919" spans="1:26" x14ac:dyDescent="0.3">
      <c r="A1919">
        <v>35</v>
      </c>
      <c r="B1919">
        <v>65</v>
      </c>
      <c r="C1919" t="s">
        <v>26</v>
      </c>
      <c r="D1919">
        <v>10.9499</v>
      </c>
      <c r="E1919">
        <v>9.1300000000000008</v>
      </c>
      <c r="F1919">
        <v>6.79</v>
      </c>
      <c r="G1919">
        <v>67.89</v>
      </c>
      <c r="H1919">
        <v>1.19</v>
      </c>
      <c r="I1919">
        <v>6</v>
      </c>
      <c r="J1919">
        <v>145.08000000000001</v>
      </c>
      <c r="K1919">
        <v>46.47</v>
      </c>
      <c r="L1919">
        <v>9.75</v>
      </c>
      <c r="M1919">
        <v>4</v>
      </c>
      <c r="N1919">
        <v>23.86</v>
      </c>
      <c r="O1919">
        <v>18126.77</v>
      </c>
      <c r="P1919">
        <v>64.75</v>
      </c>
      <c r="Q1919">
        <v>204.15</v>
      </c>
      <c r="R1919">
        <v>24.93</v>
      </c>
      <c r="S1919">
        <v>17.37</v>
      </c>
      <c r="T1919">
        <v>1675.47</v>
      </c>
      <c r="U1919">
        <v>0.7</v>
      </c>
      <c r="V1919">
        <v>0.75</v>
      </c>
      <c r="W1919">
        <v>1.1399999999999999</v>
      </c>
      <c r="X1919">
        <v>0.1</v>
      </c>
      <c r="Y1919">
        <v>1</v>
      </c>
      <c r="Z1919">
        <v>10</v>
      </c>
    </row>
    <row r="1920" spans="1:26" x14ac:dyDescent="0.3">
      <c r="A1920">
        <v>36</v>
      </c>
      <c r="B1920">
        <v>65</v>
      </c>
      <c r="C1920" t="s">
        <v>26</v>
      </c>
      <c r="D1920">
        <v>10.9559</v>
      </c>
      <c r="E1920">
        <v>9.1300000000000008</v>
      </c>
      <c r="F1920">
        <v>6.78</v>
      </c>
      <c r="G1920">
        <v>67.84</v>
      </c>
      <c r="H1920">
        <v>1.22</v>
      </c>
      <c r="I1920">
        <v>6</v>
      </c>
      <c r="J1920">
        <v>145.41999999999999</v>
      </c>
      <c r="K1920">
        <v>46.47</v>
      </c>
      <c r="L1920">
        <v>10</v>
      </c>
      <c r="M1920">
        <v>4</v>
      </c>
      <c r="N1920">
        <v>23.95</v>
      </c>
      <c r="O1920">
        <v>18169.150000000001</v>
      </c>
      <c r="P1920">
        <v>64.56</v>
      </c>
      <c r="Q1920">
        <v>204.16</v>
      </c>
      <c r="R1920">
        <v>24.69</v>
      </c>
      <c r="S1920">
        <v>17.37</v>
      </c>
      <c r="T1920">
        <v>1559.7</v>
      </c>
      <c r="U1920">
        <v>0.7</v>
      </c>
      <c r="V1920">
        <v>0.75</v>
      </c>
      <c r="W1920">
        <v>1.1499999999999999</v>
      </c>
      <c r="X1920">
        <v>0.09</v>
      </c>
      <c r="Y1920">
        <v>1</v>
      </c>
      <c r="Z1920">
        <v>10</v>
      </c>
    </row>
    <row r="1921" spans="1:26" x14ac:dyDescent="0.3">
      <c r="A1921">
        <v>37</v>
      </c>
      <c r="B1921">
        <v>65</v>
      </c>
      <c r="C1921" t="s">
        <v>26</v>
      </c>
      <c r="D1921">
        <v>10.9582</v>
      </c>
      <c r="E1921">
        <v>9.1300000000000008</v>
      </c>
      <c r="F1921">
        <v>6.78</v>
      </c>
      <c r="G1921">
        <v>67.819999999999993</v>
      </c>
      <c r="H1921">
        <v>1.24</v>
      </c>
      <c r="I1921">
        <v>6</v>
      </c>
      <c r="J1921">
        <v>145.76</v>
      </c>
      <c r="K1921">
        <v>46.47</v>
      </c>
      <c r="L1921">
        <v>10.25</v>
      </c>
      <c r="M1921">
        <v>4</v>
      </c>
      <c r="N1921">
        <v>24.05</v>
      </c>
      <c r="O1921">
        <v>18211.560000000001</v>
      </c>
      <c r="P1921">
        <v>64</v>
      </c>
      <c r="Q1921">
        <v>204.18</v>
      </c>
      <c r="R1921">
        <v>24.72</v>
      </c>
      <c r="S1921">
        <v>17.37</v>
      </c>
      <c r="T1921">
        <v>1574.61</v>
      </c>
      <c r="U1921">
        <v>0.7</v>
      </c>
      <c r="V1921">
        <v>0.75</v>
      </c>
      <c r="W1921">
        <v>1.1399999999999999</v>
      </c>
      <c r="X1921">
        <v>0.09</v>
      </c>
      <c r="Y1921">
        <v>1</v>
      </c>
      <c r="Z1921">
        <v>10</v>
      </c>
    </row>
    <row r="1922" spans="1:26" x14ac:dyDescent="0.3">
      <c r="A1922">
        <v>38</v>
      </c>
      <c r="B1922">
        <v>65</v>
      </c>
      <c r="C1922" t="s">
        <v>26</v>
      </c>
      <c r="D1922">
        <v>10.9482</v>
      </c>
      <c r="E1922">
        <v>9.1300000000000008</v>
      </c>
      <c r="F1922">
        <v>6.79</v>
      </c>
      <c r="G1922">
        <v>67.900000000000006</v>
      </c>
      <c r="H1922">
        <v>1.27</v>
      </c>
      <c r="I1922">
        <v>6</v>
      </c>
      <c r="J1922">
        <v>146.11000000000001</v>
      </c>
      <c r="K1922">
        <v>46.47</v>
      </c>
      <c r="L1922">
        <v>10.5</v>
      </c>
      <c r="M1922">
        <v>4</v>
      </c>
      <c r="N1922">
        <v>24.14</v>
      </c>
      <c r="O1922">
        <v>18254.009999999998</v>
      </c>
      <c r="P1922">
        <v>63.69</v>
      </c>
      <c r="Q1922">
        <v>204.15</v>
      </c>
      <c r="R1922">
        <v>24.96</v>
      </c>
      <c r="S1922">
        <v>17.37</v>
      </c>
      <c r="T1922">
        <v>1693.36</v>
      </c>
      <c r="U1922">
        <v>0.7</v>
      </c>
      <c r="V1922">
        <v>0.75</v>
      </c>
      <c r="W1922">
        <v>1.1399999999999999</v>
      </c>
      <c r="X1922">
        <v>0.1</v>
      </c>
      <c r="Y1922">
        <v>1</v>
      </c>
      <c r="Z1922">
        <v>10</v>
      </c>
    </row>
    <row r="1923" spans="1:26" x14ac:dyDescent="0.3">
      <c r="A1923">
        <v>39</v>
      </c>
      <c r="B1923">
        <v>65</v>
      </c>
      <c r="C1923" t="s">
        <v>26</v>
      </c>
      <c r="D1923">
        <v>10.9496</v>
      </c>
      <c r="E1923">
        <v>9.1300000000000008</v>
      </c>
      <c r="F1923">
        <v>6.79</v>
      </c>
      <c r="G1923">
        <v>67.89</v>
      </c>
      <c r="H1923">
        <v>1.3</v>
      </c>
      <c r="I1923">
        <v>6</v>
      </c>
      <c r="J1923">
        <v>146.44999999999999</v>
      </c>
      <c r="K1923">
        <v>46.47</v>
      </c>
      <c r="L1923">
        <v>10.75</v>
      </c>
      <c r="M1923">
        <v>4</v>
      </c>
      <c r="N1923">
        <v>24.24</v>
      </c>
      <c r="O1923">
        <v>18296.48</v>
      </c>
      <c r="P1923">
        <v>63.48</v>
      </c>
      <c r="Q1923">
        <v>204.15</v>
      </c>
      <c r="R1923">
        <v>24.89</v>
      </c>
      <c r="S1923">
        <v>17.37</v>
      </c>
      <c r="T1923">
        <v>1655.2</v>
      </c>
      <c r="U1923">
        <v>0.7</v>
      </c>
      <c r="V1923">
        <v>0.75</v>
      </c>
      <c r="W1923">
        <v>1.1499999999999999</v>
      </c>
      <c r="X1923">
        <v>0.1</v>
      </c>
      <c r="Y1923">
        <v>1</v>
      </c>
      <c r="Z1923">
        <v>10</v>
      </c>
    </row>
    <row r="1924" spans="1:26" x14ac:dyDescent="0.3">
      <c r="A1924">
        <v>40</v>
      </c>
      <c r="B1924">
        <v>65</v>
      </c>
      <c r="C1924" t="s">
        <v>26</v>
      </c>
      <c r="D1924">
        <v>10.940300000000001</v>
      </c>
      <c r="E1924">
        <v>9.14</v>
      </c>
      <c r="F1924">
        <v>6.8</v>
      </c>
      <c r="G1924">
        <v>67.97</v>
      </c>
      <c r="H1924">
        <v>1.33</v>
      </c>
      <c r="I1924">
        <v>6</v>
      </c>
      <c r="J1924">
        <v>146.80000000000001</v>
      </c>
      <c r="K1924">
        <v>46.47</v>
      </c>
      <c r="L1924">
        <v>11</v>
      </c>
      <c r="M1924">
        <v>4</v>
      </c>
      <c r="N1924">
        <v>24.33</v>
      </c>
      <c r="O1924">
        <v>18338.990000000002</v>
      </c>
      <c r="P1924">
        <v>62.77</v>
      </c>
      <c r="Q1924">
        <v>204.14</v>
      </c>
      <c r="R1924">
        <v>25.09</v>
      </c>
      <c r="S1924">
        <v>17.37</v>
      </c>
      <c r="T1924">
        <v>1759.69</v>
      </c>
      <c r="U1924">
        <v>0.69</v>
      </c>
      <c r="V1924">
        <v>0.75</v>
      </c>
      <c r="W1924">
        <v>1.1499999999999999</v>
      </c>
      <c r="X1924">
        <v>0.11</v>
      </c>
      <c r="Y1924">
        <v>1</v>
      </c>
      <c r="Z1924">
        <v>10</v>
      </c>
    </row>
    <row r="1925" spans="1:26" x14ac:dyDescent="0.3">
      <c r="A1925">
        <v>41</v>
      </c>
      <c r="B1925">
        <v>65</v>
      </c>
      <c r="C1925" t="s">
        <v>26</v>
      </c>
      <c r="D1925">
        <v>11.0008</v>
      </c>
      <c r="E1925">
        <v>9.09</v>
      </c>
      <c r="F1925">
        <v>6.77</v>
      </c>
      <c r="G1925">
        <v>81.290000000000006</v>
      </c>
      <c r="H1925">
        <v>1.35</v>
      </c>
      <c r="I1925">
        <v>5</v>
      </c>
      <c r="J1925">
        <v>147.13999999999999</v>
      </c>
      <c r="K1925">
        <v>46.47</v>
      </c>
      <c r="L1925">
        <v>11.25</v>
      </c>
      <c r="M1925">
        <v>3</v>
      </c>
      <c r="N1925">
        <v>24.43</v>
      </c>
      <c r="O1925">
        <v>18381.53</v>
      </c>
      <c r="P1925">
        <v>62.28</v>
      </c>
      <c r="Q1925">
        <v>204.14</v>
      </c>
      <c r="R1925">
        <v>24.48</v>
      </c>
      <c r="S1925">
        <v>17.37</v>
      </c>
      <c r="T1925">
        <v>1456.76</v>
      </c>
      <c r="U1925">
        <v>0.71</v>
      </c>
      <c r="V1925">
        <v>0.75</v>
      </c>
      <c r="W1925">
        <v>1.1399999999999999</v>
      </c>
      <c r="X1925">
        <v>0.08</v>
      </c>
      <c r="Y1925">
        <v>1</v>
      </c>
      <c r="Z1925">
        <v>10</v>
      </c>
    </row>
    <row r="1926" spans="1:26" x14ac:dyDescent="0.3">
      <c r="A1926">
        <v>42</v>
      </c>
      <c r="B1926">
        <v>65</v>
      </c>
      <c r="C1926" t="s">
        <v>26</v>
      </c>
      <c r="D1926">
        <v>11.0008</v>
      </c>
      <c r="E1926">
        <v>9.09</v>
      </c>
      <c r="F1926">
        <v>6.77</v>
      </c>
      <c r="G1926">
        <v>81.290000000000006</v>
      </c>
      <c r="H1926">
        <v>1.38</v>
      </c>
      <c r="I1926">
        <v>5</v>
      </c>
      <c r="J1926">
        <v>147.49</v>
      </c>
      <c r="K1926">
        <v>46.47</v>
      </c>
      <c r="L1926">
        <v>11.5</v>
      </c>
      <c r="M1926">
        <v>3</v>
      </c>
      <c r="N1926">
        <v>24.52</v>
      </c>
      <c r="O1926">
        <v>18424.11</v>
      </c>
      <c r="P1926">
        <v>62.44</v>
      </c>
      <c r="Q1926">
        <v>204.14</v>
      </c>
      <c r="R1926">
        <v>24.48</v>
      </c>
      <c r="S1926">
        <v>17.37</v>
      </c>
      <c r="T1926">
        <v>1455.9</v>
      </c>
      <c r="U1926">
        <v>0.71</v>
      </c>
      <c r="V1926">
        <v>0.75</v>
      </c>
      <c r="W1926">
        <v>1.1399999999999999</v>
      </c>
      <c r="X1926">
        <v>0.08</v>
      </c>
      <c r="Y1926">
        <v>1</v>
      </c>
      <c r="Z1926">
        <v>10</v>
      </c>
    </row>
    <row r="1927" spans="1:26" x14ac:dyDescent="0.3">
      <c r="A1927">
        <v>43</v>
      </c>
      <c r="B1927">
        <v>65</v>
      </c>
      <c r="C1927" t="s">
        <v>26</v>
      </c>
      <c r="D1927">
        <v>11.0001</v>
      </c>
      <c r="E1927">
        <v>9.09</v>
      </c>
      <c r="F1927">
        <v>6.77</v>
      </c>
      <c r="G1927">
        <v>81.290000000000006</v>
      </c>
      <c r="H1927">
        <v>1.41</v>
      </c>
      <c r="I1927">
        <v>5</v>
      </c>
      <c r="J1927">
        <v>147.83000000000001</v>
      </c>
      <c r="K1927">
        <v>46.47</v>
      </c>
      <c r="L1927">
        <v>11.75</v>
      </c>
      <c r="M1927">
        <v>3</v>
      </c>
      <c r="N1927">
        <v>24.62</v>
      </c>
      <c r="O1927">
        <v>18466.71</v>
      </c>
      <c r="P1927">
        <v>62.49</v>
      </c>
      <c r="Q1927">
        <v>204.14</v>
      </c>
      <c r="R1927">
        <v>24.53</v>
      </c>
      <c r="S1927">
        <v>17.37</v>
      </c>
      <c r="T1927">
        <v>1481.11</v>
      </c>
      <c r="U1927">
        <v>0.71</v>
      </c>
      <c r="V1927">
        <v>0.75</v>
      </c>
      <c r="W1927">
        <v>1.1399999999999999</v>
      </c>
      <c r="X1927">
        <v>0.08</v>
      </c>
      <c r="Y1927">
        <v>1</v>
      </c>
      <c r="Z1927">
        <v>10</v>
      </c>
    </row>
    <row r="1928" spans="1:26" x14ac:dyDescent="0.3">
      <c r="A1928">
        <v>44</v>
      </c>
      <c r="B1928">
        <v>65</v>
      </c>
      <c r="C1928" t="s">
        <v>26</v>
      </c>
      <c r="D1928">
        <v>10.9964</v>
      </c>
      <c r="E1928">
        <v>9.09</v>
      </c>
      <c r="F1928">
        <v>6.78</v>
      </c>
      <c r="G1928">
        <v>81.33</v>
      </c>
      <c r="H1928">
        <v>1.43</v>
      </c>
      <c r="I1928">
        <v>5</v>
      </c>
      <c r="J1928">
        <v>148.18</v>
      </c>
      <c r="K1928">
        <v>46.47</v>
      </c>
      <c r="L1928">
        <v>12</v>
      </c>
      <c r="M1928">
        <v>3</v>
      </c>
      <c r="N1928">
        <v>24.71</v>
      </c>
      <c r="O1928">
        <v>18509.36</v>
      </c>
      <c r="P1928">
        <v>62.14</v>
      </c>
      <c r="Q1928">
        <v>204.14</v>
      </c>
      <c r="R1928">
        <v>24.51</v>
      </c>
      <c r="S1928">
        <v>17.37</v>
      </c>
      <c r="T1928">
        <v>1470.71</v>
      </c>
      <c r="U1928">
        <v>0.71</v>
      </c>
      <c r="V1928">
        <v>0.75</v>
      </c>
      <c r="W1928">
        <v>1.1499999999999999</v>
      </c>
      <c r="X1928">
        <v>0.09</v>
      </c>
      <c r="Y1928">
        <v>1</v>
      </c>
      <c r="Z1928">
        <v>10</v>
      </c>
    </row>
    <row r="1929" spans="1:26" x14ac:dyDescent="0.3">
      <c r="A1929">
        <v>45</v>
      </c>
      <c r="B1929">
        <v>65</v>
      </c>
      <c r="C1929" t="s">
        <v>26</v>
      </c>
      <c r="D1929">
        <v>11.005100000000001</v>
      </c>
      <c r="E1929">
        <v>9.09</v>
      </c>
      <c r="F1929">
        <v>6.77</v>
      </c>
      <c r="G1929">
        <v>81.239999999999995</v>
      </c>
      <c r="H1929">
        <v>1.46</v>
      </c>
      <c r="I1929">
        <v>5</v>
      </c>
      <c r="J1929">
        <v>148.52000000000001</v>
      </c>
      <c r="K1929">
        <v>46.47</v>
      </c>
      <c r="L1929">
        <v>12.25</v>
      </c>
      <c r="M1929">
        <v>3</v>
      </c>
      <c r="N1929">
        <v>24.81</v>
      </c>
      <c r="O1929">
        <v>18552.03</v>
      </c>
      <c r="P1929">
        <v>61.64</v>
      </c>
      <c r="Q1929">
        <v>204.14</v>
      </c>
      <c r="R1929">
        <v>24.34</v>
      </c>
      <c r="S1929">
        <v>17.37</v>
      </c>
      <c r="T1929">
        <v>1388.26</v>
      </c>
      <c r="U1929">
        <v>0.71</v>
      </c>
      <c r="V1929">
        <v>0.75</v>
      </c>
      <c r="W1929">
        <v>1.1399999999999999</v>
      </c>
      <c r="X1929">
        <v>0.08</v>
      </c>
      <c r="Y1929">
        <v>1</v>
      </c>
      <c r="Z1929">
        <v>10</v>
      </c>
    </row>
    <row r="1930" spans="1:26" x14ac:dyDescent="0.3">
      <c r="A1930">
        <v>46</v>
      </c>
      <c r="B1930">
        <v>65</v>
      </c>
      <c r="C1930" t="s">
        <v>26</v>
      </c>
      <c r="D1930">
        <v>11.0092</v>
      </c>
      <c r="E1930">
        <v>9.08</v>
      </c>
      <c r="F1930">
        <v>6.77</v>
      </c>
      <c r="G1930">
        <v>81.2</v>
      </c>
      <c r="H1930">
        <v>1.49</v>
      </c>
      <c r="I1930">
        <v>5</v>
      </c>
      <c r="J1930">
        <v>148.87</v>
      </c>
      <c r="K1930">
        <v>46.47</v>
      </c>
      <c r="L1930">
        <v>12.5</v>
      </c>
      <c r="M1930">
        <v>2</v>
      </c>
      <c r="N1930">
        <v>24.9</v>
      </c>
      <c r="O1930">
        <v>18594.740000000002</v>
      </c>
      <c r="P1930">
        <v>61.15</v>
      </c>
      <c r="Q1930">
        <v>204.14</v>
      </c>
      <c r="R1930">
        <v>24.23</v>
      </c>
      <c r="S1930">
        <v>17.37</v>
      </c>
      <c r="T1930">
        <v>1331.1</v>
      </c>
      <c r="U1930">
        <v>0.72</v>
      </c>
      <c r="V1930">
        <v>0.75</v>
      </c>
      <c r="W1930">
        <v>1.1399999999999999</v>
      </c>
      <c r="X1930">
        <v>0.08</v>
      </c>
      <c r="Y1930">
        <v>1</v>
      </c>
      <c r="Z1930">
        <v>10</v>
      </c>
    </row>
    <row r="1931" spans="1:26" x14ac:dyDescent="0.3">
      <c r="A1931">
        <v>47</v>
      </c>
      <c r="B1931">
        <v>65</v>
      </c>
      <c r="C1931" t="s">
        <v>26</v>
      </c>
      <c r="D1931">
        <v>11.006500000000001</v>
      </c>
      <c r="E1931">
        <v>9.09</v>
      </c>
      <c r="F1931">
        <v>6.77</v>
      </c>
      <c r="G1931">
        <v>81.23</v>
      </c>
      <c r="H1931">
        <v>1.51</v>
      </c>
      <c r="I1931">
        <v>5</v>
      </c>
      <c r="J1931">
        <v>149.22</v>
      </c>
      <c r="K1931">
        <v>46.47</v>
      </c>
      <c r="L1931">
        <v>12.75</v>
      </c>
      <c r="M1931">
        <v>2</v>
      </c>
      <c r="N1931">
        <v>25</v>
      </c>
      <c r="O1931">
        <v>18637.48</v>
      </c>
      <c r="P1931">
        <v>61.01</v>
      </c>
      <c r="Q1931">
        <v>204.14</v>
      </c>
      <c r="R1931">
        <v>24.19</v>
      </c>
      <c r="S1931">
        <v>17.37</v>
      </c>
      <c r="T1931">
        <v>1312.23</v>
      </c>
      <c r="U1931">
        <v>0.72</v>
      </c>
      <c r="V1931">
        <v>0.75</v>
      </c>
      <c r="W1931">
        <v>1.1499999999999999</v>
      </c>
      <c r="X1931">
        <v>0.08</v>
      </c>
      <c r="Y1931">
        <v>1</v>
      </c>
      <c r="Z1931">
        <v>10</v>
      </c>
    </row>
    <row r="1932" spans="1:26" x14ac:dyDescent="0.3">
      <c r="A1932">
        <v>48</v>
      </c>
      <c r="B1932">
        <v>65</v>
      </c>
      <c r="C1932" t="s">
        <v>26</v>
      </c>
      <c r="D1932">
        <v>11.0092</v>
      </c>
      <c r="E1932">
        <v>9.08</v>
      </c>
      <c r="F1932">
        <v>6.77</v>
      </c>
      <c r="G1932">
        <v>81.2</v>
      </c>
      <c r="H1932">
        <v>1.54</v>
      </c>
      <c r="I1932">
        <v>5</v>
      </c>
      <c r="J1932">
        <v>149.56</v>
      </c>
      <c r="K1932">
        <v>46.47</v>
      </c>
      <c r="L1932">
        <v>13</v>
      </c>
      <c r="M1932">
        <v>2</v>
      </c>
      <c r="N1932">
        <v>25.1</v>
      </c>
      <c r="O1932">
        <v>18680.25</v>
      </c>
      <c r="P1932">
        <v>60.61</v>
      </c>
      <c r="Q1932">
        <v>204.14</v>
      </c>
      <c r="R1932">
        <v>24.23</v>
      </c>
      <c r="S1932">
        <v>17.37</v>
      </c>
      <c r="T1932">
        <v>1334.61</v>
      </c>
      <c r="U1932">
        <v>0.72</v>
      </c>
      <c r="V1932">
        <v>0.75</v>
      </c>
      <c r="W1932">
        <v>1.1399999999999999</v>
      </c>
      <c r="X1932">
        <v>0.08</v>
      </c>
      <c r="Y1932">
        <v>1</v>
      </c>
      <c r="Z1932">
        <v>10</v>
      </c>
    </row>
    <row r="1933" spans="1:26" x14ac:dyDescent="0.3">
      <c r="A1933">
        <v>49</v>
      </c>
      <c r="B1933">
        <v>65</v>
      </c>
      <c r="C1933" t="s">
        <v>26</v>
      </c>
      <c r="D1933">
        <v>11.0082</v>
      </c>
      <c r="E1933">
        <v>9.08</v>
      </c>
      <c r="F1933">
        <v>6.77</v>
      </c>
      <c r="G1933">
        <v>81.209999999999994</v>
      </c>
      <c r="H1933">
        <v>1.56</v>
      </c>
      <c r="I1933">
        <v>5</v>
      </c>
      <c r="J1933">
        <v>149.91</v>
      </c>
      <c r="K1933">
        <v>46.47</v>
      </c>
      <c r="L1933">
        <v>13.25</v>
      </c>
      <c r="M1933">
        <v>2</v>
      </c>
      <c r="N1933">
        <v>25.19</v>
      </c>
      <c r="O1933">
        <v>18723.060000000001</v>
      </c>
      <c r="P1933">
        <v>60.22</v>
      </c>
      <c r="Q1933">
        <v>204.14</v>
      </c>
      <c r="R1933">
        <v>24.19</v>
      </c>
      <c r="S1933">
        <v>17.37</v>
      </c>
      <c r="T1933">
        <v>1313.15</v>
      </c>
      <c r="U1933">
        <v>0.72</v>
      </c>
      <c r="V1933">
        <v>0.75</v>
      </c>
      <c r="W1933">
        <v>1.1399999999999999</v>
      </c>
      <c r="X1933">
        <v>0.08</v>
      </c>
      <c r="Y1933">
        <v>1</v>
      </c>
      <c r="Z1933">
        <v>10</v>
      </c>
    </row>
    <row r="1934" spans="1:26" x14ac:dyDescent="0.3">
      <c r="A1934">
        <v>50</v>
      </c>
      <c r="B1934">
        <v>65</v>
      </c>
      <c r="C1934" t="s">
        <v>26</v>
      </c>
      <c r="D1934">
        <v>11.0061</v>
      </c>
      <c r="E1934">
        <v>9.09</v>
      </c>
      <c r="F1934">
        <v>6.77</v>
      </c>
      <c r="G1934">
        <v>81.23</v>
      </c>
      <c r="H1934">
        <v>1.59</v>
      </c>
      <c r="I1934">
        <v>5</v>
      </c>
      <c r="J1934">
        <v>150.26</v>
      </c>
      <c r="K1934">
        <v>46.47</v>
      </c>
      <c r="L1934">
        <v>13.5</v>
      </c>
      <c r="M1934">
        <v>1</v>
      </c>
      <c r="N1934">
        <v>25.29</v>
      </c>
      <c r="O1934">
        <v>18765.900000000001</v>
      </c>
      <c r="P1934">
        <v>60.05</v>
      </c>
      <c r="Q1934">
        <v>204.14</v>
      </c>
      <c r="R1934">
        <v>24.21</v>
      </c>
      <c r="S1934">
        <v>17.37</v>
      </c>
      <c r="T1934">
        <v>1321.72</v>
      </c>
      <c r="U1934">
        <v>0.72</v>
      </c>
      <c r="V1934">
        <v>0.75</v>
      </c>
      <c r="W1934">
        <v>1.1499999999999999</v>
      </c>
      <c r="X1934">
        <v>0.08</v>
      </c>
      <c r="Y1934">
        <v>1</v>
      </c>
      <c r="Z1934">
        <v>10</v>
      </c>
    </row>
    <row r="1935" spans="1:26" x14ac:dyDescent="0.3">
      <c r="A1935">
        <v>51</v>
      </c>
      <c r="B1935">
        <v>65</v>
      </c>
      <c r="C1935" t="s">
        <v>26</v>
      </c>
      <c r="D1935">
        <v>11.010899999999999</v>
      </c>
      <c r="E1935">
        <v>9.08</v>
      </c>
      <c r="F1935">
        <v>6.77</v>
      </c>
      <c r="G1935">
        <v>81.19</v>
      </c>
      <c r="H1935">
        <v>1.62</v>
      </c>
      <c r="I1935">
        <v>5</v>
      </c>
      <c r="J1935">
        <v>150.61000000000001</v>
      </c>
      <c r="K1935">
        <v>46.47</v>
      </c>
      <c r="L1935">
        <v>13.75</v>
      </c>
      <c r="M1935">
        <v>1</v>
      </c>
      <c r="N1935">
        <v>25.39</v>
      </c>
      <c r="O1935">
        <v>18808.78</v>
      </c>
      <c r="P1935">
        <v>59.83</v>
      </c>
      <c r="Q1935">
        <v>204.14</v>
      </c>
      <c r="R1935">
        <v>24.09</v>
      </c>
      <c r="S1935">
        <v>17.37</v>
      </c>
      <c r="T1935">
        <v>1260.81</v>
      </c>
      <c r="U1935">
        <v>0.72</v>
      </c>
      <c r="V1935">
        <v>0.75</v>
      </c>
      <c r="W1935">
        <v>1.1499999999999999</v>
      </c>
      <c r="X1935">
        <v>7.0000000000000007E-2</v>
      </c>
      <c r="Y1935">
        <v>1</v>
      </c>
      <c r="Z1935">
        <v>10</v>
      </c>
    </row>
    <row r="1936" spans="1:26" x14ac:dyDescent="0.3">
      <c r="A1936">
        <v>52</v>
      </c>
      <c r="B1936">
        <v>65</v>
      </c>
      <c r="C1936" t="s">
        <v>26</v>
      </c>
      <c r="D1936">
        <v>11.0055</v>
      </c>
      <c r="E1936">
        <v>9.09</v>
      </c>
      <c r="F1936">
        <v>6.77</v>
      </c>
      <c r="G1936">
        <v>81.239999999999995</v>
      </c>
      <c r="H1936">
        <v>1.64</v>
      </c>
      <c r="I1936">
        <v>5</v>
      </c>
      <c r="J1936">
        <v>150.94999999999999</v>
      </c>
      <c r="K1936">
        <v>46.47</v>
      </c>
      <c r="L1936">
        <v>14</v>
      </c>
      <c r="M1936">
        <v>0</v>
      </c>
      <c r="N1936">
        <v>25.49</v>
      </c>
      <c r="O1936">
        <v>18851.689999999999</v>
      </c>
      <c r="P1936">
        <v>59.75</v>
      </c>
      <c r="Q1936">
        <v>204.14</v>
      </c>
      <c r="R1936">
        <v>24.19</v>
      </c>
      <c r="S1936">
        <v>17.37</v>
      </c>
      <c r="T1936">
        <v>1310.45</v>
      </c>
      <c r="U1936">
        <v>0.72</v>
      </c>
      <c r="V1936">
        <v>0.75</v>
      </c>
      <c r="W1936">
        <v>1.1499999999999999</v>
      </c>
      <c r="X1936">
        <v>0.08</v>
      </c>
      <c r="Y1936">
        <v>1</v>
      </c>
      <c r="Z1936">
        <v>10</v>
      </c>
    </row>
    <row r="1937" spans="1:26" x14ac:dyDescent="0.3">
      <c r="A1937">
        <v>0</v>
      </c>
      <c r="B1937">
        <v>130</v>
      </c>
      <c r="C1937" t="s">
        <v>26</v>
      </c>
      <c r="D1937">
        <v>5.9394999999999998</v>
      </c>
      <c r="E1937">
        <v>16.84</v>
      </c>
      <c r="F1937">
        <v>8.85</v>
      </c>
      <c r="G1937">
        <v>5.01</v>
      </c>
      <c r="H1937">
        <v>7.0000000000000007E-2</v>
      </c>
      <c r="I1937">
        <v>106</v>
      </c>
      <c r="J1937">
        <v>252.85</v>
      </c>
      <c r="K1937">
        <v>59.19</v>
      </c>
      <c r="L1937">
        <v>1</v>
      </c>
      <c r="M1937">
        <v>104</v>
      </c>
      <c r="N1937">
        <v>62.65</v>
      </c>
      <c r="O1937">
        <v>31418.63</v>
      </c>
      <c r="P1937">
        <v>145.99</v>
      </c>
      <c r="Q1937">
        <v>204.26</v>
      </c>
      <c r="R1937">
        <v>89.24</v>
      </c>
      <c r="S1937">
        <v>17.37</v>
      </c>
      <c r="T1937">
        <v>33331.03</v>
      </c>
      <c r="U1937">
        <v>0.19</v>
      </c>
      <c r="V1937">
        <v>0.57999999999999996</v>
      </c>
      <c r="W1937">
        <v>1.3</v>
      </c>
      <c r="X1937">
        <v>2.16</v>
      </c>
      <c r="Y1937">
        <v>1</v>
      </c>
      <c r="Z1937">
        <v>10</v>
      </c>
    </row>
    <row r="1938" spans="1:26" x14ac:dyDescent="0.3">
      <c r="A1938">
        <v>1</v>
      </c>
      <c r="B1938">
        <v>130</v>
      </c>
      <c r="C1938" t="s">
        <v>26</v>
      </c>
      <c r="D1938">
        <v>6.66</v>
      </c>
      <c r="E1938">
        <v>15.02</v>
      </c>
      <c r="F1938">
        <v>8.3000000000000007</v>
      </c>
      <c r="G1938">
        <v>6.22</v>
      </c>
      <c r="H1938">
        <v>0.09</v>
      </c>
      <c r="I1938">
        <v>80</v>
      </c>
      <c r="J1938">
        <v>253.3</v>
      </c>
      <c r="K1938">
        <v>59.19</v>
      </c>
      <c r="L1938">
        <v>1.25</v>
      </c>
      <c r="M1938">
        <v>78</v>
      </c>
      <c r="N1938">
        <v>62.86</v>
      </c>
      <c r="O1938">
        <v>31474.5</v>
      </c>
      <c r="P1938">
        <v>136.82</v>
      </c>
      <c r="Q1938">
        <v>204.23</v>
      </c>
      <c r="R1938">
        <v>72.069999999999993</v>
      </c>
      <c r="S1938">
        <v>17.37</v>
      </c>
      <c r="T1938">
        <v>24874.91</v>
      </c>
      <c r="U1938">
        <v>0.24</v>
      </c>
      <c r="V1938">
        <v>0.62</v>
      </c>
      <c r="W1938">
        <v>1.27</v>
      </c>
      <c r="X1938">
        <v>1.61</v>
      </c>
      <c r="Y1938">
        <v>1</v>
      </c>
      <c r="Z1938">
        <v>10</v>
      </c>
    </row>
    <row r="1939" spans="1:26" x14ac:dyDescent="0.3">
      <c r="A1939">
        <v>2</v>
      </c>
      <c r="B1939">
        <v>130</v>
      </c>
      <c r="C1939" t="s">
        <v>26</v>
      </c>
      <c r="D1939">
        <v>7.18</v>
      </c>
      <c r="E1939">
        <v>13.93</v>
      </c>
      <c r="F1939">
        <v>7.99</v>
      </c>
      <c r="G1939">
        <v>7.49</v>
      </c>
      <c r="H1939">
        <v>0.11</v>
      </c>
      <c r="I1939">
        <v>64</v>
      </c>
      <c r="J1939">
        <v>253.75</v>
      </c>
      <c r="K1939">
        <v>59.19</v>
      </c>
      <c r="L1939">
        <v>1.5</v>
      </c>
      <c r="M1939">
        <v>62</v>
      </c>
      <c r="N1939">
        <v>63.06</v>
      </c>
      <c r="O1939">
        <v>31530.44</v>
      </c>
      <c r="P1939">
        <v>131.66999999999999</v>
      </c>
      <c r="Q1939">
        <v>204.21</v>
      </c>
      <c r="R1939">
        <v>62.17</v>
      </c>
      <c r="S1939">
        <v>17.37</v>
      </c>
      <c r="T1939">
        <v>20008.77</v>
      </c>
      <c r="U1939">
        <v>0.28000000000000003</v>
      </c>
      <c r="V1939">
        <v>0.64</v>
      </c>
      <c r="W1939">
        <v>1.25</v>
      </c>
      <c r="X1939">
        <v>1.3</v>
      </c>
      <c r="Y1939">
        <v>1</v>
      </c>
      <c r="Z1939">
        <v>10</v>
      </c>
    </row>
    <row r="1940" spans="1:26" x14ac:dyDescent="0.3">
      <c r="A1940">
        <v>3</v>
      </c>
      <c r="B1940">
        <v>130</v>
      </c>
      <c r="C1940" t="s">
        <v>26</v>
      </c>
      <c r="D1940">
        <v>7.5636999999999999</v>
      </c>
      <c r="E1940">
        <v>13.22</v>
      </c>
      <c r="F1940">
        <v>7.78</v>
      </c>
      <c r="G1940">
        <v>8.64</v>
      </c>
      <c r="H1940">
        <v>0.12</v>
      </c>
      <c r="I1940">
        <v>54</v>
      </c>
      <c r="J1940">
        <v>254.21</v>
      </c>
      <c r="K1940">
        <v>59.19</v>
      </c>
      <c r="L1940">
        <v>1.75</v>
      </c>
      <c r="M1940">
        <v>52</v>
      </c>
      <c r="N1940">
        <v>63.26</v>
      </c>
      <c r="O1940">
        <v>31586.46</v>
      </c>
      <c r="P1940">
        <v>127.99</v>
      </c>
      <c r="Q1940">
        <v>204.21</v>
      </c>
      <c r="R1940">
        <v>55.58</v>
      </c>
      <c r="S1940">
        <v>17.37</v>
      </c>
      <c r="T1940">
        <v>16762.560000000001</v>
      </c>
      <c r="U1940">
        <v>0.31</v>
      </c>
      <c r="V1940">
        <v>0.66</v>
      </c>
      <c r="W1940">
        <v>1.22</v>
      </c>
      <c r="X1940">
        <v>1.08</v>
      </c>
      <c r="Y1940">
        <v>1</v>
      </c>
      <c r="Z1940">
        <v>10</v>
      </c>
    </row>
    <row r="1941" spans="1:26" x14ac:dyDescent="0.3">
      <c r="A1941">
        <v>4</v>
      </c>
      <c r="B1941">
        <v>130</v>
      </c>
      <c r="C1941" t="s">
        <v>26</v>
      </c>
      <c r="D1941">
        <v>7.9065000000000003</v>
      </c>
      <c r="E1941">
        <v>12.65</v>
      </c>
      <c r="F1941">
        <v>7.59</v>
      </c>
      <c r="G1941">
        <v>9.91</v>
      </c>
      <c r="H1941">
        <v>0.14000000000000001</v>
      </c>
      <c r="I1941">
        <v>46</v>
      </c>
      <c r="J1941">
        <v>254.66</v>
      </c>
      <c r="K1941">
        <v>59.19</v>
      </c>
      <c r="L1941">
        <v>2</v>
      </c>
      <c r="M1941">
        <v>44</v>
      </c>
      <c r="N1941">
        <v>63.47</v>
      </c>
      <c r="O1941">
        <v>31642.55</v>
      </c>
      <c r="P1941">
        <v>124.9</v>
      </c>
      <c r="Q1941">
        <v>204.2</v>
      </c>
      <c r="R1941">
        <v>49.64</v>
      </c>
      <c r="S1941">
        <v>17.37</v>
      </c>
      <c r="T1941">
        <v>13834.18</v>
      </c>
      <c r="U1941">
        <v>0.35</v>
      </c>
      <c r="V1941">
        <v>0.67</v>
      </c>
      <c r="W1941">
        <v>1.22</v>
      </c>
      <c r="X1941">
        <v>0.9</v>
      </c>
      <c r="Y1941">
        <v>1</v>
      </c>
      <c r="Z1941">
        <v>10</v>
      </c>
    </row>
    <row r="1942" spans="1:26" x14ac:dyDescent="0.3">
      <c r="A1942">
        <v>5</v>
      </c>
      <c r="B1942">
        <v>130</v>
      </c>
      <c r="C1942" t="s">
        <v>26</v>
      </c>
      <c r="D1942">
        <v>8.1196000000000002</v>
      </c>
      <c r="E1942">
        <v>12.32</v>
      </c>
      <c r="F1942">
        <v>7.51</v>
      </c>
      <c r="G1942">
        <v>10.98</v>
      </c>
      <c r="H1942">
        <v>0.16</v>
      </c>
      <c r="I1942">
        <v>41</v>
      </c>
      <c r="J1942">
        <v>255.12</v>
      </c>
      <c r="K1942">
        <v>59.19</v>
      </c>
      <c r="L1942">
        <v>2.25</v>
      </c>
      <c r="M1942">
        <v>39</v>
      </c>
      <c r="N1942">
        <v>63.67</v>
      </c>
      <c r="O1942">
        <v>31698.720000000001</v>
      </c>
      <c r="P1942">
        <v>123.35</v>
      </c>
      <c r="Q1942">
        <v>204.19</v>
      </c>
      <c r="R1942">
        <v>47.11</v>
      </c>
      <c r="S1942">
        <v>17.37</v>
      </c>
      <c r="T1942">
        <v>12592.62</v>
      </c>
      <c r="U1942">
        <v>0.37</v>
      </c>
      <c r="V1942">
        <v>0.68</v>
      </c>
      <c r="W1942">
        <v>1.21</v>
      </c>
      <c r="X1942">
        <v>0.81</v>
      </c>
      <c r="Y1942">
        <v>1</v>
      </c>
      <c r="Z1942">
        <v>10</v>
      </c>
    </row>
    <row r="1943" spans="1:26" x14ac:dyDescent="0.3">
      <c r="A1943">
        <v>6</v>
      </c>
      <c r="B1943">
        <v>130</v>
      </c>
      <c r="C1943" t="s">
        <v>26</v>
      </c>
      <c r="D1943">
        <v>8.3592999999999993</v>
      </c>
      <c r="E1943">
        <v>11.96</v>
      </c>
      <c r="F1943">
        <v>7.4</v>
      </c>
      <c r="G1943">
        <v>12.33</v>
      </c>
      <c r="H1943">
        <v>0.17</v>
      </c>
      <c r="I1943">
        <v>36</v>
      </c>
      <c r="J1943">
        <v>255.57</v>
      </c>
      <c r="K1943">
        <v>59.19</v>
      </c>
      <c r="L1943">
        <v>2.5</v>
      </c>
      <c r="M1943">
        <v>34</v>
      </c>
      <c r="N1943">
        <v>63.88</v>
      </c>
      <c r="O1943">
        <v>31754.97</v>
      </c>
      <c r="P1943">
        <v>121.52</v>
      </c>
      <c r="Q1943">
        <v>204.15</v>
      </c>
      <c r="R1943">
        <v>43.73</v>
      </c>
      <c r="S1943">
        <v>17.37</v>
      </c>
      <c r="T1943">
        <v>10929.82</v>
      </c>
      <c r="U1943">
        <v>0.4</v>
      </c>
      <c r="V1943">
        <v>0.69</v>
      </c>
      <c r="W1943">
        <v>1.2</v>
      </c>
      <c r="X1943">
        <v>0.71</v>
      </c>
      <c r="Y1943">
        <v>1</v>
      </c>
      <c r="Z1943">
        <v>10</v>
      </c>
    </row>
    <row r="1944" spans="1:26" x14ac:dyDescent="0.3">
      <c r="A1944">
        <v>7</v>
      </c>
      <c r="B1944">
        <v>130</v>
      </c>
      <c r="C1944" t="s">
        <v>26</v>
      </c>
      <c r="D1944">
        <v>8.5042000000000009</v>
      </c>
      <c r="E1944">
        <v>11.76</v>
      </c>
      <c r="F1944">
        <v>7.34</v>
      </c>
      <c r="G1944">
        <v>13.35</v>
      </c>
      <c r="H1944">
        <v>0.19</v>
      </c>
      <c r="I1944">
        <v>33</v>
      </c>
      <c r="J1944">
        <v>256.02999999999997</v>
      </c>
      <c r="K1944">
        <v>59.19</v>
      </c>
      <c r="L1944">
        <v>2.75</v>
      </c>
      <c r="M1944">
        <v>31</v>
      </c>
      <c r="N1944">
        <v>64.09</v>
      </c>
      <c r="O1944">
        <v>31811.29</v>
      </c>
      <c r="P1944">
        <v>120.46</v>
      </c>
      <c r="Q1944">
        <v>204.23</v>
      </c>
      <c r="R1944">
        <v>42.15</v>
      </c>
      <c r="S1944">
        <v>17.37</v>
      </c>
      <c r="T1944">
        <v>10152.549999999999</v>
      </c>
      <c r="U1944">
        <v>0.41</v>
      </c>
      <c r="V1944">
        <v>0.7</v>
      </c>
      <c r="W1944">
        <v>1.19</v>
      </c>
      <c r="X1944">
        <v>0.65</v>
      </c>
      <c r="Y1944">
        <v>1</v>
      </c>
      <c r="Z1944">
        <v>10</v>
      </c>
    </row>
    <row r="1945" spans="1:26" x14ac:dyDescent="0.3">
      <c r="A1945">
        <v>8</v>
      </c>
      <c r="B1945">
        <v>130</v>
      </c>
      <c r="C1945" t="s">
        <v>26</v>
      </c>
      <c r="D1945">
        <v>8.6577999999999999</v>
      </c>
      <c r="E1945">
        <v>11.55</v>
      </c>
      <c r="F1945">
        <v>7.28</v>
      </c>
      <c r="G1945">
        <v>14.56</v>
      </c>
      <c r="H1945">
        <v>0.21</v>
      </c>
      <c r="I1945">
        <v>30</v>
      </c>
      <c r="J1945">
        <v>256.49</v>
      </c>
      <c r="K1945">
        <v>59.19</v>
      </c>
      <c r="L1945">
        <v>3</v>
      </c>
      <c r="M1945">
        <v>28</v>
      </c>
      <c r="N1945">
        <v>64.290000000000006</v>
      </c>
      <c r="O1945">
        <v>31867.69</v>
      </c>
      <c r="P1945">
        <v>119.35</v>
      </c>
      <c r="Q1945">
        <v>204.14</v>
      </c>
      <c r="R1945">
        <v>40.119999999999997</v>
      </c>
      <c r="S1945">
        <v>17.37</v>
      </c>
      <c r="T1945">
        <v>9152.73</v>
      </c>
      <c r="U1945">
        <v>0.43</v>
      </c>
      <c r="V1945">
        <v>0.7</v>
      </c>
      <c r="W1945">
        <v>1.19</v>
      </c>
      <c r="X1945">
        <v>0.59</v>
      </c>
      <c r="Y1945">
        <v>1</v>
      </c>
      <c r="Z1945">
        <v>10</v>
      </c>
    </row>
    <row r="1946" spans="1:26" x14ac:dyDescent="0.3">
      <c r="A1946">
        <v>9</v>
      </c>
      <c r="B1946">
        <v>130</v>
      </c>
      <c r="C1946" t="s">
        <v>26</v>
      </c>
      <c r="D1946">
        <v>8.7592999999999996</v>
      </c>
      <c r="E1946">
        <v>11.42</v>
      </c>
      <c r="F1946">
        <v>7.24</v>
      </c>
      <c r="G1946">
        <v>15.52</v>
      </c>
      <c r="H1946">
        <v>0.23</v>
      </c>
      <c r="I1946">
        <v>28</v>
      </c>
      <c r="J1946">
        <v>256.95</v>
      </c>
      <c r="K1946">
        <v>59.19</v>
      </c>
      <c r="L1946">
        <v>3.25</v>
      </c>
      <c r="M1946">
        <v>26</v>
      </c>
      <c r="N1946">
        <v>64.5</v>
      </c>
      <c r="O1946">
        <v>31924.29</v>
      </c>
      <c r="P1946">
        <v>118.63</v>
      </c>
      <c r="Q1946">
        <v>204.25</v>
      </c>
      <c r="R1946">
        <v>38.81</v>
      </c>
      <c r="S1946">
        <v>17.37</v>
      </c>
      <c r="T1946">
        <v>8508.3700000000008</v>
      </c>
      <c r="U1946">
        <v>0.45</v>
      </c>
      <c r="V1946">
        <v>0.71</v>
      </c>
      <c r="W1946">
        <v>1.19</v>
      </c>
      <c r="X1946">
        <v>0.55000000000000004</v>
      </c>
      <c r="Y1946">
        <v>1</v>
      </c>
      <c r="Z1946">
        <v>10</v>
      </c>
    </row>
    <row r="1947" spans="1:26" x14ac:dyDescent="0.3">
      <c r="A1947">
        <v>10</v>
      </c>
      <c r="B1947">
        <v>130</v>
      </c>
      <c r="C1947" t="s">
        <v>26</v>
      </c>
      <c r="D1947">
        <v>8.9283000000000001</v>
      </c>
      <c r="E1947">
        <v>11.2</v>
      </c>
      <c r="F1947">
        <v>7.17</v>
      </c>
      <c r="G1947">
        <v>17.22</v>
      </c>
      <c r="H1947">
        <v>0.24</v>
      </c>
      <c r="I1947">
        <v>25</v>
      </c>
      <c r="J1947">
        <v>257.41000000000003</v>
      </c>
      <c r="K1947">
        <v>59.19</v>
      </c>
      <c r="L1947">
        <v>3.5</v>
      </c>
      <c r="M1947">
        <v>23</v>
      </c>
      <c r="N1947">
        <v>64.709999999999994</v>
      </c>
      <c r="O1947">
        <v>31980.84</v>
      </c>
      <c r="P1947">
        <v>117.4</v>
      </c>
      <c r="Q1947">
        <v>204.17</v>
      </c>
      <c r="R1947">
        <v>36.869999999999997</v>
      </c>
      <c r="S1947">
        <v>17.37</v>
      </c>
      <c r="T1947">
        <v>7554.18</v>
      </c>
      <c r="U1947">
        <v>0.47</v>
      </c>
      <c r="V1947">
        <v>0.71</v>
      </c>
      <c r="W1947">
        <v>1.18</v>
      </c>
      <c r="X1947">
        <v>0.48</v>
      </c>
      <c r="Y1947">
        <v>1</v>
      </c>
      <c r="Z1947">
        <v>10</v>
      </c>
    </row>
    <row r="1948" spans="1:26" x14ac:dyDescent="0.3">
      <c r="A1948">
        <v>11</v>
      </c>
      <c r="B1948">
        <v>130</v>
      </c>
      <c r="C1948" t="s">
        <v>26</v>
      </c>
      <c r="D1948">
        <v>8.9772999999999996</v>
      </c>
      <c r="E1948">
        <v>11.14</v>
      </c>
      <c r="F1948">
        <v>7.16</v>
      </c>
      <c r="G1948">
        <v>17.899999999999999</v>
      </c>
      <c r="H1948">
        <v>0.26</v>
      </c>
      <c r="I1948">
        <v>24</v>
      </c>
      <c r="J1948">
        <v>257.86</v>
      </c>
      <c r="K1948">
        <v>59.19</v>
      </c>
      <c r="L1948">
        <v>3.75</v>
      </c>
      <c r="M1948">
        <v>22</v>
      </c>
      <c r="N1948">
        <v>64.92</v>
      </c>
      <c r="O1948">
        <v>32037.48</v>
      </c>
      <c r="P1948">
        <v>117.11</v>
      </c>
      <c r="Q1948">
        <v>204.2</v>
      </c>
      <c r="R1948">
        <v>36.590000000000003</v>
      </c>
      <c r="S1948">
        <v>17.37</v>
      </c>
      <c r="T1948">
        <v>7417.39</v>
      </c>
      <c r="U1948">
        <v>0.47</v>
      </c>
      <c r="V1948">
        <v>0.71</v>
      </c>
      <c r="W1948">
        <v>1.17</v>
      </c>
      <c r="X1948">
        <v>0.47</v>
      </c>
      <c r="Y1948">
        <v>1</v>
      </c>
      <c r="Z1948">
        <v>10</v>
      </c>
    </row>
    <row r="1949" spans="1:26" x14ac:dyDescent="0.3">
      <c r="A1949">
        <v>12</v>
      </c>
      <c r="B1949">
        <v>130</v>
      </c>
      <c r="C1949" t="s">
        <v>26</v>
      </c>
      <c r="D1949">
        <v>9.0970999999999993</v>
      </c>
      <c r="E1949">
        <v>10.99</v>
      </c>
      <c r="F1949">
        <v>7.11</v>
      </c>
      <c r="G1949">
        <v>19.399999999999999</v>
      </c>
      <c r="H1949">
        <v>0.28000000000000003</v>
      </c>
      <c r="I1949">
        <v>22</v>
      </c>
      <c r="J1949">
        <v>258.32</v>
      </c>
      <c r="K1949">
        <v>59.19</v>
      </c>
      <c r="L1949">
        <v>4</v>
      </c>
      <c r="M1949">
        <v>20</v>
      </c>
      <c r="N1949">
        <v>65.13</v>
      </c>
      <c r="O1949">
        <v>32094.19</v>
      </c>
      <c r="P1949">
        <v>116.28</v>
      </c>
      <c r="Q1949">
        <v>204.16</v>
      </c>
      <c r="R1949">
        <v>34.869999999999997</v>
      </c>
      <c r="S1949">
        <v>17.37</v>
      </c>
      <c r="T1949">
        <v>6568.91</v>
      </c>
      <c r="U1949">
        <v>0.5</v>
      </c>
      <c r="V1949">
        <v>0.72</v>
      </c>
      <c r="W1949">
        <v>1.17</v>
      </c>
      <c r="X1949">
        <v>0.42</v>
      </c>
      <c r="Y1949">
        <v>1</v>
      </c>
      <c r="Z1949">
        <v>10</v>
      </c>
    </row>
    <row r="1950" spans="1:26" x14ac:dyDescent="0.3">
      <c r="A1950">
        <v>13</v>
      </c>
      <c r="B1950">
        <v>130</v>
      </c>
      <c r="C1950" t="s">
        <v>26</v>
      </c>
      <c r="D1950">
        <v>9.1562999999999999</v>
      </c>
      <c r="E1950">
        <v>10.92</v>
      </c>
      <c r="F1950">
        <v>7.09</v>
      </c>
      <c r="G1950">
        <v>20.260000000000002</v>
      </c>
      <c r="H1950">
        <v>0.28999999999999998</v>
      </c>
      <c r="I1950">
        <v>21</v>
      </c>
      <c r="J1950">
        <v>258.77999999999997</v>
      </c>
      <c r="K1950">
        <v>59.19</v>
      </c>
      <c r="L1950">
        <v>4.25</v>
      </c>
      <c r="M1950">
        <v>19</v>
      </c>
      <c r="N1950">
        <v>65.34</v>
      </c>
      <c r="O1950">
        <v>32150.98</v>
      </c>
      <c r="P1950">
        <v>115.77</v>
      </c>
      <c r="Q1950">
        <v>204.14</v>
      </c>
      <c r="R1950">
        <v>34.270000000000003</v>
      </c>
      <c r="S1950">
        <v>17.37</v>
      </c>
      <c r="T1950">
        <v>6271.21</v>
      </c>
      <c r="U1950">
        <v>0.51</v>
      </c>
      <c r="V1950">
        <v>0.72</v>
      </c>
      <c r="W1950">
        <v>1.17</v>
      </c>
      <c r="X1950">
        <v>0.4</v>
      </c>
      <c r="Y1950">
        <v>1</v>
      </c>
      <c r="Z1950">
        <v>10</v>
      </c>
    </row>
    <row r="1951" spans="1:26" x14ac:dyDescent="0.3">
      <c r="A1951">
        <v>14</v>
      </c>
      <c r="B1951">
        <v>130</v>
      </c>
      <c r="C1951" t="s">
        <v>26</v>
      </c>
      <c r="D1951">
        <v>9.2082999999999995</v>
      </c>
      <c r="E1951">
        <v>10.86</v>
      </c>
      <c r="F1951">
        <v>7.08</v>
      </c>
      <c r="G1951">
        <v>21.23</v>
      </c>
      <c r="H1951">
        <v>0.31</v>
      </c>
      <c r="I1951">
        <v>20</v>
      </c>
      <c r="J1951">
        <v>259.25</v>
      </c>
      <c r="K1951">
        <v>59.19</v>
      </c>
      <c r="L1951">
        <v>4.5</v>
      </c>
      <c r="M1951">
        <v>18</v>
      </c>
      <c r="N1951">
        <v>65.55</v>
      </c>
      <c r="O1951">
        <v>32207.85</v>
      </c>
      <c r="P1951">
        <v>115.48</v>
      </c>
      <c r="Q1951">
        <v>204.14</v>
      </c>
      <c r="R1951">
        <v>33.71</v>
      </c>
      <c r="S1951">
        <v>17.37</v>
      </c>
      <c r="T1951">
        <v>5996.62</v>
      </c>
      <c r="U1951">
        <v>0.52</v>
      </c>
      <c r="V1951">
        <v>0.72</v>
      </c>
      <c r="W1951">
        <v>1.17</v>
      </c>
      <c r="X1951">
        <v>0.39</v>
      </c>
      <c r="Y1951">
        <v>1</v>
      </c>
      <c r="Z1951">
        <v>10</v>
      </c>
    </row>
    <row r="1952" spans="1:26" x14ac:dyDescent="0.3">
      <c r="A1952">
        <v>15</v>
      </c>
      <c r="B1952">
        <v>130</v>
      </c>
      <c r="C1952" t="s">
        <v>26</v>
      </c>
      <c r="D1952">
        <v>9.2670999999999992</v>
      </c>
      <c r="E1952">
        <v>10.79</v>
      </c>
      <c r="F1952">
        <v>7.06</v>
      </c>
      <c r="G1952">
        <v>22.29</v>
      </c>
      <c r="H1952">
        <v>0.33</v>
      </c>
      <c r="I1952">
        <v>19</v>
      </c>
      <c r="J1952">
        <v>259.70999999999998</v>
      </c>
      <c r="K1952">
        <v>59.19</v>
      </c>
      <c r="L1952">
        <v>4.75</v>
      </c>
      <c r="M1952">
        <v>17</v>
      </c>
      <c r="N1952">
        <v>65.760000000000005</v>
      </c>
      <c r="O1952">
        <v>32264.79</v>
      </c>
      <c r="P1952">
        <v>115.1</v>
      </c>
      <c r="Q1952">
        <v>204.18</v>
      </c>
      <c r="R1952">
        <v>33.28</v>
      </c>
      <c r="S1952">
        <v>17.37</v>
      </c>
      <c r="T1952">
        <v>5787.82</v>
      </c>
      <c r="U1952">
        <v>0.52</v>
      </c>
      <c r="V1952">
        <v>0.72</v>
      </c>
      <c r="W1952">
        <v>1.17</v>
      </c>
      <c r="X1952">
        <v>0.36</v>
      </c>
      <c r="Y1952">
        <v>1</v>
      </c>
      <c r="Z1952">
        <v>10</v>
      </c>
    </row>
    <row r="1953" spans="1:26" x14ac:dyDescent="0.3">
      <c r="A1953">
        <v>16</v>
      </c>
      <c r="B1953">
        <v>130</v>
      </c>
      <c r="C1953" t="s">
        <v>26</v>
      </c>
      <c r="D1953">
        <v>9.3368000000000002</v>
      </c>
      <c r="E1953">
        <v>10.71</v>
      </c>
      <c r="F1953">
        <v>7.03</v>
      </c>
      <c r="G1953">
        <v>23.42</v>
      </c>
      <c r="H1953">
        <v>0.34</v>
      </c>
      <c r="I1953">
        <v>18</v>
      </c>
      <c r="J1953">
        <v>260.17</v>
      </c>
      <c r="K1953">
        <v>59.19</v>
      </c>
      <c r="L1953">
        <v>5</v>
      </c>
      <c r="M1953">
        <v>16</v>
      </c>
      <c r="N1953">
        <v>65.98</v>
      </c>
      <c r="O1953">
        <v>32321.82</v>
      </c>
      <c r="P1953">
        <v>114.45</v>
      </c>
      <c r="Q1953">
        <v>204.18</v>
      </c>
      <c r="R1953">
        <v>32.26</v>
      </c>
      <c r="S1953">
        <v>17.37</v>
      </c>
      <c r="T1953">
        <v>5280.25</v>
      </c>
      <c r="U1953">
        <v>0.54</v>
      </c>
      <c r="V1953">
        <v>0.73</v>
      </c>
      <c r="W1953">
        <v>1.1599999999999999</v>
      </c>
      <c r="X1953">
        <v>0.33</v>
      </c>
      <c r="Y1953">
        <v>1</v>
      </c>
      <c r="Z1953">
        <v>10</v>
      </c>
    </row>
    <row r="1954" spans="1:26" x14ac:dyDescent="0.3">
      <c r="A1954">
        <v>17</v>
      </c>
      <c r="B1954">
        <v>130</v>
      </c>
      <c r="C1954" t="s">
        <v>26</v>
      </c>
      <c r="D1954">
        <v>9.3805999999999994</v>
      </c>
      <c r="E1954">
        <v>10.66</v>
      </c>
      <c r="F1954">
        <v>7.02</v>
      </c>
      <c r="G1954">
        <v>24.79</v>
      </c>
      <c r="H1954">
        <v>0.36</v>
      </c>
      <c r="I1954">
        <v>17</v>
      </c>
      <c r="J1954">
        <v>260.63</v>
      </c>
      <c r="K1954">
        <v>59.19</v>
      </c>
      <c r="L1954">
        <v>5.25</v>
      </c>
      <c r="M1954">
        <v>15</v>
      </c>
      <c r="N1954">
        <v>66.19</v>
      </c>
      <c r="O1954">
        <v>32378.93</v>
      </c>
      <c r="P1954">
        <v>114.4</v>
      </c>
      <c r="Q1954">
        <v>204.19</v>
      </c>
      <c r="R1954">
        <v>32.18</v>
      </c>
      <c r="S1954">
        <v>17.37</v>
      </c>
      <c r="T1954">
        <v>5245.25</v>
      </c>
      <c r="U1954">
        <v>0.54</v>
      </c>
      <c r="V1954">
        <v>0.73</v>
      </c>
      <c r="W1954">
        <v>1.17</v>
      </c>
      <c r="X1954">
        <v>0.33</v>
      </c>
      <c r="Y1954">
        <v>1</v>
      </c>
      <c r="Z1954">
        <v>10</v>
      </c>
    </row>
    <row r="1955" spans="1:26" x14ac:dyDescent="0.3">
      <c r="A1955">
        <v>18</v>
      </c>
      <c r="B1955">
        <v>130</v>
      </c>
      <c r="C1955" t="s">
        <v>26</v>
      </c>
      <c r="D1955">
        <v>9.4501000000000008</v>
      </c>
      <c r="E1955">
        <v>10.58</v>
      </c>
      <c r="F1955">
        <v>6.99</v>
      </c>
      <c r="G1955">
        <v>26.23</v>
      </c>
      <c r="H1955">
        <v>0.37</v>
      </c>
      <c r="I1955">
        <v>16</v>
      </c>
      <c r="J1955">
        <v>261.10000000000002</v>
      </c>
      <c r="K1955">
        <v>59.19</v>
      </c>
      <c r="L1955">
        <v>5.5</v>
      </c>
      <c r="M1955">
        <v>14</v>
      </c>
      <c r="N1955">
        <v>66.400000000000006</v>
      </c>
      <c r="O1955">
        <v>32436.11</v>
      </c>
      <c r="P1955">
        <v>113.81</v>
      </c>
      <c r="Q1955">
        <v>204.17</v>
      </c>
      <c r="R1955">
        <v>31.22</v>
      </c>
      <c r="S1955">
        <v>17.37</v>
      </c>
      <c r="T1955">
        <v>4772.92</v>
      </c>
      <c r="U1955">
        <v>0.56000000000000005</v>
      </c>
      <c r="V1955">
        <v>0.73</v>
      </c>
      <c r="W1955">
        <v>1.1599999999999999</v>
      </c>
      <c r="X1955">
        <v>0.3</v>
      </c>
      <c r="Y1955">
        <v>1</v>
      </c>
      <c r="Z1955">
        <v>10</v>
      </c>
    </row>
    <row r="1956" spans="1:26" x14ac:dyDescent="0.3">
      <c r="A1956">
        <v>19</v>
      </c>
      <c r="B1956">
        <v>130</v>
      </c>
      <c r="C1956" t="s">
        <v>26</v>
      </c>
      <c r="D1956">
        <v>9.4387000000000008</v>
      </c>
      <c r="E1956">
        <v>10.59</v>
      </c>
      <c r="F1956">
        <v>7.01</v>
      </c>
      <c r="G1956">
        <v>26.28</v>
      </c>
      <c r="H1956">
        <v>0.39</v>
      </c>
      <c r="I1956">
        <v>16</v>
      </c>
      <c r="J1956">
        <v>261.56</v>
      </c>
      <c r="K1956">
        <v>59.19</v>
      </c>
      <c r="L1956">
        <v>5.75</v>
      </c>
      <c r="M1956">
        <v>14</v>
      </c>
      <c r="N1956">
        <v>66.62</v>
      </c>
      <c r="O1956">
        <v>32493.38</v>
      </c>
      <c r="P1956">
        <v>113.99</v>
      </c>
      <c r="Q1956">
        <v>204.17</v>
      </c>
      <c r="R1956">
        <v>31.77</v>
      </c>
      <c r="S1956">
        <v>17.37</v>
      </c>
      <c r="T1956">
        <v>5046.74</v>
      </c>
      <c r="U1956">
        <v>0.55000000000000004</v>
      </c>
      <c r="V1956">
        <v>0.73</v>
      </c>
      <c r="W1956">
        <v>1.1599999999999999</v>
      </c>
      <c r="X1956">
        <v>0.32</v>
      </c>
      <c r="Y1956">
        <v>1</v>
      </c>
      <c r="Z1956">
        <v>10</v>
      </c>
    </row>
    <row r="1957" spans="1:26" x14ac:dyDescent="0.3">
      <c r="A1957">
        <v>20</v>
      </c>
      <c r="B1957">
        <v>130</v>
      </c>
      <c r="C1957" t="s">
        <v>26</v>
      </c>
      <c r="D1957">
        <v>9.5266000000000002</v>
      </c>
      <c r="E1957">
        <v>10.5</v>
      </c>
      <c r="F1957">
        <v>6.96</v>
      </c>
      <c r="G1957">
        <v>27.83</v>
      </c>
      <c r="H1957">
        <v>0.41</v>
      </c>
      <c r="I1957">
        <v>15</v>
      </c>
      <c r="J1957">
        <v>262.02999999999997</v>
      </c>
      <c r="K1957">
        <v>59.19</v>
      </c>
      <c r="L1957">
        <v>6</v>
      </c>
      <c r="M1957">
        <v>13</v>
      </c>
      <c r="N1957">
        <v>66.83</v>
      </c>
      <c r="O1957">
        <v>32550.720000000001</v>
      </c>
      <c r="P1957">
        <v>113.09</v>
      </c>
      <c r="Q1957">
        <v>204.15</v>
      </c>
      <c r="R1957">
        <v>30.23</v>
      </c>
      <c r="S1957">
        <v>17.37</v>
      </c>
      <c r="T1957">
        <v>4280.72</v>
      </c>
      <c r="U1957">
        <v>0.56999999999999995</v>
      </c>
      <c r="V1957">
        <v>0.73</v>
      </c>
      <c r="W1957">
        <v>1.1599999999999999</v>
      </c>
      <c r="X1957">
        <v>0.27</v>
      </c>
      <c r="Y1957">
        <v>1</v>
      </c>
      <c r="Z1957">
        <v>10</v>
      </c>
    </row>
    <row r="1958" spans="1:26" x14ac:dyDescent="0.3">
      <c r="A1958">
        <v>21</v>
      </c>
      <c r="B1958">
        <v>130</v>
      </c>
      <c r="C1958" t="s">
        <v>26</v>
      </c>
      <c r="D1958">
        <v>9.5724</v>
      </c>
      <c r="E1958">
        <v>10.45</v>
      </c>
      <c r="F1958">
        <v>6.96</v>
      </c>
      <c r="G1958">
        <v>29.82</v>
      </c>
      <c r="H1958">
        <v>0.42</v>
      </c>
      <c r="I1958">
        <v>14</v>
      </c>
      <c r="J1958">
        <v>262.49</v>
      </c>
      <c r="K1958">
        <v>59.19</v>
      </c>
      <c r="L1958">
        <v>6.25</v>
      </c>
      <c r="M1958">
        <v>12</v>
      </c>
      <c r="N1958">
        <v>67.05</v>
      </c>
      <c r="O1958">
        <v>32608.15</v>
      </c>
      <c r="P1958">
        <v>112.9</v>
      </c>
      <c r="Q1958">
        <v>204.14</v>
      </c>
      <c r="R1958">
        <v>30.17</v>
      </c>
      <c r="S1958">
        <v>17.37</v>
      </c>
      <c r="T1958">
        <v>4259.1000000000004</v>
      </c>
      <c r="U1958">
        <v>0.57999999999999996</v>
      </c>
      <c r="V1958">
        <v>0.73</v>
      </c>
      <c r="W1958">
        <v>1.1599999999999999</v>
      </c>
      <c r="X1958">
        <v>0.27</v>
      </c>
      <c r="Y1958">
        <v>1</v>
      </c>
      <c r="Z1958">
        <v>10</v>
      </c>
    </row>
    <row r="1959" spans="1:26" x14ac:dyDescent="0.3">
      <c r="A1959">
        <v>22</v>
      </c>
      <c r="B1959">
        <v>130</v>
      </c>
      <c r="C1959" t="s">
        <v>26</v>
      </c>
      <c r="D1959">
        <v>9.5760000000000005</v>
      </c>
      <c r="E1959">
        <v>10.44</v>
      </c>
      <c r="F1959">
        <v>6.95</v>
      </c>
      <c r="G1959">
        <v>29.8</v>
      </c>
      <c r="H1959">
        <v>0.44</v>
      </c>
      <c r="I1959">
        <v>14</v>
      </c>
      <c r="J1959">
        <v>262.95999999999998</v>
      </c>
      <c r="K1959">
        <v>59.19</v>
      </c>
      <c r="L1959">
        <v>6.5</v>
      </c>
      <c r="M1959">
        <v>12</v>
      </c>
      <c r="N1959">
        <v>67.260000000000005</v>
      </c>
      <c r="O1959">
        <v>32665.66</v>
      </c>
      <c r="P1959">
        <v>112.92</v>
      </c>
      <c r="Q1959">
        <v>204.14</v>
      </c>
      <c r="R1959">
        <v>29.82</v>
      </c>
      <c r="S1959">
        <v>17.37</v>
      </c>
      <c r="T1959">
        <v>4081.31</v>
      </c>
      <c r="U1959">
        <v>0.57999999999999996</v>
      </c>
      <c r="V1959">
        <v>0.73</v>
      </c>
      <c r="W1959">
        <v>1.1599999999999999</v>
      </c>
      <c r="X1959">
        <v>0.26</v>
      </c>
      <c r="Y1959">
        <v>1</v>
      </c>
      <c r="Z1959">
        <v>10</v>
      </c>
    </row>
    <row r="1960" spans="1:26" x14ac:dyDescent="0.3">
      <c r="A1960">
        <v>23</v>
      </c>
      <c r="B1960">
        <v>130</v>
      </c>
      <c r="C1960" t="s">
        <v>26</v>
      </c>
      <c r="D1960">
        <v>9.6434999999999995</v>
      </c>
      <c r="E1960">
        <v>10.37</v>
      </c>
      <c r="F1960">
        <v>6.93</v>
      </c>
      <c r="G1960">
        <v>31.98</v>
      </c>
      <c r="H1960">
        <v>0.46</v>
      </c>
      <c r="I1960">
        <v>13</v>
      </c>
      <c r="J1960">
        <v>263.42</v>
      </c>
      <c r="K1960">
        <v>59.19</v>
      </c>
      <c r="L1960">
        <v>6.75</v>
      </c>
      <c r="M1960">
        <v>11</v>
      </c>
      <c r="N1960">
        <v>67.48</v>
      </c>
      <c r="O1960">
        <v>32723.25</v>
      </c>
      <c r="P1960">
        <v>112.29</v>
      </c>
      <c r="Q1960">
        <v>204.15</v>
      </c>
      <c r="R1960">
        <v>29.27</v>
      </c>
      <c r="S1960">
        <v>17.37</v>
      </c>
      <c r="T1960">
        <v>3812.12</v>
      </c>
      <c r="U1960">
        <v>0.59</v>
      </c>
      <c r="V1960">
        <v>0.74</v>
      </c>
      <c r="W1960">
        <v>1.1599999999999999</v>
      </c>
      <c r="X1960">
        <v>0.24</v>
      </c>
      <c r="Y1960">
        <v>1</v>
      </c>
      <c r="Z1960">
        <v>10</v>
      </c>
    </row>
    <row r="1961" spans="1:26" x14ac:dyDescent="0.3">
      <c r="A1961">
        <v>24</v>
      </c>
      <c r="B1961">
        <v>130</v>
      </c>
      <c r="C1961" t="s">
        <v>26</v>
      </c>
      <c r="D1961">
        <v>9.6515000000000004</v>
      </c>
      <c r="E1961">
        <v>10.36</v>
      </c>
      <c r="F1961">
        <v>6.92</v>
      </c>
      <c r="G1961">
        <v>31.94</v>
      </c>
      <c r="H1961">
        <v>0.47</v>
      </c>
      <c r="I1961">
        <v>13</v>
      </c>
      <c r="J1961">
        <v>263.89</v>
      </c>
      <c r="K1961">
        <v>59.19</v>
      </c>
      <c r="L1961">
        <v>7</v>
      </c>
      <c r="M1961">
        <v>11</v>
      </c>
      <c r="N1961">
        <v>67.7</v>
      </c>
      <c r="O1961">
        <v>32780.92</v>
      </c>
      <c r="P1961">
        <v>112.19</v>
      </c>
      <c r="Q1961">
        <v>204.14</v>
      </c>
      <c r="R1961">
        <v>28.92</v>
      </c>
      <c r="S1961">
        <v>17.37</v>
      </c>
      <c r="T1961">
        <v>3636.6</v>
      </c>
      <c r="U1961">
        <v>0.6</v>
      </c>
      <c r="V1961">
        <v>0.74</v>
      </c>
      <c r="W1961">
        <v>1.1599999999999999</v>
      </c>
      <c r="X1961">
        <v>0.23</v>
      </c>
      <c r="Y1961">
        <v>1</v>
      </c>
      <c r="Z1961">
        <v>10</v>
      </c>
    </row>
    <row r="1962" spans="1:26" x14ac:dyDescent="0.3">
      <c r="A1962">
        <v>25</v>
      </c>
      <c r="B1962">
        <v>130</v>
      </c>
      <c r="C1962" t="s">
        <v>26</v>
      </c>
      <c r="D1962">
        <v>9.6374999999999993</v>
      </c>
      <c r="E1962">
        <v>10.38</v>
      </c>
      <c r="F1962">
        <v>6.94</v>
      </c>
      <c r="G1962">
        <v>32.01</v>
      </c>
      <c r="H1962">
        <v>0.49</v>
      </c>
      <c r="I1962">
        <v>13</v>
      </c>
      <c r="J1962">
        <v>264.36</v>
      </c>
      <c r="K1962">
        <v>59.19</v>
      </c>
      <c r="L1962">
        <v>7.25</v>
      </c>
      <c r="M1962">
        <v>11</v>
      </c>
      <c r="N1962">
        <v>67.92</v>
      </c>
      <c r="O1962">
        <v>32838.68</v>
      </c>
      <c r="P1962">
        <v>112.23</v>
      </c>
      <c r="Q1962">
        <v>204.14</v>
      </c>
      <c r="R1962">
        <v>29.32</v>
      </c>
      <c r="S1962">
        <v>17.37</v>
      </c>
      <c r="T1962">
        <v>3836.01</v>
      </c>
      <c r="U1962">
        <v>0.59</v>
      </c>
      <c r="V1962">
        <v>0.74</v>
      </c>
      <c r="W1962">
        <v>1.1599999999999999</v>
      </c>
      <c r="X1962">
        <v>0.24</v>
      </c>
      <c r="Y1962">
        <v>1</v>
      </c>
      <c r="Z1962">
        <v>10</v>
      </c>
    </row>
    <row r="1963" spans="1:26" x14ac:dyDescent="0.3">
      <c r="A1963">
        <v>26</v>
      </c>
      <c r="B1963">
        <v>130</v>
      </c>
      <c r="C1963" t="s">
        <v>26</v>
      </c>
      <c r="D1963">
        <v>9.7029999999999994</v>
      </c>
      <c r="E1963">
        <v>10.31</v>
      </c>
      <c r="F1963">
        <v>6.91</v>
      </c>
      <c r="G1963">
        <v>34.57</v>
      </c>
      <c r="H1963">
        <v>0.5</v>
      </c>
      <c r="I1963">
        <v>12</v>
      </c>
      <c r="J1963">
        <v>264.83</v>
      </c>
      <c r="K1963">
        <v>59.19</v>
      </c>
      <c r="L1963">
        <v>7.5</v>
      </c>
      <c r="M1963">
        <v>10</v>
      </c>
      <c r="N1963">
        <v>68.14</v>
      </c>
      <c r="O1963">
        <v>32896.51</v>
      </c>
      <c r="P1963">
        <v>111.97</v>
      </c>
      <c r="Q1963">
        <v>204.14</v>
      </c>
      <c r="R1963">
        <v>28.87</v>
      </c>
      <c r="S1963">
        <v>17.37</v>
      </c>
      <c r="T1963">
        <v>3617.8</v>
      </c>
      <c r="U1963">
        <v>0.6</v>
      </c>
      <c r="V1963">
        <v>0.74</v>
      </c>
      <c r="W1963">
        <v>1.1499999999999999</v>
      </c>
      <c r="X1963">
        <v>0.22</v>
      </c>
      <c r="Y1963">
        <v>1</v>
      </c>
      <c r="Z1963">
        <v>10</v>
      </c>
    </row>
    <row r="1964" spans="1:26" x14ac:dyDescent="0.3">
      <c r="A1964">
        <v>27</v>
      </c>
      <c r="B1964">
        <v>130</v>
      </c>
      <c r="C1964" t="s">
        <v>26</v>
      </c>
      <c r="D1964">
        <v>9.7025000000000006</v>
      </c>
      <c r="E1964">
        <v>10.31</v>
      </c>
      <c r="F1964">
        <v>6.92</v>
      </c>
      <c r="G1964">
        <v>34.58</v>
      </c>
      <c r="H1964">
        <v>0.52</v>
      </c>
      <c r="I1964">
        <v>12</v>
      </c>
      <c r="J1964">
        <v>265.3</v>
      </c>
      <c r="K1964">
        <v>59.19</v>
      </c>
      <c r="L1964">
        <v>7.75</v>
      </c>
      <c r="M1964">
        <v>10</v>
      </c>
      <c r="N1964">
        <v>68.36</v>
      </c>
      <c r="O1964">
        <v>32954.43</v>
      </c>
      <c r="P1964">
        <v>111.85</v>
      </c>
      <c r="Q1964">
        <v>204.14</v>
      </c>
      <c r="R1964">
        <v>28.8</v>
      </c>
      <c r="S1964">
        <v>17.37</v>
      </c>
      <c r="T1964">
        <v>3584.27</v>
      </c>
      <c r="U1964">
        <v>0.6</v>
      </c>
      <c r="V1964">
        <v>0.74</v>
      </c>
      <c r="W1964">
        <v>1.1599999999999999</v>
      </c>
      <c r="X1964">
        <v>0.22</v>
      </c>
      <c r="Y1964">
        <v>1</v>
      </c>
      <c r="Z1964">
        <v>10</v>
      </c>
    </row>
    <row r="1965" spans="1:26" x14ac:dyDescent="0.3">
      <c r="A1965">
        <v>28</v>
      </c>
      <c r="B1965">
        <v>130</v>
      </c>
      <c r="C1965" t="s">
        <v>26</v>
      </c>
      <c r="D1965">
        <v>9.7775999999999996</v>
      </c>
      <c r="E1965">
        <v>10.23</v>
      </c>
      <c r="F1965">
        <v>6.88</v>
      </c>
      <c r="G1965">
        <v>37.549999999999997</v>
      </c>
      <c r="H1965">
        <v>0.54</v>
      </c>
      <c r="I1965">
        <v>11</v>
      </c>
      <c r="J1965">
        <v>265.77</v>
      </c>
      <c r="K1965">
        <v>59.19</v>
      </c>
      <c r="L1965">
        <v>8</v>
      </c>
      <c r="M1965">
        <v>9</v>
      </c>
      <c r="N1965">
        <v>68.58</v>
      </c>
      <c r="O1965">
        <v>33012.44</v>
      </c>
      <c r="P1965">
        <v>111.04</v>
      </c>
      <c r="Q1965">
        <v>204.19</v>
      </c>
      <c r="R1965">
        <v>27.7</v>
      </c>
      <c r="S1965">
        <v>17.37</v>
      </c>
      <c r="T1965">
        <v>3037.64</v>
      </c>
      <c r="U1965">
        <v>0.63</v>
      </c>
      <c r="V1965">
        <v>0.74</v>
      </c>
      <c r="W1965">
        <v>1.1599999999999999</v>
      </c>
      <c r="X1965">
        <v>0.19</v>
      </c>
      <c r="Y1965">
        <v>1</v>
      </c>
      <c r="Z1965">
        <v>10</v>
      </c>
    </row>
    <row r="1966" spans="1:26" x14ac:dyDescent="0.3">
      <c r="A1966">
        <v>29</v>
      </c>
      <c r="B1966">
        <v>130</v>
      </c>
      <c r="C1966" t="s">
        <v>26</v>
      </c>
      <c r="D1966">
        <v>9.7822999999999993</v>
      </c>
      <c r="E1966">
        <v>10.220000000000001</v>
      </c>
      <c r="F1966">
        <v>6.88</v>
      </c>
      <c r="G1966">
        <v>37.53</v>
      </c>
      <c r="H1966">
        <v>0.55000000000000004</v>
      </c>
      <c r="I1966">
        <v>11</v>
      </c>
      <c r="J1966">
        <v>266.24</v>
      </c>
      <c r="K1966">
        <v>59.19</v>
      </c>
      <c r="L1966">
        <v>8.25</v>
      </c>
      <c r="M1966">
        <v>9</v>
      </c>
      <c r="N1966">
        <v>68.8</v>
      </c>
      <c r="O1966">
        <v>33070.519999999997</v>
      </c>
      <c r="P1966">
        <v>110.93</v>
      </c>
      <c r="Q1966">
        <v>204.14</v>
      </c>
      <c r="R1966">
        <v>27.8</v>
      </c>
      <c r="S1966">
        <v>17.37</v>
      </c>
      <c r="T1966">
        <v>3088.23</v>
      </c>
      <c r="U1966">
        <v>0.62</v>
      </c>
      <c r="V1966">
        <v>0.74</v>
      </c>
      <c r="W1966">
        <v>1.1499999999999999</v>
      </c>
      <c r="X1966">
        <v>0.19</v>
      </c>
      <c r="Y1966">
        <v>1</v>
      </c>
      <c r="Z1966">
        <v>10</v>
      </c>
    </row>
    <row r="1967" spans="1:26" x14ac:dyDescent="0.3">
      <c r="A1967">
        <v>30</v>
      </c>
      <c r="B1967">
        <v>130</v>
      </c>
      <c r="C1967" t="s">
        <v>26</v>
      </c>
      <c r="D1967">
        <v>9.7728000000000002</v>
      </c>
      <c r="E1967">
        <v>10.23</v>
      </c>
      <c r="F1967">
        <v>6.89</v>
      </c>
      <c r="G1967">
        <v>37.58</v>
      </c>
      <c r="H1967">
        <v>0.56999999999999995</v>
      </c>
      <c r="I1967">
        <v>11</v>
      </c>
      <c r="J1967">
        <v>266.70999999999998</v>
      </c>
      <c r="K1967">
        <v>59.19</v>
      </c>
      <c r="L1967">
        <v>8.5</v>
      </c>
      <c r="M1967">
        <v>9</v>
      </c>
      <c r="N1967">
        <v>69.02</v>
      </c>
      <c r="O1967">
        <v>33128.699999999997</v>
      </c>
      <c r="P1967">
        <v>111.12</v>
      </c>
      <c r="Q1967">
        <v>204.16</v>
      </c>
      <c r="R1967">
        <v>28.1</v>
      </c>
      <c r="S1967">
        <v>17.37</v>
      </c>
      <c r="T1967">
        <v>3237.52</v>
      </c>
      <c r="U1967">
        <v>0.62</v>
      </c>
      <c r="V1967">
        <v>0.74</v>
      </c>
      <c r="W1967">
        <v>1.1499999999999999</v>
      </c>
      <c r="X1967">
        <v>0.2</v>
      </c>
      <c r="Y1967">
        <v>1</v>
      </c>
      <c r="Z1967">
        <v>10</v>
      </c>
    </row>
    <row r="1968" spans="1:26" x14ac:dyDescent="0.3">
      <c r="A1968">
        <v>31</v>
      </c>
      <c r="B1968">
        <v>130</v>
      </c>
      <c r="C1968" t="s">
        <v>26</v>
      </c>
      <c r="D1968">
        <v>9.7736000000000001</v>
      </c>
      <c r="E1968">
        <v>10.23</v>
      </c>
      <c r="F1968">
        <v>6.89</v>
      </c>
      <c r="G1968">
        <v>37.58</v>
      </c>
      <c r="H1968">
        <v>0.57999999999999996</v>
      </c>
      <c r="I1968">
        <v>11</v>
      </c>
      <c r="J1968">
        <v>267.18</v>
      </c>
      <c r="K1968">
        <v>59.19</v>
      </c>
      <c r="L1968">
        <v>8.75</v>
      </c>
      <c r="M1968">
        <v>9</v>
      </c>
      <c r="N1968">
        <v>69.239999999999995</v>
      </c>
      <c r="O1968">
        <v>33186.949999999997</v>
      </c>
      <c r="P1968">
        <v>110.86</v>
      </c>
      <c r="Q1968">
        <v>204.15</v>
      </c>
      <c r="R1968">
        <v>27.87</v>
      </c>
      <c r="S1968">
        <v>17.37</v>
      </c>
      <c r="T1968">
        <v>3121.3</v>
      </c>
      <c r="U1968">
        <v>0.62</v>
      </c>
      <c r="V1968">
        <v>0.74</v>
      </c>
      <c r="W1968">
        <v>1.1599999999999999</v>
      </c>
      <c r="X1968">
        <v>0.2</v>
      </c>
      <c r="Y1968">
        <v>1</v>
      </c>
      <c r="Z1968">
        <v>10</v>
      </c>
    </row>
    <row r="1969" spans="1:26" x14ac:dyDescent="0.3">
      <c r="A1969">
        <v>32</v>
      </c>
      <c r="B1969">
        <v>130</v>
      </c>
      <c r="C1969" t="s">
        <v>26</v>
      </c>
      <c r="D1969">
        <v>9.8430999999999997</v>
      </c>
      <c r="E1969">
        <v>10.16</v>
      </c>
      <c r="F1969">
        <v>6.87</v>
      </c>
      <c r="G1969">
        <v>41.19</v>
      </c>
      <c r="H1969">
        <v>0.6</v>
      </c>
      <c r="I1969">
        <v>10</v>
      </c>
      <c r="J1969">
        <v>267.66000000000003</v>
      </c>
      <c r="K1969">
        <v>59.19</v>
      </c>
      <c r="L1969">
        <v>9</v>
      </c>
      <c r="M1969">
        <v>8</v>
      </c>
      <c r="N1969">
        <v>69.459999999999994</v>
      </c>
      <c r="O1969">
        <v>33245.29</v>
      </c>
      <c r="P1969">
        <v>110.39</v>
      </c>
      <c r="Q1969">
        <v>204.14</v>
      </c>
      <c r="R1969">
        <v>27.25</v>
      </c>
      <c r="S1969">
        <v>17.37</v>
      </c>
      <c r="T1969">
        <v>2816.95</v>
      </c>
      <c r="U1969">
        <v>0.64</v>
      </c>
      <c r="V1969">
        <v>0.74</v>
      </c>
      <c r="W1969">
        <v>1.1499999999999999</v>
      </c>
      <c r="X1969">
        <v>0.17</v>
      </c>
      <c r="Y1969">
        <v>1</v>
      </c>
      <c r="Z1969">
        <v>10</v>
      </c>
    </row>
    <row r="1970" spans="1:26" x14ac:dyDescent="0.3">
      <c r="A1970">
        <v>33</v>
      </c>
      <c r="B1970">
        <v>130</v>
      </c>
      <c r="C1970" t="s">
        <v>26</v>
      </c>
      <c r="D1970">
        <v>9.8414000000000001</v>
      </c>
      <c r="E1970">
        <v>10.16</v>
      </c>
      <c r="F1970">
        <v>6.87</v>
      </c>
      <c r="G1970">
        <v>41.2</v>
      </c>
      <c r="H1970">
        <v>0.61</v>
      </c>
      <c r="I1970">
        <v>10</v>
      </c>
      <c r="J1970">
        <v>268.13</v>
      </c>
      <c r="K1970">
        <v>59.19</v>
      </c>
      <c r="L1970">
        <v>9.25</v>
      </c>
      <c r="M1970">
        <v>8</v>
      </c>
      <c r="N1970">
        <v>69.69</v>
      </c>
      <c r="O1970">
        <v>33303.72</v>
      </c>
      <c r="P1970">
        <v>110.41</v>
      </c>
      <c r="Q1970">
        <v>204.15</v>
      </c>
      <c r="R1970">
        <v>27.31</v>
      </c>
      <c r="S1970">
        <v>17.37</v>
      </c>
      <c r="T1970">
        <v>2847.53</v>
      </c>
      <c r="U1970">
        <v>0.64</v>
      </c>
      <c r="V1970">
        <v>0.74</v>
      </c>
      <c r="W1970">
        <v>1.1499999999999999</v>
      </c>
      <c r="X1970">
        <v>0.18</v>
      </c>
      <c r="Y1970">
        <v>1</v>
      </c>
      <c r="Z1970">
        <v>10</v>
      </c>
    </row>
    <row r="1971" spans="1:26" x14ac:dyDescent="0.3">
      <c r="A1971">
        <v>34</v>
      </c>
      <c r="B1971">
        <v>130</v>
      </c>
      <c r="C1971" t="s">
        <v>26</v>
      </c>
      <c r="D1971">
        <v>9.8462999999999994</v>
      </c>
      <c r="E1971">
        <v>10.16</v>
      </c>
      <c r="F1971">
        <v>6.86</v>
      </c>
      <c r="G1971">
        <v>41.17</v>
      </c>
      <c r="H1971">
        <v>0.63</v>
      </c>
      <c r="I1971">
        <v>10</v>
      </c>
      <c r="J1971">
        <v>268.61</v>
      </c>
      <c r="K1971">
        <v>59.19</v>
      </c>
      <c r="L1971">
        <v>9.5</v>
      </c>
      <c r="M1971">
        <v>8</v>
      </c>
      <c r="N1971">
        <v>69.91</v>
      </c>
      <c r="O1971">
        <v>33362.230000000003</v>
      </c>
      <c r="P1971">
        <v>110.47</v>
      </c>
      <c r="Q1971">
        <v>204.16</v>
      </c>
      <c r="R1971">
        <v>27.08</v>
      </c>
      <c r="S1971">
        <v>17.37</v>
      </c>
      <c r="T1971">
        <v>2734.32</v>
      </c>
      <c r="U1971">
        <v>0.64</v>
      </c>
      <c r="V1971">
        <v>0.74</v>
      </c>
      <c r="W1971">
        <v>1.1499999999999999</v>
      </c>
      <c r="X1971">
        <v>0.17</v>
      </c>
      <c r="Y1971">
        <v>1</v>
      </c>
      <c r="Z1971">
        <v>10</v>
      </c>
    </row>
    <row r="1972" spans="1:26" x14ac:dyDescent="0.3">
      <c r="A1972">
        <v>35</v>
      </c>
      <c r="B1972">
        <v>130</v>
      </c>
      <c r="C1972" t="s">
        <v>26</v>
      </c>
      <c r="D1972">
        <v>9.8370999999999995</v>
      </c>
      <c r="E1972">
        <v>10.17</v>
      </c>
      <c r="F1972">
        <v>6.87</v>
      </c>
      <c r="G1972">
        <v>41.23</v>
      </c>
      <c r="H1972">
        <v>0.64</v>
      </c>
      <c r="I1972">
        <v>10</v>
      </c>
      <c r="J1972">
        <v>269.08</v>
      </c>
      <c r="K1972">
        <v>59.19</v>
      </c>
      <c r="L1972">
        <v>9.75</v>
      </c>
      <c r="M1972">
        <v>8</v>
      </c>
      <c r="N1972">
        <v>70.14</v>
      </c>
      <c r="O1972">
        <v>33420.83</v>
      </c>
      <c r="P1972">
        <v>110.29</v>
      </c>
      <c r="Q1972">
        <v>204.15</v>
      </c>
      <c r="R1972">
        <v>27.45</v>
      </c>
      <c r="S1972">
        <v>17.37</v>
      </c>
      <c r="T1972">
        <v>2918.13</v>
      </c>
      <c r="U1972">
        <v>0.63</v>
      </c>
      <c r="V1972">
        <v>0.74</v>
      </c>
      <c r="W1972">
        <v>1.1499999999999999</v>
      </c>
      <c r="X1972">
        <v>0.18</v>
      </c>
      <c r="Y1972">
        <v>1</v>
      </c>
      <c r="Z1972">
        <v>10</v>
      </c>
    </row>
    <row r="1973" spans="1:26" x14ac:dyDescent="0.3">
      <c r="A1973">
        <v>36</v>
      </c>
      <c r="B1973">
        <v>130</v>
      </c>
      <c r="C1973" t="s">
        <v>26</v>
      </c>
      <c r="D1973">
        <v>9.9045000000000005</v>
      </c>
      <c r="E1973">
        <v>10.1</v>
      </c>
      <c r="F1973">
        <v>6.85</v>
      </c>
      <c r="G1973">
        <v>45.68</v>
      </c>
      <c r="H1973">
        <v>0.66</v>
      </c>
      <c r="I1973">
        <v>9</v>
      </c>
      <c r="J1973">
        <v>269.56</v>
      </c>
      <c r="K1973">
        <v>59.19</v>
      </c>
      <c r="L1973">
        <v>10</v>
      </c>
      <c r="M1973">
        <v>7</v>
      </c>
      <c r="N1973">
        <v>70.36</v>
      </c>
      <c r="O1973">
        <v>33479.51</v>
      </c>
      <c r="P1973">
        <v>109.98</v>
      </c>
      <c r="Q1973">
        <v>204.14</v>
      </c>
      <c r="R1973">
        <v>26.88</v>
      </c>
      <c r="S1973">
        <v>17.37</v>
      </c>
      <c r="T1973">
        <v>2637.49</v>
      </c>
      <c r="U1973">
        <v>0.65</v>
      </c>
      <c r="V1973">
        <v>0.75</v>
      </c>
      <c r="W1973">
        <v>1.1499999999999999</v>
      </c>
      <c r="X1973">
        <v>0.16</v>
      </c>
      <c r="Y1973">
        <v>1</v>
      </c>
      <c r="Z1973">
        <v>10</v>
      </c>
    </row>
    <row r="1974" spans="1:26" x14ac:dyDescent="0.3">
      <c r="A1974">
        <v>37</v>
      </c>
      <c r="B1974">
        <v>130</v>
      </c>
      <c r="C1974" t="s">
        <v>26</v>
      </c>
      <c r="D1974">
        <v>9.8985000000000003</v>
      </c>
      <c r="E1974">
        <v>10.1</v>
      </c>
      <c r="F1974">
        <v>6.86</v>
      </c>
      <c r="G1974">
        <v>45.72</v>
      </c>
      <c r="H1974">
        <v>0.68</v>
      </c>
      <c r="I1974">
        <v>9</v>
      </c>
      <c r="J1974">
        <v>270.02999999999997</v>
      </c>
      <c r="K1974">
        <v>59.19</v>
      </c>
      <c r="L1974">
        <v>10.25</v>
      </c>
      <c r="M1974">
        <v>7</v>
      </c>
      <c r="N1974">
        <v>70.59</v>
      </c>
      <c r="O1974">
        <v>33538.28</v>
      </c>
      <c r="P1974">
        <v>110.25</v>
      </c>
      <c r="Q1974">
        <v>204.14</v>
      </c>
      <c r="R1974">
        <v>27.18</v>
      </c>
      <c r="S1974">
        <v>17.37</v>
      </c>
      <c r="T1974">
        <v>2788.77</v>
      </c>
      <c r="U1974">
        <v>0.64</v>
      </c>
      <c r="V1974">
        <v>0.74</v>
      </c>
      <c r="W1974">
        <v>1.1499999999999999</v>
      </c>
      <c r="X1974">
        <v>0.17</v>
      </c>
      <c r="Y1974">
        <v>1</v>
      </c>
      <c r="Z1974">
        <v>10</v>
      </c>
    </row>
    <row r="1975" spans="1:26" x14ac:dyDescent="0.3">
      <c r="A1975">
        <v>38</v>
      </c>
      <c r="B1975">
        <v>130</v>
      </c>
      <c r="C1975" t="s">
        <v>26</v>
      </c>
      <c r="D1975">
        <v>9.8999000000000006</v>
      </c>
      <c r="E1975">
        <v>10.1</v>
      </c>
      <c r="F1975">
        <v>6.86</v>
      </c>
      <c r="G1975">
        <v>45.71</v>
      </c>
      <c r="H1975">
        <v>0.69</v>
      </c>
      <c r="I1975">
        <v>9</v>
      </c>
      <c r="J1975">
        <v>270.51</v>
      </c>
      <c r="K1975">
        <v>59.19</v>
      </c>
      <c r="L1975">
        <v>10.5</v>
      </c>
      <c r="M1975">
        <v>7</v>
      </c>
      <c r="N1975">
        <v>70.819999999999993</v>
      </c>
      <c r="O1975">
        <v>33597.14</v>
      </c>
      <c r="P1975">
        <v>110.18</v>
      </c>
      <c r="Q1975">
        <v>204.17</v>
      </c>
      <c r="R1975">
        <v>26.97</v>
      </c>
      <c r="S1975">
        <v>17.37</v>
      </c>
      <c r="T1975">
        <v>2683.62</v>
      </c>
      <c r="U1975">
        <v>0.64</v>
      </c>
      <c r="V1975">
        <v>0.74</v>
      </c>
      <c r="W1975">
        <v>1.1499999999999999</v>
      </c>
      <c r="X1975">
        <v>0.16</v>
      </c>
      <c r="Y1975">
        <v>1</v>
      </c>
      <c r="Z1975">
        <v>10</v>
      </c>
    </row>
    <row r="1976" spans="1:26" x14ac:dyDescent="0.3">
      <c r="A1976">
        <v>39</v>
      </c>
      <c r="B1976">
        <v>130</v>
      </c>
      <c r="C1976" t="s">
        <v>26</v>
      </c>
      <c r="D1976">
        <v>9.8995999999999995</v>
      </c>
      <c r="E1976">
        <v>10.1</v>
      </c>
      <c r="F1976">
        <v>6.86</v>
      </c>
      <c r="G1976">
        <v>45.71</v>
      </c>
      <c r="H1976">
        <v>0.71</v>
      </c>
      <c r="I1976">
        <v>9</v>
      </c>
      <c r="J1976">
        <v>270.99</v>
      </c>
      <c r="K1976">
        <v>59.19</v>
      </c>
      <c r="L1976">
        <v>10.75</v>
      </c>
      <c r="M1976">
        <v>7</v>
      </c>
      <c r="N1976">
        <v>71.040000000000006</v>
      </c>
      <c r="O1976">
        <v>33656.080000000002</v>
      </c>
      <c r="P1976">
        <v>109.99</v>
      </c>
      <c r="Q1976">
        <v>204.14</v>
      </c>
      <c r="R1976">
        <v>27.03</v>
      </c>
      <c r="S1976">
        <v>17.37</v>
      </c>
      <c r="T1976">
        <v>2712.01</v>
      </c>
      <c r="U1976">
        <v>0.64</v>
      </c>
      <c r="V1976">
        <v>0.74</v>
      </c>
      <c r="W1976">
        <v>1.1499999999999999</v>
      </c>
      <c r="X1976">
        <v>0.17</v>
      </c>
      <c r="Y1976">
        <v>1</v>
      </c>
      <c r="Z1976">
        <v>10</v>
      </c>
    </row>
    <row r="1977" spans="1:26" x14ac:dyDescent="0.3">
      <c r="A1977">
        <v>40</v>
      </c>
      <c r="B1977">
        <v>130</v>
      </c>
      <c r="C1977" t="s">
        <v>26</v>
      </c>
      <c r="D1977">
        <v>9.9021000000000008</v>
      </c>
      <c r="E1977">
        <v>10.1</v>
      </c>
      <c r="F1977">
        <v>6.85</v>
      </c>
      <c r="G1977">
        <v>45.69</v>
      </c>
      <c r="H1977">
        <v>0.72</v>
      </c>
      <c r="I1977">
        <v>9</v>
      </c>
      <c r="J1977">
        <v>271.47000000000003</v>
      </c>
      <c r="K1977">
        <v>59.19</v>
      </c>
      <c r="L1977">
        <v>11</v>
      </c>
      <c r="M1977">
        <v>7</v>
      </c>
      <c r="N1977">
        <v>71.27</v>
      </c>
      <c r="O1977">
        <v>33715.11</v>
      </c>
      <c r="P1977">
        <v>109.75</v>
      </c>
      <c r="Q1977">
        <v>204.15</v>
      </c>
      <c r="R1977">
        <v>27</v>
      </c>
      <c r="S1977">
        <v>17.37</v>
      </c>
      <c r="T1977">
        <v>2697.38</v>
      </c>
      <c r="U1977">
        <v>0.64</v>
      </c>
      <c r="V1977">
        <v>0.75</v>
      </c>
      <c r="W1977">
        <v>1.1499999999999999</v>
      </c>
      <c r="X1977">
        <v>0.16</v>
      </c>
      <c r="Y1977">
        <v>1</v>
      </c>
      <c r="Z1977">
        <v>10</v>
      </c>
    </row>
    <row r="1978" spans="1:26" x14ac:dyDescent="0.3">
      <c r="A1978">
        <v>41</v>
      </c>
      <c r="B1978">
        <v>130</v>
      </c>
      <c r="C1978" t="s">
        <v>26</v>
      </c>
      <c r="D1978">
        <v>9.9679000000000002</v>
      </c>
      <c r="E1978">
        <v>10.029999999999999</v>
      </c>
      <c r="F1978">
        <v>6.84</v>
      </c>
      <c r="G1978">
        <v>51.27</v>
      </c>
      <c r="H1978">
        <v>0.74</v>
      </c>
      <c r="I1978">
        <v>8</v>
      </c>
      <c r="J1978">
        <v>271.95</v>
      </c>
      <c r="K1978">
        <v>59.19</v>
      </c>
      <c r="L1978">
        <v>11.25</v>
      </c>
      <c r="M1978">
        <v>6</v>
      </c>
      <c r="N1978">
        <v>71.5</v>
      </c>
      <c r="O1978">
        <v>33774.230000000003</v>
      </c>
      <c r="P1978">
        <v>109.29</v>
      </c>
      <c r="Q1978">
        <v>204.19</v>
      </c>
      <c r="R1978">
        <v>26.37</v>
      </c>
      <c r="S1978">
        <v>17.37</v>
      </c>
      <c r="T1978">
        <v>2385.36</v>
      </c>
      <c r="U1978">
        <v>0.66</v>
      </c>
      <c r="V1978">
        <v>0.75</v>
      </c>
      <c r="W1978">
        <v>1.1499999999999999</v>
      </c>
      <c r="X1978">
        <v>0.14000000000000001</v>
      </c>
      <c r="Y1978">
        <v>1</v>
      </c>
      <c r="Z1978">
        <v>10</v>
      </c>
    </row>
    <row r="1979" spans="1:26" x14ac:dyDescent="0.3">
      <c r="A1979">
        <v>42</v>
      </c>
      <c r="B1979">
        <v>130</v>
      </c>
      <c r="C1979" t="s">
        <v>26</v>
      </c>
      <c r="D1979">
        <v>9.9831000000000003</v>
      </c>
      <c r="E1979">
        <v>10.02</v>
      </c>
      <c r="F1979">
        <v>6.82</v>
      </c>
      <c r="G1979">
        <v>51.16</v>
      </c>
      <c r="H1979">
        <v>0.75</v>
      </c>
      <c r="I1979">
        <v>8</v>
      </c>
      <c r="J1979">
        <v>272.43</v>
      </c>
      <c r="K1979">
        <v>59.19</v>
      </c>
      <c r="L1979">
        <v>11.5</v>
      </c>
      <c r="M1979">
        <v>6</v>
      </c>
      <c r="N1979">
        <v>71.73</v>
      </c>
      <c r="O1979">
        <v>33833.57</v>
      </c>
      <c r="P1979">
        <v>109.08</v>
      </c>
      <c r="Q1979">
        <v>204.15</v>
      </c>
      <c r="R1979">
        <v>25.8</v>
      </c>
      <c r="S1979">
        <v>17.37</v>
      </c>
      <c r="T1979">
        <v>2102.46</v>
      </c>
      <c r="U1979">
        <v>0.67</v>
      </c>
      <c r="V1979">
        <v>0.75</v>
      </c>
      <c r="W1979">
        <v>1.1499999999999999</v>
      </c>
      <c r="X1979">
        <v>0.13</v>
      </c>
      <c r="Y1979">
        <v>1</v>
      </c>
      <c r="Z1979">
        <v>10</v>
      </c>
    </row>
    <row r="1980" spans="1:26" x14ac:dyDescent="0.3">
      <c r="A1980">
        <v>43</v>
      </c>
      <c r="B1980">
        <v>130</v>
      </c>
      <c r="C1980" t="s">
        <v>26</v>
      </c>
      <c r="D1980">
        <v>9.9824999999999999</v>
      </c>
      <c r="E1980">
        <v>10.02</v>
      </c>
      <c r="F1980">
        <v>6.82</v>
      </c>
      <c r="G1980">
        <v>51.16</v>
      </c>
      <c r="H1980">
        <v>0.77</v>
      </c>
      <c r="I1980">
        <v>8</v>
      </c>
      <c r="J1980">
        <v>272.91000000000003</v>
      </c>
      <c r="K1980">
        <v>59.19</v>
      </c>
      <c r="L1980">
        <v>11.75</v>
      </c>
      <c r="M1980">
        <v>6</v>
      </c>
      <c r="N1980">
        <v>71.959999999999994</v>
      </c>
      <c r="O1980">
        <v>33892.870000000003</v>
      </c>
      <c r="P1980">
        <v>108.91</v>
      </c>
      <c r="Q1980">
        <v>204.16</v>
      </c>
      <c r="R1980">
        <v>25.89</v>
      </c>
      <c r="S1980">
        <v>17.37</v>
      </c>
      <c r="T1980">
        <v>2145.5700000000002</v>
      </c>
      <c r="U1980">
        <v>0.67</v>
      </c>
      <c r="V1980">
        <v>0.75</v>
      </c>
      <c r="W1980">
        <v>1.1499999999999999</v>
      </c>
      <c r="X1980">
        <v>0.13</v>
      </c>
      <c r="Y1980">
        <v>1</v>
      </c>
      <c r="Z1980">
        <v>10</v>
      </c>
    </row>
    <row r="1981" spans="1:26" x14ac:dyDescent="0.3">
      <c r="A1981">
        <v>44</v>
      </c>
      <c r="B1981">
        <v>130</v>
      </c>
      <c r="C1981" t="s">
        <v>26</v>
      </c>
      <c r="D1981">
        <v>9.9728999999999992</v>
      </c>
      <c r="E1981">
        <v>10.029999999999999</v>
      </c>
      <c r="F1981">
        <v>6.83</v>
      </c>
      <c r="G1981">
        <v>51.23</v>
      </c>
      <c r="H1981">
        <v>0.78</v>
      </c>
      <c r="I1981">
        <v>8</v>
      </c>
      <c r="J1981">
        <v>273.39</v>
      </c>
      <c r="K1981">
        <v>59.19</v>
      </c>
      <c r="L1981">
        <v>12</v>
      </c>
      <c r="M1981">
        <v>6</v>
      </c>
      <c r="N1981">
        <v>72.2</v>
      </c>
      <c r="O1981">
        <v>33952.26</v>
      </c>
      <c r="P1981">
        <v>108.92</v>
      </c>
      <c r="Q1981">
        <v>204.18</v>
      </c>
      <c r="R1981">
        <v>26.28</v>
      </c>
      <c r="S1981">
        <v>17.37</v>
      </c>
      <c r="T1981">
        <v>2344.0100000000002</v>
      </c>
      <c r="U1981">
        <v>0.66</v>
      </c>
      <c r="V1981">
        <v>0.75</v>
      </c>
      <c r="W1981">
        <v>1.1499999999999999</v>
      </c>
      <c r="X1981">
        <v>0.14000000000000001</v>
      </c>
      <c r="Y1981">
        <v>1</v>
      </c>
      <c r="Z1981">
        <v>10</v>
      </c>
    </row>
    <row r="1982" spans="1:26" x14ac:dyDescent="0.3">
      <c r="A1982">
        <v>45</v>
      </c>
      <c r="B1982">
        <v>130</v>
      </c>
      <c r="C1982" t="s">
        <v>26</v>
      </c>
      <c r="D1982">
        <v>9.9778000000000002</v>
      </c>
      <c r="E1982">
        <v>10.02</v>
      </c>
      <c r="F1982">
        <v>6.83</v>
      </c>
      <c r="G1982">
        <v>51.2</v>
      </c>
      <c r="H1982">
        <v>0.8</v>
      </c>
      <c r="I1982">
        <v>8</v>
      </c>
      <c r="J1982">
        <v>273.87</v>
      </c>
      <c r="K1982">
        <v>59.19</v>
      </c>
      <c r="L1982">
        <v>12.25</v>
      </c>
      <c r="M1982">
        <v>6</v>
      </c>
      <c r="N1982">
        <v>72.430000000000007</v>
      </c>
      <c r="O1982">
        <v>34011.74</v>
      </c>
      <c r="P1982">
        <v>108.8</v>
      </c>
      <c r="Q1982">
        <v>204.14</v>
      </c>
      <c r="R1982">
        <v>26.14</v>
      </c>
      <c r="S1982">
        <v>17.37</v>
      </c>
      <c r="T1982">
        <v>2272.12</v>
      </c>
      <c r="U1982">
        <v>0.66</v>
      </c>
      <c r="V1982">
        <v>0.75</v>
      </c>
      <c r="W1982">
        <v>1.1499999999999999</v>
      </c>
      <c r="X1982">
        <v>0.14000000000000001</v>
      </c>
      <c r="Y1982">
        <v>1</v>
      </c>
      <c r="Z1982">
        <v>10</v>
      </c>
    </row>
    <row r="1983" spans="1:26" x14ac:dyDescent="0.3">
      <c r="A1983">
        <v>46</v>
      </c>
      <c r="B1983">
        <v>130</v>
      </c>
      <c r="C1983" t="s">
        <v>26</v>
      </c>
      <c r="D1983">
        <v>9.9802999999999997</v>
      </c>
      <c r="E1983">
        <v>10.02</v>
      </c>
      <c r="F1983">
        <v>6.82</v>
      </c>
      <c r="G1983">
        <v>51.18</v>
      </c>
      <c r="H1983">
        <v>0.81</v>
      </c>
      <c r="I1983">
        <v>8</v>
      </c>
      <c r="J1983">
        <v>274.35000000000002</v>
      </c>
      <c r="K1983">
        <v>59.19</v>
      </c>
      <c r="L1983">
        <v>12.5</v>
      </c>
      <c r="M1983">
        <v>6</v>
      </c>
      <c r="N1983">
        <v>72.66</v>
      </c>
      <c r="O1983">
        <v>34071.31</v>
      </c>
      <c r="P1983">
        <v>108.7</v>
      </c>
      <c r="Q1983">
        <v>204.15</v>
      </c>
      <c r="R1983">
        <v>25.99</v>
      </c>
      <c r="S1983">
        <v>17.37</v>
      </c>
      <c r="T1983">
        <v>2196.23</v>
      </c>
      <c r="U1983">
        <v>0.67</v>
      </c>
      <c r="V1983">
        <v>0.75</v>
      </c>
      <c r="W1983">
        <v>1.1499999999999999</v>
      </c>
      <c r="X1983">
        <v>0.13</v>
      </c>
      <c r="Y1983">
        <v>1</v>
      </c>
      <c r="Z1983">
        <v>10</v>
      </c>
    </row>
    <row r="1984" spans="1:26" x14ac:dyDescent="0.3">
      <c r="A1984">
        <v>47</v>
      </c>
      <c r="B1984">
        <v>130</v>
      </c>
      <c r="C1984" t="s">
        <v>26</v>
      </c>
      <c r="D1984">
        <v>9.9745000000000008</v>
      </c>
      <c r="E1984">
        <v>10.029999999999999</v>
      </c>
      <c r="F1984">
        <v>6.83</v>
      </c>
      <c r="G1984">
        <v>51.22</v>
      </c>
      <c r="H1984">
        <v>0.83</v>
      </c>
      <c r="I1984">
        <v>8</v>
      </c>
      <c r="J1984">
        <v>274.83999999999997</v>
      </c>
      <c r="K1984">
        <v>59.19</v>
      </c>
      <c r="L1984">
        <v>12.75</v>
      </c>
      <c r="M1984">
        <v>6</v>
      </c>
      <c r="N1984">
        <v>72.89</v>
      </c>
      <c r="O1984">
        <v>34130.980000000003</v>
      </c>
      <c r="P1984">
        <v>108.56</v>
      </c>
      <c r="Q1984">
        <v>204.14</v>
      </c>
      <c r="R1984">
        <v>26.09</v>
      </c>
      <c r="S1984">
        <v>17.37</v>
      </c>
      <c r="T1984">
        <v>2245.1</v>
      </c>
      <c r="U1984">
        <v>0.67</v>
      </c>
      <c r="V1984">
        <v>0.75</v>
      </c>
      <c r="W1984">
        <v>1.1499999999999999</v>
      </c>
      <c r="X1984">
        <v>0.14000000000000001</v>
      </c>
      <c r="Y1984">
        <v>1</v>
      </c>
      <c r="Z1984">
        <v>10</v>
      </c>
    </row>
    <row r="1985" spans="1:26" x14ac:dyDescent="0.3">
      <c r="A1985">
        <v>48</v>
      </c>
      <c r="B1985">
        <v>130</v>
      </c>
      <c r="C1985" t="s">
        <v>26</v>
      </c>
      <c r="D1985">
        <v>10.0474</v>
      </c>
      <c r="E1985">
        <v>9.9499999999999993</v>
      </c>
      <c r="F1985">
        <v>6.81</v>
      </c>
      <c r="G1985">
        <v>58.33</v>
      </c>
      <c r="H1985">
        <v>0.84</v>
      </c>
      <c r="I1985">
        <v>7</v>
      </c>
      <c r="J1985">
        <v>275.32</v>
      </c>
      <c r="K1985">
        <v>59.19</v>
      </c>
      <c r="L1985">
        <v>13</v>
      </c>
      <c r="M1985">
        <v>5</v>
      </c>
      <c r="N1985">
        <v>73.13</v>
      </c>
      <c r="O1985">
        <v>34190.730000000003</v>
      </c>
      <c r="P1985">
        <v>108.09</v>
      </c>
      <c r="Q1985">
        <v>204.14</v>
      </c>
      <c r="R1985">
        <v>25.26</v>
      </c>
      <c r="S1985">
        <v>17.37</v>
      </c>
      <c r="T1985">
        <v>1837.19</v>
      </c>
      <c r="U1985">
        <v>0.69</v>
      </c>
      <c r="V1985">
        <v>0.75</v>
      </c>
      <c r="W1985">
        <v>1.1499999999999999</v>
      </c>
      <c r="X1985">
        <v>0.11</v>
      </c>
      <c r="Y1985">
        <v>1</v>
      </c>
      <c r="Z1985">
        <v>10</v>
      </c>
    </row>
    <row r="1986" spans="1:26" x14ac:dyDescent="0.3">
      <c r="A1986">
        <v>49</v>
      </c>
      <c r="B1986">
        <v>130</v>
      </c>
      <c r="C1986" t="s">
        <v>26</v>
      </c>
      <c r="D1986">
        <v>10.050000000000001</v>
      </c>
      <c r="E1986">
        <v>9.9499999999999993</v>
      </c>
      <c r="F1986">
        <v>6.8</v>
      </c>
      <c r="G1986">
        <v>58.31</v>
      </c>
      <c r="H1986">
        <v>0.86</v>
      </c>
      <c r="I1986">
        <v>7</v>
      </c>
      <c r="J1986">
        <v>275.81</v>
      </c>
      <c r="K1986">
        <v>59.19</v>
      </c>
      <c r="L1986">
        <v>13.25</v>
      </c>
      <c r="M1986">
        <v>5</v>
      </c>
      <c r="N1986">
        <v>73.36</v>
      </c>
      <c r="O1986">
        <v>34250.57</v>
      </c>
      <c r="P1986">
        <v>108.22</v>
      </c>
      <c r="Q1986">
        <v>204.14</v>
      </c>
      <c r="R1986">
        <v>25.27</v>
      </c>
      <c r="S1986">
        <v>17.37</v>
      </c>
      <c r="T1986">
        <v>1842.24</v>
      </c>
      <c r="U1986">
        <v>0.69</v>
      </c>
      <c r="V1986">
        <v>0.75</v>
      </c>
      <c r="W1986">
        <v>1.1499999999999999</v>
      </c>
      <c r="X1986">
        <v>0.11</v>
      </c>
      <c r="Y1986">
        <v>1</v>
      </c>
      <c r="Z1986">
        <v>10</v>
      </c>
    </row>
    <row r="1987" spans="1:26" x14ac:dyDescent="0.3">
      <c r="A1987">
        <v>50</v>
      </c>
      <c r="B1987">
        <v>130</v>
      </c>
      <c r="C1987" t="s">
        <v>26</v>
      </c>
      <c r="D1987">
        <v>10.0517</v>
      </c>
      <c r="E1987">
        <v>9.9499999999999993</v>
      </c>
      <c r="F1987">
        <v>6.8</v>
      </c>
      <c r="G1987">
        <v>58.3</v>
      </c>
      <c r="H1987">
        <v>0.87</v>
      </c>
      <c r="I1987">
        <v>7</v>
      </c>
      <c r="J1987">
        <v>276.29000000000002</v>
      </c>
      <c r="K1987">
        <v>59.19</v>
      </c>
      <c r="L1987">
        <v>13.5</v>
      </c>
      <c r="M1987">
        <v>5</v>
      </c>
      <c r="N1987">
        <v>73.599999999999994</v>
      </c>
      <c r="O1987">
        <v>34310.51</v>
      </c>
      <c r="P1987">
        <v>108.39</v>
      </c>
      <c r="Q1987">
        <v>204.17</v>
      </c>
      <c r="R1987">
        <v>25.3</v>
      </c>
      <c r="S1987">
        <v>17.37</v>
      </c>
      <c r="T1987">
        <v>1859.13</v>
      </c>
      <c r="U1987">
        <v>0.69</v>
      </c>
      <c r="V1987">
        <v>0.75</v>
      </c>
      <c r="W1987">
        <v>1.1399999999999999</v>
      </c>
      <c r="X1987">
        <v>0.11</v>
      </c>
      <c r="Y1987">
        <v>1</v>
      </c>
      <c r="Z1987">
        <v>10</v>
      </c>
    </row>
    <row r="1988" spans="1:26" x14ac:dyDescent="0.3">
      <c r="A1988">
        <v>51</v>
      </c>
      <c r="B1988">
        <v>130</v>
      </c>
      <c r="C1988" t="s">
        <v>26</v>
      </c>
      <c r="D1988">
        <v>10.0458</v>
      </c>
      <c r="E1988">
        <v>9.9499999999999993</v>
      </c>
      <c r="F1988">
        <v>6.81</v>
      </c>
      <c r="G1988">
        <v>58.35</v>
      </c>
      <c r="H1988">
        <v>0.88</v>
      </c>
      <c r="I1988">
        <v>7</v>
      </c>
      <c r="J1988">
        <v>276.77999999999997</v>
      </c>
      <c r="K1988">
        <v>59.19</v>
      </c>
      <c r="L1988">
        <v>13.75</v>
      </c>
      <c r="M1988">
        <v>5</v>
      </c>
      <c r="N1988">
        <v>73.84</v>
      </c>
      <c r="O1988">
        <v>34370.54</v>
      </c>
      <c r="P1988">
        <v>108.43</v>
      </c>
      <c r="Q1988">
        <v>204.14</v>
      </c>
      <c r="R1988">
        <v>25.53</v>
      </c>
      <c r="S1988">
        <v>17.37</v>
      </c>
      <c r="T1988">
        <v>1972.36</v>
      </c>
      <c r="U1988">
        <v>0.68</v>
      </c>
      <c r="V1988">
        <v>0.75</v>
      </c>
      <c r="W1988">
        <v>1.1399999999999999</v>
      </c>
      <c r="X1988">
        <v>0.12</v>
      </c>
      <c r="Y1988">
        <v>1</v>
      </c>
      <c r="Z1988">
        <v>10</v>
      </c>
    </row>
    <row r="1989" spans="1:26" x14ac:dyDescent="0.3">
      <c r="A1989">
        <v>52</v>
      </c>
      <c r="B1989">
        <v>130</v>
      </c>
      <c r="C1989" t="s">
        <v>26</v>
      </c>
      <c r="D1989">
        <v>10.039300000000001</v>
      </c>
      <c r="E1989">
        <v>9.9600000000000009</v>
      </c>
      <c r="F1989">
        <v>6.81</v>
      </c>
      <c r="G1989">
        <v>58.4</v>
      </c>
      <c r="H1989">
        <v>0.9</v>
      </c>
      <c r="I1989">
        <v>7</v>
      </c>
      <c r="J1989">
        <v>277.27</v>
      </c>
      <c r="K1989">
        <v>59.19</v>
      </c>
      <c r="L1989">
        <v>14</v>
      </c>
      <c r="M1989">
        <v>5</v>
      </c>
      <c r="N1989">
        <v>74.069999999999993</v>
      </c>
      <c r="O1989">
        <v>34430.660000000003</v>
      </c>
      <c r="P1989">
        <v>108.53</v>
      </c>
      <c r="Q1989">
        <v>204.16</v>
      </c>
      <c r="R1989">
        <v>25.62</v>
      </c>
      <c r="S1989">
        <v>17.37</v>
      </c>
      <c r="T1989">
        <v>2018.18</v>
      </c>
      <c r="U1989">
        <v>0.68</v>
      </c>
      <c r="V1989">
        <v>0.75</v>
      </c>
      <c r="W1989">
        <v>1.1499999999999999</v>
      </c>
      <c r="X1989">
        <v>0.12</v>
      </c>
      <c r="Y1989">
        <v>1</v>
      </c>
      <c r="Z1989">
        <v>10</v>
      </c>
    </row>
    <row r="1990" spans="1:26" x14ac:dyDescent="0.3">
      <c r="A1990">
        <v>53</v>
      </c>
      <c r="B1990">
        <v>130</v>
      </c>
      <c r="C1990" t="s">
        <v>26</v>
      </c>
      <c r="D1990">
        <v>10.0404</v>
      </c>
      <c r="E1990">
        <v>9.9600000000000009</v>
      </c>
      <c r="F1990">
        <v>6.81</v>
      </c>
      <c r="G1990">
        <v>58.39</v>
      </c>
      <c r="H1990">
        <v>0.91</v>
      </c>
      <c r="I1990">
        <v>7</v>
      </c>
      <c r="J1990">
        <v>277.76</v>
      </c>
      <c r="K1990">
        <v>59.19</v>
      </c>
      <c r="L1990">
        <v>14.25</v>
      </c>
      <c r="M1990">
        <v>5</v>
      </c>
      <c r="N1990">
        <v>74.31</v>
      </c>
      <c r="O1990">
        <v>34490.870000000003</v>
      </c>
      <c r="P1990">
        <v>108.38</v>
      </c>
      <c r="Q1990">
        <v>204.14</v>
      </c>
      <c r="R1990">
        <v>25.64</v>
      </c>
      <c r="S1990">
        <v>17.37</v>
      </c>
      <c r="T1990">
        <v>2026.26</v>
      </c>
      <c r="U1990">
        <v>0.68</v>
      </c>
      <c r="V1990">
        <v>0.75</v>
      </c>
      <c r="W1990">
        <v>1.1499999999999999</v>
      </c>
      <c r="X1990">
        <v>0.12</v>
      </c>
      <c r="Y1990">
        <v>1</v>
      </c>
      <c r="Z1990">
        <v>10</v>
      </c>
    </row>
    <row r="1991" spans="1:26" x14ac:dyDescent="0.3">
      <c r="A1991">
        <v>54</v>
      </c>
      <c r="B1991">
        <v>130</v>
      </c>
      <c r="C1991" t="s">
        <v>26</v>
      </c>
      <c r="D1991">
        <v>10.041600000000001</v>
      </c>
      <c r="E1991">
        <v>9.9600000000000009</v>
      </c>
      <c r="F1991">
        <v>6.81</v>
      </c>
      <c r="G1991">
        <v>58.38</v>
      </c>
      <c r="H1991">
        <v>0.93</v>
      </c>
      <c r="I1991">
        <v>7</v>
      </c>
      <c r="J1991">
        <v>278.25</v>
      </c>
      <c r="K1991">
        <v>59.19</v>
      </c>
      <c r="L1991">
        <v>14.5</v>
      </c>
      <c r="M1991">
        <v>5</v>
      </c>
      <c r="N1991">
        <v>74.55</v>
      </c>
      <c r="O1991">
        <v>34551.18</v>
      </c>
      <c r="P1991">
        <v>108.16</v>
      </c>
      <c r="Q1991">
        <v>204.14</v>
      </c>
      <c r="R1991">
        <v>25.57</v>
      </c>
      <c r="S1991">
        <v>17.37</v>
      </c>
      <c r="T1991">
        <v>1989.87</v>
      </c>
      <c r="U1991">
        <v>0.68</v>
      </c>
      <c r="V1991">
        <v>0.75</v>
      </c>
      <c r="W1991">
        <v>1.1499999999999999</v>
      </c>
      <c r="X1991">
        <v>0.12</v>
      </c>
      <c r="Y1991">
        <v>1</v>
      </c>
      <c r="Z1991">
        <v>10</v>
      </c>
    </row>
    <row r="1992" spans="1:26" x14ac:dyDescent="0.3">
      <c r="A1992">
        <v>55</v>
      </c>
      <c r="B1992">
        <v>130</v>
      </c>
      <c r="C1992" t="s">
        <v>26</v>
      </c>
      <c r="D1992">
        <v>10.0304</v>
      </c>
      <c r="E1992">
        <v>9.9700000000000006</v>
      </c>
      <c r="F1992">
        <v>6.82</v>
      </c>
      <c r="G1992">
        <v>58.48</v>
      </c>
      <c r="H1992">
        <v>0.94</v>
      </c>
      <c r="I1992">
        <v>7</v>
      </c>
      <c r="J1992">
        <v>278.74</v>
      </c>
      <c r="K1992">
        <v>59.19</v>
      </c>
      <c r="L1992">
        <v>14.75</v>
      </c>
      <c r="M1992">
        <v>5</v>
      </c>
      <c r="N1992">
        <v>74.790000000000006</v>
      </c>
      <c r="O1992">
        <v>34611.589999999997</v>
      </c>
      <c r="P1992">
        <v>108.18</v>
      </c>
      <c r="Q1992">
        <v>204.14</v>
      </c>
      <c r="R1992">
        <v>25.78</v>
      </c>
      <c r="S1992">
        <v>17.37</v>
      </c>
      <c r="T1992">
        <v>2096.5100000000002</v>
      </c>
      <c r="U1992">
        <v>0.67</v>
      </c>
      <c r="V1992">
        <v>0.75</v>
      </c>
      <c r="W1992">
        <v>1.1499999999999999</v>
      </c>
      <c r="X1992">
        <v>0.13</v>
      </c>
      <c r="Y1992">
        <v>1</v>
      </c>
      <c r="Z1992">
        <v>10</v>
      </c>
    </row>
    <row r="1993" spans="1:26" x14ac:dyDescent="0.3">
      <c r="A1993">
        <v>56</v>
      </c>
      <c r="B1993">
        <v>130</v>
      </c>
      <c r="C1993" t="s">
        <v>26</v>
      </c>
      <c r="D1993">
        <v>10.0421</v>
      </c>
      <c r="E1993">
        <v>9.9600000000000009</v>
      </c>
      <c r="F1993">
        <v>6.81</v>
      </c>
      <c r="G1993">
        <v>58.38</v>
      </c>
      <c r="H1993">
        <v>0.96</v>
      </c>
      <c r="I1993">
        <v>7</v>
      </c>
      <c r="J1993">
        <v>279.23</v>
      </c>
      <c r="K1993">
        <v>59.19</v>
      </c>
      <c r="L1993">
        <v>15</v>
      </c>
      <c r="M1993">
        <v>5</v>
      </c>
      <c r="N1993">
        <v>75.03</v>
      </c>
      <c r="O1993">
        <v>34672.080000000002</v>
      </c>
      <c r="P1993">
        <v>107.8</v>
      </c>
      <c r="Q1993">
        <v>204.14</v>
      </c>
      <c r="R1993">
        <v>25.66</v>
      </c>
      <c r="S1993">
        <v>17.37</v>
      </c>
      <c r="T1993">
        <v>2038.88</v>
      </c>
      <c r="U1993">
        <v>0.68</v>
      </c>
      <c r="V1993">
        <v>0.75</v>
      </c>
      <c r="W1993">
        <v>1.1499999999999999</v>
      </c>
      <c r="X1993">
        <v>0.12</v>
      </c>
      <c r="Y1993">
        <v>1</v>
      </c>
      <c r="Z1993">
        <v>10</v>
      </c>
    </row>
    <row r="1994" spans="1:26" x14ac:dyDescent="0.3">
      <c r="A1994">
        <v>57</v>
      </c>
      <c r="B1994">
        <v>130</v>
      </c>
      <c r="C1994" t="s">
        <v>26</v>
      </c>
      <c r="D1994">
        <v>10.0444</v>
      </c>
      <c r="E1994">
        <v>9.9600000000000009</v>
      </c>
      <c r="F1994">
        <v>6.81</v>
      </c>
      <c r="G1994">
        <v>58.36</v>
      </c>
      <c r="H1994">
        <v>0.97</v>
      </c>
      <c r="I1994">
        <v>7</v>
      </c>
      <c r="J1994">
        <v>279.72000000000003</v>
      </c>
      <c r="K1994">
        <v>59.19</v>
      </c>
      <c r="L1994">
        <v>15.25</v>
      </c>
      <c r="M1994">
        <v>5</v>
      </c>
      <c r="N1994">
        <v>75.27</v>
      </c>
      <c r="O1994">
        <v>34732.68</v>
      </c>
      <c r="P1994">
        <v>107.52</v>
      </c>
      <c r="Q1994">
        <v>204.14</v>
      </c>
      <c r="R1994">
        <v>25.46</v>
      </c>
      <c r="S1994">
        <v>17.37</v>
      </c>
      <c r="T1994">
        <v>1935.58</v>
      </c>
      <c r="U1994">
        <v>0.68</v>
      </c>
      <c r="V1994">
        <v>0.75</v>
      </c>
      <c r="W1994">
        <v>1.1499999999999999</v>
      </c>
      <c r="X1994">
        <v>0.12</v>
      </c>
      <c r="Y1994">
        <v>1</v>
      </c>
      <c r="Z1994">
        <v>10</v>
      </c>
    </row>
    <row r="1995" spans="1:26" x14ac:dyDescent="0.3">
      <c r="A1995">
        <v>58</v>
      </c>
      <c r="B1995">
        <v>130</v>
      </c>
      <c r="C1995" t="s">
        <v>26</v>
      </c>
      <c r="D1995">
        <v>10.1175</v>
      </c>
      <c r="E1995">
        <v>9.8800000000000008</v>
      </c>
      <c r="F1995">
        <v>6.79</v>
      </c>
      <c r="G1995">
        <v>67.86</v>
      </c>
      <c r="H1995">
        <v>0.98</v>
      </c>
      <c r="I1995">
        <v>6</v>
      </c>
      <c r="J1995">
        <v>280.20999999999998</v>
      </c>
      <c r="K1995">
        <v>59.19</v>
      </c>
      <c r="L1995">
        <v>15.5</v>
      </c>
      <c r="M1995">
        <v>4</v>
      </c>
      <c r="N1995">
        <v>75.52</v>
      </c>
      <c r="O1995">
        <v>34793.360000000001</v>
      </c>
      <c r="P1995">
        <v>107.09</v>
      </c>
      <c r="Q1995">
        <v>204.15</v>
      </c>
      <c r="R1995">
        <v>24.72</v>
      </c>
      <c r="S1995">
        <v>17.37</v>
      </c>
      <c r="T1995">
        <v>1573.13</v>
      </c>
      <c r="U1995">
        <v>0.7</v>
      </c>
      <c r="V1995">
        <v>0.75</v>
      </c>
      <c r="W1995">
        <v>1.1499999999999999</v>
      </c>
      <c r="X1995">
        <v>0.09</v>
      </c>
      <c r="Y1995">
        <v>1</v>
      </c>
      <c r="Z1995">
        <v>10</v>
      </c>
    </row>
    <row r="1996" spans="1:26" x14ac:dyDescent="0.3">
      <c r="A1996">
        <v>59</v>
      </c>
      <c r="B1996">
        <v>130</v>
      </c>
      <c r="C1996" t="s">
        <v>26</v>
      </c>
      <c r="D1996">
        <v>10.1135</v>
      </c>
      <c r="E1996">
        <v>9.89</v>
      </c>
      <c r="F1996">
        <v>6.79</v>
      </c>
      <c r="G1996">
        <v>67.89</v>
      </c>
      <c r="H1996">
        <v>1</v>
      </c>
      <c r="I1996">
        <v>6</v>
      </c>
      <c r="J1996">
        <v>280.7</v>
      </c>
      <c r="K1996">
        <v>59.19</v>
      </c>
      <c r="L1996">
        <v>15.75</v>
      </c>
      <c r="M1996">
        <v>4</v>
      </c>
      <c r="N1996">
        <v>75.760000000000005</v>
      </c>
      <c r="O1996">
        <v>34854.15</v>
      </c>
      <c r="P1996">
        <v>107.22</v>
      </c>
      <c r="Q1996">
        <v>204.14</v>
      </c>
      <c r="R1996">
        <v>24.79</v>
      </c>
      <c r="S1996">
        <v>17.37</v>
      </c>
      <c r="T1996">
        <v>1608.58</v>
      </c>
      <c r="U1996">
        <v>0.7</v>
      </c>
      <c r="V1996">
        <v>0.75</v>
      </c>
      <c r="W1996">
        <v>1.1499999999999999</v>
      </c>
      <c r="X1996">
        <v>0.1</v>
      </c>
      <c r="Y1996">
        <v>1</v>
      </c>
      <c r="Z1996">
        <v>10</v>
      </c>
    </row>
    <row r="1997" spans="1:26" x14ac:dyDescent="0.3">
      <c r="A1997">
        <v>60</v>
      </c>
      <c r="B1997">
        <v>130</v>
      </c>
      <c r="C1997" t="s">
        <v>26</v>
      </c>
      <c r="D1997">
        <v>10.1143</v>
      </c>
      <c r="E1997">
        <v>9.89</v>
      </c>
      <c r="F1997">
        <v>6.79</v>
      </c>
      <c r="G1997">
        <v>67.89</v>
      </c>
      <c r="H1997">
        <v>1.01</v>
      </c>
      <c r="I1997">
        <v>6</v>
      </c>
      <c r="J1997">
        <v>281.2</v>
      </c>
      <c r="K1997">
        <v>59.19</v>
      </c>
      <c r="L1997">
        <v>16</v>
      </c>
      <c r="M1997">
        <v>4</v>
      </c>
      <c r="N1997">
        <v>76</v>
      </c>
      <c r="O1997">
        <v>34915.03</v>
      </c>
      <c r="P1997">
        <v>107.22</v>
      </c>
      <c r="Q1997">
        <v>204.14</v>
      </c>
      <c r="R1997">
        <v>24.84</v>
      </c>
      <c r="S1997">
        <v>17.37</v>
      </c>
      <c r="T1997">
        <v>1632.47</v>
      </c>
      <c r="U1997">
        <v>0.7</v>
      </c>
      <c r="V1997">
        <v>0.75</v>
      </c>
      <c r="W1997">
        <v>1.1499999999999999</v>
      </c>
      <c r="X1997">
        <v>0.1</v>
      </c>
      <c r="Y1997">
        <v>1</v>
      </c>
      <c r="Z1997">
        <v>10</v>
      </c>
    </row>
    <row r="1998" spans="1:26" x14ac:dyDescent="0.3">
      <c r="A1998">
        <v>61</v>
      </c>
      <c r="B1998">
        <v>130</v>
      </c>
      <c r="C1998" t="s">
        <v>26</v>
      </c>
      <c r="D1998">
        <v>10.113799999999999</v>
      </c>
      <c r="E1998">
        <v>9.89</v>
      </c>
      <c r="F1998">
        <v>6.79</v>
      </c>
      <c r="G1998">
        <v>67.89</v>
      </c>
      <c r="H1998">
        <v>1.03</v>
      </c>
      <c r="I1998">
        <v>6</v>
      </c>
      <c r="J1998">
        <v>281.69</v>
      </c>
      <c r="K1998">
        <v>59.19</v>
      </c>
      <c r="L1998">
        <v>16.25</v>
      </c>
      <c r="M1998">
        <v>4</v>
      </c>
      <c r="N1998">
        <v>76.25</v>
      </c>
      <c r="O1998">
        <v>34976</v>
      </c>
      <c r="P1998">
        <v>107.37</v>
      </c>
      <c r="Q1998">
        <v>204.14</v>
      </c>
      <c r="R1998">
        <v>24.87</v>
      </c>
      <c r="S1998">
        <v>17.37</v>
      </c>
      <c r="T1998">
        <v>1648.11</v>
      </c>
      <c r="U1998">
        <v>0.7</v>
      </c>
      <c r="V1998">
        <v>0.75</v>
      </c>
      <c r="W1998">
        <v>1.1499999999999999</v>
      </c>
      <c r="X1998">
        <v>0.1</v>
      </c>
      <c r="Y1998">
        <v>1</v>
      </c>
      <c r="Z1998">
        <v>10</v>
      </c>
    </row>
    <row r="1999" spans="1:26" x14ac:dyDescent="0.3">
      <c r="A1999">
        <v>62</v>
      </c>
      <c r="B1999">
        <v>130</v>
      </c>
      <c r="C1999" t="s">
        <v>26</v>
      </c>
      <c r="D1999">
        <v>10.110099999999999</v>
      </c>
      <c r="E1999">
        <v>9.89</v>
      </c>
      <c r="F1999">
        <v>6.79</v>
      </c>
      <c r="G1999">
        <v>67.930000000000007</v>
      </c>
      <c r="H1999">
        <v>1.04</v>
      </c>
      <c r="I1999">
        <v>6</v>
      </c>
      <c r="J1999">
        <v>282.19</v>
      </c>
      <c r="K1999">
        <v>59.19</v>
      </c>
      <c r="L1999">
        <v>16.5</v>
      </c>
      <c r="M1999">
        <v>4</v>
      </c>
      <c r="N1999">
        <v>76.489999999999995</v>
      </c>
      <c r="O1999">
        <v>35037.08</v>
      </c>
      <c r="P1999">
        <v>107.46</v>
      </c>
      <c r="Q1999">
        <v>204.15</v>
      </c>
      <c r="R1999">
        <v>25.04</v>
      </c>
      <c r="S1999">
        <v>17.37</v>
      </c>
      <c r="T1999">
        <v>1730.21</v>
      </c>
      <c r="U1999">
        <v>0.69</v>
      </c>
      <c r="V1999">
        <v>0.75</v>
      </c>
      <c r="W1999">
        <v>1.1499999999999999</v>
      </c>
      <c r="X1999">
        <v>0.1</v>
      </c>
      <c r="Y1999">
        <v>1</v>
      </c>
      <c r="Z1999">
        <v>10</v>
      </c>
    </row>
    <row r="2000" spans="1:26" x14ac:dyDescent="0.3">
      <c r="A2000">
        <v>63</v>
      </c>
      <c r="B2000">
        <v>130</v>
      </c>
      <c r="C2000" t="s">
        <v>26</v>
      </c>
      <c r="D2000">
        <v>10.122299999999999</v>
      </c>
      <c r="E2000">
        <v>9.8800000000000008</v>
      </c>
      <c r="F2000">
        <v>6.78</v>
      </c>
      <c r="G2000">
        <v>67.81</v>
      </c>
      <c r="H2000">
        <v>1.06</v>
      </c>
      <c r="I2000">
        <v>6</v>
      </c>
      <c r="J2000">
        <v>282.68</v>
      </c>
      <c r="K2000">
        <v>59.19</v>
      </c>
      <c r="L2000">
        <v>16.75</v>
      </c>
      <c r="M2000">
        <v>4</v>
      </c>
      <c r="N2000">
        <v>76.739999999999995</v>
      </c>
      <c r="O2000">
        <v>35098.25</v>
      </c>
      <c r="P2000">
        <v>107.22</v>
      </c>
      <c r="Q2000">
        <v>204.14</v>
      </c>
      <c r="R2000">
        <v>24.65</v>
      </c>
      <c r="S2000">
        <v>17.37</v>
      </c>
      <c r="T2000">
        <v>1535.1</v>
      </c>
      <c r="U2000">
        <v>0.7</v>
      </c>
      <c r="V2000">
        <v>0.75</v>
      </c>
      <c r="W2000">
        <v>1.1399999999999999</v>
      </c>
      <c r="X2000">
        <v>0.09</v>
      </c>
      <c r="Y2000">
        <v>1</v>
      </c>
      <c r="Z2000">
        <v>10</v>
      </c>
    </row>
    <row r="2001" spans="1:26" x14ac:dyDescent="0.3">
      <c r="A2001">
        <v>64</v>
      </c>
      <c r="B2001">
        <v>130</v>
      </c>
      <c r="C2001" t="s">
        <v>26</v>
      </c>
      <c r="D2001">
        <v>10.121499999999999</v>
      </c>
      <c r="E2001">
        <v>9.8800000000000008</v>
      </c>
      <c r="F2001">
        <v>6.78</v>
      </c>
      <c r="G2001">
        <v>67.819999999999993</v>
      </c>
      <c r="H2001">
        <v>1.07</v>
      </c>
      <c r="I2001">
        <v>6</v>
      </c>
      <c r="J2001">
        <v>283.18</v>
      </c>
      <c r="K2001">
        <v>59.19</v>
      </c>
      <c r="L2001">
        <v>17</v>
      </c>
      <c r="M2001">
        <v>4</v>
      </c>
      <c r="N2001">
        <v>76.98</v>
      </c>
      <c r="O2001">
        <v>35159.519999999997</v>
      </c>
      <c r="P2001">
        <v>107.06</v>
      </c>
      <c r="Q2001">
        <v>204.14</v>
      </c>
      <c r="R2001">
        <v>24.64</v>
      </c>
      <c r="S2001">
        <v>17.37</v>
      </c>
      <c r="T2001">
        <v>1531.24</v>
      </c>
      <c r="U2001">
        <v>0.71</v>
      </c>
      <c r="V2001">
        <v>0.75</v>
      </c>
      <c r="W2001">
        <v>1.1399999999999999</v>
      </c>
      <c r="X2001">
        <v>0.09</v>
      </c>
      <c r="Y2001">
        <v>1</v>
      </c>
      <c r="Z2001">
        <v>10</v>
      </c>
    </row>
    <row r="2002" spans="1:26" x14ac:dyDescent="0.3">
      <c r="A2002">
        <v>65</v>
      </c>
      <c r="B2002">
        <v>130</v>
      </c>
      <c r="C2002" t="s">
        <v>26</v>
      </c>
      <c r="D2002">
        <v>10.1166</v>
      </c>
      <c r="E2002">
        <v>9.8800000000000008</v>
      </c>
      <c r="F2002">
        <v>6.79</v>
      </c>
      <c r="G2002">
        <v>67.86</v>
      </c>
      <c r="H2002">
        <v>1.08</v>
      </c>
      <c r="I2002">
        <v>6</v>
      </c>
      <c r="J2002">
        <v>283.68</v>
      </c>
      <c r="K2002">
        <v>59.19</v>
      </c>
      <c r="L2002">
        <v>17.25</v>
      </c>
      <c r="M2002">
        <v>4</v>
      </c>
      <c r="N2002">
        <v>77.23</v>
      </c>
      <c r="O2002">
        <v>35220.89</v>
      </c>
      <c r="P2002">
        <v>107.01</v>
      </c>
      <c r="Q2002">
        <v>204.14</v>
      </c>
      <c r="R2002">
        <v>24.82</v>
      </c>
      <c r="S2002">
        <v>17.37</v>
      </c>
      <c r="T2002">
        <v>1621.54</v>
      </c>
      <c r="U2002">
        <v>0.7</v>
      </c>
      <c r="V2002">
        <v>0.75</v>
      </c>
      <c r="W2002">
        <v>1.1399999999999999</v>
      </c>
      <c r="X2002">
        <v>0.1</v>
      </c>
      <c r="Y2002">
        <v>1</v>
      </c>
      <c r="Z2002">
        <v>10</v>
      </c>
    </row>
    <row r="2003" spans="1:26" x14ac:dyDescent="0.3">
      <c r="A2003">
        <v>66</v>
      </c>
      <c r="B2003">
        <v>130</v>
      </c>
      <c r="C2003" t="s">
        <v>26</v>
      </c>
      <c r="D2003">
        <v>10.1084</v>
      </c>
      <c r="E2003">
        <v>9.89</v>
      </c>
      <c r="F2003">
        <v>6.79</v>
      </c>
      <c r="G2003">
        <v>67.94</v>
      </c>
      <c r="H2003">
        <v>1.1000000000000001</v>
      </c>
      <c r="I2003">
        <v>6</v>
      </c>
      <c r="J2003">
        <v>284.17</v>
      </c>
      <c r="K2003">
        <v>59.19</v>
      </c>
      <c r="L2003">
        <v>17.5</v>
      </c>
      <c r="M2003">
        <v>4</v>
      </c>
      <c r="N2003">
        <v>77.48</v>
      </c>
      <c r="O2003">
        <v>35282.36</v>
      </c>
      <c r="P2003">
        <v>107.12</v>
      </c>
      <c r="Q2003">
        <v>204.18</v>
      </c>
      <c r="R2003">
        <v>25.04</v>
      </c>
      <c r="S2003">
        <v>17.37</v>
      </c>
      <c r="T2003">
        <v>1733.57</v>
      </c>
      <c r="U2003">
        <v>0.69</v>
      </c>
      <c r="V2003">
        <v>0.75</v>
      </c>
      <c r="W2003">
        <v>1.1499999999999999</v>
      </c>
      <c r="X2003">
        <v>0.1</v>
      </c>
      <c r="Y2003">
        <v>1</v>
      </c>
      <c r="Z2003">
        <v>10</v>
      </c>
    </row>
    <row r="2004" spans="1:26" x14ac:dyDescent="0.3">
      <c r="A2004">
        <v>67</v>
      </c>
      <c r="B2004">
        <v>130</v>
      </c>
      <c r="C2004" t="s">
        <v>26</v>
      </c>
      <c r="D2004">
        <v>10.111499999999999</v>
      </c>
      <c r="E2004">
        <v>9.89</v>
      </c>
      <c r="F2004">
        <v>6.79</v>
      </c>
      <c r="G2004">
        <v>67.91</v>
      </c>
      <c r="H2004">
        <v>1.1100000000000001</v>
      </c>
      <c r="I2004">
        <v>6</v>
      </c>
      <c r="J2004">
        <v>284.67</v>
      </c>
      <c r="K2004">
        <v>59.19</v>
      </c>
      <c r="L2004">
        <v>17.75</v>
      </c>
      <c r="M2004">
        <v>4</v>
      </c>
      <c r="N2004">
        <v>77.73</v>
      </c>
      <c r="O2004">
        <v>35343.919999999998</v>
      </c>
      <c r="P2004">
        <v>106.87</v>
      </c>
      <c r="Q2004">
        <v>204.16</v>
      </c>
      <c r="R2004">
        <v>25.04</v>
      </c>
      <c r="S2004">
        <v>17.37</v>
      </c>
      <c r="T2004">
        <v>1733.69</v>
      </c>
      <c r="U2004">
        <v>0.69</v>
      </c>
      <c r="V2004">
        <v>0.75</v>
      </c>
      <c r="W2004">
        <v>1.1399999999999999</v>
      </c>
      <c r="X2004">
        <v>0.1</v>
      </c>
      <c r="Y2004">
        <v>1</v>
      </c>
      <c r="Z2004">
        <v>10</v>
      </c>
    </row>
    <row r="2005" spans="1:26" x14ac:dyDescent="0.3">
      <c r="A2005">
        <v>68</v>
      </c>
      <c r="B2005">
        <v>130</v>
      </c>
      <c r="C2005" t="s">
        <v>26</v>
      </c>
      <c r="D2005">
        <v>10.1112</v>
      </c>
      <c r="E2005">
        <v>9.89</v>
      </c>
      <c r="F2005">
        <v>6.79</v>
      </c>
      <c r="G2005">
        <v>67.92</v>
      </c>
      <c r="H2005">
        <v>1.1200000000000001</v>
      </c>
      <c r="I2005">
        <v>6</v>
      </c>
      <c r="J2005">
        <v>285.17</v>
      </c>
      <c r="K2005">
        <v>59.19</v>
      </c>
      <c r="L2005">
        <v>18</v>
      </c>
      <c r="M2005">
        <v>4</v>
      </c>
      <c r="N2005">
        <v>77.98</v>
      </c>
      <c r="O2005">
        <v>35405.589999999997</v>
      </c>
      <c r="P2005">
        <v>106.67</v>
      </c>
      <c r="Q2005">
        <v>204.18</v>
      </c>
      <c r="R2005">
        <v>24.92</v>
      </c>
      <c r="S2005">
        <v>17.37</v>
      </c>
      <c r="T2005">
        <v>1673.98</v>
      </c>
      <c r="U2005">
        <v>0.7</v>
      </c>
      <c r="V2005">
        <v>0.75</v>
      </c>
      <c r="W2005">
        <v>1.1499999999999999</v>
      </c>
      <c r="X2005">
        <v>0.1</v>
      </c>
      <c r="Y2005">
        <v>1</v>
      </c>
      <c r="Z2005">
        <v>10</v>
      </c>
    </row>
    <row r="2006" spans="1:26" x14ac:dyDescent="0.3">
      <c r="A2006">
        <v>69</v>
      </c>
      <c r="B2006">
        <v>130</v>
      </c>
      <c r="C2006" t="s">
        <v>26</v>
      </c>
      <c r="D2006">
        <v>10.116099999999999</v>
      </c>
      <c r="E2006">
        <v>9.89</v>
      </c>
      <c r="F2006">
        <v>6.79</v>
      </c>
      <c r="G2006">
        <v>67.87</v>
      </c>
      <c r="H2006">
        <v>1.1399999999999999</v>
      </c>
      <c r="I2006">
        <v>6</v>
      </c>
      <c r="J2006">
        <v>285.67</v>
      </c>
      <c r="K2006">
        <v>59.19</v>
      </c>
      <c r="L2006">
        <v>18.25</v>
      </c>
      <c r="M2006">
        <v>4</v>
      </c>
      <c r="N2006">
        <v>78.23</v>
      </c>
      <c r="O2006">
        <v>35467.360000000001</v>
      </c>
      <c r="P2006">
        <v>106.64</v>
      </c>
      <c r="Q2006">
        <v>204.14</v>
      </c>
      <c r="R2006">
        <v>24.8</v>
      </c>
      <c r="S2006">
        <v>17.37</v>
      </c>
      <c r="T2006">
        <v>1611.34</v>
      </c>
      <c r="U2006">
        <v>0.7</v>
      </c>
      <c r="V2006">
        <v>0.75</v>
      </c>
      <c r="W2006">
        <v>1.1499999999999999</v>
      </c>
      <c r="X2006">
        <v>0.1</v>
      </c>
      <c r="Y2006">
        <v>1</v>
      </c>
      <c r="Z2006">
        <v>10</v>
      </c>
    </row>
    <row r="2007" spans="1:26" x14ac:dyDescent="0.3">
      <c r="A2007">
        <v>70</v>
      </c>
      <c r="B2007">
        <v>130</v>
      </c>
      <c r="C2007" t="s">
        <v>26</v>
      </c>
      <c r="D2007">
        <v>10.1175</v>
      </c>
      <c r="E2007">
        <v>9.8800000000000008</v>
      </c>
      <c r="F2007">
        <v>6.79</v>
      </c>
      <c r="G2007">
        <v>67.86</v>
      </c>
      <c r="H2007">
        <v>1.1499999999999999</v>
      </c>
      <c r="I2007">
        <v>6</v>
      </c>
      <c r="J2007">
        <v>286.18</v>
      </c>
      <c r="K2007">
        <v>59.19</v>
      </c>
      <c r="L2007">
        <v>18.5</v>
      </c>
      <c r="M2007">
        <v>4</v>
      </c>
      <c r="N2007">
        <v>78.48</v>
      </c>
      <c r="O2007">
        <v>35529.230000000003</v>
      </c>
      <c r="P2007">
        <v>106.47</v>
      </c>
      <c r="Q2007">
        <v>204.14</v>
      </c>
      <c r="R2007">
        <v>24.77</v>
      </c>
      <c r="S2007">
        <v>17.37</v>
      </c>
      <c r="T2007">
        <v>1599.49</v>
      </c>
      <c r="U2007">
        <v>0.7</v>
      </c>
      <c r="V2007">
        <v>0.75</v>
      </c>
      <c r="W2007">
        <v>1.1499999999999999</v>
      </c>
      <c r="X2007">
        <v>0.09</v>
      </c>
      <c r="Y2007">
        <v>1</v>
      </c>
      <c r="Z2007">
        <v>10</v>
      </c>
    </row>
    <row r="2008" spans="1:26" x14ac:dyDescent="0.3">
      <c r="A2008">
        <v>71</v>
      </c>
      <c r="B2008">
        <v>130</v>
      </c>
      <c r="C2008" t="s">
        <v>26</v>
      </c>
      <c r="D2008">
        <v>10.106400000000001</v>
      </c>
      <c r="E2008">
        <v>9.89</v>
      </c>
      <c r="F2008">
        <v>6.8</v>
      </c>
      <c r="G2008">
        <v>67.959999999999994</v>
      </c>
      <c r="H2008">
        <v>1.1599999999999999</v>
      </c>
      <c r="I2008">
        <v>6</v>
      </c>
      <c r="J2008">
        <v>286.68</v>
      </c>
      <c r="K2008">
        <v>59.19</v>
      </c>
      <c r="L2008">
        <v>18.75</v>
      </c>
      <c r="M2008">
        <v>4</v>
      </c>
      <c r="N2008">
        <v>78.739999999999995</v>
      </c>
      <c r="O2008">
        <v>35591.33</v>
      </c>
      <c r="P2008">
        <v>106.3</v>
      </c>
      <c r="Q2008">
        <v>204.15</v>
      </c>
      <c r="R2008">
        <v>25.11</v>
      </c>
      <c r="S2008">
        <v>17.37</v>
      </c>
      <c r="T2008">
        <v>1767.49</v>
      </c>
      <c r="U2008">
        <v>0.69</v>
      </c>
      <c r="V2008">
        <v>0.75</v>
      </c>
      <c r="W2008">
        <v>1.1499999999999999</v>
      </c>
      <c r="X2008">
        <v>0.1</v>
      </c>
      <c r="Y2008">
        <v>1</v>
      </c>
      <c r="Z2008">
        <v>10</v>
      </c>
    </row>
    <row r="2009" spans="1:26" x14ac:dyDescent="0.3">
      <c r="A2009">
        <v>72</v>
      </c>
      <c r="B2009">
        <v>130</v>
      </c>
      <c r="C2009" t="s">
        <v>26</v>
      </c>
      <c r="D2009">
        <v>10.1882</v>
      </c>
      <c r="E2009">
        <v>9.82</v>
      </c>
      <c r="F2009">
        <v>6.77</v>
      </c>
      <c r="G2009">
        <v>81.19</v>
      </c>
      <c r="H2009">
        <v>1.18</v>
      </c>
      <c r="I2009">
        <v>5</v>
      </c>
      <c r="J2009">
        <v>287.18</v>
      </c>
      <c r="K2009">
        <v>59.19</v>
      </c>
      <c r="L2009">
        <v>19</v>
      </c>
      <c r="M2009">
        <v>3</v>
      </c>
      <c r="N2009">
        <v>78.989999999999995</v>
      </c>
      <c r="O2009">
        <v>35653.4</v>
      </c>
      <c r="P2009">
        <v>105.51</v>
      </c>
      <c r="Q2009">
        <v>204.14</v>
      </c>
      <c r="R2009">
        <v>24.24</v>
      </c>
      <c r="S2009">
        <v>17.37</v>
      </c>
      <c r="T2009">
        <v>1335.12</v>
      </c>
      <c r="U2009">
        <v>0.72</v>
      </c>
      <c r="V2009">
        <v>0.75</v>
      </c>
      <c r="W2009">
        <v>1.1399999999999999</v>
      </c>
      <c r="X2009">
        <v>7.0000000000000007E-2</v>
      </c>
      <c r="Y2009">
        <v>1</v>
      </c>
      <c r="Z2009">
        <v>10</v>
      </c>
    </row>
    <row r="2010" spans="1:26" x14ac:dyDescent="0.3">
      <c r="A2010">
        <v>73</v>
      </c>
      <c r="B2010">
        <v>130</v>
      </c>
      <c r="C2010" t="s">
        <v>26</v>
      </c>
      <c r="D2010">
        <v>10.1807</v>
      </c>
      <c r="E2010">
        <v>9.82</v>
      </c>
      <c r="F2010">
        <v>6.77</v>
      </c>
      <c r="G2010">
        <v>81.28</v>
      </c>
      <c r="H2010">
        <v>1.19</v>
      </c>
      <c r="I2010">
        <v>5</v>
      </c>
      <c r="J2010">
        <v>287.69</v>
      </c>
      <c r="K2010">
        <v>59.19</v>
      </c>
      <c r="L2010">
        <v>19.25</v>
      </c>
      <c r="M2010">
        <v>3</v>
      </c>
      <c r="N2010">
        <v>79.239999999999995</v>
      </c>
      <c r="O2010">
        <v>35715.58</v>
      </c>
      <c r="P2010">
        <v>105.9</v>
      </c>
      <c r="Q2010">
        <v>204.14</v>
      </c>
      <c r="R2010">
        <v>24.39</v>
      </c>
      <c r="S2010">
        <v>17.37</v>
      </c>
      <c r="T2010">
        <v>1413.54</v>
      </c>
      <c r="U2010">
        <v>0.71</v>
      </c>
      <c r="V2010">
        <v>0.75</v>
      </c>
      <c r="W2010">
        <v>1.1399999999999999</v>
      </c>
      <c r="X2010">
        <v>0.08</v>
      </c>
      <c r="Y2010">
        <v>1</v>
      </c>
      <c r="Z2010">
        <v>10</v>
      </c>
    </row>
    <row r="2011" spans="1:26" x14ac:dyDescent="0.3">
      <c r="A2011">
        <v>74</v>
      </c>
      <c r="B2011">
        <v>130</v>
      </c>
      <c r="C2011" t="s">
        <v>26</v>
      </c>
      <c r="D2011">
        <v>10.1752</v>
      </c>
      <c r="E2011">
        <v>9.83</v>
      </c>
      <c r="F2011">
        <v>6.78</v>
      </c>
      <c r="G2011">
        <v>81.34</v>
      </c>
      <c r="H2011">
        <v>1.2</v>
      </c>
      <c r="I2011">
        <v>5</v>
      </c>
      <c r="J2011">
        <v>288.19</v>
      </c>
      <c r="K2011">
        <v>59.19</v>
      </c>
      <c r="L2011">
        <v>19.5</v>
      </c>
      <c r="M2011">
        <v>3</v>
      </c>
      <c r="N2011">
        <v>79.5</v>
      </c>
      <c r="O2011">
        <v>35777.86</v>
      </c>
      <c r="P2011">
        <v>106.16</v>
      </c>
      <c r="Q2011">
        <v>204.15</v>
      </c>
      <c r="R2011">
        <v>24.58</v>
      </c>
      <c r="S2011">
        <v>17.37</v>
      </c>
      <c r="T2011">
        <v>1507.42</v>
      </c>
      <c r="U2011">
        <v>0.71</v>
      </c>
      <c r="V2011">
        <v>0.75</v>
      </c>
      <c r="W2011">
        <v>1.1399999999999999</v>
      </c>
      <c r="X2011">
        <v>0.09</v>
      </c>
      <c r="Y2011">
        <v>1</v>
      </c>
      <c r="Z2011">
        <v>10</v>
      </c>
    </row>
    <row r="2012" spans="1:26" x14ac:dyDescent="0.3">
      <c r="A2012">
        <v>75</v>
      </c>
      <c r="B2012">
        <v>130</v>
      </c>
      <c r="C2012" t="s">
        <v>26</v>
      </c>
      <c r="D2012">
        <v>10.185600000000001</v>
      </c>
      <c r="E2012">
        <v>9.82</v>
      </c>
      <c r="F2012">
        <v>6.77</v>
      </c>
      <c r="G2012">
        <v>81.22</v>
      </c>
      <c r="H2012">
        <v>1.22</v>
      </c>
      <c r="I2012">
        <v>5</v>
      </c>
      <c r="J2012">
        <v>288.7</v>
      </c>
      <c r="K2012">
        <v>59.19</v>
      </c>
      <c r="L2012">
        <v>19.75</v>
      </c>
      <c r="M2012">
        <v>3</v>
      </c>
      <c r="N2012">
        <v>79.75</v>
      </c>
      <c r="O2012">
        <v>35840.25</v>
      </c>
      <c r="P2012">
        <v>106.04</v>
      </c>
      <c r="Q2012">
        <v>204.14</v>
      </c>
      <c r="R2012">
        <v>24.34</v>
      </c>
      <c r="S2012">
        <v>17.37</v>
      </c>
      <c r="T2012">
        <v>1388.53</v>
      </c>
      <c r="U2012">
        <v>0.71</v>
      </c>
      <c r="V2012">
        <v>0.75</v>
      </c>
      <c r="W2012">
        <v>1.1399999999999999</v>
      </c>
      <c r="X2012">
        <v>0.08</v>
      </c>
      <c r="Y2012">
        <v>1</v>
      </c>
      <c r="Z2012">
        <v>10</v>
      </c>
    </row>
    <row r="2013" spans="1:26" x14ac:dyDescent="0.3">
      <c r="A2013">
        <v>76</v>
      </c>
      <c r="B2013">
        <v>130</v>
      </c>
      <c r="C2013" t="s">
        <v>26</v>
      </c>
      <c r="D2013">
        <v>10.180099999999999</v>
      </c>
      <c r="E2013">
        <v>9.82</v>
      </c>
      <c r="F2013">
        <v>6.77</v>
      </c>
      <c r="G2013">
        <v>81.28</v>
      </c>
      <c r="H2013">
        <v>1.23</v>
      </c>
      <c r="I2013">
        <v>5</v>
      </c>
      <c r="J2013">
        <v>289.2</v>
      </c>
      <c r="K2013">
        <v>59.19</v>
      </c>
      <c r="L2013">
        <v>20</v>
      </c>
      <c r="M2013">
        <v>3</v>
      </c>
      <c r="N2013">
        <v>80.010000000000005</v>
      </c>
      <c r="O2013">
        <v>35902.74</v>
      </c>
      <c r="P2013">
        <v>106.36</v>
      </c>
      <c r="Q2013">
        <v>204.14</v>
      </c>
      <c r="R2013">
        <v>24.41</v>
      </c>
      <c r="S2013">
        <v>17.37</v>
      </c>
      <c r="T2013">
        <v>1424.41</v>
      </c>
      <c r="U2013">
        <v>0.71</v>
      </c>
      <c r="V2013">
        <v>0.75</v>
      </c>
      <c r="W2013">
        <v>1.1399999999999999</v>
      </c>
      <c r="X2013">
        <v>0.08</v>
      </c>
      <c r="Y2013">
        <v>1</v>
      </c>
      <c r="Z2013">
        <v>10</v>
      </c>
    </row>
    <row r="2014" spans="1:26" x14ac:dyDescent="0.3">
      <c r="A2014">
        <v>77</v>
      </c>
      <c r="B2014">
        <v>130</v>
      </c>
      <c r="C2014" t="s">
        <v>26</v>
      </c>
      <c r="D2014">
        <v>10.1798</v>
      </c>
      <c r="E2014">
        <v>9.82</v>
      </c>
      <c r="F2014">
        <v>6.77</v>
      </c>
      <c r="G2014">
        <v>81.290000000000006</v>
      </c>
      <c r="H2014">
        <v>1.24</v>
      </c>
      <c r="I2014">
        <v>5</v>
      </c>
      <c r="J2014">
        <v>289.70999999999998</v>
      </c>
      <c r="K2014">
        <v>59.19</v>
      </c>
      <c r="L2014">
        <v>20.25</v>
      </c>
      <c r="M2014">
        <v>3</v>
      </c>
      <c r="N2014">
        <v>80.27</v>
      </c>
      <c r="O2014">
        <v>35965.33</v>
      </c>
      <c r="P2014">
        <v>106.33</v>
      </c>
      <c r="Q2014">
        <v>204.14</v>
      </c>
      <c r="R2014">
        <v>24.5</v>
      </c>
      <c r="S2014">
        <v>17.37</v>
      </c>
      <c r="T2014">
        <v>1467.1</v>
      </c>
      <c r="U2014">
        <v>0.71</v>
      </c>
      <c r="V2014">
        <v>0.75</v>
      </c>
      <c r="W2014">
        <v>1.1399999999999999</v>
      </c>
      <c r="X2014">
        <v>0.08</v>
      </c>
      <c r="Y2014">
        <v>1</v>
      </c>
      <c r="Z2014">
        <v>10</v>
      </c>
    </row>
    <row r="2015" spans="1:26" x14ac:dyDescent="0.3">
      <c r="A2015">
        <v>78</v>
      </c>
      <c r="B2015">
        <v>130</v>
      </c>
      <c r="C2015" t="s">
        <v>26</v>
      </c>
      <c r="D2015">
        <v>10.182700000000001</v>
      </c>
      <c r="E2015">
        <v>9.82</v>
      </c>
      <c r="F2015">
        <v>6.77</v>
      </c>
      <c r="G2015">
        <v>81.25</v>
      </c>
      <c r="H2015">
        <v>1.26</v>
      </c>
      <c r="I2015">
        <v>5</v>
      </c>
      <c r="J2015">
        <v>290.22000000000003</v>
      </c>
      <c r="K2015">
        <v>59.19</v>
      </c>
      <c r="L2015">
        <v>20.5</v>
      </c>
      <c r="M2015">
        <v>3</v>
      </c>
      <c r="N2015">
        <v>80.53</v>
      </c>
      <c r="O2015">
        <v>36028.03</v>
      </c>
      <c r="P2015">
        <v>106.19</v>
      </c>
      <c r="Q2015">
        <v>204.14</v>
      </c>
      <c r="R2015">
        <v>24.37</v>
      </c>
      <c r="S2015">
        <v>17.37</v>
      </c>
      <c r="T2015">
        <v>1400.49</v>
      </c>
      <c r="U2015">
        <v>0.71</v>
      </c>
      <c r="V2015">
        <v>0.75</v>
      </c>
      <c r="W2015">
        <v>1.1399999999999999</v>
      </c>
      <c r="X2015">
        <v>0.08</v>
      </c>
      <c r="Y2015">
        <v>1</v>
      </c>
      <c r="Z2015">
        <v>10</v>
      </c>
    </row>
    <row r="2016" spans="1:26" x14ac:dyDescent="0.3">
      <c r="A2016">
        <v>79</v>
      </c>
      <c r="B2016">
        <v>130</v>
      </c>
      <c r="C2016" t="s">
        <v>26</v>
      </c>
      <c r="D2016">
        <v>10.180400000000001</v>
      </c>
      <c r="E2016">
        <v>9.82</v>
      </c>
      <c r="F2016">
        <v>6.77</v>
      </c>
      <c r="G2016">
        <v>81.28</v>
      </c>
      <c r="H2016">
        <v>1.27</v>
      </c>
      <c r="I2016">
        <v>5</v>
      </c>
      <c r="J2016">
        <v>290.73</v>
      </c>
      <c r="K2016">
        <v>59.19</v>
      </c>
      <c r="L2016">
        <v>20.75</v>
      </c>
      <c r="M2016">
        <v>3</v>
      </c>
      <c r="N2016">
        <v>80.790000000000006</v>
      </c>
      <c r="O2016">
        <v>36090.839999999997</v>
      </c>
      <c r="P2016">
        <v>106.26</v>
      </c>
      <c r="Q2016">
        <v>204.14</v>
      </c>
      <c r="R2016">
        <v>24.49</v>
      </c>
      <c r="S2016">
        <v>17.37</v>
      </c>
      <c r="T2016">
        <v>1462.34</v>
      </c>
      <c r="U2016">
        <v>0.71</v>
      </c>
      <c r="V2016">
        <v>0.75</v>
      </c>
      <c r="W2016">
        <v>1.1399999999999999</v>
      </c>
      <c r="X2016">
        <v>0.08</v>
      </c>
      <c r="Y2016">
        <v>1</v>
      </c>
      <c r="Z2016">
        <v>10</v>
      </c>
    </row>
    <row r="2017" spans="1:26" x14ac:dyDescent="0.3">
      <c r="A2017">
        <v>80</v>
      </c>
      <c r="B2017">
        <v>130</v>
      </c>
      <c r="C2017" t="s">
        <v>26</v>
      </c>
      <c r="D2017">
        <v>10.178699999999999</v>
      </c>
      <c r="E2017">
        <v>9.82</v>
      </c>
      <c r="F2017">
        <v>6.78</v>
      </c>
      <c r="G2017">
        <v>81.3</v>
      </c>
      <c r="H2017">
        <v>1.28</v>
      </c>
      <c r="I2017">
        <v>5</v>
      </c>
      <c r="J2017">
        <v>291.24</v>
      </c>
      <c r="K2017">
        <v>59.19</v>
      </c>
      <c r="L2017">
        <v>21</v>
      </c>
      <c r="M2017">
        <v>3</v>
      </c>
      <c r="N2017">
        <v>81.05</v>
      </c>
      <c r="O2017">
        <v>36153.75</v>
      </c>
      <c r="P2017">
        <v>106.22</v>
      </c>
      <c r="Q2017">
        <v>204.14</v>
      </c>
      <c r="R2017">
        <v>24.49</v>
      </c>
      <c r="S2017">
        <v>17.37</v>
      </c>
      <c r="T2017">
        <v>1460.5</v>
      </c>
      <c r="U2017">
        <v>0.71</v>
      </c>
      <c r="V2017">
        <v>0.75</v>
      </c>
      <c r="W2017">
        <v>1.1399999999999999</v>
      </c>
      <c r="X2017">
        <v>0.08</v>
      </c>
      <c r="Y2017">
        <v>1</v>
      </c>
      <c r="Z2017">
        <v>10</v>
      </c>
    </row>
    <row r="2018" spans="1:26" x14ac:dyDescent="0.3">
      <c r="A2018">
        <v>81</v>
      </c>
      <c r="B2018">
        <v>130</v>
      </c>
      <c r="C2018" t="s">
        <v>26</v>
      </c>
      <c r="D2018">
        <v>10.176399999999999</v>
      </c>
      <c r="E2018">
        <v>9.83</v>
      </c>
      <c r="F2018">
        <v>6.78</v>
      </c>
      <c r="G2018">
        <v>81.33</v>
      </c>
      <c r="H2018">
        <v>1.3</v>
      </c>
      <c r="I2018">
        <v>5</v>
      </c>
      <c r="J2018">
        <v>291.75</v>
      </c>
      <c r="K2018">
        <v>59.19</v>
      </c>
      <c r="L2018">
        <v>21.25</v>
      </c>
      <c r="M2018">
        <v>3</v>
      </c>
      <c r="N2018">
        <v>81.31</v>
      </c>
      <c r="O2018">
        <v>36216.769999999997</v>
      </c>
      <c r="P2018">
        <v>106.23</v>
      </c>
      <c r="Q2018">
        <v>204.14</v>
      </c>
      <c r="R2018">
        <v>24.49</v>
      </c>
      <c r="S2018">
        <v>17.37</v>
      </c>
      <c r="T2018">
        <v>1463.78</v>
      </c>
      <c r="U2018">
        <v>0.71</v>
      </c>
      <c r="V2018">
        <v>0.75</v>
      </c>
      <c r="W2018">
        <v>1.1499999999999999</v>
      </c>
      <c r="X2018">
        <v>0.09</v>
      </c>
      <c r="Y2018">
        <v>1</v>
      </c>
      <c r="Z2018">
        <v>10</v>
      </c>
    </row>
    <row r="2019" spans="1:26" x14ac:dyDescent="0.3">
      <c r="A2019">
        <v>82</v>
      </c>
      <c r="B2019">
        <v>130</v>
      </c>
      <c r="C2019" t="s">
        <v>26</v>
      </c>
      <c r="D2019">
        <v>10.180099999999999</v>
      </c>
      <c r="E2019">
        <v>9.82</v>
      </c>
      <c r="F2019">
        <v>6.77</v>
      </c>
      <c r="G2019">
        <v>81.28</v>
      </c>
      <c r="H2019">
        <v>1.31</v>
      </c>
      <c r="I2019">
        <v>5</v>
      </c>
      <c r="J2019">
        <v>292.26</v>
      </c>
      <c r="K2019">
        <v>59.19</v>
      </c>
      <c r="L2019">
        <v>21.5</v>
      </c>
      <c r="M2019">
        <v>3</v>
      </c>
      <c r="N2019">
        <v>81.569999999999993</v>
      </c>
      <c r="O2019">
        <v>36279.9</v>
      </c>
      <c r="P2019">
        <v>106.03</v>
      </c>
      <c r="Q2019">
        <v>204.14</v>
      </c>
      <c r="R2019">
        <v>24.46</v>
      </c>
      <c r="S2019">
        <v>17.37</v>
      </c>
      <c r="T2019">
        <v>1447.3</v>
      </c>
      <c r="U2019">
        <v>0.71</v>
      </c>
      <c r="V2019">
        <v>0.75</v>
      </c>
      <c r="W2019">
        <v>1.1399999999999999</v>
      </c>
      <c r="X2019">
        <v>0.08</v>
      </c>
      <c r="Y2019">
        <v>1</v>
      </c>
      <c r="Z2019">
        <v>10</v>
      </c>
    </row>
    <row r="2020" spans="1:26" x14ac:dyDescent="0.3">
      <c r="A2020">
        <v>83</v>
      </c>
      <c r="B2020">
        <v>130</v>
      </c>
      <c r="C2020" t="s">
        <v>26</v>
      </c>
      <c r="D2020">
        <v>10.1813</v>
      </c>
      <c r="E2020">
        <v>9.82</v>
      </c>
      <c r="F2020">
        <v>6.77</v>
      </c>
      <c r="G2020">
        <v>81.27</v>
      </c>
      <c r="H2020">
        <v>1.32</v>
      </c>
      <c r="I2020">
        <v>5</v>
      </c>
      <c r="J2020">
        <v>292.77</v>
      </c>
      <c r="K2020">
        <v>59.19</v>
      </c>
      <c r="L2020">
        <v>21.75</v>
      </c>
      <c r="M2020">
        <v>3</v>
      </c>
      <c r="N2020">
        <v>81.83</v>
      </c>
      <c r="O2020">
        <v>36343.129999999997</v>
      </c>
      <c r="P2020">
        <v>105.97</v>
      </c>
      <c r="Q2020">
        <v>204.16</v>
      </c>
      <c r="R2020">
        <v>24.36</v>
      </c>
      <c r="S2020">
        <v>17.37</v>
      </c>
      <c r="T2020">
        <v>1398.07</v>
      </c>
      <c r="U2020">
        <v>0.71</v>
      </c>
      <c r="V2020">
        <v>0.75</v>
      </c>
      <c r="W2020">
        <v>1.1399999999999999</v>
      </c>
      <c r="X2020">
        <v>0.08</v>
      </c>
      <c r="Y2020">
        <v>1</v>
      </c>
      <c r="Z2020">
        <v>10</v>
      </c>
    </row>
    <row r="2021" spans="1:26" x14ac:dyDescent="0.3">
      <c r="A2021">
        <v>84</v>
      </c>
      <c r="B2021">
        <v>130</v>
      </c>
      <c r="C2021" t="s">
        <v>26</v>
      </c>
      <c r="D2021">
        <v>10.1876</v>
      </c>
      <c r="E2021">
        <v>9.82</v>
      </c>
      <c r="F2021">
        <v>6.77</v>
      </c>
      <c r="G2021">
        <v>81.2</v>
      </c>
      <c r="H2021">
        <v>1.34</v>
      </c>
      <c r="I2021">
        <v>5</v>
      </c>
      <c r="J2021">
        <v>293.29000000000002</v>
      </c>
      <c r="K2021">
        <v>59.19</v>
      </c>
      <c r="L2021">
        <v>22</v>
      </c>
      <c r="M2021">
        <v>3</v>
      </c>
      <c r="N2021">
        <v>82.09</v>
      </c>
      <c r="O2021">
        <v>36406.47</v>
      </c>
      <c r="P2021">
        <v>105.7</v>
      </c>
      <c r="Q2021">
        <v>204.14</v>
      </c>
      <c r="R2021">
        <v>24.16</v>
      </c>
      <c r="S2021">
        <v>17.37</v>
      </c>
      <c r="T2021">
        <v>1296.8900000000001</v>
      </c>
      <c r="U2021">
        <v>0.72</v>
      </c>
      <c r="V2021">
        <v>0.75</v>
      </c>
      <c r="W2021">
        <v>1.1499999999999999</v>
      </c>
      <c r="X2021">
        <v>0.08</v>
      </c>
      <c r="Y2021">
        <v>1</v>
      </c>
      <c r="Z2021">
        <v>10</v>
      </c>
    </row>
    <row r="2022" spans="1:26" x14ac:dyDescent="0.3">
      <c r="A2022">
        <v>85</v>
      </c>
      <c r="B2022">
        <v>130</v>
      </c>
      <c r="C2022" t="s">
        <v>26</v>
      </c>
      <c r="D2022">
        <v>10.1919</v>
      </c>
      <c r="E2022">
        <v>9.81</v>
      </c>
      <c r="F2022">
        <v>6.76</v>
      </c>
      <c r="G2022">
        <v>81.150000000000006</v>
      </c>
      <c r="H2022">
        <v>1.35</v>
      </c>
      <c r="I2022">
        <v>5</v>
      </c>
      <c r="J2022">
        <v>293.8</v>
      </c>
      <c r="K2022">
        <v>59.19</v>
      </c>
      <c r="L2022">
        <v>22.25</v>
      </c>
      <c r="M2022">
        <v>3</v>
      </c>
      <c r="N2022">
        <v>82.36</v>
      </c>
      <c r="O2022">
        <v>36469.919999999998</v>
      </c>
      <c r="P2022">
        <v>105.34</v>
      </c>
      <c r="Q2022">
        <v>204.14</v>
      </c>
      <c r="R2022">
        <v>24.11</v>
      </c>
      <c r="S2022">
        <v>17.37</v>
      </c>
      <c r="T2022">
        <v>1270.01</v>
      </c>
      <c r="U2022">
        <v>0.72</v>
      </c>
      <c r="V2022">
        <v>0.76</v>
      </c>
      <c r="W2022">
        <v>1.1399999999999999</v>
      </c>
      <c r="X2022">
        <v>7.0000000000000007E-2</v>
      </c>
      <c r="Y2022">
        <v>1</v>
      </c>
      <c r="Z2022">
        <v>10</v>
      </c>
    </row>
    <row r="2023" spans="1:26" x14ac:dyDescent="0.3">
      <c r="A2023">
        <v>86</v>
      </c>
      <c r="B2023">
        <v>130</v>
      </c>
      <c r="C2023" t="s">
        <v>26</v>
      </c>
      <c r="D2023">
        <v>10.191700000000001</v>
      </c>
      <c r="E2023">
        <v>9.81</v>
      </c>
      <c r="F2023">
        <v>6.76</v>
      </c>
      <c r="G2023">
        <v>81.150000000000006</v>
      </c>
      <c r="H2023">
        <v>1.36</v>
      </c>
      <c r="I2023">
        <v>5</v>
      </c>
      <c r="J2023">
        <v>294.32</v>
      </c>
      <c r="K2023">
        <v>59.19</v>
      </c>
      <c r="L2023">
        <v>22.5</v>
      </c>
      <c r="M2023">
        <v>3</v>
      </c>
      <c r="N2023">
        <v>82.62</v>
      </c>
      <c r="O2023">
        <v>36533.49</v>
      </c>
      <c r="P2023">
        <v>105.11</v>
      </c>
      <c r="Q2023">
        <v>204.15</v>
      </c>
      <c r="R2023">
        <v>24.05</v>
      </c>
      <c r="S2023">
        <v>17.37</v>
      </c>
      <c r="T2023">
        <v>1240.8599999999999</v>
      </c>
      <c r="U2023">
        <v>0.72</v>
      </c>
      <c r="V2023">
        <v>0.76</v>
      </c>
      <c r="W2023">
        <v>1.1399999999999999</v>
      </c>
      <c r="X2023">
        <v>7.0000000000000007E-2</v>
      </c>
      <c r="Y2023">
        <v>1</v>
      </c>
      <c r="Z2023">
        <v>10</v>
      </c>
    </row>
    <row r="2024" spans="1:26" x14ac:dyDescent="0.3">
      <c r="A2024">
        <v>87</v>
      </c>
      <c r="B2024">
        <v>130</v>
      </c>
      <c r="C2024" t="s">
        <v>26</v>
      </c>
      <c r="D2024">
        <v>10.188499999999999</v>
      </c>
      <c r="E2024">
        <v>9.82</v>
      </c>
      <c r="F2024">
        <v>6.77</v>
      </c>
      <c r="G2024">
        <v>81.19</v>
      </c>
      <c r="H2024">
        <v>1.37</v>
      </c>
      <c r="I2024">
        <v>5</v>
      </c>
      <c r="J2024">
        <v>294.83</v>
      </c>
      <c r="K2024">
        <v>59.19</v>
      </c>
      <c r="L2024">
        <v>22.75</v>
      </c>
      <c r="M2024">
        <v>3</v>
      </c>
      <c r="N2024">
        <v>82.89</v>
      </c>
      <c r="O2024">
        <v>36597.160000000003</v>
      </c>
      <c r="P2024">
        <v>104.96</v>
      </c>
      <c r="Q2024">
        <v>204.14</v>
      </c>
      <c r="R2024">
        <v>24.09</v>
      </c>
      <c r="S2024">
        <v>17.37</v>
      </c>
      <c r="T2024">
        <v>1264.44</v>
      </c>
      <c r="U2024">
        <v>0.72</v>
      </c>
      <c r="V2024">
        <v>0.75</v>
      </c>
      <c r="W2024">
        <v>1.1499999999999999</v>
      </c>
      <c r="X2024">
        <v>7.0000000000000007E-2</v>
      </c>
      <c r="Y2024">
        <v>1</v>
      </c>
      <c r="Z2024">
        <v>10</v>
      </c>
    </row>
    <row r="2025" spans="1:26" x14ac:dyDescent="0.3">
      <c r="A2025">
        <v>88</v>
      </c>
      <c r="B2025">
        <v>130</v>
      </c>
      <c r="C2025" t="s">
        <v>26</v>
      </c>
      <c r="D2025">
        <v>10.182700000000001</v>
      </c>
      <c r="E2025">
        <v>9.82</v>
      </c>
      <c r="F2025">
        <v>6.77</v>
      </c>
      <c r="G2025">
        <v>81.25</v>
      </c>
      <c r="H2025">
        <v>1.39</v>
      </c>
      <c r="I2025">
        <v>5</v>
      </c>
      <c r="J2025">
        <v>295.35000000000002</v>
      </c>
      <c r="K2025">
        <v>59.19</v>
      </c>
      <c r="L2025">
        <v>23</v>
      </c>
      <c r="M2025">
        <v>3</v>
      </c>
      <c r="N2025">
        <v>83.16</v>
      </c>
      <c r="O2025">
        <v>36660.94</v>
      </c>
      <c r="P2025">
        <v>104.73</v>
      </c>
      <c r="Q2025">
        <v>204.14</v>
      </c>
      <c r="R2025">
        <v>24.23</v>
      </c>
      <c r="S2025">
        <v>17.37</v>
      </c>
      <c r="T2025">
        <v>1333.83</v>
      </c>
      <c r="U2025">
        <v>0.72</v>
      </c>
      <c r="V2025">
        <v>0.75</v>
      </c>
      <c r="W2025">
        <v>1.1499999999999999</v>
      </c>
      <c r="X2025">
        <v>0.08</v>
      </c>
      <c r="Y2025">
        <v>1</v>
      </c>
      <c r="Z2025">
        <v>10</v>
      </c>
    </row>
    <row r="2026" spans="1:26" x14ac:dyDescent="0.3">
      <c r="A2026">
        <v>89</v>
      </c>
      <c r="B2026">
        <v>130</v>
      </c>
      <c r="C2026" t="s">
        <v>26</v>
      </c>
      <c r="D2026">
        <v>10.1896</v>
      </c>
      <c r="E2026">
        <v>9.81</v>
      </c>
      <c r="F2026">
        <v>6.76</v>
      </c>
      <c r="G2026">
        <v>81.17</v>
      </c>
      <c r="H2026">
        <v>1.4</v>
      </c>
      <c r="I2026">
        <v>5</v>
      </c>
      <c r="J2026">
        <v>295.87</v>
      </c>
      <c r="K2026">
        <v>59.19</v>
      </c>
      <c r="L2026">
        <v>23.25</v>
      </c>
      <c r="M2026">
        <v>3</v>
      </c>
      <c r="N2026">
        <v>83.43</v>
      </c>
      <c r="O2026">
        <v>36724.83</v>
      </c>
      <c r="P2026">
        <v>104.47</v>
      </c>
      <c r="Q2026">
        <v>204.17</v>
      </c>
      <c r="R2026">
        <v>24.16</v>
      </c>
      <c r="S2026">
        <v>17.37</v>
      </c>
      <c r="T2026">
        <v>1296.01</v>
      </c>
      <c r="U2026">
        <v>0.72</v>
      </c>
      <c r="V2026">
        <v>0.75</v>
      </c>
      <c r="W2026">
        <v>1.1399999999999999</v>
      </c>
      <c r="X2026">
        <v>7.0000000000000007E-2</v>
      </c>
      <c r="Y2026">
        <v>1</v>
      </c>
      <c r="Z2026">
        <v>10</v>
      </c>
    </row>
    <row r="2027" spans="1:26" x14ac:dyDescent="0.3">
      <c r="A2027">
        <v>90</v>
      </c>
      <c r="B2027">
        <v>130</v>
      </c>
      <c r="C2027" t="s">
        <v>26</v>
      </c>
      <c r="D2027">
        <v>10.1845</v>
      </c>
      <c r="E2027">
        <v>9.82</v>
      </c>
      <c r="F2027">
        <v>6.77</v>
      </c>
      <c r="G2027">
        <v>81.23</v>
      </c>
      <c r="H2027">
        <v>1.41</v>
      </c>
      <c r="I2027">
        <v>5</v>
      </c>
      <c r="J2027">
        <v>296.39</v>
      </c>
      <c r="K2027">
        <v>59.19</v>
      </c>
      <c r="L2027">
        <v>23.5</v>
      </c>
      <c r="M2027">
        <v>3</v>
      </c>
      <c r="N2027">
        <v>83.69</v>
      </c>
      <c r="O2027">
        <v>36788.839999999997</v>
      </c>
      <c r="P2027">
        <v>104.5</v>
      </c>
      <c r="Q2027">
        <v>204.14</v>
      </c>
      <c r="R2027">
        <v>24.23</v>
      </c>
      <c r="S2027">
        <v>17.37</v>
      </c>
      <c r="T2027">
        <v>1334.46</v>
      </c>
      <c r="U2027">
        <v>0.72</v>
      </c>
      <c r="V2027">
        <v>0.75</v>
      </c>
      <c r="W2027">
        <v>1.1499999999999999</v>
      </c>
      <c r="X2027">
        <v>0.08</v>
      </c>
      <c r="Y2027">
        <v>1</v>
      </c>
      <c r="Z2027">
        <v>10</v>
      </c>
    </row>
    <row r="2028" spans="1:26" x14ac:dyDescent="0.3">
      <c r="A2028">
        <v>91</v>
      </c>
      <c r="B2028">
        <v>130</v>
      </c>
      <c r="C2028" t="s">
        <v>26</v>
      </c>
      <c r="D2028">
        <v>10.185600000000001</v>
      </c>
      <c r="E2028">
        <v>9.82</v>
      </c>
      <c r="F2028">
        <v>6.77</v>
      </c>
      <c r="G2028">
        <v>81.22</v>
      </c>
      <c r="H2028">
        <v>1.42</v>
      </c>
      <c r="I2028">
        <v>5</v>
      </c>
      <c r="J2028">
        <v>296.91000000000003</v>
      </c>
      <c r="K2028">
        <v>59.19</v>
      </c>
      <c r="L2028">
        <v>23.75</v>
      </c>
      <c r="M2028">
        <v>3</v>
      </c>
      <c r="N2028">
        <v>83.96</v>
      </c>
      <c r="O2028">
        <v>36852.959999999999</v>
      </c>
      <c r="P2028">
        <v>104.36</v>
      </c>
      <c r="Q2028">
        <v>204.14</v>
      </c>
      <c r="R2028">
        <v>24.28</v>
      </c>
      <c r="S2028">
        <v>17.37</v>
      </c>
      <c r="T2028">
        <v>1356.29</v>
      </c>
      <c r="U2028">
        <v>0.72</v>
      </c>
      <c r="V2028">
        <v>0.75</v>
      </c>
      <c r="W2028">
        <v>1.1399999999999999</v>
      </c>
      <c r="X2028">
        <v>0.08</v>
      </c>
      <c r="Y2028">
        <v>1</v>
      </c>
      <c r="Z2028">
        <v>10</v>
      </c>
    </row>
    <row r="2029" spans="1:26" x14ac:dyDescent="0.3">
      <c r="A2029">
        <v>92</v>
      </c>
      <c r="B2029">
        <v>130</v>
      </c>
      <c r="C2029" t="s">
        <v>26</v>
      </c>
      <c r="D2029">
        <v>10.1793</v>
      </c>
      <c r="E2029">
        <v>9.82</v>
      </c>
      <c r="F2029">
        <v>6.77</v>
      </c>
      <c r="G2029">
        <v>81.290000000000006</v>
      </c>
      <c r="H2029">
        <v>1.44</v>
      </c>
      <c r="I2029">
        <v>5</v>
      </c>
      <c r="J2029">
        <v>297.43</v>
      </c>
      <c r="K2029">
        <v>59.19</v>
      </c>
      <c r="L2029">
        <v>24</v>
      </c>
      <c r="M2029">
        <v>3</v>
      </c>
      <c r="N2029">
        <v>84.24</v>
      </c>
      <c r="O2029">
        <v>36917.19</v>
      </c>
      <c r="P2029">
        <v>104.35</v>
      </c>
      <c r="Q2029">
        <v>204.14</v>
      </c>
      <c r="R2029">
        <v>24.41</v>
      </c>
      <c r="S2029">
        <v>17.37</v>
      </c>
      <c r="T2029">
        <v>1421.27</v>
      </c>
      <c r="U2029">
        <v>0.71</v>
      </c>
      <c r="V2029">
        <v>0.75</v>
      </c>
      <c r="W2029">
        <v>1.1499999999999999</v>
      </c>
      <c r="X2029">
        <v>0.08</v>
      </c>
      <c r="Y2029">
        <v>1</v>
      </c>
      <c r="Z2029">
        <v>10</v>
      </c>
    </row>
    <row r="2030" spans="1:26" x14ac:dyDescent="0.3">
      <c r="A2030">
        <v>93</v>
      </c>
      <c r="B2030">
        <v>130</v>
      </c>
      <c r="C2030" t="s">
        <v>26</v>
      </c>
      <c r="D2030">
        <v>10.186199999999999</v>
      </c>
      <c r="E2030">
        <v>9.82</v>
      </c>
      <c r="F2030">
        <v>6.77</v>
      </c>
      <c r="G2030">
        <v>81.209999999999994</v>
      </c>
      <c r="H2030">
        <v>1.45</v>
      </c>
      <c r="I2030">
        <v>5</v>
      </c>
      <c r="J2030">
        <v>297.95</v>
      </c>
      <c r="K2030">
        <v>59.19</v>
      </c>
      <c r="L2030">
        <v>24.25</v>
      </c>
      <c r="M2030">
        <v>3</v>
      </c>
      <c r="N2030">
        <v>84.51</v>
      </c>
      <c r="O2030">
        <v>36981.53</v>
      </c>
      <c r="P2030">
        <v>103.94</v>
      </c>
      <c r="Q2030">
        <v>204.14</v>
      </c>
      <c r="R2030">
        <v>24.27</v>
      </c>
      <c r="S2030">
        <v>17.37</v>
      </c>
      <c r="T2030">
        <v>1352.12</v>
      </c>
      <c r="U2030">
        <v>0.72</v>
      </c>
      <c r="V2030">
        <v>0.75</v>
      </c>
      <c r="W2030">
        <v>1.1399999999999999</v>
      </c>
      <c r="X2030">
        <v>0.08</v>
      </c>
      <c r="Y2030">
        <v>1</v>
      </c>
      <c r="Z2030">
        <v>10</v>
      </c>
    </row>
    <row r="2031" spans="1:26" x14ac:dyDescent="0.3">
      <c r="A2031">
        <v>94</v>
      </c>
      <c r="B2031">
        <v>130</v>
      </c>
      <c r="C2031" t="s">
        <v>26</v>
      </c>
      <c r="D2031">
        <v>10.184699999999999</v>
      </c>
      <c r="E2031">
        <v>9.82</v>
      </c>
      <c r="F2031">
        <v>6.77</v>
      </c>
      <c r="G2031">
        <v>81.23</v>
      </c>
      <c r="H2031">
        <v>1.46</v>
      </c>
      <c r="I2031">
        <v>5</v>
      </c>
      <c r="J2031">
        <v>298.47000000000003</v>
      </c>
      <c r="K2031">
        <v>59.19</v>
      </c>
      <c r="L2031">
        <v>24.5</v>
      </c>
      <c r="M2031">
        <v>3</v>
      </c>
      <c r="N2031">
        <v>84.78</v>
      </c>
      <c r="O2031">
        <v>37045.99</v>
      </c>
      <c r="P2031">
        <v>103.7</v>
      </c>
      <c r="Q2031">
        <v>204.15</v>
      </c>
      <c r="R2031">
        <v>24.19</v>
      </c>
      <c r="S2031">
        <v>17.37</v>
      </c>
      <c r="T2031">
        <v>1314.02</v>
      </c>
      <c r="U2031">
        <v>0.72</v>
      </c>
      <c r="V2031">
        <v>0.75</v>
      </c>
      <c r="W2031">
        <v>1.1499999999999999</v>
      </c>
      <c r="X2031">
        <v>0.08</v>
      </c>
      <c r="Y2031">
        <v>1</v>
      </c>
      <c r="Z2031">
        <v>10</v>
      </c>
    </row>
    <row r="2032" spans="1:26" x14ac:dyDescent="0.3">
      <c r="A2032">
        <v>95</v>
      </c>
      <c r="B2032">
        <v>130</v>
      </c>
      <c r="C2032" t="s">
        <v>26</v>
      </c>
      <c r="D2032">
        <v>10.260199999999999</v>
      </c>
      <c r="E2032">
        <v>9.75</v>
      </c>
      <c r="F2032">
        <v>6.75</v>
      </c>
      <c r="G2032">
        <v>101.19</v>
      </c>
      <c r="H2032">
        <v>1.47</v>
      </c>
      <c r="I2032">
        <v>4</v>
      </c>
      <c r="J2032">
        <v>299</v>
      </c>
      <c r="K2032">
        <v>59.19</v>
      </c>
      <c r="L2032">
        <v>24.75</v>
      </c>
      <c r="M2032">
        <v>2</v>
      </c>
      <c r="N2032">
        <v>85.05</v>
      </c>
      <c r="O2032">
        <v>37110.57</v>
      </c>
      <c r="P2032">
        <v>103.21</v>
      </c>
      <c r="Q2032">
        <v>204.14</v>
      </c>
      <c r="R2032">
        <v>23.45</v>
      </c>
      <c r="S2032">
        <v>17.37</v>
      </c>
      <c r="T2032">
        <v>949.73</v>
      </c>
      <c r="U2032">
        <v>0.74</v>
      </c>
      <c r="V2032">
        <v>0.76</v>
      </c>
      <c r="W2032">
        <v>1.1399999999999999</v>
      </c>
      <c r="X2032">
        <v>0.05</v>
      </c>
      <c r="Y2032">
        <v>1</v>
      </c>
      <c r="Z2032">
        <v>10</v>
      </c>
    </row>
    <row r="2033" spans="1:26" x14ac:dyDescent="0.3">
      <c r="A2033">
        <v>96</v>
      </c>
      <c r="B2033">
        <v>130</v>
      </c>
      <c r="C2033" t="s">
        <v>26</v>
      </c>
      <c r="D2033">
        <v>10.2628</v>
      </c>
      <c r="E2033">
        <v>9.74</v>
      </c>
      <c r="F2033">
        <v>6.74</v>
      </c>
      <c r="G2033">
        <v>101.15</v>
      </c>
      <c r="H2033">
        <v>1.49</v>
      </c>
      <c r="I2033">
        <v>4</v>
      </c>
      <c r="J2033">
        <v>299.52</v>
      </c>
      <c r="K2033">
        <v>59.19</v>
      </c>
      <c r="L2033">
        <v>25</v>
      </c>
      <c r="M2033">
        <v>2</v>
      </c>
      <c r="N2033">
        <v>85.33</v>
      </c>
      <c r="O2033">
        <v>37175.379999999997</v>
      </c>
      <c r="P2033">
        <v>103.21</v>
      </c>
      <c r="Q2033">
        <v>204.14</v>
      </c>
      <c r="R2033">
        <v>23.49</v>
      </c>
      <c r="S2033">
        <v>17.37</v>
      </c>
      <c r="T2033">
        <v>964.91</v>
      </c>
      <c r="U2033">
        <v>0.74</v>
      </c>
      <c r="V2033">
        <v>0.76</v>
      </c>
      <c r="W2033">
        <v>1.1399999999999999</v>
      </c>
      <c r="X2033">
        <v>0.05</v>
      </c>
      <c r="Y2033">
        <v>1</v>
      </c>
      <c r="Z2033">
        <v>10</v>
      </c>
    </row>
    <row r="2034" spans="1:26" x14ac:dyDescent="0.3">
      <c r="A2034">
        <v>97</v>
      </c>
      <c r="B2034">
        <v>130</v>
      </c>
      <c r="C2034" t="s">
        <v>26</v>
      </c>
      <c r="D2034">
        <v>10.2608</v>
      </c>
      <c r="E2034">
        <v>9.75</v>
      </c>
      <c r="F2034">
        <v>6.75</v>
      </c>
      <c r="G2034">
        <v>101.18</v>
      </c>
      <c r="H2034">
        <v>1.5</v>
      </c>
      <c r="I2034">
        <v>4</v>
      </c>
      <c r="J2034">
        <v>300.05</v>
      </c>
      <c r="K2034">
        <v>59.19</v>
      </c>
      <c r="L2034">
        <v>25.25</v>
      </c>
      <c r="M2034">
        <v>2</v>
      </c>
      <c r="N2034">
        <v>85.6</v>
      </c>
      <c r="O2034">
        <v>37240.19</v>
      </c>
      <c r="P2034">
        <v>103.3</v>
      </c>
      <c r="Q2034">
        <v>204.14</v>
      </c>
      <c r="R2034">
        <v>23.48</v>
      </c>
      <c r="S2034">
        <v>17.37</v>
      </c>
      <c r="T2034">
        <v>963.92</v>
      </c>
      <c r="U2034">
        <v>0.74</v>
      </c>
      <c r="V2034">
        <v>0.76</v>
      </c>
      <c r="W2034">
        <v>1.1399999999999999</v>
      </c>
      <c r="X2034">
        <v>0.05</v>
      </c>
      <c r="Y2034">
        <v>1</v>
      </c>
      <c r="Z2034">
        <v>10</v>
      </c>
    </row>
    <row r="2035" spans="1:26" x14ac:dyDescent="0.3">
      <c r="A2035">
        <v>98</v>
      </c>
      <c r="B2035">
        <v>130</v>
      </c>
      <c r="C2035" t="s">
        <v>26</v>
      </c>
      <c r="D2035">
        <v>10.2547</v>
      </c>
      <c r="E2035">
        <v>9.75</v>
      </c>
      <c r="F2035">
        <v>6.75</v>
      </c>
      <c r="G2035">
        <v>101.27</v>
      </c>
      <c r="H2035">
        <v>1.51</v>
      </c>
      <c r="I2035">
        <v>4</v>
      </c>
      <c r="J2035">
        <v>300.57</v>
      </c>
      <c r="K2035">
        <v>59.19</v>
      </c>
      <c r="L2035">
        <v>25.5</v>
      </c>
      <c r="M2035">
        <v>2</v>
      </c>
      <c r="N2035">
        <v>85.88</v>
      </c>
      <c r="O2035">
        <v>37305.120000000003</v>
      </c>
      <c r="P2035">
        <v>103.6</v>
      </c>
      <c r="Q2035">
        <v>204.14</v>
      </c>
      <c r="R2035">
        <v>23.68</v>
      </c>
      <c r="S2035">
        <v>17.37</v>
      </c>
      <c r="T2035">
        <v>1063.47</v>
      </c>
      <c r="U2035">
        <v>0.73</v>
      </c>
      <c r="V2035">
        <v>0.76</v>
      </c>
      <c r="W2035">
        <v>1.1399999999999999</v>
      </c>
      <c r="X2035">
        <v>0.06</v>
      </c>
      <c r="Y2035">
        <v>1</v>
      </c>
      <c r="Z2035">
        <v>10</v>
      </c>
    </row>
    <row r="2036" spans="1:26" x14ac:dyDescent="0.3">
      <c r="A2036">
        <v>99</v>
      </c>
      <c r="B2036">
        <v>130</v>
      </c>
      <c r="C2036" t="s">
        <v>26</v>
      </c>
      <c r="D2036">
        <v>10.257</v>
      </c>
      <c r="E2036">
        <v>9.75</v>
      </c>
      <c r="F2036">
        <v>6.75</v>
      </c>
      <c r="G2036">
        <v>101.23</v>
      </c>
      <c r="H2036">
        <v>1.52</v>
      </c>
      <c r="I2036">
        <v>4</v>
      </c>
      <c r="J2036">
        <v>301.10000000000002</v>
      </c>
      <c r="K2036">
        <v>59.19</v>
      </c>
      <c r="L2036">
        <v>25.75</v>
      </c>
      <c r="M2036">
        <v>2</v>
      </c>
      <c r="N2036">
        <v>86.16</v>
      </c>
      <c r="O2036">
        <v>37370.160000000003</v>
      </c>
      <c r="P2036">
        <v>103.71</v>
      </c>
      <c r="Q2036">
        <v>204.14</v>
      </c>
      <c r="R2036">
        <v>23.64</v>
      </c>
      <c r="S2036">
        <v>17.37</v>
      </c>
      <c r="T2036">
        <v>1043.25</v>
      </c>
      <c r="U2036">
        <v>0.73</v>
      </c>
      <c r="V2036">
        <v>0.76</v>
      </c>
      <c r="W2036">
        <v>1.1399999999999999</v>
      </c>
      <c r="X2036">
        <v>0.06</v>
      </c>
      <c r="Y2036">
        <v>1</v>
      </c>
      <c r="Z2036">
        <v>10</v>
      </c>
    </row>
    <row r="2037" spans="1:26" x14ac:dyDescent="0.3">
      <c r="A2037">
        <v>100</v>
      </c>
      <c r="B2037">
        <v>130</v>
      </c>
      <c r="C2037" t="s">
        <v>26</v>
      </c>
      <c r="D2037">
        <v>10.2567</v>
      </c>
      <c r="E2037">
        <v>9.75</v>
      </c>
      <c r="F2037">
        <v>6.75</v>
      </c>
      <c r="G2037">
        <v>101.24</v>
      </c>
      <c r="H2037">
        <v>1.54</v>
      </c>
      <c r="I2037">
        <v>4</v>
      </c>
      <c r="J2037">
        <v>301.63</v>
      </c>
      <c r="K2037">
        <v>59.19</v>
      </c>
      <c r="L2037">
        <v>26</v>
      </c>
      <c r="M2037">
        <v>2</v>
      </c>
      <c r="N2037">
        <v>86.44</v>
      </c>
      <c r="O2037">
        <v>37435.32</v>
      </c>
      <c r="P2037">
        <v>103.83</v>
      </c>
      <c r="Q2037">
        <v>204.14</v>
      </c>
      <c r="R2037">
        <v>23.64</v>
      </c>
      <c r="S2037">
        <v>17.37</v>
      </c>
      <c r="T2037">
        <v>1040.77</v>
      </c>
      <c r="U2037">
        <v>0.74</v>
      </c>
      <c r="V2037">
        <v>0.76</v>
      </c>
      <c r="W2037">
        <v>1.1399999999999999</v>
      </c>
      <c r="X2037">
        <v>0.06</v>
      </c>
      <c r="Y2037">
        <v>1</v>
      </c>
      <c r="Z2037">
        <v>10</v>
      </c>
    </row>
    <row r="2038" spans="1:26" x14ac:dyDescent="0.3">
      <c r="A2038">
        <v>101</v>
      </c>
      <c r="B2038">
        <v>130</v>
      </c>
      <c r="C2038" t="s">
        <v>26</v>
      </c>
      <c r="D2038">
        <v>10.2538</v>
      </c>
      <c r="E2038">
        <v>9.75</v>
      </c>
      <c r="F2038">
        <v>6.75</v>
      </c>
      <c r="G2038">
        <v>101.28</v>
      </c>
      <c r="H2038">
        <v>1.55</v>
      </c>
      <c r="I2038">
        <v>4</v>
      </c>
      <c r="J2038">
        <v>302.16000000000003</v>
      </c>
      <c r="K2038">
        <v>59.19</v>
      </c>
      <c r="L2038">
        <v>26.25</v>
      </c>
      <c r="M2038">
        <v>2</v>
      </c>
      <c r="N2038">
        <v>86.72</v>
      </c>
      <c r="O2038">
        <v>37500.6</v>
      </c>
      <c r="P2038">
        <v>103.93</v>
      </c>
      <c r="Q2038">
        <v>204.14</v>
      </c>
      <c r="R2038">
        <v>23.73</v>
      </c>
      <c r="S2038">
        <v>17.37</v>
      </c>
      <c r="T2038">
        <v>1088.44</v>
      </c>
      <c r="U2038">
        <v>0.73</v>
      </c>
      <c r="V2038">
        <v>0.76</v>
      </c>
      <c r="W2038">
        <v>1.1399999999999999</v>
      </c>
      <c r="X2038">
        <v>0.06</v>
      </c>
      <c r="Y2038">
        <v>1</v>
      </c>
      <c r="Z2038">
        <v>10</v>
      </c>
    </row>
    <row r="2039" spans="1:26" x14ac:dyDescent="0.3">
      <c r="A2039">
        <v>102</v>
      </c>
      <c r="B2039">
        <v>130</v>
      </c>
      <c r="C2039" t="s">
        <v>26</v>
      </c>
      <c r="D2039">
        <v>10.259600000000001</v>
      </c>
      <c r="E2039">
        <v>9.75</v>
      </c>
      <c r="F2039">
        <v>6.75</v>
      </c>
      <c r="G2039">
        <v>101.2</v>
      </c>
      <c r="H2039">
        <v>1.56</v>
      </c>
      <c r="I2039">
        <v>4</v>
      </c>
      <c r="J2039">
        <v>302.69</v>
      </c>
      <c r="K2039">
        <v>59.19</v>
      </c>
      <c r="L2039">
        <v>26.5</v>
      </c>
      <c r="M2039">
        <v>2</v>
      </c>
      <c r="N2039">
        <v>87</v>
      </c>
      <c r="O2039">
        <v>37566</v>
      </c>
      <c r="P2039">
        <v>104.07</v>
      </c>
      <c r="Q2039">
        <v>204.14</v>
      </c>
      <c r="R2039">
        <v>23.61</v>
      </c>
      <c r="S2039">
        <v>17.37</v>
      </c>
      <c r="T2039">
        <v>1027.3599999999999</v>
      </c>
      <c r="U2039">
        <v>0.74</v>
      </c>
      <c r="V2039">
        <v>0.76</v>
      </c>
      <c r="W2039">
        <v>1.1399999999999999</v>
      </c>
      <c r="X2039">
        <v>0.06</v>
      </c>
      <c r="Y2039">
        <v>1</v>
      </c>
      <c r="Z2039">
        <v>10</v>
      </c>
    </row>
    <row r="2040" spans="1:26" x14ac:dyDescent="0.3">
      <c r="A2040">
        <v>103</v>
      </c>
      <c r="B2040">
        <v>130</v>
      </c>
      <c r="C2040" t="s">
        <v>26</v>
      </c>
      <c r="D2040">
        <v>10.261100000000001</v>
      </c>
      <c r="E2040">
        <v>9.75</v>
      </c>
      <c r="F2040">
        <v>6.75</v>
      </c>
      <c r="G2040">
        <v>101.17</v>
      </c>
      <c r="H2040">
        <v>1.57</v>
      </c>
      <c r="I2040">
        <v>4</v>
      </c>
      <c r="J2040">
        <v>303.22000000000003</v>
      </c>
      <c r="K2040">
        <v>59.19</v>
      </c>
      <c r="L2040">
        <v>26.75</v>
      </c>
      <c r="M2040">
        <v>2</v>
      </c>
      <c r="N2040">
        <v>87.28</v>
      </c>
      <c r="O2040">
        <v>37631.519999999997</v>
      </c>
      <c r="P2040">
        <v>104.03</v>
      </c>
      <c r="Q2040">
        <v>204.14</v>
      </c>
      <c r="R2040">
        <v>23.51</v>
      </c>
      <c r="S2040">
        <v>17.37</v>
      </c>
      <c r="T2040">
        <v>976.8</v>
      </c>
      <c r="U2040">
        <v>0.74</v>
      </c>
      <c r="V2040">
        <v>0.76</v>
      </c>
      <c r="W2040">
        <v>1.1399999999999999</v>
      </c>
      <c r="X2040">
        <v>0.05</v>
      </c>
      <c r="Y2040">
        <v>1</v>
      </c>
      <c r="Z2040">
        <v>10</v>
      </c>
    </row>
    <row r="2041" spans="1:26" x14ac:dyDescent="0.3">
      <c r="A2041">
        <v>104</v>
      </c>
      <c r="B2041">
        <v>130</v>
      </c>
      <c r="C2041" t="s">
        <v>26</v>
      </c>
      <c r="D2041">
        <v>10.264900000000001</v>
      </c>
      <c r="E2041">
        <v>9.74</v>
      </c>
      <c r="F2041">
        <v>6.74</v>
      </c>
      <c r="G2041">
        <v>101.12</v>
      </c>
      <c r="H2041">
        <v>1.58</v>
      </c>
      <c r="I2041">
        <v>4</v>
      </c>
      <c r="J2041">
        <v>303.75</v>
      </c>
      <c r="K2041">
        <v>59.19</v>
      </c>
      <c r="L2041">
        <v>27</v>
      </c>
      <c r="M2041">
        <v>2</v>
      </c>
      <c r="N2041">
        <v>87.56</v>
      </c>
      <c r="O2041">
        <v>37697.160000000003</v>
      </c>
      <c r="P2041">
        <v>104.1</v>
      </c>
      <c r="Q2041">
        <v>204.14</v>
      </c>
      <c r="R2041">
        <v>23.44</v>
      </c>
      <c r="S2041">
        <v>17.37</v>
      </c>
      <c r="T2041">
        <v>940.22</v>
      </c>
      <c r="U2041">
        <v>0.74</v>
      </c>
      <c r="V2041">
        <v>0.76</v>
      </c>
      <c r="W2041">
        <v>1.1399999999999999</v>
      </c>
      <c r="X2041">
        <v>0.05</v>
      </c>
      <c r="Y2041">
        <v>1</v>
      </c>
      <c r="Z2041">
        <v>10</v>
      </c>
    </row>
    <row r="2042" spans="1:26" x14ac:dyDescent="0.3">
      <c r="A2042">
        <v>105</v>
      </c>
      <c r="B2042">
        <v>130</v>
      </c>
      <c r="C2042" t="s">
        <v>26</v>
      </c>
      <c r="D2042">
        <v>10.259600000000001</v>
      </c>
      <c r="E2042">
        <v>9.75</v>
      </c>
      <c r="F2042">
        <v>6.75</v>
      </c>
      <c r="G2042">
        <v>101.2</v>
      </c>
      <c r="H2042">
        <v>1.6</v>
      </c>
      <c r="I2042">
        <v>4</v>
      </c>
      <c r="J2042">
        <v>304.29000000000002</v>
      </c>
      <c r="K2042">
        <v>59.19</v>
      </c>
      <c r="L2042">
        <v>27.25</v>
      </c>
      <c r="M2042">
        <v>2</v>
      </c>
      <c r="N2042">
        <v>87.84</v>
      </c>
      <c r="O2042">
        <v>37762.92</v>
      </c>
      <c r="P2042">
        <v>104.22</v>
      </c>
      <c r="Q2042">
        <v>204.14</v>
      </c>
      <c r="R2042">
        <v>23.51</v>
      </c>
      <c r="S2042">
        <v>17.37</v>
      </c>
      <c r="T2042">
        <v>975.13</v>
      </c>
      <c r="U2042">
        <v>0.74</v>
      </c>
      <c r="V2042">
        <v>0.76</v>
      </c>
      <c r="W2042">
        <v>1.1399999999999999</v>
      </c>
      <c r="X2042">
        <v>0.06</v>
      </c>
      <c r="Y2042">
        <v>1</v>
      </c>
      <c r="Z2042">
        <v>10</v>
      </c>
    </row>
    <row r="2043" spans="1:26" x14ac:dyDescent="0.3">
      <c r="A2043">
        <v>106</v>
      </c>
      <c r="B2043">
        <v>130</v>
      </c>
      <c r="C2043" t="s">
        <v>26</v>
      </c>
      <c r="D2043">
        <v>10.2593</v>
      </c>
      <c r="E2043">
        <v>9.75</v>
      </c>
      <c r="F2043">
        <v>6.75</v>
      </c>
      <c r="G2043">
        <v>101.2</v>
      </c>
      <c r="H2043">
        <v>1.61</v>
      </c>
      <c r="I2043">
        <v>4</v>
      </c>
      <c r="J2043">
        <v>304.82</v>
      </c>
      <c r="K2043">
        <v>59.19</v>
      </c>
      <c r="L2043">
        <v>27.5</v>
      </c>
      <c r="M2043">
        <v>2</v>
      </c>
      <c r="N2043">
        <v>88.13</v>
      </c>
      <c r="O2043">
        <v>37828.81</v>
      </c>
      <c r="P2043">
        <v>104.21</v>
      </c>
      <c r="Q2043">
        <v>204.14</v>
      </c>
      <c r="R2043">
        <v>23.55</v>
      </c>
      <c r="S2043">
        <v>17.37</v>
      </c>
      <c r="T2043">
        <v>999.67</v>
      </c>
      <c r="U2043">
        <v>0.74</v>
      </c>
      <c r="V2043">
        <v>0.76</v>
      </c>
      <c r="W2043">
        <v>1.1399999999999999</v>
      </c>
      <c r="X2043">
        <v>0.06</v>
      </c>
      <c r="Y2043">
        <v>1</v>
      </c>
      <c r="Z2043">
        <v>10</v>
      </c>
    </row>
    <row r="2044" spans="1:26" x14ac:dyDescent="0.3">
      <c r="A2044">
        <v>107</v>
      </c>
      <c r="B2044">
        <v>130</v>
      </c>
      <c r="C2044" t="s">
        <v>26</v>
      </c>
      <c r="D2044">
        <v>10.2523</v>
      </c>
      <c r="E2044">
        <v>9.75</v>
      </c>
      <c r="F2044">
        <v>6.75</v>
      </c>
      <c r="G2044">
        <v>101.3</v>
      </c>
      <c r="H2044">
        <v>1.62</v>
      </c>
      <c r="I2044">
        <v>4</v>
      </c>
      <c r="J2044">
        <v>305.36</v>
      </c>
      <c r="K2044">
        <v>59.19</v>
      </c>
      <c r="L2044">
        <v>27.75</v>
      </c>
      <c r="M2044">
        <v>2</v>
      </c>
      <c r="N2044">
        <v>88.41</v>
      </c>
      <c r="O2044">
        <v>37894.82</v>
      </c>
      <c r="P2044">
        <v>104.31</v>
      </c>
      <c r="Q2044">
        <v>204.14</v>
      </c>
      <c r="R2044">
        <v>23.75</v>
      </c>
      <c r="S2044">
        <v>17.37</v>
      </c>
      <c r="T2044">
        <v>1099.26</v>
      </c>
      <c r="U2044">
        <v>0.73</v>
      </c>
      <c r="V2044">
        <v>0.76</v>
      </c>
      <c r="W2044">
        <v>1.1399999999999999</v>
      </c>
      <c r="X2044">
        <v>0.06</v>
      </c>
      <c r="Y2044">
        <v>1</v>
      </c>
      <c r="Z2044">
        <v>10</v>
      </c>
    </row>
    <row r="2045" spans="1:26" x14ac:dyDescent="0.3">
      <c r="A2045">
        <v>108</v>
      </c>
      <c r="B2045">
        <v>130</v>
      </c>
      <c r="C2045" t="s">
        <v>26</v>
      </c>
      <c r="D2045">
        <v>10.257899999999999</v>
      </c>
      <c r="E2045">
        <v>9.75</v>
      </c>
      <c r="F2045">
        <v>6.75</v>
      </c>
      <c r="G2045">
        <v>101.22</v>
      </c>
      <c r="H2045">
        <v>1.63</v>
      </c>
      <c r="I2045">
        <v>4</v>
      </c>
      <c r="J2045">
        <v>305.89</v>
      </c>
      <c r="K2045">
        <v>59.19</v>
      </c>
      <c r="L2045">
        <v>28</v>
      </c>
      <c r="M2045">
        <v>2</v>
      </c>
      <c r="N2045">
        <v>88.7</v>
      </c>
      <c r="O2045">
        <v>37960.949999999997</v>
      </c>
      <c r="P2045">
        <v>104.22</v>
      </c>
      <c r="Q2045">
        <v>204.14</v>
      </c>
      <c r="R2045">
        <v>23.65</v>
      </c>
      <c r="S2045">
        <v>17.37</v>
      </c>
      <c r="T2045">
        <v>1045.03</v>
      </c>
      <c r="U2045">
        <v>0.73</v>
      </c>
      <c r="V2045">
        <v>0.76</v>
      </c>
      <c r="W2045">
        <v>1.1399999999999999</v>
      </c>
      <c r="X2045">
        <v>0.06</v>
      </c>
      <c r="Y2045">
        <v>1</v>
      </c>
      <c r="Z2045">
        <v>10</v>
      </c>
    </row>
    <row r="2046" spans="1:26" x14ac:dyDescent="0.3">
      <c r="A2046">
        <v>109</v>
      </c>
      <c r="B2046">
        <v>130</v>
      </c>
      <c r="C2046" t="s">
        <v>26</v>
      </c>
      <c r="D2046">
        <v>10.255800000000001</v>
      </c>
      <c r="E2046">
        <v>9.75</v>
      </c>
      <c r="F2046">
        <v>6.75</v>
      </c>
      <c r="G2046">
        <v>101.25</v>
      </c>
      <c r="H2046">
        <v>1.64</v>
      </c>
      <c r="I2046">
        <v>4</v>
      </c>
      <c r="J2046">
        <v>306.43</v>
      </c>
      <c r="K2046">
        <v>59.19</v>
      </c>
      <c r="L2046">
        <v>28.25</v>
      </c>
      <c r="M2046">
        <v>2</v>
      </c>
      <c r="N2046">
        <v>88.99</v>
      </c>
      <c r="O2046">
        <v>38027.199999999997</v>
      </c>
      <c r="P2046">
        <v>104.22</v>
      </c>
      <c r="Q2046">
        <v>204.14</v>
      </c>
      <c r="R2046">
        <v>23.75</v>
      </c>
      <c r="S2046">
        <v>17.37</v>
      </c>
      <c r="T2046">
        <v>1096.74</v>
      </c>
      <c r="U2046">
        <v>0.73</v>
      </c>
      <c r="V2046">
        <v>0.76</v>
      </c>
      <c r="W2046">
        <v>1.1399999999999999</v>
      </c>
      <c r="X2046">
        <v>0.06</v>
      </c>
      <c r="Y2046">
        <v>1</v>
      </c>
      <c r="Z2046">
        <v>10</v>
      </c>
    </row>
    <row r="2047" spans="1:26" x14ac:dyDescent="0.3">
      <c r="A2047">
        <v>110</v>
      </c>
      <c r="B2047">
        <v>130</v>
      </c>
      <c r="C2047" t="s">
        <v>26</v>
      </c>
      <c r="D2047">
        <v>10.2567</v>
      </c>
      <c r="E2047">
        <v>9.75</v>
      </c>
      <c r="F2047">
        <v>6.75</v>
      </c>
      <c r="G2047">
        <v>101.24</v>
      </c>
      <c r="H2047">
        <v>1.65</v>
      </c>
      <c r="I2047">
        <v>4</v>
      </c>
      <c r="J2047">
        <v>306.97000000000003</v>
      </c>
      <c r="K2047">
        <v>59.19</v>
      </c>
      <c r="L2047">
        <v>28.5</v>
      </c>
      <c r="M2047">
        <v>2</v>
      </c>
      <c r="N2047">
        <v>89.27</v>
      </c>
      <c r="O2047">
        <v>38093.58</v>
      </c>
      <c r="P2047">
        <v>104.21</v>
      </c>
      <c r="Q2047">
        <v>204.14</v>
      </c>
      <c r="R2047">
        <v>23.62</v>
      </c>
      <c r="S2047">
        <v>17.37</v>
      </c>
      <c r="T2047">
        <v>1032.08</v>
      </c>
      <c r="U2047">
        <v>0.74</v>
      </c>
      <c r="V2047">
        <v>0.76</v>
      </c>
      <c r="W2047">
        <v>1.1399999999999999</v>
      </c>
      <c r="X2047">
        <v>0.06</v>
      </c>
      <c r="Y2047">
        <v>1</v>
      </c>
      <c r="Z2047">
        <v>10</v>
      </c>
    </row>
    <row r="2048" spans="1:26" x14ac:dyDescent="0.3">
      <c r="A2048">
        <v>111</v>
      </c>
      <c r="B2048">
        <v>130</v>
      </c>
      <c r="C2048" t="s">
        <v>26</v>
      </c>
      <c r="D2048">
        <v>10.2582</v>
      </c>
      <c r="E2048">
        <v>9.75</v>
      </c>
      <c r="F2048">
        <v>6.75</v>
      </c>
      <c r="G2048">
        <v>101.22</v>
      </c>
      <c r="H2048">
        <v>1.67</v>
      </c>
      <c r="I2048">
        <v>4</v>
      </c>
      <c r="J2048">
        <v>307.51</v>
      </c>
      <c r="K2048">
        <v>59.19</v>
      </c>
      <c r="L2048">
        <v>28.75</v>
      </c>
      <c r="M2048">
        <v>2</v>
      </c>
      <c r="N2048">
        <v>89.56</v>
      </c>
      <c r="O2048">
        <v>38160.089999999997</v>
      </c>
      <c r="P2048">
        <v>104.05</v>
      </c>
      <c r="Q2048">
        <v>204.15</v>
      </c>
      <c r="R2048">
        <v>23.57</v>
      </c>
      <c r="S2048">
        <v>17.37</v>
      </c>
      <c r="T2048">
        <v>1006.54</v>
      </c>
      <c r="U2048">
        <v>0.74</v>
      </c>
      <c r="V2048">
        <v>0.76</v>
      </c>
      <c r="W2048">
        <v>1.1399999999999999</v>
      </c>
      <c r="X2048">
        <v>0.06</v>
      </c>
      <c r="Y2048">
        <v>1</v>
      </c>
      <c r="Z2048">
        <v>10</v>
      </c>
    </row>
    <row r="2049" spans="1:26" x14ac:dyDescent="0.3">
      <c r="A2049">
        <v>112</v>
      </c>
      <c r="B2049">
        <v>130</v>
      </c>
      <c r="C2049" t="s">
        <v>26</v>
      </c>
      <c r="D2049">
        <v>10.2585</v>
      </c>
      <c r="E2049">
        <v>9.75</v>
      </c>
      <c r="F2049">
        <v>6.75</v>
      </c>
      <c r="G2049">
        <v>101.21</v>
      </c>
      <c r="H2049">
        <v>1.68</v>
      </c>
      <c r="I2049">
        <v>4</v>
      </c>
      <c r="J2049">
        <v>308.05</v>
      </c>
      <c r="K2049">
        <v>59.19</v>
      </c>
      <c r="L2049">
        <v>29</v>
      </c>
      <c r="M2049">
        <v>2</v>
      </c>
      <c r="N2049">
        <v>89.85</v>
      </c>
      <c r="O2049">
        <v>38226.720000000001</v>
      </c>
      <c r="P2049">
        <v>104.08</v>
      </c>
      <c r="Q2049">
        <v>204.15</v>
      </c>
      <c r="R2049">
        <v>23.54</v>
      </c>
      <c r="S2049">
        <v>17.37</v>
      </c>
      <c r="T2049">
        <v>993.16</v>
      </c>
      <c r="U2049">
        <v>0.74</v>
      </c>
      <c r="V2049">
        <v>0.76</v>
      </c>
      <c r="W2049">
        <v>1.1399999999999999</v>
      </c>
      <c r="X2049">
        <v>0.06</v>
      </c>
      <c r="Y2049">
        <v>1</v>
      </c>
      <c r="Z2049">
        <v>10</v>
      </c>
    </row>
    <row r="2050" spans="1:26" x14ac:dyDescent="0.3">
      <c r="A2050">
        <v>113</v>
      </c>
      <c r="B2050">
        <v>130</v>
      </c>
      <c r="C2050" t="s">
        <v>26</v>
      </c>
      <c r="D2050">
        <v>10.2646</v>
      </c>
      <c r="E2050">
        <v>9.74</v>
      </c>
      <c r="F2050">
        <v>6.74</v>
      </c>
      <c r="G2050">
        <v>101.12</v>
      </c>
      <c r="H2050">
        <v>1.69</v>
      </c>
      <c r="I2050">
        <v>4</v>
      </c>
      <c r="J2050">
        <v>308.58999999999997</v>
      </c>
      <c r="K2050">
        <v>59.19</v>
      </c>
      <c r="L2050">
        <v>29.25</v>
      </c>
      <c r="M2050">
        <v>2</v>
      </c>
      <c r="N2050">
        <v>90.14</v>
      </c>
      <c r="O2050">
        <v>38293.47</v>
      </c>
      <c r="P2050">
        <v>103.93</v>
      </c>
      <c r="Q2050">
        <v>204.14</v>
      </c>
      <c r="R2050">
        <v>23.46</v>
      </c>
      <c r="S2050">
        <v>17.37</v>
      </c>
      <c r="T2050">
        <v>952.85</v>
      </c>
      <c r="U2050">
        <v>0.74</v>
      </c>
      <c r="V2050">
        <v>0.76</v>
      </c>
      <c r="W2050">
        <v>1.1399999999999999</v>
      </c>
      <c r="X2050">
        <v>0.05</v>
      </c>
      <c r="Y2050">
        <v>1</v>
      </c>
      <c r="Z2050">
        <v>10</v>
      </c>
    </row>
    <row r="2051" spans="1:26" x14ac:dyDescent="0.3">
      <c r="A2051">
        <v>114</v>
      </c>
      <c r="B2051">
        <v>130</v>
      </c>
      <c r="C2051" t="s">
        <v>26</v>
      </c>
      <c r="D2051">
        <v>10.2661</v>
      </c>
      <c r="E2051">
        <v>9.74</v>
      </c>
      <c r="F2051">
        <v>6.74</v>
      </c>
      <c r="G2051">
        <v>101.1</v>
      </c>
      <c r="H2051">
        <v>1.7</v>
      </c>
      <c r="I2051">
        <v>4</v>
      </c>
      <c r="J2051">
        <v>309.13</v>
      </c>
      <c r="K2051">
        <v>59.19</v>
      </c>
      <c r="L2051">
        <v>29.5</v>
      </c>
      <c r="M2051">
        <v>2</v>
      </c>
      <c r="N2051">
        <v>90.44</v>
      </c>
      <c r="O2051">
        <v>38360.36</v>
      </c>
      <c r="P2051">
        <v>103.81</v>
      </c>
      <c r="Q2051">
        <v>204.14</v>
      </c>
      <c r="R2051">
        <v>23.35</v>
      </c>
      <c r="S2051">
        <v>17.37</v>
      </c>
      <c r="T2051">
        <v>898.17</v>
      </c>
      <c r="U2051">
        <v>0.74</v>
      </c>
      <c r="V2051">
        <v>0.76</v>
      </c>
      <c r="W2051">
        <v>1.1399999999999999</v>
      </c>
      <c r="X2051">
        <v>0.05</v>
      </c>
      <c r="Y2051">
        <v>1</v>
      </c>
      <c r="Z2051">
        <v>10</v>
      </c>
    </row>
    <row r="2052" spans="1:26" x14ac:dyDescent="0.3">
      <c r="A2052">
        <v>115</v>
      </c>
      <c r="B2052">
        <v>130</v>
      </c>
      <c r="C2052" t="s">
        <v>26</v>
      </c>
      <c r="D2052">
        <v>10.261699999999999</v>
      </c>
      <c r="E2052">
        <v>9.74</v>
      </c>
      <c r="F2052">
        <v>6.74</v>
      </c>
      <c r="G2052">
        <v>101.17</v>
      </c>
      <c r="H2052">
        <v>1.71</v>
      </c>
      <c r="I2052">
        <v>4</v>
      </c>
      <c r="J2052">
        <v>309.67</v>
      </c>
      <c r="K2052">
        <v>59.19</v>
      </c>
      <c r="L2052">
        <v>29.75</v>
      </c>
      <c r="M2052">
        <v>2</v>
      </c>
      <c r="N2052">
        <v>90.73</v>
      </c>
      <c r="O2052">
        <v>38427.370000000003</v>
      </c>
      <c r="P2052">
        <v>103.78</v>
      </c>
      <c r="Q2052">
        <v>204.14</v>
      </c>
      <c r="R2052">
        <v>23.48</v>
      </c>
      <c r="S2052">
        <v>17.37</v>
      </c>
      <c r="T2052">
        <v>960.86</v>
      </c>
      <c r="U2052">
        <v>0.74</v>
      </c>
      <c r="V2052">
        <v>0.76</v>
      </c>
      <c r="W2052">
        <v>1.1399999999999999</v>
      </c>
      <c r="X2052">
        <v>0.05</v>
      </c>
      <c r="Y2052">
        <v>1</v>
      </c>
      <c r="Z2052">
        <v>10</v>
      </c>
    </row>
    <row r="2053" spans="1:26" x14ac:dyDescent="0.3">
      <c r="A2053">
        <v>116</v>
      </c>
      <c r="B2053">
        <v>130</v>
      </c>
      <c r="C2053" t="s">
        <v>26</v>
      </c>
      <c r="D2053">
        <v>10.264900000000001</v>
      </c>
      <c r="E2053">
        <v>9.74</v>
      </c>
      <c r="F2053">
        <v>6.74</v>
      </c>
      <c r="G2053">
        <v>101.12</v>
      </c>
      <c r="H2053">
        <v>1.72</v>
      </c>
      <c r="I2053">
        <v>4</v>
      </c>
      <c r="J2053">
        <v>310.22000000000003</v>
      </c>
      <c r="K2053">
        <v>59.19</v>
      </c>
      <c r="L2053">
        <v>30</v>
      </c>
      <c r="M2053">
        <v>2</v>
      </c>
      <c r="N2053">
        <v>91.02</v>
      </c>
      <c r="O2053">
        <v>38494.519999999997</v>
      </c>
      <c r="P2053">
        <v>103.6</v>
      </c>
      <c r="Q2053">
        <v>204.14</v>
      </c>
      <c r="R2053">
        <v>23.46</v>
      </c>
      <c r="S2053">
        <v>17.37</v>
      </c>
      <c r="T2053">
        <v>951.73</v>
      </c>
      <c r="U2053">
        <v>0.74</v>
      </c>
      <c r="V2053">
        <v>0.76</v>
      </c>
      <c r="W2053">
        <v>1.1399999999999999</v>
      </c>
      <c r="X2053">
        <v>0.05</v>
      </c>
      <c r="Y2053">
        <v>1</v>
      </c>
      <c r="Z2053">
        <v>10</v>
      </c>
    </row>
    <row r="2054" spans="1:26" x14ac:dyDescent="0.3">
      <c r="A2054">
        <v>117</v>
      </c>
      <c r="B2054">
        <v>130</v>
      </c>
      <c r="C2054" t="s">
        <v>26</v>
      </c>
      <c r="D2054">
        <v>10.2623</v>
      </c>
      <c r="E2054">
        <v>9.74</v>
      </c>
      <c r="F2054">
        <v>6.74</v>
      </c>
      <c r="G2054">
        <v>101.16</v>
      </c>
      <c r="H2054">
        <v>1.73</v>
      </c>
      <c r="I2054">
        <v>4</v>
      </c>
      <c r="J2054">
        <v>310.76</v>
      </c>
      <c r="K2054">
        <v>59.19</v>
      </c>
      <c r="L2054">
        <v>30.25</v>
      </c>
      <c r="M2054">
        <v>2</v>
      </c>
      <c r="N2054">
        <v>91.32</v>
      </c>
      <c r="O2054">
        <v>38561.79</v>
      </c>
      <c r="P2054">
        <v>103.5</v>
      </c>
      <c r="Q2054">
        <v>204.14</v>
      </c>
      <c r="R2054">
        <v>23.4</v>
      </c>
      <c r="S2054">
        <v>17.37</v>
      </c>
      <c r="T2054">
        <v>924.4</v>
      </c>
      <c r="U2054">
        <v>0.74</v>
      </c>
      <c r="V2054">
        <v>0.76</v>
      </c>
      <c r="W2054">
        <v>1.1399999999999999</v>
      </c>
      <c r="X2054">
        <v>0.05</v>
      </c>
      <c r="Y2054">
        <v>1</v>
      </c>
      <c r="Z2054">
        <v>10</v>
      </c>
    </row>
    <row r="2055" spans="1:26" x14ac:dyDescent="0.3">
      <c r="A2055">
        <v>118</v>
      </c>
      <c r="B2055">
        <v>130</v>
      </c>
      <c r="C2055" t="s">
        <v>26</v>
      </c>
      <c r="D2055">
        <v>10.2628</v>
      </c>
      <c r="E2055">
        <v>9.74</v>
      </c>
      <c r="F2055">
        <v>6.74</v>
      </c>
      <c r="G2055">
        <v>101.15</v>
      </c>
      <c r="H2055">
        <v>1.75</v>
      </c>
      <c r="I2055">
        <v>4</v>
      </c>
      <c r="J2055">
        <v>311.31</v>
      </c>
      <c r="K2055">
        <v>59.19</v>
      </c>
      <c r="L2055">
        <v>30.5</v>
      </c>
      <c r="M2055">
        <v>2</v>
      </c>
      <c r="N2055">
        <v>91.62</v>
      </c>
      <c r="O2055">
        <v>38629.19</v>
      </c>
      <c r="P2055">
        <v>103.44</v>
      </c>
      <c r="Q2055">
        <v>204.14</v>
      </c>
      <c r="R2055">
        <v>23.39</v>
      </c>
      <c r="S2055">
        <v>17.37</v>
      </c>
      <c r="T2055">
        <v>916.89</v>
      </c>
      <c r="U2055">
        <v>0.74</v>
      </c>
      <c r="V2055">
        <v>0.76</v>
      </c>
      <c r="W2055">
        <v>1.1399999999999999</v>
      </c>
      <c r="X2055">
        <v>0.05</v>
      </c>
      <c r="Y2055">
        <v>1</v>
      </c>
      <c r="Z2055">
        <v>10</v>
      </c>
    </row>
    <row r="2056" spans="1:26" x14ac:dyDescent="0.3">
      <c r="A2056">
        <v>119</v>
      </c>
      <c r="B2056">
        <v>130</v>
      </c>
      <c r="C2056" t="s">
        <v>26</v>
      </c>
      <c r="D2056">
        <v>10.264900000000001</v>
      </c>
      <c r="E2056">
        <v>9.74</v>
      </c>
      <c r="F2056">
        <v>6.74</v>
      </c>
      <c r="G2056">
        <v>101.12</v>
      </c>
      <c r="H2056">
        <v>1.76</v>
      </c>
      <c r="I2056">
        <v>4</v>
      </c>
      <c r="J2056">
        <v>311.86</v>
      </c>
      <c r="K2056">
        <v>59.19</v>
      </c>
      <c r="L2056">
        <v>30.75</v>
      </c>
      <c r="M2056">
        <v>2</v>
      </c>
      <c r="N2056">
        <v>91.91</v>
      </c>
      <c r="O2056">
        <v>38696.85</v>
      </c>
      <c r="P2056">
        <v>103.15</v>
      </c>
      <c r="Q2056">
        <v>204.14</v>
      </c>
      <c r="R2056">
        <v>23.4</v>
      </c>
      <c r="S2056">
        <v>17.37</v>
      </c>
      <c r="T2056">
        <v>921.2</v>
      </c>
      <c r="U2056">
        <v>0.74</v>
      </c>
      <c r="V2056">
        <v>0.76</v>
      </c>
      <c r="W2056">
        <v>1.1399999999999999</v>
      </c>
      <c r="X2056">
        <v>0.05</v>
      </c>
      <c r="Y2056">
        <v>1</v>
      </c>
      <c r="Z2056">
        <v>10</v>
      </c>
    </row>
    <row r="2057" spans="1:26" x14ac:dyDescent="0.3">
      <c r="A2057">
        <v>120</v>
      </c>
      <c r="B2057">
        <v>130</v>
      </c>
      <c r="C2057" t="s">
        <v>26</v>
      </c>
      <c r="D2057">
        <v>10.2628</v>
      </c>
      <c r="E2057">
        <v>9.74</v>
      </c>
      <c r="F2057">
        <v>6.74</v>
      </c>
      <c r="G2057">
        <v>101.15</v>
      </c>
      <c r="H2057">
        <v>1.77</v>
      </c>
      <c r="I2057">
        <v>4</v>
      </c>
      <c r="J2057">
        <v>312.41000000000003</v>
      </c>
      <c r="K2057">
        <v>59.19</v>
      </c>
      <c r="L2057">
        <v>31</v>
      </c>
      <c r="M2057">
        <v>2</v>
      </c>
      <c r="N2057">
        <v>92.21</v>
      </c>
      <c r="O2057">
        <v>38764.53</v>
      </c>
      <c r="P2057">
        <v>103.02</v>
      </c>
      <c r="Q2057">
        <v>204.14</v>
      </c>
      <c r="R2057">
        <v>23.42</v>
      </c>
      <c r="S2057">
        <v>17.37</v>
      </c>
      <c r="T2057">
        <v>931.77</v>
      </c>
      <c r="U2057">
        <v>0.74</v>
      </c>
      <c r="V2057">
        <v>0.76</v>
      </c>
      <c r="W2057">
        <v>1.1399999999999999</v>
      </c>
      <c r="X2057">
        <v>0.05</v>
      </c>
      <c r="Y2057">
        <v>1</v>
      </c>
      <c r="Z2057">
        <v>10</v>
      </c>
    </row>
    <row r="2058" spans="1:26" x14ac:dyDescent="0.3">
      <c r="A2058">
        <v>121</v>
      </c>
      <c r="B2058">
        <v>130</v>
      </c>
      <c r="C2058" t="s">
        <v>26</v>
      </c>
      <c r="D2058">
        <v>10.269600000000001</v>
      </c>
      <c r="E2058">
        <v>9.74</v>
      </c>
      <c r="F2058">
        <v>6.74</v>
      </c>
      <c r="G2058">
        <v>101.05</v>
      </c>
      <c r="H2058">
        <v>1.78</v>
      </c>
      <c r="I2058">
        <v>4</v>
      </c>
      <c r="J2058">
        <v>312.95999999999998</v>
      </c>
      <c r="K2058">
        <v>59.19</v>
      </c>
      <c r="L2058">
        <v>31.25</v>
      </c>
      <c r="M2058">
        <v>2</v>
      </c>
      <c r="N2058">
        <v>92.51</v>
      </c>
      <c r="O2058">
        <v>38832.33</v>
      </c>
      <c r="P2058">
        <v>102.79</v>
      </c>
      <c r="Q2058">
        <v>204.14</v>
      </c>
      <c r="R2058">
        <v>23.16</v>
      </c>
      <c r="S2058">
        <v>17.37</v>
      </c>
      <c r="T2058">
        <v>803.86</v>
      </c>
      <c r="U2058">
        <v>0.75</v>
      </c>
      <c r="V2058">
        <v>0.76</v>
      </c>
      <c r="W2058">
        <v>1.1399999999999999</v>
      </c>
      <c r="X2058">
        <v>0.05</v>
      </c>
      <c r="Y2058">
        <v>1</v>
      </c>
      <c r="Z2058">
        <v>10</v>
      </c>
    </row>
    <row r="2059" spans="1:26" x14ac:dyDescent="0.3">
      <c r="A2059">
        <v>122</v>
      </c>
      <c r="B2059">
        <v>130</v>
      </c>
      <c r="C2059" t="s">
        <v>26</v>
      </c>
      <c r="D2059">
        <v>10.2705</v>
      </c>
      <c r="E2059">
        <v>9.74</v>
      </c>
      <c r="F2059">
        <v>6.74</v>
      </c>
      <c r="G2059">
        <v>101.04</v>
      </c>
      <c r="H2059">
        <v>1.79</v>
      </c>
      <c r="I2059">
        <v>4</v>
      </c>
      <c r="J2059">
        <v>313.51</v>
      </c>
      <c r="K2059">
        <v>59.19</v>
      </c>
      <c r="L2059">
        <v>31.5</v>
      </c>
      <c r="M2059">
        <v>2</v>
      </c>
      <c r="N2059">
        <v>92.81</v>
      </c>
      <c r="O2059">
        <v>38900.269999999997</v>
      </c>
      <c r="P2059">
        <v>102.67</v>
      </c>
      <c r="Q2059">
        <v>204.15</v>
      </c>
      <c r="R2059">
        <v>23.13</v>
      </c>
      <c r="S2059">
        <v>17.37</v>
      </c>
      <c r="T2059">
        <v>789</v>
      </c>
      <c r="U2059">
        <v>0.75</v>
      </c>
      <c r="V2059">
        <v>0.76</v>
      </c>
      <c r="W2059">
        <v>1.1399999999999999</v>
      </c>
      <c r="X2059">
        <v>0.04</v>
      </c>
      <c r="Y2059">
        <v>1</v>
      </c>
      <c r="Z2059">
        <v>10</v>
      </c>
    </row>
    <row r="2060" spans="1:26" x14ac:dyDescent="0.3">
      <c r="A2060">
        <v>123</v>
      </c>
      <c r="B2060">
        <v>130</v>
      </c>
      <c r="C2060" t="s">
        <v>26</v>
      </c>
      <c r="D2060">
        <v>10.2713</v>
      </c>
      <c r="E2060">
        <v>9.74</v>
      </c>
      <c r="F2060">
        <v>6.74</v>
      </c>
      <c r="G2060">
        <v>101.03</v>
      </c>
      <c r="H2060">
        <v>1.8</v>
      </c>
      <c r="I2060">
        <v>4</v>
      </c>
      <c r="J2060">
        <v>314.06</v>
      </c>
      <c r="K2060">
        <v>59.19</v>
      </c>
      <c r="L2060">
        <v>31.75</v>
      </c>
      <c r="M2060">
        <v>2</v>
      </c>
      <c r="N2060">
        <v>93.12</v>
      </c>
      <c r="O2060">
        <v>38968.339999999997</v>
      </c>
      <c r="P2060">
        <v>102.48</v>
      </c>
      <c r="Q2060">
        <v>204.14</v>
      </c>
      <c r="R2060">
        <v>23.11</v>
      </c>
      <c r="S2060">
        <v>17.37</v>
      </c>
      <c r="T2060">
        <v>778.48</v>
      </c>
      <c r="U2060">
        <v>0.75</v>
      </c>
      <c r="V2060">
        <v>0.76</v>
      </c>
      <c r="W2060">
        <v>1.1399999999999999</v>
      </c>
      <c r="X2060">
        <v>0.04</v>
      </c>
      <c r="Y2060">
        <v>1</v>
      </c>
      <c r="Z2060">
        <v>10</v>
      </c>
    </row>
    <row r="2061" spans="1:26" x14ac:dyDescent="0.3">
      <c r="A2061">
        <v>124</v>
      </c>
      <c r="B2061">
        <v>130</v>
      </c>
      <c r="C2061" t="s">
        <v>26</v>
      </c>
      <c r="D2061">
        <v>10.271000000000001</v>
      </c>
      <c r="E2061">
        <v>9.74</v>
      </c>
      <c r="F2061">
        <v>6.74</v>
      </c>
      <c r="G2061">
        <v>101.03</v>
      </c>
      <c r="H2061">
        <v>1.81</v>
      </c>
      <c r="I2061">
        <v>4</v>
      </c>
      <c r="J2061">
        <v>314.61</v>
      </c>
      <c r="K2061">
        <v>59.19</v>
      </c>
      <c r="L2061">
        <v>32</v>
      </c>
      <c r="M2061">
        <v>2</v>
      </c>
      <c r="N2061">
        <v>93.42</v>
      </c>
      <c r="O2061">
        <v>39036.550000000003</v>
      </c>
      <c r="P2061">
        <v>102.31</v>
      </c>
      <c r="Q2061">
        <v>204.14</v>
      </c>
      <c r="R2061">
        <v>23.18</v>
      </c>
      <c r="S2061">
        <v>17.37</v>
      </c>
      <c r="T2061">
        <v>811.2</v>
      </c>
      <c r="U2061">
        <v>0.75</v>
      </c>
      <c r="V2061">
        <v>0.76</v>
      </c>
      <c r="W2061">
        <v>1.1399999999999999</v>
      </c>
      <c r="X2061">
        <v>0.04</v>
      </c>
      <c r="Y2061">
        <v>1</v>
      </c>
      <c r="Z2061">
        <v>10</v>
      </c>
    </row>
    <row r="2062" spans="1:26" x14ac:dyDescent="0.3">
      <c r="A2062">
        <v>125</v>
      </c>
      <c r="B2062">
        <v>130</v>
      </c>
      <c r="C2062" t="s">
        <v>26</v>
      </c>
      <c r="D2062">
        <v>10.2699</v>
      </c>
      <c r="E2062">
        <v>9.74</v>
      </c>
      <c r="F2062">
        <v>6.74</v>
      </c>
      <c r="G2062">
        <v>101.05</v>
      </c>
      <c r="H2062">
        <v>1.82</v>
      </c>
      <c r="I2062">
        <v>4</v>
      </c>
      <c r="J2062">
        <v>315.17</v>
      </c>
      <c r="K2062">
        <v>59.19</v>
      </c>
      <c r="L2062">
        <v>32.25</v>
      </c>
      <c r="M2062">
        <v>2</v>
      </c>
      <c r="N2062">
        <v>93.72</v>
      </c>
      <c r="O2062">
        <v>39104.89</v>
      </c>
      <c r="P2062">
        <v>102.14</v>
      </c>
      <c r="Q2062">
        <v>204.14</v>
      </c>
      <c r="R2062">
        <v>23.23</v>
      </c>
      <c r="S2062">
        <v>17.37</v>
      </c>
      <c r="T2062">
        <v>838.62</v>
      </c>
      <c r="U2062">
        <v>0.75</v>
      </c>
      <c r="V2062">
        <v>0.76</v>
      </c>
      <c r="W2062">
        <v>1.1399999999999999</v>
      </c>
      <c r="X2062">
        <v>0.05</v>
      </c>
      <c r="Y2062">
        <v>1</v>
      </c>
      <c r="Z2062">
        <v>10</v>
      </c>
    </row>
    <row r="2063" spans="1:26" x14ac:dyDescent="0.3">
      <c r="A2063">
        <v>126</v>
      </c>
      <c r="B2063">
        <v>130</v>
      </c>
      <c r="C2063" t="s">
        <v>26</v>
      </c>
      <c r="D2063">
        <v>10.2707</v>
      </c>
      <c r="E2063">
        <v>9.74</v>
      </c>
      <c r="F2063">
        <v>6.74</v>
      </c>
      <c r="G2063">
        <v>101.04</v>
      </c>
      <c r="H2063">
        <v>1.83</v>
      </c>
      <c r="I2063">
        <v>4</v>
      </c>
      <c r="J2063">
        <v>315.72000000000003</v>
      </c>
      <c r="K2063">
        <v>59.19</v>
      </c>
      <c r="L2063">
        <v>32.5</v>
      </c>
      <c r="M2063">
        <v>2</v>
      </c>
      <c r="N2063">
        <v>94.03</v>
      </c>
      <c r="O2063">
        <v>39173.370000000003</v>
      </c>
      <c r="P2063">
        <v>102.05</v>
      </c>
      <c r="Q2063">
        <v>204.14</v>
      </c>
      <c r="R2063">
        <v>23.24</v>
      </c>
      <c r="S2063">
        <v>17.37</v>
      </c>
      <c r="T2063">
        <v>840.46</v>
      </c>
      <c r="U2063">
        <v>0.75</v>
      </c>
      <c r="V2063">
        <v>0.76</v>
      </c>
      <c r="W2063">
        <v>1.1399999999999999</v>
      </c>
      <c r="X2063">
        <v>0.04</v>
      </c>
      <c r="Y2063">
        <v>1</v>
      </c>
      <c r="Z2063">
        <v>10</v>
      </c>
    </row>
    <row r="2064" spans="1:26" x14ac:dyDescent="0.3">
      <c r="A2064">
        <v>127</v>
      </c>
      <c r="B2064">
        <v>130</v>
      </c>
      <c r="C2064" t="s">
        <v>26</v>
      </c>
      <c r="D2064">
        <v>10.2658</v>
      </c>
      <c r="E2064">
        <v>9.74</v>
      </c>
      <c r="F2064">
        <v>6.74</v>
      </c>
      <c r="G2064">
        <v>101.11</v>
      </c>
      <c r="H2064">
        <v>1.84</v>
      </c>
      <c r="I2064">
        <v>4</v>
      </c>
      <c r="J2064">
        <v>316.27999999999997</v>
      </c>
      <c r="K2064">
        <v>59.19</v>
      </c>
      <c r="L2064">
        <v>32.75</v>
      </c>
      <c r="M2064">
        <v>2</v>
      </c>
      <c r="N2064">
        <v>94.33</v>
      </c>
      <c r="O2064">
        <v>39241.99</v>
      </c>
      <c r="P2064">
        <v>101.96</v>
      </c>
      <c r="Q2064">
        <v>204.14</v>
      </c>
      <c r="R2064">
        <v>23.3</v>
      </c>
      <c r="S2064">
        <v>17.37</v>
      </c>
      <c r="T2064">
        <v>870.52</v>
      </c>
      <c r="U2064">
        <v>0.75</v>
      </c>
      <c r="V2064">
        <v>0.76</v>
      </c>
      <c r="W2064">
        <v>1.1399999999999999</v>
      </c>
      <c r="X2064">
        <v>0.05</v>
      </c>
      <c r="Y2064">
        <v>1</v>
      </c>
      <c r="Z2064">
        <v>10</v>
      </c>
    </row>
    <row r="2065" spans="1:26" x14ac:dyDescent="0.3">
      <c r="A2065">
        <v>128</v>
      </c>
      <c r="B2065">
        <v>130</v>
      </c>
      <c r="C2065" t="s">
        <v>26</v>
      </c>
      <c r="D2065">
        <v>10.263999999999999</v>
      </c>
      <c r="E2065">
        <v>9.74</v>
      </c>
      <c r="F2065">
        <v>6.74</v>
      </c>
      <c r="G2065">
        <v>101.13</v>
      </c>
      <c r="H2065">
        <v>1.86</v>
      </c>
      <c r="I2065">
        <v>4</v>
      </c>
      <c r="J2065">
        <v>316.83999999999997</v>
      </c>
      <c r="K2065">
        <v>59.19</v>
      </c>
      <c r="L2065">
        <v>33</v>
      </c>
      <c r="M2065">
        <v>2</v>
      </c>
      <c r="N2065">
        <v>94.64</v>
      </c>
      <c r="O2065">
        <v>39310.75</v>
      </c>
      <c r="P2065">
        <v>101.74</v>
      </c>
      <c r="Q2065">
        <v>204.14</v>
      </c>
      <c r="R2065">
        <v>23.4</v>
      </c>
      <c r="S2065">
        <v>17.37</v>
      </c>
      <c r="T2065">
        <v>922.46</v>
      </c>
      <c r="U2065">
        <v>0.74</v>
      </c>
      <c r="V2065">
        <v>0.76</v>
      </c>
      <c r="W2065">
        <v>1.1399999999999999</v>
      </c>
      <c r="X2065">
        <v>0.05</v>
      </c>
      <c r="Y2065">
        <v>1</v>
      </c>
      <c r="Z2065">
        <v>10</v>
      </c>
    </row>
    <row r="2066" spans="1:26" x14ac:dyDescent="0.3">
      <c r="A2066">
        <v>129</v>
      </c>
      <c r="B2066">
        <v>130</v>
      </c>
      <c r="C2066" t="s">
        <v>26</v>
      </c>
      <c r="D2066">
        <v>10.263400000000001</v>
      </c>
      <c r="E2066">
        <v>9.74</v>
      </c>
      <c r="F2066">
        <v>6.74</v>
      </c>
      <c r="G2066">
        <v>101.14</v>
      </c>
      <c r="H2066">
        <v>1.87</v>
      </c>
      <c r="I2066">
        <v>4</v>
      </c>
      <c r="J2066">
        <v>317.39</v>
      </c>
      <c r="K2066">
        <v>59.19</v>
      </c>
      <c r="L2066">
        <v>33.25</v>
      </c>
      <c r="M2066">
        <v>2</v>
      </c>
      <c r="N2066">
        <v>94.95</v>
      </c>
      <c r="O2066">
        <v>39379.65</v>
      </c>
      <c r="P2066">
        <v>101.56</v>
      </c>
      <c r="Q2066">
        <v>204.14</v>
      </c>
      <c r="R2066">
        <v>23.38</v>
      </c>
      <c r="S2066">
        <v>17.37</v>
      </c>
      <c r="T2066">
        <v>911.96</v>
      </c>
      <c r="U2066">
        <v>0.74</v>
      </c>
      <c r="V2066">
        <v>0.76</v>
      </c>
      <c r="W2066">
        <v>1.1399999999999999</v>
      </c>
      <c r="X2066">
        <v>0.05</v>
      </c>
      <c r="Y2066">
        <v>1</v>
      </c>
      <c r="Z2066">
        <v>10</v>
      </c>
    </row>
    <row r="2067" spans="1:26" x14ac:dyDescent="0.3">
      <c r="A2067">
        <v>130</v>
      </c>
      <c r="B2067">
        <v>130</v>
      </c>
      <c r="C2067" t="s">
        <v>26</v>
      </c>
      <c r="D2067">
        <v>10.269600000000001</v>
      </c>
      <c r="E2067">
        <v>9.74</v>
      </c>
      <c r="F2067">
        <v>6.74</v>
      </c>
      <c r="G2067">
        <v>101.05</v>
      </c>
      <c r="H2067">
        <v>1.88</v>
      </c>
      <c r="I2067">
        <v>4</v>
      </c>
      <c r="J2067">
        <v>317.95</v>
      </c>
      <c r="K2067">
        <v>59.19</v>
      </c>
      <c r="L2067">
        <v>33.5</v>
      </c>
      <c r="M2067">
        <v>2</v>
      </c>
      <c r="N2067">
        <v>95.26</v>
      </c>
      <c r="O2067">
        <v>39448.69</v>
      </c>
      <c r="P2067">
        <v>101.29</v>
      </c>
      <c r="Q2067">
        <v>204.15</v>
      </c>
      <c r="R2067">
        <v>23.26</v>
      </c>
      <c r="S2067">
        <v>17.37</v>
      </c>
      <c r="T2067">
        <v>854.13</v>
      </c>
      <c r="U2067">
        <v>0.75</v>
      </c>
      <c r="V2067">
        <v>0.76</v>
      </c>
      <c r="W2067">
        <v>1.1399999999999999</v>
      </c>
      <c r="X2067">
        <v>0.05</v>
      </c>
      <c r="Y2067">
        <v>1</v>
      </c>
      <c r="Z2067">
        <v>10</v>
      </c>
    </row>
    <row r="2068" spans="1:26" x14ac:dyDescent="0.3">
      <c r="A2068">
        <v>131</v>
      </c>
      <c r="B2068">
        <v>130</v>
      </c>
      <c r="C2068" t="s">
        <v>26</v>
      </c>
      <c r="D2068">
        <v>10.2681</v>
      </c>
      <c r="E2068">
        <v>9.74</v>
      </c>
      <c r="F2068">
        <v>6.74</v>
      </c>
      <c r="G2068">
        <v>101.08</v>
      </c>
      <c r="H2068">
        <v>1.89</v>
      </c>
      <c r="I2068">
        <v>4</v>
      </c>
      <c r="J2068">
        <v>318.52</v>
      </c>
      <c r="K2068">
        <v>59.19</v>
      </c>
      <c r="L2068">
        <v>33.75</v>
      </c>
      <c r="M2068">
        <v>2</v>
      </c>
      <c r="N2068">
        <v>95.57</v>
      </c>
      <c r="O2068">
        <v>39517.870000000003</v>
      </c>
      <c r="P2068">
        <v>101.1</v>
      </c>
      <c r="Q2068">
        <v>204.14</v>
      </c>
      <c r="R2068">
        <v>23.26</v>
      </c>
      <c r="S2068">
        <v>17.37</v>
      </c>
      <c r="T2068">
        <v>850.26</v>
      </c>
      <c r="U2068">
        <v>0.75</v>
      </c>
      <c r="V2068">
        <v>0.76</v>
      </c>
      <c r="W2068">
        <v>1.1399999999999999</v>
      </c>
      <c r="X2068">
        <v>0.05</v>
      </c>
      <c r="Y2068">
        <v>1</v>
      </c>
      <c r="Z2068">
        <v>10</v>
      </c>
    </row>
    <row r="2069" spans="1:26" x14ac:dyDescent="0.3">
      <c r="A2069">
        <v>132</v>
      </c>
      <c r="B2069">
        <v>130</v>
      </c>
      <c r="C2069" t="s">
        <v>26</v>
      </c>
      <c r="D2069">
        <v>10.2669</v>
      </c>
      <c r="E2069">
        <v>9.74</v>
      </c>
      <c r="F2069">
        <v>6.74</v>
      </c>
      <c r="G2069">
        <v>101.09</v>
      </c>
      <c r="H2069">
        <v>1.9</v>
      </c>
      <c r="I2069">
        <v>4</v>
      </c>
      <c r="J2069">
        <v>319.08</v>
      </c>
      <c r="K2069">
        <v>59.19</v>
      </c>
      <c r="L2069">
        <v>34</v>
      </c>
      <c r="M2069">
        <v>2</v>
      </c>
      <c r="N2069">
        <v>95.88</v>
      </c>
      <c r="O2069">
        <v>39587.19</v>
      </c>
      <c r="P2069">
        <v>101.05</v>
      </c>
      <c r="Q2069">
        <v>204.14</v>
      </c>
      <c r="R2069">
        <v>23.32</v>
      </c>
      <c r="S2069">
        <v>17.37</v>
      </c>
      <c r="T2069">
        <v>881.5</v>
      </c>
      <c r="U2069">
        <v>0.75</v>
      </c>
      <c r="V2069">
        <v>0.76</v>
      </c>
      <c r="W2069">
        <v>1.1399999999999999</v>
      </c>
      <c r="X2069">
        <v>0.05</v>
      </c>
      <c r="Y2069">
        <v>1</v>
      </c>
      <c r="Z2069">
        <v>10</v>
      </c>
    </row>
    <row r="2070" spans="1:26" x14ac:dyDescent="0.3">
      <c r="A2070">
        <v>133</v>
      </c>
      <c r="B2070">
        <v>130</v>
      </c>
      <c r="C2070" t="s">
        <v>26</v>
      </c>
      <c r="D2070">
        <v>10.267799999999999</v>
      </c>
      <c r="E2070">
        <v>9.74</v>
      </c>
      <c r="F2070">
        <v>6.74</v>
      </c>
      <c r="G2070">
        <v>101.08</v>
      </c>
      <c r="H2070">
        <v>1.91</v>
      </c>
      <c r="I2070">
        <v>4</v>
      </c>
      <c r="J2070">
        <v>319.64</v>
      </c>
      <c r="K2070">
        <v>59.19</v>
      </c>
      <c r="L2070">
        <v>34.25</v>
      </c>
      <c r="M2070">
        <v>2</v>
      </c>
      <c r="N2070">
        <v>96.2</v>
      </c>
      <c r="O2070">
        <v>39656.65</v>
      </c>
      <c r="P2070">
        <v>100.9</v>
      </c>
      <c r="Q2070">
        <v>204.16</v>
      </c>
      <c r="R2070">
        <v>23.2</v>
      </c>
      <c r="S2070">
        <v>17.37</v>
      </c>
      <c r="T2070">
        <v>822.86</v>
      </c>
      <c r="U2070">
        <v>0.75</v>
      </c>
      <c r="V2070">
        <v>0.76</v>
      </c>
      <c r="W2070">
        <v>1.1399999999999999</v>
      </c>
      <c r="X2070">
        <v>0.05</v>
      </c>
      <c r="Y2070">
        <v>1</v>
      </c>
      <c r="Z2070">
        <v>10</v>
      </c>
    </row>
    <row r="2071" spans="1:26" x14ac:dyDescent="0.3">
      <c r="A2071">
        <v>134</v>
      </c>
      <c r="B2071">
        <v>130</v>
      </c>
      <c r="C2071" t="s">
        <v>26</v>
      </c>
      <c r="D2071">
        <v>10.267799999999999</v>
      </c>
      <c r="E2071">
        <v>9.74</v>
      </c>
      <c r="F2071">
        <v>6.74</v>
      </c>
      <c r="G2071">
        <v>101.08</v>
      </c>
      <c r="H2071">
        <v>1.92</v>
      </c>
      <c r="I2071">
        <v>4</v>
      </c>
      <c r="J2071">
        <v>320.20999999999998</v>
      </c>
      <c r="K2071">
        <v>59.19</v>
      </c>
      <c r="L2071">
        <v>34.5</v>
      </c>
      <c r="M2071">
        <v>2</v>
      </c>
      <c r="N2071">
        <v>96.51</v>
      </c>
      <c r="O2071">
        <v>39726.26</v>
      </c>
      <c r="P2071">
        <v>100.62</v>
      </c>
      <c r="Q2071">
        <v>204.14</v>
      </c>
      <c r="R2071">
        <v>23.31</v>
      </c>
      <c r="S2071">
        <v>17.37</v>
      </c>
      <c r="T2071">
        <v>875.93</v>
      </c>
      <c r="U2071">
        <v>0.75</v>
      </c>
      <c r="V2071">
        <v>0.76</v>
      </c>
      <c r="W2071">
        <v>1.1399999999999999</v>
      </c>
      <c r="X2071">
        <v>0.05</v>
      </c>
      <c r="Y2071">
        <v>1</v>
      </c>
      <c r="Z2071">
        <v>10</v>
      </c>
    </row>
    <row r="2072" spans="1:26" x14ac:dyDescent="0.3">
      <c r="A2072">
        <v>135</v>
      </c>
      <c r="B2072">
        <v>130</v>
      </c>
      <c r="C2072" t="s">
        <v>26</v>
      </c>
      <c r="D2072">
        <v>10.2646</v>
      </c>
      <c r="E2072">
        <v>9.74</v>
      </c>
      <c r="F2072">
        <v>6.74</v>
      </c>
      <c r="G2072">
        <v>101.12</v>
      </c>
      <c r="H2072">
        <v>1.93</v>
      </c>
      <c r="I2072">
        <v>4</v>
      </c>
      <c r="J2072">
        <v>320.77</v>
      </c>
      <c r="K2072">
        <v>59.19</v>
      </c>
      <c r="L2072">
        <v>34.75</v>
      </c>
      <c r="M2072">
        <v>2</v>
      </c>
      <c r="N2072">
        <v>96.83</v>
      </c>
      <c r="O2072">
        <v>39796.01</v>
      </c>
      <c r="P2072">
        <v>100.41</v>
      </c>
      <c r="Q2072">
        <v>204.14</v>
      </c>
      <c r="R2072">
        <v>23.39</v>
      </c>
      <c r="S2072">
        <v>17.37</v>
      </c>
      <c r="T2072">
        <v>919.19</v>
      </c>
      <c r="U2072">
        <v>0.74</v>
      </c>
      <c r="V2072">
        <v>0.76</v>
      </c>
      <c r="W2072">
        <v>1.1399999999999999</v>
      </c>
      <c r="X2072">
        <v>0.05</v>
      </c>
      <c r="Y2072">
        <v>1</v>
      </c>
      <c r="Z2072">
        <v>10</v>
      </c>
    </row>
    <row r="2073" spans="1:26" x14ac:dyDescent="0.3">
      <c r="A2073">
        <v>136</v>
      </c>
      <c r="B2073">
        <v>130</v>
      </c>
      <c r="C2073" t="s">
        <v>26</v>
      </c>
      <c r="D2073">
        <v>10.2608</v>
      </c>
      <c r="E2073">
        <v>9.75</v>
      </c>
      <c r="F2073">
        <v>6.75</v>
      </c>
      <c r="G2073">
        <v>101.18</v>
      </c>
      <c r="H2073">
        <v>1.94</v>
      </c>
      <c r="I2073">
        <v>4</v>
      </c>
      <c r="J2073">
        <v>321.33999999999997</v>
      </c>
      <c r="K2073">
        <v>59.19</v>
      </c>
      <c r="L2073">
        <v>35</v>
      </c>
      <c r="M2073">
        <v>2</v>
      </c>
      <c r="N2073">
        <v>97.14</v>
      </c>
      <c r="O2073">
        <v>39865.910000000003</v>
      </c>
      <c r="P2073">
        <v>100.1</v>
      </c>
      <c r="Q2073">
        <v>204.14</v>
      </c>
      <c r="R2073">
        <v>23.42</v>
      </c>
      <c r="S2073">
        <v>17.37</v>
      </c>
      <c r="T2073">
        <v>931.39</v>
      </c>
      <c r="U2073">
        <v>0.74</v>
      </c>
      <c r="V2073">
        <v>0.76</v>
      </c>
      <c r="W2073">
        <v>1.1499999999999999</v>
      </c>
      <c r="X2073">
        <v>0.05</v>
      </c>
      <c r="Y2073">
        <v>1</v>
      </c>
      <c r="Z2073">
        <v>10</v>
      </c>
    </row>
    <row r="2074" spans="1:26" x14ac:dyDescent="0.3">
      <c r="A2074">
        <v>137</v>
      </c>
      <c r="B2074">
        <v>130</v>
      </c>
      <c r="C2074" t="s">
        <v>26</v>
      </c>
      <c r="D2074">
        <v>10.2669</v>
      </c>
      <c r="E2074">
        <v>9.74</v>
      </c>
      <c r="F2074">
        <v>6.74</v>
      </c>
      <c r="G2074">
        <v>101.09</v>
      </c>
      <c r="H2074">
        <v>1.95</v>
      </c>
      <c r="I2074">
        <v>4</v>
      </c>
      <c r="J2074">
        <v>321.91000000000003</v>
      </c>
      <c r="K2074">
        <v>59.19</v>
      </c>
      <c r="L2074">
        <v>35.25</v>
      </c>
      <c r="M2074">
        <v>2</v>
      </c>
      <c r="N2074">
        <v>97.46</v>
      </c>
      <c r="O2074">
        <v>39935.96</v>
      </c>
      <c r="P2074">
        <v>99.82</v>
      </c>
      <c r="Q2074">
        <v>204.14</v>
      </c>
      <c r="R2074">
        <v>23.33</v>
      </c>
      <c r="S2074">
        <v>17.37</v>
      </c>
      <c r="T2074">
        <v>889.29</v>
      </c>
      <c r="U2074">
        <v>0.74</v>
      </c>
      <c r="V2074">
        <v>0.76</v>
      </c>
      <c r="W2074">
        <v>1.1399999999999999</v>
      </c>
      <c r="X2074">
        <v>0.05</v>
      </c>
      <c r="Y2074">
        <v>1</v>
      </c>
      <c r="Z2074">
        <v>10</v>
      </c>
    </row>
    <row r="2075" spans="1:26" x14ac:dyDescent="0.3">
      <c r="A2075">
        <v>138</v>
      </c>
      <c r="B2075">
        <v>130</v>
      </c>
      <c r="C2075" t="s">
        <v>26</v>
      </c>
      <c r="D2075">
        <v>10.3439</v>
      </c>
      <c r="E2075">
        <v>9.67</v>
      </c>
      <c r="F2075">
        <v>6.72</v>
      </c>
      <c r="G2075">
        <v>134.32</v>
      </c>
      <c r="H2075">
        <v>1.96</v>
      </c>
      <c r="I2075">
        <v>3</v>
      </c>
      <c r="J2075">
        <v>322.47000000000003</v>
      </c>
      <c r="K2075">
        <v>59.19</v>
      </c>
      <c r="L2075">
        <v>35.5</v>
      </c>
      <c r="M2075">
        <v>1</v>
      </c>
      <c r="N2075">
        <v>97.78</v>
      </c>
      <c r="O2075">
        <v>40006.15</v>
      </c>
      <c r="P2075">
        <v>99.05</v>
      </c>
      <c r="Q2075">
        <v>204.14</v>
      </c>
      <c r="R2075">
        <v>22.58</v>
      </c>
      <c r="S2075">
        <v>17.37</v>
      </c>
      <c r="T2075">
        <v>516.29</v>
      </c>
      <c r="U2075">
        <v>0.77</v>
      </c>
      <c r="V2075">
        <v>0.76</v>
      </c>
      <c r="W2075">
        <v>1.1399999999999999</v>
      </c>
      <c r="X2075">
        <v>0.02</v>
      </c>
      <c r="Y2075">
        <v>1</v>
      </c>
      <c r="Z2075">
        <v>10</v>
      </c>
    </row>
    <row r="2076" spans="1:26" x14ac:dyDescent="0.3">
      <c r="A2076">
        <v>139</v>
      </c>
      <c r="B2076">
        <v>130</v>
      </c>
      <c r="C2076" t="s">
        <v>26</v>
      </c>
      <c r="D2076">
        <v>10.342700000000001</v>
      </c>
      <c r="E2076">
        <v>9.67</v>
      </c>
      <c r="F2076">
        <v>6.72</v>
      </c>
      <c r="G2076">
        <v>134.34</v>
      </c>
      <c r="H2076">
        <v>1.97</v>
      </c>
      <c r="I2076">
        <v>3</v>
      </c>
      <c r="J2076">
        <v>323.04000000000002</v>
      </c>
      <c r="K2076">
        <v>59.19</v>
      </c>
      <c r="L2076">
        <v>35.75</v>
      </c>
      <c r="M2076">
        <v>1</v>
      </c>
      <c r="N2076">
        <v>98.1</v>
      </c>
      <c r="O2076">
        <v>40076.49</v>
      </c>
      <c r="P2076">
        <v>99.35</v>
      </c>
      <c r="Q2076">
        <v>204.14</v>
      </c>
      <c r="R2076">
        <v>22.63</v>
      </c>
      <c r="S2076">
        <v>17.37</v>
      </c>
      <c r="T2076">
        <v>540.03</v>
      </c>
      <c r="U2076">
        <v>0.77</v>
      </c>
      <c r="V2076">
        <v>0.76</v>
      </c>
      <c r="W2076">
        <v>1.1399999999999999</v>
      </c>
      <c r="X2076">
        <v>0.03</v>
      </c>
      <c r="Y2076">
        <v>1</v>
      </c>
      <c r="Z2076">
        <v>10</v>
      </c>
    </row>
    <row r="2077" spans="1:26" x14ac:dyDescent="0.3">
      <c r="A2077">
        <v>140</v>
      </c>
      <c r="B2077">
        <v>130</v>
      </c>
      <c r="C2077" t="s">
        <v>26</v>
      </c>
      <c r="D2077">
        <v>10.342499999999999</v>
      </c>
      <c r="E2077">
        <v>9.67</v>
      </c>
      <c r="F2077">
        <v>6.72</v>
      </c>
      <c r="G2077">
        <v>134.34</v>
      </c>
      <c r="H2077">
        <v>1.98</v>
      </c>
      <c r="I2077">
        <v>3</v>
      </c>
      <c r="J2077">
        <v>323.62</v>
      </c>
      <c r="K2077">
        <v>59.19</v>
      </c>
      <c r="L2077">
        <v>36</v>
      </c>
      <c r="M2077">
        <v>1</v>
      </c>
      <c r="N2077">
        <v>98.42</v>
      </c>
      <c r="O2077">
        <v>40147.11</v>
      </c>
      <c r="P2077">
        <v>99.54</v>
      </c>
      <c r="Q2077">
        <v>204.14</v>
      </c>
      <c r="R2077">
        <v>22.64</v>
      </c>
      <c r="S2077">
        <v>17.37</v>
      </c>
      <c r="T2077">
        <v>546.20000000000005</v>
      </c>
      <c r="U2077">
        <v>0.77</v>
      </c>
      <c r="V2077">
        <v>0.76</v>
      </c>
      <c r="W2077">
        <v>1.1399999999999999</v>
      </c>
      <c r="X2077">
        <v>0.03</v>
      </c>
      <c r="Y2077">
        <v>1</v>
      </c>
      <c r="Z2077">
        <v>10</v>
      </c>
    </row>
    <row r="2078" spans="1:26" x14ac:dyDescent="0.3">
      <c r="A2078">
        <v>141</v>
      </c>
      <c r="B2078">
        <v>130</v>
      </c>
      <c r="C2078" t="s">
        <v>26</v>
      </c>
      <c r="D2078">
        <v>10.3383</v>
      </c>
      <c r="E2078">
        <v>9.67</v>
      </c>
      <c r="F2078">
        <v>6.72</v>
      </c>
      <c r="G2078">
        <v>134.41999999999999</v>
      </c>
      <c r="H2078">
        <v>1.99</v>
      </c>
      <c r="I2078">
        <v>3</v>
      </c>
      <c r="J2078">
        <v>324.19</v>
      </c>
      <c r="K2078">
        <v>59.19</v>
      </c>
      <c r="L2078">
        <v>36.25</v>
      </c>
      <c r="M2078">
        <v>1</v>
      </c>
      <c r="N2078">
        <v>98.75</v>
      </c>
      <c r="O2078">
        <v>40217.75</v>
      </c>
      <c r="P2078">
        <v>99.8</v>
      </c>
      <c r="Q2078">
        <v>204.17</v>
      </c>
      <c r="R2078">
        <v>22.7</v>
      </c>
      <c r="S2078">
        <v>17.37</v>
      </c>
      <c r="T2078">
        <v>576.63</v>
      </c>
      <c r="U2078">
        <v>0.77</v>
      </c>
      <c r="V2078">
        <v>0.76</v>
      </c>
      <c r="W2078">
        <v>1.1399999999999999</v>
      </c>
      <c r="X2078">
        <v>0.03</v>
      </c>
      <c r="Y2078">
        <v>1</v>
      </c>
      <c r="Z2078">
        <v>10</v>
      </c>
    </row>
    <row r="2079" spans="1:26" x14ac:dyDescent="0.3">
      <c r="A2079">
        <v>142</v>
      </c>
      <c r="B2079">
        <v>130</v>
      </c>
      <c r="C2079" t="s">
        <v>26</v>
      </c>
      <c r="D2079">
        <v>10.340400000000001</v>
      </c>
      <c r="E2079">
        <v>9.67</v>
      </c>
      <c r="F2079">
        <v>6.72</v>
      </c>
      <c r="G2079">
        <v>134.38</v>
      </c>
      <c r="H2079">
        <v>2</v>
      </c>
      <c r="I2079">
        <v>3</v>
      </c>
      <c r="J2079">
        <v>324.76</v>
      </c>
      <c r="K2079">
        <v>59.19</v>
      </c>
      <c r="L2079">
        <v>36.5</v>
      </c>
      <c r="M2079">
        <v>1</v>
      </c>
      <c r="N2079">
        <v>99.07</v>
      </c>
      <c r="O2079">
        <v>40288.550000000003</v>
      </c>
      <c r="P2079">
        <v>99.97</v>
      </c>
      <c r="Q2079">
        <v>204.14</v>
      </c>
      <c r="R2079">
        <v>22.66</v>
      </c>
      <c r="S2079">
        <v>17.37</v>
      </c>
      <c r="T2079">
        <v>555.61</v>
      </c>
      <c r="U2079">
        <v>0.77</v>
      </c>
      <c r="V2079">
        <v>0.76</v>
      </c>
      <c r="W2079">
        <v>1.1399999999999999</v>
      </c>
      <c r="X2079">
        <v>0.03</v>
      </c>
      <c r="Y2079">
        <v>1</v>
      </c>
      <c r="Z2079">
        <v>10</v>
      </c>
    </row>
    <row r="2080" spans="1:26" x14ac:dyDescent="0.3">
      <c r="A2080">
        <v>143</v>
      </c>
      <c r="B2080">
        <v>130</v>
      </c>
      <c r="C2080" t="s">
        <v>26</v>
      </c>
      <c r="D2080">
        <v>10.3401</v>
      </c>
      <c r="E2080">
        <v>9.67</v>
      </c>
      <c r="F2080">
        <v>6.72</v>
      </c>
      <c r="G2080">
        <v>134.38999999999999</v>
      </c>
      <c r="H2080">
        <v>2.0099999999999998</v>
      </c>
      <c r="I2080">
        <v>3</v>
      </c>
      <c r="J2080">
        <v>325.33999999999997</v>
      </c>
      <c r="K2080">
        <v>59.19</v>
      </c>
      <c r="L2080">
        <v>36.75</v>
      </c>
      <c r="M2080">
        <v>1</v>
      </c>
      <c r="N2080">
        <v>99.4</v>
      </c>
      <c r="O2080">
        <v>40359.5</v>
      </c>
      <c r="P2080">
        <v>100.09</v>
      </c>
      <c r="Q2080">
        <v>204.14</v>
      </c>
      <c r="R2080">
        <v>22.67</v>
      </c>
      <c r="S2080">
        <v>17.37</v>
      </c>
      <c r="T2080">
        <v>563.67999999999995</v>
      </c>
      <c r="U2080">
        <v>0.77</v>
      </c>
      <c r="V2080">
        <v>0.76</v>
      </c>
      <c r="W2080">
        <v>1.1399999999999999</v>
      </c>
      <c r="X2080">
        <v>0.03</v>
      </c>
      <c r="Y2080">
        <v>1</v>
      </c>
      <c r="Z2080">
        <v>10</v>
      </c>
    </row>
    <row r="2081" spans="1:26" x14ac:dyDescent="0.3">
      <c r="A2081">
        <v>144</v>
      </c>
      <c r="B2081">
        <v>130</v>
      </c>
      <c r="C2081" t="s">
        <v>26</v>
      </c>
      <c r="D2081">
        <v>10.342499999999999</v>
      </c>
      <c r="E2081">
        <v>9.67</v>
      </c>
      <c r="F2081">
        <v>6.72</v>
      </c>
      <c r="G2081">
        <v>134.34</v>
      </c>
      <c r="H2081">
        <v>2.02</v>
      </c>
      <c r="I2081">
        <v>3</v>
      </c>
      <c r="J2081">
        <v>325.92</v>
      </c>
      <c r="K2081">
        <v>59.19</v>
      </c>
      <c r="L2081">
        <v>37</v>
      </c>
      <c r="M2081">
        <v>1</v>
      </c>
      <c r="N2081">
        <v>99.72</v>
      </c>
      <c r="O2081">
        <v>40430.6</v>
      </c>
      <c r="P2081">
        <v>100.31</v>
      </c>
      <c r="Q2081">
        <v>204.14</v>
      </c>
      <c r="R2081">
        <v>22.6</v>
      </c>
      <c r="S2081">
        <v>17.37</v>
      </c>
      <c r="T2081">
        <v>529.62</v>
      </c>
      <c r="U2081">
        <v>0.77</v>
      </c>
      <c r="V2081">
        <v>0.76</v>
      </c>
      <c r="W2081">
        <v>1.1399999999999999</v>
      </c>
      <c r="X2081">
        <v>0.03</v>
      </c>
      <c r="Y2081">
        <v>1</v>
      </c>
      <c r="Z2081">
        <v>10</v>
      </c>
    </row>
    <row r="2082" spans="1:26" x14ac:dyDescent="0.3">
      <c r="A2082">
        <v>145</v>
      </c>
      <c r="B2082">
        <v>130</v>
      </c>
      <c r="C2082" t="s">
        <v>26</v>
      </c>
      <c r="D2082">
        <v>10.340999999999999</v>
      </c>
      <c r="E2082">
        <v>9.67</v>
      </c>
      <c r="F2082">
        <v>6.72</v>
      </c>
      <c r="G2082">
        <v>134.37</v>
      </c>
      <c r="H2082">
        <v>2.0299999999999998</v>
      </c>
      <c r="I2082">
        <v>3</v>
      </c>
      <c r="J2082">
        <v>326.49</v>
      </c>
      <c r="K2082">
        <v>59.19</v>
      </c>
      <c r="L2082">
        <v>37.25</v>
      </c>
      <c r="M2082">
        <v>1</v>
      </c>
      <c r="N2082">
        <v>100.05</v>
      </c>
      <c r="O2082">
        <v>40501.85</v>
      </c>
      <c r="P2082">
        <v>100.47</v>
      </c>
      <c r="Q2082">
        <v>204.15</v>
      </c>
      <c r="R2082">
        <v>22.61</v>
      </c>
      <c r="S2082">
        <v>17.37</v>
      </c>
      <c r="T2082">
        <v>533.16999999999996</v>
      </c>
      <c r="U2082">
        <v>0.77</v>
      </c>
      <c r="V2082">
        <v>0.76</v>
      </c>
      <c r="W2082">
        <v>1.1399999999999999</v>
      </c>
      <c r="X2082">
        <v>0.03</v>
      </c>
      <c r="Y2082">
        <v>1</v>
      </c>
      <c r="Z2082">
        <v>10</v>
      </c>
    </row>
    <row r="2083" spans="1:26" x14ac:dyDescent="0.3">
      <c r="A2083">
        <v>146</v>
      </c>
      <c r="B2083">
        <v>130</v>
      </c>
      <c r="C2083" t="s">
        <v>26</v>
      </c>
      <c r="D2083">
        <v>10.3413</v>
      </c>
      <c r="E2083">
        <v>9.67</v>
      </c>
      <c r="F2083">
        <v>6.72</v>
      </c>
      <c r="G2083">
        <v>134.37</v>
      </c>
      <c r="H2083">
        <v>2.04</v>
      </c>
      <c r="I2083">
        <v>3</v>
      </c>
      <c r="J2083">
        <v>327.07</v>
      </c>
      <c r="K2083">
        <v>59.19</v>
      </c>
      <c r="L2083">
        <v>37.5</v>
      </c>
      <c r="M2083">
        <v>1</v>
      </c>
      <c r="N2083">
        <v>100.38</v>
      </c>
      <c r="O2083">
        <v>40573.269999999997</v>
      </c>
      <c r="P2083">
        <v>100.54</v>
      </c>
      <c r="Q2083">
        <v>204.14</v>
      </c>
      <c r="R2083">
        <v>22.67</v>
      </c>
      <c r="S2083">
        <v>17.37</v>
      </c>
      <c r="T2083">
        <v>561.54</v>
      </c>
      <c r="U2083">
        <v>0.77</v>
      </c>
      <c r="V2083">
        <v>0.76</v>
      </c>
      <c r="W2083">
        <v>1.1399999999999999</v>
      </c>
      <c r="X2083">
        <v>0.03</v>
      </c>
      <c r="Y2083">
        <v>1</v>
      </c>
      <c r="Z2083">
        <v>10</v>
      </c>
    </row>
    <row r="2084" spans="1:26" x14ac:dyDescent="0.3">
      <c r="A2084">
        <v>147</v>
      </c>
      <c r="B2084">
        <v>130</v>
      </c>
      <c r="C2084" t="s">
        <v>26</v>
      </c>
      <c r="D2084">
        <v>10.3383</v>
      </c>
      <c r="E2084">
        <v>9.67</v>
      </c>
      <c r="F2084">
        <v>6.72</v>
      </c>
      <c r="G2084">
        <v>134.41999999999999</v>
      </c>
      <c r="H2084">
        <v>2.0499999999999998</v>
      </c>
      <c r="I2084">
        <v>3</v>
      </c>
      <c r="J2084">
        <v>327.64999999999998</v>
      </c>
      <c r="K2084">
        <v>59.19</v>
      </c>
      <c r="L2084">
        <v>37.75</v>
      </c>
      <c r="M2084">
        <v>1</v>
      </c>
      <c r="N2084">
        <v>100.71</v>
      </c>
      <c r="O2084">
        <v>40644.83</v>
      </c>
      <c r="P2084">
        <v>100.67</v>
      </c>
      <c r="Q2084">
        <v>204.14</v>
      </c>
      <c r="R2084">
        <v>22.75</v>
      </c>
      <c r="S2084">
        <v>17.37</v>
      </c>
      <c r="T2084">
        <v>601.34</v>
      </c>
      <c r="U2084">
        <v>0.76</v>
      </c>
      <c r="V2084">
        <v>0.76</v>
      </c>
      <c r="W2084">
        <v>1.1399999999999999</v>
      </c>
      <c r="X2084">
        <v>0.03</v>
      </c>
      <c r="Y2084">
        <v>1</v>
      </c>
      <c r="Z2084">
        <v>10</v>
      </c>
    </row>
    <row r="2085" spans="1:26" x14ac:dyDescent="0.3">
      <c r="A2085">
        <v>148</v>
      </c>
      <c r="B2085">
        <v>130</v>
      </c>
      <c r="C2085" t="s">
        <v>26</v>
      </c>
      <c r="D2085">
        <v>10.3386</v>
      </c>
      <c r="E2085">
        <v>9.67</v>
      </c>
      <c r="F2085">
        <v>6.72</v>
      </c>
      <c r="G2085">
        <v>134.41999999999999</v>
      </c>
      <c r="H2085">
        <v>2.06</v>
      </c>
      <c r="I2085">
        <v>3</v>
      </c>
      <c r="J2085">
        <v>328.23</v>
      </c>
      <c r="K2085">
        <v>59.19</v>
      </c>
      <c r="L2085">
        <v>38</v>
      </c>
      <c r="M2085">
        <v>1</v>
      </c>
      <c r="N2085">
        <v>101.04</v>
      </c>
      <c r="O2085">
        <v>40716.559999999998</v>
      </c>
      <c r="P2085">
        <v>100.69</v>
      </c>
      <c r="Q2085">
        <v>204.14</v>
      </c>
      <c r="R2085">
        <v>22.76</v>
      </c>
      <c r="S2085">
        <v>17.37</v>
      </c>
      <c r="T2085">
        <v>607.69000000000005</v>
      </c>
      <c r="U2085">
        <v>0.76</v>
      </c>
      <c r="V2085">
        <v>0.76</v>
      </c>
      <c r="W2085">
        <v>1.1399999999999999</v>
      </c>
      <c r="X2085">
        <v>0.03</v>
      </c>
      <c r="Y2085">
        <v>1</v>
      </c>
      <c r="Z2085">
        <v>10</v>
      </c>
    </row>
    <row r="2086" spans="1:26" x14ac:dyDescent="0.3">
      <c r="A2086">
        <v>149</v>
      </c>
      <c r="B2086">
        <v>130</v>
      </c>
      <c r="C2086" t="s">
        <v>26</v>
      </c>
      <c r="D2086">
        <v>10.3407</v>
      </c>
      <c r="E2086">
        <v>9.67</v>
      </c>
      <c r="F2086">
        <v>6.72</v>
      </c>
      <c r="G2086">
        <v>134.38</v>
      </c>
      <c r="H2086">
        <v>2.0699999999999998</v>
      </c>
      <c r="I2086">
        <v>3</v>
      </c>
      <c r="J2086">
        <v>328.82</v>
      </c>
      <c r="K2086">
        <v>59.19</v>
      </c>
      <c r="L2086">
        <v>38.25</v>
      </c>
      <c r="M2086">
        <v>1</v>
      </c>
      <c r="N2086">
        <v>101.37</v>
      </c>
      <c r="O2086">
        <v>40788.44</v>
      </c>
      <c r="P2086">
        <v>100.76</v>
      </c>
      <c r="Q2086">
        <v>204.14</v>
      </c>
      <c r="R2086">
        <v>22.69</v>
      </c>
      <c r="S2086">
        <v>17.37</v>
      </c>
      <c r="T2086">
        <v>570.9</v>
      </c>
      <c r="U2086">
        <v>0.77</v>
      </c>
      <c r="V2086">
        <v>0.76</v>
      </c>
      <c r="W2086">
        <v>1.1399999999999999</v>
      </c>
      <c r="X2086">
        <v>0.03</v>
      </c>
      <c r="Y2086">
        <v>1</v>
      </c>
      <c r="Z2086">
        <v>10</v>
      </c>
    </row>
    <row r="2087" spans="1:26" x14ac:dyDescent="0.3">
      <c r="A2087">
        <v>150</v>
      </c>
      <c r="B2087">
        <v>130</v>
      </c>
      <c r="C2087" t="s">
        <v>26</v>
      </c>
      <c r="D2087">
        <v>10.339499999999999</v>
      </c>
      <c r="E2087">
        <v>9.67</v>
      </c>
      <c r="F2087">
        <v>6.72</v>
      </c>
      <c r="G2087">
        <v>134.4</v>
      </c>
      <c r="H2087">
        <v>2.08</v>
      </c>
      <c r="I2087">
        <v>3</v>
      </c>
      <c r="J2087">
        <v>329.4</v>
      </c>
      <c r="K2087">
        <v>59.19</v>
      </c>
      <c r="L2087">
        <v>38.5</v>
      </c>
      <c r="M2087">
        <v>1</v>
      </c>
      <c r="N2087">
        <v>101.71</v>
      </c>
      <c r="O2087">
        <v>40860.49</v>
      </c>
      <c r="P2087">
        <v>100.84</v>
      </c>
      <c r="Q2087">
        <v>204.14</v>
      </c>
      <c r="R2087">
        <v>22.73</v>
      </c>
      <c r="S2087">
        <v>17.37</v>
      </c>
      <c r="T2087">
        <v>594.47</v>
      </c>
      <c r="U2087">
        <v>0.76</v>
      </c>
      <c r="V2087">
        <v>0.76</v>
      </c>
      <c r="W2087">
        <v>1.1399999999999999</v>
      </c>
      <c r="X2087">
        <v>0.03</v>
      </c>
      <c r="Y2087">
        <v>1</v>
      </c>
      <c r="Z2087">
        <v>10</v>
      </c>
    </row>
    <row r="2088" spans="1:26" x14ac:dyDescent="0.3">
      <c r="A2088">
        <v>151</v>
      </c>
      <c r="B2088">
        <v>130</v>
      </c>
      <c r="C2088" t="s">
        <v>26</v>
      </c>
      <c r="D2088">
        <v>10.3386</v>
      </c>
      <c r="E2088">
        <v>9.67</v>
      </c>
      <c r="F2088">
        <v>6.72</v>
      </c>
      <c r="G2088">
        <v>134.41999999999999</v>
      </c>
      <c r="H2088">
        <v>2.09</v>
      </c>
      <c r="I2088">
        <v>3</v>
      </c>
      <c r="J2088">
        <v>329.99</v>
      </c>
      <c r="K2088">
        <v>59.19</v>
      </c>
      <c r="L2088">
        <v>38.75</v>
      </c>
      <c r="M2088">
        <v>1</v>
      </c>
      <c r="N2088">
        <v>102.04</v>
      </c>
      <c r="O2088">
        <v>40932.69</v>
      </c>
      <c r="P2088">
        <v>100.97</v>
      </c>
      <c r="Q2088">
        <v>204.14</v>
      </c>
      <c r="R2088">
        <v>22.75</v>
      </c>
      <c r="S2088">
        <v>17.37</v>
      </c>
      <c r="T2088">
        <v>603.29</v>
      </c>
      <c r="U2088">
        <v>0.76</v>
      </c>
      <c r="V2088">
        <v>0.76</v>
      </c>
      <c r="W2088">
        <v>1.1399999999999999</v>
      </c>
      <c r="X2088">
        <v>0.03</v>
      </c>
      <c r="Y2088">
        <v>1</v>
      </c>
      <c r="Z2088">
        <v>10</v>
      </c>
    </row>
    <row r="2089" spans="1:26" x14ac:dyDescent="0.3">
      <c r="A2089">
        <v>152</v>
      </c>
      <c r="B2089">
        <v>130</v>
      </c>
      <c r="C2089" t="s">
        <v>26</v>
      </c>
      <c r="D2089">
        <v>10.3371</v>
      </c>
      <c r="E2089">
        <v>9.67</v>
      </c>
      <c r="F2089">
        <v>6.72</v>
      </c>
      <c r="G2089">
        <v>134.44</v>
      </c>
      <c r="H2089">
        <v>2.1</v>
      </c>
      <c r="I2089">
        <v>3</v>
      </c>
      <c r="J2089">
        <v>330.57</v>
      </c>
      <c r="K2089">
        <v>59.19</v>
      </c>
      <c r="L2089">
        <v>39</v>
      </c>
      <c r="M2089">
        <v>1</v>
      </c>
      <c r="N2089">
        <v>102.38</v>
      </c>
      <c r="O2089">
        <v>41005.06</v>
      </c>
      <c r="P2089">
        <v>101.01</v>
      </c>
      <c r="Q2089">
        <v>204.14</v>
      </c>
      <c r="R2089">
        <v>22.73</v>
      </c>
      <c r="S2089">
        <v>17.37</v>
      </c>
      <c r="T2089">
        <v>592.23</v>
      </c>
      <c r="U2089">
        <v>0.76</v>
      </c>
      <c r="V2089">
        <v>0.76</v>
      </c>
      <c r="W2089">
        <v>1.1399999999999999</v>
      </c>
      <c r="X2089">
        <v>0.03</v>
      </c>
      <c r="Y2089">
        <v>1</v>
      </c>
      <c r="Z2089">
        <v>10</v>
      </c>
    </row>
    <row r="2090" spans="1:26" x14ac:dyDescent="0.3">
      <c r="A2090">
        <v>153</v>
      </c>
      <c r="B2090">
        <v>130</v>
      </c>
      <c r="C2090" t="s">
        <v>26</v>
      </c>
      <c r="D2090">
        <v>10.336499999999999</v>
      </c>
      <c r="E2090">
        <v>9.67</v>
      </c>
      <c r="F2090">
        <v>6.72</v>
      </c>
      <c r="G2090">
        <v>134.46</v>
      </c>
      <c r="H2090">
        <v>2.11</v>
      </c>
      <c r="I2090">
        <v>3</v>
      </c>
      <c r="J2090">
        <v>331.16</v>
      </c>
      <c r="K2090">
        <v>59.19</v>
      </c>
      <c r="L2090">
        <v>39.25</v>
      </c>
      <c r="M2090">
        <v>1</v>
      </c>
      <c r="N2090">
        <v>102.72</v>
      </c>
      <c r="O2090">
        <v>41077.58</v>
      </c>
      <c r="P2090">
        <v>101.14</v>
      </c>
      <c r="Q2090">
        <v>204.14</v>
      </c>
      <c r="R2090">
        <v>22.81</v>
      </c>
      <c r="S2090">
        <v>17.37</v>
      </c>
      <c r="T2090">
        <v>631.1</v>
      </c>
      <c r="U2090">
        <v>0.76</v>
      </c>
      <c r="V2090">
        <v>0.76</v>
      </c>
      <c r="W2090">
        <v>1.1399999999999999</v>
      </c>
      <c r="X2090">
        <v>0.03</v>
      </c>
      <c r="Y2090">
        <v>1</v>
      </c>
      <c r="Z2090">
        <v>10</v>
      </c>
    </row>
    <row r="2091" spans="1:26" x14ac:dyDescent="0.3">
      <c r="A2091">
        <v>154</v>
      </c>
      <c r="B2091">
        <v>130</v>
      </c>
      <c r="C2091" t="s">
        <v>26</v>
      </c>
      <c r="D2091">
        <v>10.3371</v>
      </c>
      <c r="E2091">
        <v>9.67</v>
      </c>
      <c r="F2091">
        <v>6.72</v>
      </c>
      <c r="G2091">
        <v>134.44</v>
      </c>
      <c r="H2091">
        <v>2.12</v>
      </c>
      <c r="I2091">
        <v>3</v>
      </c>
      <c r="J2091">
        <v>331.75</v>
      </c>
      <c r="K2091">
        <v>59.19</v>
      </c>
      <c r="L2091">
        <v>39.5</v>
      </c>
      <c r="M2091">
        <v>1</v>
      </c>
      <c r="N2091">
        <v>103.06</v>
      </c>
      <c r="O2091">
        <v>41150.28</v>
      </c>
      <c r="P2091">
        <v>101.18</v>
      </c>
      <c r="Q2091">
        <v>204.14</v>
      </c>
      <c r="R2091">
        <v>22.82</v>
      </c>
      <c r="S2091">
        <v>17.37</v>
      </c>
      <c r="T2091">
        <v>637.74</v>
      </c>
      <c r="U2091">
        <v>0.76</v>
      </c>
      <c r="V2091">
        <v>0.76</v>
      </c>
      <c r="W2091">
        <v>1.1399999999999999</v>
      </c>
      <c r="X2091">
        <v>0.03</v>
      </c>
      <c r="Y2091">
        <v>1</v>
      </c>
      <c r="Z2091">
        <v>10</v>
      </c>
    </row>
    <row r="2092" spans="1:26" x14ac:dyDescent="0.3">
      <c r="A2092">
        <v>155</v>
      </c>
      <c r="B2092">
        <v>130</v>
      </c>
      <c r="C2092" t="s">
        <v>26</v>
      </c>
      <c r="D2092">
        <v>10.338900000000001</v>
      </c>
      <c r="E2092">
        <v>9.67</v>
      </c>
      <c r="F2092">
        <v>6.72</v>
      </c>
      <c r="G2092">
        <v>134.41</v>
      </c>
      <c r="H2092">
        <v>2.13</v>
      </c>
      <c r="I2092">
        <v>3</v>
      </c>
      <c r="J2092">
        <v>332.34</v>
      </c>
      <c r="K2092">
        <v>59.19</v>
      </c>
      <c r="L2092">
        <v>39.75</v>
      </c>
      <c r="M2092">
        <v>1</v>
      </c>
      <c r="N2092">
        <v>103.4</v>
      </c>
      <c r="O2092">
        <v>41223.129999999997</v>
      </c>
      <c r="P2092">
        <v>101.19</v>
      </c>
      <c r="Q2092">
        <v>204.14</v>
      </c>
      <c r="R2092">
        <v>22.74</v>
      </c>
      <c r="S2092">
        <v>17.37</v>
      </c>
      <c r="T2092">
        <v>599.21</v>
      </c>
      <c r="U2092">
        <v>0.76</v>
      </c>
      <c r="V2092">
        <v>0.76</v>
      </c>
      <c r="W2092">
        <v>1.1399999999999999</v>
      </c>
      <c r="X2092">
        <v>0.03</v>
      </c>
      <c r="Y2092">
        <v>1</v>
      </c>
      <c r="Z2092">
        <v>10</v>
      </c>
    </row>
    <row r="2093" spans="1:26" x14ac:dyDescent="0.3">
      <c r="A2093">
        <v>156</v>
      </c>
      <c r="B2093">
        <v>130</v>
      </c>
      <c r="C2093" t="s">
        <v>26</v>
      </c>
      <c r="D2093">
        <v>10.337999999999999</v>
      </c>
      <c r="E2093">
        <v>9.67</v>
      </c>
      <c r="F2093">
        <v>6.72</v>
      </c>
      <c r="G2093">
        <v>134.43</v>
      </c>
      <c r="H2093">
        <v>2.14</v>
      </c>
      <c r="I2093">
        <v>3</v>
      </c>
      <c r="J2093">
        <v>332.93</v>
      </c>
      <c r="K2093">
        <v>59.19</v>
      </c>
      <c r="L2093">
        <v>40</v>
      </c>
      <c r="M2093">
        <v>1</v>
      </c>
      <c r="N2093">
        <v>103.74</v>
      </c>
      <c r="O2093">
        <v>41296.160000000003</v>
      </c>
      <c r="P2093">
        <v>101.3</v>
      </c>
      <c r="Q2093">
        <v>204.15</v>
      </c>
      <c r="R2093">
        <v>22.77</v>
      </c>
      <c r="S2093">
        <v>17.37</v>
      </c>
      <c r="T2093">
        <v>610.62</v>
      </c>
      <c r="U2093">
        <v>0.76</v>
      </c>
      <c r="V2093">
        <v>0.76</v>
      </c>
      <c r="W2093">
        <v>1.1399999999999999</v>
      </c>
      <c r="X2093">
        <v>0.03</v>
      </c>
      <c r="Y2093">
        <v>1</v>
      </c>
      <c r="Z2093">
        <v>10</v>
      </c>
    </row>
    <row r="2094" spans="1:26" x14ac:dyDescent="0.3">
      <c r="A2094">
        <v>0</v>
      </c>
      <c r="B2094">
        <v>75</v>
      </c>
      <c r="C2094" t="s">
        <v>26</v>
      </c>
      <c r="D2094">
        <v>7.984</v>
      </c>
      <c r="E2094">
        <v>12.52</v>
      </c>
      <c r="F2094">
        <v>8.11</v>
      </c>
      <c r="G2094">
        <v>6.95</v>
      </c>
      <c r="H2094">
        <v>0.12</v>
      </c>
      <c r="I2094">
        <v>70</v>
      </c>
      <c r="J2094">
        <v>150.44</v>
      </c>
      <c r="K2094">
        <v>49.1</v>
      </c>
      <c r="L2094">
        <v>1</v>
      </c>
      <c r="M2094">
        <v>68</v>
      </c>
      <c r="N2094">
        <v>25.34</v>
      </c>
      <c r="O2094">
        <v>18787.759999999998</v>
      </c>
      <c r="P2094">
        <v>95.81</v>
      </c>
      <c r="Q2094">
        <v>204.18</v>
      </c>
      <c r="R2094">
        <v>65.91</v>
      </c>
      <c r="S2094">
        <v>17.37</v>
      </c>
      <c r="T2094">
        <v>21848.44</v>
      </c>
      <c r="U2094">
        <v>0.26</v>
      </c>
      <c r="V2094">
        <v>0.63</v>
      </c>
      <c r="W2094">
        <v>1.25</v>
      </c>
      <c r="X2094">
        <v>1.42</v>
      </c>
      <c r="Y2094">
        <v>1</v>
      </c>
      <c r="Z2094">
        <v>10</v>
      </c>
    </row>
    <row r="2095" spans="1:26" x14ac:dyDescent="0.3">
      <c r="A2095">
        <v>1</v>
      </c>
      <c r="B2095">
        <v>75</v>
      </c>
      <c r="C2095" t="s">
        <v>26</v>
      </c>
      <c r="D2095">
        <v>8.5403000000000002</v>
      </c>
      <c r="E2095">
        <v>11.71</v>
      </c>
      <c r="F2095">
        <v>7.78</v>
      </c>
      <c r="G2095">
        <v>8.65</v>
      </c>
      <c r="H2095">
        <v>0.15</v>
      </c>
      <c r="I2095">
        <v>54</v>
      </c>
      <c r="J2095">
        <v>150.78</v>
      </c>
      <c r="K2095">
        <v>49.1</v>
      </c>
      <c r="L2095">
        <v>1.25</v>
      </c>
      <c r="M2095">
        <v>52</v>
      </c>
      <c r="N2095">
        <v>25.44</v>
      </c>
      <c r="O2095">
        <v>18830.650000000001</v>
      </c>
      <c r="P2095">
        <v>91.69</v>
      </c>
      <c r="Q2095">
        <v>204.19</v>
      </c>
      <c r="R2095">
        <v>55.48</v>
      </c>
      <c r="S2095">
        <v>17.37</v>
      </c>
      <c r="T2095">
        <v>16711.79</v>
      </c>
      <c r="U2095">
        <v>0.31</v>
      </c>
      <c r="V2095">
        <v>0.66</v>
      </c>
      <c r="W2095">
        <v>1.23</v>
      </c>
      <c r="X2095">
        <v>1.0900000000000001</v>
      </c>
      <c r="Y2095">
        <v>1</v>
      </c>
      <c r="Z2095">
        <v>10</v>
      </c>
    </row>
    <row r="2096" spans="1:26" x14ac:dyDescent="0.3">
      <c r="A2096">
        <v>2</v>
      </c>
      <c r="B2096">
        <v>75</v>
      </c>
      <c r="C2096" t="s">
        <v>26</v>
      </c>
      <c r="D2096">
        <v>8.9382999999999999</v>
      </c>
      <c r="E2096">
        <v>11.19</v>
      </c>
      <c r="F2096">
        <v>7.57</v>
      </c>
      <c r="G2096">
        <v>10.32</v>
      </c>
      <c r="H2096">
        <v>0.18</v>
      </c>
      <c r="I2096">
        <v>44</v>
      </c>
      <c r="J2096">
        <v>151.13</v>
      </c>
      <c r="K2096">
        <v>49.1</v>
      </c>
      <c r="L2096">
        <v>1.5</v>
      </c>
      <c r="M2096">
        <v>42</v>
      </c>
      <c r="N2096">
        <v>25.54</v>
      </c>
      <c r="O2096">
        <v>18873.580000000002</v>
      </c>
      <c r="P2096">
        <v>88.93</v>
      </c>
      <c r="Q2096">
        <v>204.26</v>
      </c>
      <c r="R2096">
        <v>49.05</v>
      </c>
      <c r="S2096">
        <v>17.37</v>
      </c>
      <c r="T2096">
        <v>13548</v>
      </c>
      <c r="U2096">
        <v>0.35</v>
      </c>
      <c r="V2096">
        <v>0.68</v>
      </c>
      <c r="W2096">
        <v>1.21</v>
      </c>
      <c r="X2096">
        <v>0.87</v>
      </c>
      <c r="Y2096">
        <v>1</v>
      </c>
      <c r="Z2096">
        <v>10</v>
      </c>
    </row>
    <row r="2097" spans="1:26" x14ac:dyDescent="0.3">
      <c r="A2097">
        <v>3</v>
      </c>
      <c r="B2097">
        <v>75</v>
      </c>
      <c r="C2097" t="s">
        <v>26</v>
      </c>
      <c r="D2097">
        <v>9.2445000000000004</v>
      </c>
      <c r="E2097">
        <v>10.82</v>
      </c>
      <c r="F2097">
        <v>7.41</v>
      </c>
      <c r="G2097">
        <v>12.02</v>
      </c>
      <c r="H2097">
        <v>0.2</v>
      </c>
      <c r="I2097">
        <v>37</v>
      </c>
      <c r="J2097">
        <v>151.47999999999999</v>
      </c>
      <c r="K2097">
        <v>49.1</v>
      </c>
      <c r="L2097">
        <v>1.75</v>
      </c>
      <c r="M2097">
        <v>35</v>
      </c>
      <c r="N2097">
        <v>25.64</v>
      </c>
      <c r="O2097">
        <v>18916.54</v>
      </c>
      <c r="P2097">
        <v>86.85</v>
      </c>
      <c r="Q2097">
        <v>204.17</v>
      </c>
      <c r="R2097">
        <v>44.38</v>
      </c>
      <c r="S2097">
        <v>17.37</v>
      </c>
      <c r="T2097">
        <v>11248.04</v>
      </c>
      <c r="U2097">
        <v>0.39</v>
      </c>
      <c r="V2097">
        <v>0.69</v>
      </c>
      <c r="W2097">
        <v>1.19</v>
      </c>
      <c r="X2097">
        <v>0.72</v>
      </c>
      <c r="Y2097">
        <v>1</v>
      </c>
      <c r="Z2097">
        <v>10</v>
      </c>
    </row>
    <row r="2098" spans="1:26" x14ac:dyDescent="0.3">
      <c r="A2098">
        <v>4</v>
      </c>
      <c r="B2098">
        <v>75</v>
      </c>
      <c r="C2098" t="s">
        <v>26</v>
      </c>
      <c r="D2098">
        <v>9.4567999999999994</v>
      </c>
      <c r="E2098">
        <v>10.57</v>
      </c>
      <c r="F2098">
        <v>7.32</v>
      </c>
      <c r="G2098">
        <v>13.73</v>
      </c>
      <c r="H2098">
        <v>0.23</v>
      </c>
      <c r="I2098">
        <v>32</v>
      </c>
      <c r="J2098">
        <v>151.83000000000001</v>
      </c>
      <c r="K2098">
        <v>49.1</v>
      </c>
      <c r="L2098">
        <v>2</v>
      </c>
      <c r="M2098">
        <v>30</v>
      </c>
      <c r="N2098">
        <v>25.73</v>
      </c>
      <c r="O2098">
        <v>18959.54</v>
      </c>
      <c r="P2098">
        <v>85.56</v>
      </c>
      <c r="Q2098">
        <v>204.22</v>
      </c>
      <c r="R2098">
        <v>41.35</v>
      </c>
      <c r="S2098">
        <v>17.37</v>
      </c>
      <c r="T2098">
        <v>9756.07</v>
      </c>
      <c r="U2098">
        <v>0.42</v>
      </c>
      <c r="V2098">
        <v>0.7</v>
      </c>
      <c r="W2098">
        <v>1.19</v>
      </c>
      <c r="X2098">
        <v>0.63</v>
      </c>
      <c r="Y2098">
        <v>1</v>
      </c>
      <c r="Z2098">
        <v>10</v>
      </c>
    </row>
    <row r="2099" spans="1:26" x14ac:dyDescent="0.3">
      <c r="A2099">
        <v>5</v>
      </c>
      <c r="B2099">
        <v>75</v>
      </c>
      <c r="C2099" t="s">
        <v>26</v>
      </c>
      <c r="D2099">
        <v>9.6501999999999999</v>
      </c>
      <c r="E2099">
        <v>10.36</v>
      </c>
      <c r="F2099">
        <v>7.23</v>
      </c>
      <c r="G2099">
        <v>15.49</v>
      </c>
      <c r="H2099">
        <v>0.26</v>
      </c>
      <c r="I2099">
        <v>28</v>
      </c>
      <c r="J2099">
        <v>152.18</v>
      </c>
      <c r="K2099">
        <v>49.1</v>
      </c>
      <c r="L2099">
        <v>2.25</v>
      </c>
      <c r="M2099">
        <v>26</v>
      </c>
      <c r="N2099">
        <v>25.83</v>
      </c>
      <c r="O2099">
        <v>19002.560000000001</v>
      </c>
      <c r="P2099">
        <v>84.25</v>
      </c>
      <c r="Q2099">
        <v>204.14</v>
      </c>
      <c r="R2099">
        <v>38.67</v>
      </c>
      <c r="S2099">
        <v>17.37</v>
      </c>
      <c r="T2099">
        <v>8436.73</v>
      </c>
      <c r="U2099">
        <v>0.45</v>
      </c>
      <c r="V2099">
        <v>0.71</v>
      </c>
      <c r="W2099">
        <v>1.18</v>
      </c>
      <c r="X2099">
        <v>0.54</v>
      </c>
      <c r="Y2099">
        <v>1</v>
      </c>
      <c r="Z2099">
        <v>10</v>
      </c>
    </row>
    <row r="2100" spans="1:26" x14ac:dyDescent="0.3">
      <c r="A2100">
        <v>6</v>
      </c>
      <c r="B2100">
        <v>75</v>
      </c>
      <c r="C2100" t="s">
        <v>26</v>
      </c>
      <c r="D2100">
        <v>9.7873999999999999</v>
      </c>
      <c r="E2100">
        <v>10.220000000000001</v>
      </c>
      <c r="F2100">
        <v>7.18</v>
      </c>
      <c r="G2100">
        <v>17.22</v>
      </c>
      <c r="H2100">
        <v>0.28999999999999998</v>
      </c>
      <c r="I2100">
        <v>25</v>
      </c>
      <c r="J2100">
        <v>152.53</v>
      </c>
      <c r="K2100">
        <v>49.1</v>
      </c>
      <c r="L2100">
        <v>2.5</v>
      </c>
      <c r="M2100">
        <v>23</v>
      </c>
      <c r="N2100">
        <v>25.93</v>
      </c>
      <c r="O2100">
        <v>19045.63</v>
      </c>
      <c r="P2100">
        <v>83.43</v>
      </c>
      <c r="Q2100">
        <v>204.22</v>
      </c>
      <c r="R2100">
        <v>36.880000000000003</v>
      </c>
      <c r="S2100">
        <v>17.37</v>
      </c>
      <c r="T2100">
        <v>7558.1</v>
      </c>
      <c r="U2100">
        <v>0.47</v>
      </c>
      <c r="V2100">
        <v>0.71</v>
      </c>
      <c r="W2100">
        <v>1.18</v>
      </c>
      <c r="X2100">
        <v>0.48</v>
      </c>
      <c r="Y2100">
        <v>1</v>
      </c>
      <c r="Z2100">
        <v>10</v>
      </c>
    </row>
    <row r="2101" spans="1:26" x14ac:dyDescent="0.3">
      <c r="A2101">
        <v>7</v>
      </c>
      <c r="B2101">
        <v>75</v>
      </c>
      <c r="C2101" t="s">
        <v>26</v>
      </c>
      <c r="D2101">
        <v>9.8825000000000003</v>
      </c>
      <c r="E2101">
        <v>10.119999999999999</v>
      </c>
      <c r="F2101">
        <v>7.14</v>
      </c>
      <c r="G2101">
        <v>18.63</v>
      </c>
      <c r="H2101">
        <v>0.32</v>
      </c>
      <c r="I2101">
        <v>23</v>
      </c>
      <c r="J2101">
        <v>152.88</v>
      </c>
      <c r="K2101">
        <v>49.1</v>
      </c>
      <c r="L2101">
        <v>2.75</v>
      </c>
      <c r="M2101">
        <v>21</v>
      </c>
      <c r="N2101">
        <v>26.03</v>
      </c>
      <c r="O2101">
        <v>19088.72</v>
      </c>
      <c r="P2101">
        <v>82.86</v>
      </c>
      <c r="Q2101">
        <v>204.14</v>
      </c>
      <c r="R2101">
        <v>35.659999999999997</v>
      </c>
      <c r="S2101">
        <v>17.37</v>
      </c>
      <c r="T2101">
        <v>6956.19</v>
      </c>
      <c r="U2101">
        <v>0.49</v>
      </c>
      <c r="V2101">
        <v>0.72</v>
      </c>
      <c r="W2101">
        <v>1.18</v>
      </c>
      <c r="X2101">
        <v>0.45</v>
      </c>
      <c r="Y2101">
        <v>1</v>
      </c>
      <c r="Z2101">
        <v>10</v>
      </c>
    </row>
    <row r="2102" spans="1:26" x14ac:dyDescent="0.3">
      <c r="A2102">
        <v>8</v>
      </c>
      <c r="B2102">
        <v>75</v>
      </c>
      <c r="C2102" t="s">
        <v>26</v>
      </c>
      <c r="D2102">
        <v>9.9871999999999996</v>
      </c>
      <c r="E2102">
        <v>10.01</v>
      </c>
      <c r="F2102">
        <v>7.09</v>
      </c>
      <c r="G2102">
        <v>20.27</v>
      </c>
      <c r="H2102">
        <v>0.35</v>
      </c>
      <c r="I2102">
        <v>21</v>
      </c>
      <c r="J2102">
        <v>153.22999999999999</v>
      </c>
      <c r="K2102">
        <v>49.1</v>
      </c>
      <c r="L2102">
        <v>3</v>
      </c>
      <c r="M2102">
        <v>19</v>
      </c>
      <c r="N2102">
        <v>26.13</v>
      </c>
      <c r="O2102">
        <v>19131.849999999999</v>
      </c>
      <c r="P2102">
        <v>82.03</v>
      </c>
      <c r="Q2102">
        <v>204.15</v>
      </c>
      <c r="R2102">
        <v>34.32</v>
      </c>
      <c r="S2102">
        <v>17.37</v>
      </c>
      <c r="T2102">
        <v>6298.23</v>
      </c>
      <c r="U2102">
        <v>0.51</v>
      </c>
      <c r="V2102">
        <v>0.72</v>
      </c>
      <c r="W2102">
        <v>1.17</v>
      </c>
      <c r="X2102">
        <v>0.4</v>
      </c>
      <c r="Y2102">
        <v>1</v>
      </c>
      <c r="Z2102">
        <v>10</v>
      </c>
    </row>
    <row r="2103" spans="1:26" x14ac:dyDescent="0.3">
      <c r="A2103">
        <v>9</v>
      </c>
      <c r="B2103">
        <v>75</v>
      </c>
      <c r="C2103" t="s">
        <v>26</v>
      </c>
      <c r="D2103">
        <v>10.091100000000001</v>
      </c>
      <c r="E2103">
        <v>9.91</v>
      </c>
      <c r="F2103">
        <v>7.05</v>
      </c>
      <c r="G2103">
        <v>22.27</v>
      </c>
      <c r="H2103">
        <v>0.37</v>
      </c>
      <c r="I2103">
        <v>19</v>
      </c>
      <c r="J2103">
        <v>153.58000000000001</v>
      </c>
      <c r="K2103">
        <v>49.1</v>
      </c>
      <c r="L2103">
        <v>3.25</v>
      </c>
      <c r="M2103">
        <v>17</v>
      </c>
      <c r="N2103">
        <v>26.23</v>
      </c>
      <c r="O2103">
        <v>19175.02</v>
      </c>
      <c r="P2103">
        <v>81.260000000000005</v>
      </c>
      <c r="Q2103">
        <v>204.16</v>
      </c>
      <c r="R2103">
        <v>32.93</v>
      </c>
      <c r="S2103">
        <v>17.37</v>
      </c>
      <c r="T2103">
        <v>5614.25</v>
      </c>
      <c r="U2103">
        <v>0.53</v>
      </c>
      <c r="V2103">
        <v>0.72</v>
      </c>
      <c r="W2103">
        <v>1.17</v>
      </c>
      <c r="X2103">
        <v>0.36</v>
      </c>
      <c r="Y2103">
        <v>1</v>
      </c>
      <c r="Z2103">
        <v>10</v>
      </c>
    </row>
    <row r="2104" spans="1:26" x14ac:dyDescent="0.3">
      <c r="A2104">
        <v>10</v>
      </c>
      <c r="B2104">
        <v>75</v>
      </c>
      <c r="C2104" t="s">
        <v>26</v>
      </c>
      <c r="D2104">
        <v>10.156599999999999</v>
      </c>
      <c r="E2104">
        <v>9.85</v>
      </c>
      <c r="F2104">
        <v>7.02</v>
      </c>
      <c r="G2104">
        <v>23.4</v>
      </c>
      <c r="H2104">
        <v>0.4</v>
      </c>
      <c r="I2104">
        <v>18</v>
      </c>
      <c r="J2104">
        <v>153.93</v>
      </c>
      <c r="K2104">
        <v>49.1</v>
      </c>
      <c r="L2104">
        <v>3.5</v>
      </c>
      <c r="M2104">
        <v>16</v>
      </c>
      <c r="N2104">
        <v>26.33</v>
      </c>
      <c r="O2104">
        <v>19218.22</v>
      </c>
      <c r="P2104">
        <v>80.75</v>
      </c>
      <c r="Q2104">
        <v>204.15</v>
      </c>
      <c r="R2104">
        <v>32.06</v>
      </c>
      <c r="S2104">
        <v>17.37</v>
      </c>
      <c r="T2104">
        <v>5182.12</v>
      </c>
      <c r="U2104">
        <v>0.54</v>
      </c>
      <c r="V2104">
        <v>0.73</v>
      </c>
      <c r="W2104">
        <v>1.1599999999999999</v>
      </c>
      <c r="X2104">
        <v>0.33</v>
      </c>
      <c r="Y2104">
        <v>1</v>
      </c>
      <c r="Z2104">
        <v>10</v>
      </c>
    </row>
    <row r="2105" spans="1:26" x14ac:dyDescent="0.3">
      <c r="A2105">
        <v>11</v>
      </c>
      <c r="B2105">
        <v>75</v>
      </c>
      <c r="C2105" t="s">
        <v>26</v>
      </c>
      <c r="D2105">
        <v>10.1853</v>
      </c>
      <c r="E2105">
        <v>9.82</v>
      </c>
      <c r="F2105">
        <v>7.02</v>
      </c>
      <c r="G2105">
        <v>24.78</v>
      </c>
      <c r="H2105">
        <v>0.43</v>
      </c>
      <c r="I2105">
        <v>17</v>
      </c>
      <c r="J2105">
        <v>154.28</v>
      </c>
      <c r="K2105">
        <v>49.1</v>
      </c>
      <c r="L2105">
        <v>3.75</v>
      </c>
      <c r="M2105">
        <v>15</v>
      </c>
      <c r="N2105">
        <v>26.43</v>
      </c>
      <c r="O2105">
        <v>19261.45</v>
      </c>
      <c r="P2105">
        <v>80.680000000000007</v>
      </c>
      <c r="Q2105">
        <v>204.21</v>
      </c>
      <c r="R2105">
        <v>32</v>
      </c>
      <c r="S2105">
        <v>17.37</v>
      </c>
      <c r="T2105">
        <v>5156.3500000000004</v>
      </c>
      <c r="U2105">
        <v>0.54</v>
      </c>
      <c r="V2105">
        <v>0.73</v>
      </c>
      <c r="W2105">
        <v>1.17</v>
      </c>
      <c r="X2105">
        <v>0.33</v>
      </c>
      <c r="Y2105">
        <v>1</v>
      </c>
      <c r="Z2105">
        <v>10</v>
      </c>
    </row>
    <row r="2106" spans="1:26" x14ac:dyDescent="0.3">
      <c r="A2106">
        <v>12</v>
      </c>
      <c r="B2106">
        <v>75</v>
      </c>
      <c r="C2106" t="s">
        <v>26</v>
      </c>
      <c r="D2106">
        <v>10.2264</v>
      </c>
      <c r="E2106">
        <v>9.7799999999999994</v>
      </c>
      <c r="F2106">
        <v>7.01</v>
      </c>
      <c r="G2106">
        <v>26.3</v>
      </c>
      <c r="H2106">
        <v>0.46</v>
      </c>
      <c r="I2106">
        <v>16</v>
      </c>
      <c r="J2106">
        <v>154.63</v>
      </c>
      <c r="K2106">
        <v>49.1</v>
      </c>
      <c r="L2106">
        <v>4</v>
      </c>
      <c r="M2106">
        <v>14</v>
      </c>
      <c r="N2106">
        <v>26.53</v>
      </c>
      <c r="O2106">
        <v>19304.72</v>
      </c>
      <c r="P2106">
        <v>80.25</v>
      </c>
      <c r="Q2106">
        <v>204.15</v>
      </c>
      <c r="R2106">
        <v>31.8</v>
      </c>
      <c r="S2106">
        <v>17.37</v>
      </c>
      <c r="T2106">
        <v>5060.83</v>
      </c>
      <c r="U2106">
        <v>0.55000000000000004</v>
      </c>
      <c r="V2106">
        <v>0.73</v>
      </c>
      <c r="W2106">
        <v>1.17</v>
      </c>
      <c r="X2106">
        <v>0.32</v>
      </c>
      <c r="Y2106">
        <v>1</v>
      </c>
      <c r="Z2106">
        <v>10</v>
      </c>
    </row>
    <row r="2107" spans="1:26" x14ac:dyDescent="0.3">
      <c r="A2107">
        <v>13</v>
      </c>
      <c r="B2107">
        <v>75</v>
      </c>
      <c r="C2107" t="s">
        <v>26</v>
      </c>
      <c r="D2107">
        <v>10.3178</v>
      </c>
      <c r="E2107">
        <v>9.69</v>
      </c>
      <c r="F2107">
        <v>6.96</v>
      </c>
      <c r="G2107">
        <v>27.83</v>
      </c>
      <c r="H2107">
        <v>0.49</v>
      </c>
      <c r="I2107">
        <v>15</v>
      </c>
      <c r="J2107">
        <v>154.97999999999999</v>
      </c>
      <c r="K2107">
        <v>49.1</v>
      </c>
      <c r="L2107">
        <v>4.25</v>
      </c>
      <c r="M2107">
        <v>13</v>
      </c>
      <c r="N2107">
        <v>26.63</v>
      </c>
      <c r="O2107">
        <v>19348.03</v>
      </c>
      <c r="P2107">
        <v>79.34</v>
      </c>
      <c r="Q2107">
        <v>204.16</v>
      </c>
      <c r="R2107">
        <v>30.23</v>
      </c>
      <c r="S2107">
        <v>17.37</v>
      </c>
      <c r="T2107">
        <v>4282.17</v>
      </c>
      <c r="U2107">
        <v>0.56999999999999995</v>
      </c>
      <c r="V2107">
        <v>0.73</v>
      </c>
      <c r="W2107">
        <v>1.1599999999999999</v>
      </c>
      <c r="X2107">
        <v>0.27</v>
      </c>
      <c r="Y2107">
        <v>1</v>
      </c>
      <c r="Z2107">
        <v>10</v>
      </c>
    </row>
    <row r="2108" spans="1:26" x14ac:dyDescent="0.3">
      <c r="A2108">
        <v>14</v>
      </c>
      <c r="B2108">
        <v>75</v>
      </c>
      <c r="C2108" t="s">
        <v>26</v>
      </c>
      <c r="D2108">
        <v>10.3567</v>
      </c>
      <c r="E2108">
        <v>9.66</v>
      </c>
      <c r="F2108">
        <v>6.95</v>
      </c>
      <c r="G2108">
        <v>29.79</v>
      </c>
      <c r="H2108">
        <v>0.51</v>
      </c>
      <c r="I2108">
        <v>14</v>
      </c>
      <c r="J2108">
        <v>155.33000000000001</v>
      </c>
      <c r="K2108">
        <v>49.1</v>
      </c>
      <c r="L2108">
        <v>4.5</v>
      </c>
      <c r="M2108">
        <v>12</v>
      </c>
      <c r="N2108">
        <v>26.74</v>
      </c>
      <c r="O2108">
        <v>19391.36</v>
      </c>
      <c r="P2108">
        <v>79.150000000000006</v>
      </c>
      <c r="Q2108">
        <v>204.18</v>
      </c>
      <c r="R2108">
        <v>29.77</v>
      </c>
      <c r="S2108">
        <v>17.37</v>
      </c>
      <c r="T2108">
        <v>4056.16</v>
      </c>
      <c r="U2108">
        <v>0.57999999999999996</v>
      </c>
      <c r="V2108">
        <v>0.73</v>
      </c>
      <c r="W2108">
        <v>1.1599999999999999</v>
      </c>
      <c r="X2108">
        <v>0.26</v>
      </c>
      <c r="Y2108">
        <v>1</v>
      </c>
      <c r="Z2108">
        <v>10</v>
      </c>
    </row>
    <row r="2109" spans="1:26" x14ac:dyDescent="0.3">
      <c r="A2109">
        <v>15</v>
      </c>
      <c r="B2109">
        <v>75</v>
      </c>
      <c r="C2109" t="s">
        <v>26</v>
      </c>
      <c r="D2109">
        <v>10.413399999999999</v>
      </c>
      <c r="E2109">
        <v>9.6</v>
      </c>
      <c r="F2109">
        <v>6.93</v>
      </c>
      <c r="G2109">
        <v>31.98</v>
      </c>
      <c r="H2109">
        <v>0.54</v>
      </c>
      <c r="I2109">
        <v>13</v>
      </c>
      <c r="J2109">
        <v>155.68</v>
      </c>
      <c r="K2109">
        <v>49.1</v>
      </c>
      <c r="L2109">
        <v>4.75</v>
      </c>
      <c r="M2109">
        <v>11</v>
      </c>
      <c r="N2109">
        <v>26.84</v>
      </c>
      <c r="O2109">
        <v>19434.740000000002</v>
      </c>
      <c r="P2109">
        <v>78.61</v>
      </c>
      <c r="Q2109">
        <v>204.16</v>
      </c>
      <c r="R2109">
        <v>29.35</v>
      </c>
      <c r="S2109">
        <v>17.37</v>
      </c>
      <c r="T2109">
        <v>3851.36</v>
      </c>
      <c r="U2109">
        <v>0.59</v>
      </c>
      <c r="V2109">
        <v>0.74</v>
      </c>
      <c r="W2109">
        <v>1.1499999999999999</v>
      </c>
      <c r="X2109">
        <v>0.24</v>
      </c>
      <c r="Y2109">
        <v>1</v>
      </c>
      <c r="Z2109">
        <v>10</v>
      </c>
    </row>
    <row r="2110" spans="1:26" x14ac:dyDescent="0.3">
      <c r="A2110">
        <v>16</v>
      </c>
      <c r="B2110">
        <v>75</v>
      </c>
      <c r="C2110" t="s">
        <v>26</v>
      </c>
      <c r="D2110">
        <v>10.4085</v>
      </c>
      <c r="E2110">
        <v>9.61</v>
      </c>
      <c r="F2110">
        <v>6.93</v>
      </c>
      <c r="G2110">
        <v>32</v>
      </c>
      <c r="H2110">
        <v>0.56999999999999995</v>
      </c>
      <c r="I2110">
        <v>13</v>
      </c>
      <c r="J2110">
        <v>156.03</v>
      </c>
      <c r="K2110">
        <v>49.1</v>
      </c>
      <c r="L2110">
        <v>5</v>
      </c>
      <c r="M2110">
        <v>11</v>
      </c>
      <c r="N2110">
        <v>26.94</v>
      </c>
      <c r="O2110">
        <v>19478.150000000001</v>
      </c>
      <c r="P2110">
        <v>78.41</v>
      </c>
      <c r="Q2110">
        <v>204.16</v>
      </c>
      <c r="R2110">
        <v>29.43</v>
      </c>
      <c r="S2110">
        <v>17.37</v>
      </c>
      <c r="T2110">
        <v>3891.39</v>
      </c>
      <c r="U2110">
        <v>0.59</v>
      </c>
      <c r="V2110">
        <v>0.74</v>
      </c>
      <c r="W2110">
        <v>1.1599999999999999</v>
      </c>
      <c r="X2110">
        <v>0.24</v>
      </c>
      <c r="Y2110">
        <v>1</v>
      </c>
      <c r="Z2110">
        <v>10</v>
      </c>
    </row>
    <row r="2111" spans="1:26" x14ac:dyDescent="0.3">
      <c r="A2111">
        <v>17</v>
      </c>
      <c r="B2111">
        <v>75</v>
      </c>
      <c r="C2111" t="s">
        <v>26</v>
      </c>
      <c r="D2111">
        <v>10.470599999999999</v>
      </c>
      <c r="E2111">
        <v>9.5500000000000007</v>
      </c>
      <c r="F2111">
        <v>6.91</v>
      </c>
      <c r="G2111">
        <v>34.54</v>
      </c>
      <c r="H2111">
        <v>0.59</v>
      </c>
      <c r="I2111">
        <v>12</v>
      </c>
      <c r="J2111">
        <v>156.38999999999999</v>
      </c>
      <c r="K2111">
        <v>49.1</v>
      </c>
      <c r="L2111">
        <v>5.25</v>
      </c>
      <c r="M2111">
        <v>10</v>
      </c>
      <c r="N2111">
        <v>27.04</v>
      </c>
      <c r="O2111">
        <v>19521.59</v>
      </c>
      <c r="P2111">
        <v>78.03</v>
      </c>
      <c r="Q2111">
        <v>204.14</v>
      </c>
      <c r="R2111">
        <v>28.63</v>
      </c>
      <c r="S2111">
        <v>17.37</v>
      </c>
      <c r="T2111">
        <v>3495.35</v>
      </c>
      <c r="U2111">
        <v>0.61</v>
      </c>
      <c r="V2111">
        <v>0.74</v>
      </c>
      <c r="W2111">
        <v>1.1499999999999999</v>
      </c>
      <c r="X2111">
        <v>0.22</v>
      </c>
      <c r="Y2111">
        <v>1</v>
      </c>
      <c r="Z2111">
        <v>10</v>
      </c>
    </row>
    <row r="2112" spans="1:26" x14ac:dyDescent="0.3">
      <c r="A2112">
        <v>18</v>
      </c>
      <c r="B2112">
        <v>75</v>
      </c>
      <c r="C2112" t="s">
        <v>26</v>
      </c>
      <c r="D2112">
        <v>10.47</v>
      </c>
      <c r="E2112">
        <v>9.5500000000000007</v>
      </c>
      <c r="F2112">
        <v>6.91</v>
      </c>
      <c r="G2112">
        <v>34.54</v>
      </c>
      <c r="H2112">
        <v>0.62</v>
      </c>
      <c r="I2112">
        <v>12</v>
      </c>
      <c r="J2112">
        <v>156.74</v>
      </c>
      <c r="K2112">
        <v>49.1</v>
      </c>
      <c r="L2112">
        <v>5.5</v>
      </c>
      <c r="M2112">
        <v>10</v>
      </c>
      <c r="N2112">
        <v>27.14</v>
      </c>
      <c r="O2112">
        <v>19565.07</v>
      </c>
      <c r="P2112">
        <v>77.59</v>
      </c>
      <c r="Q2112">
        <v>204.14</v>
      </c>
      <c r="R2112">
        <v>28.58</v>
      </c>
      <c r="S2112">
        <v>17.37</v>
      </c>
      <c r="T2112">
        <v>3470.93</v>
      </c>
      <c r="U2112">
        <v>0.61</v>
      </c>
      <c r="V2112">
        <v>0.74</v>
      </c>
      <c r="W2112">
        <v>1.1599999999999999</v>
      </c>
      <c r="X2112">
        <v>0.22</v>
      </c>
      <c r="Y2112">
        <v>1</v>
      </c>
      <c r="Z2112">
        <v>10</v>
      </c>
    </row>
    <row r="2113" spans="1:26" x14ac:dyDescent="0.3">
      <c r="A2113">
        <v>19</v>
      </c>
      <c r="B2113">
        <v>75</v>
      </c>
      <c r="C2113" t="s">
        <v>26</v>
      </c>
      <c r="D2113">
        <v>10.5334</v>
      </c>
      <c r="E2113">
        <v>9.49</v>
      </c>
      <c r="F2113">
        <v>6.88</v>
      </c>
      <c r="G2113">
        <v>37.53</v>
      </c>
      <c r="H2113">
        <v>0.65</v>
      </c>
      <c r="I2113">
        <v>11</v>
      </c>
      <c r="J2113">
        <v>157.09</v>
      </c>
      <c r="K2113">
        <v>49.1</v>
      </c>
      <c r="L2113">
        <v>5.75</v>
      </c>
      <c r="M2113">
        <v>9</v>
      </c>
      <c r="N2113">
        <v>27.25</v>
      </c>
      <c r="O2113">
        <v>19608.580000000002</v>
      </c>
      <c r="P2113">
        <v>77.17</v>
      </c>
      <c r="Q2113">
        <v>204.14</v>
      </c>
      <c r="R2113">
        <v>27.65</v>
      </c>
      <c r="S2113">
        <v>17.37</v>
      </c>
      <c r="T2113">
        <v>3010.85</v>
      </c>
      <c r="U2113">
        <v>0.63</v>
      </c>
      <c r="V2113">
        <v>0.74</v>
      </c>
      <c r="W2113">
        <v>1.1599999999999999</v>
      </c>
      <c r="X2113">
        <v>0.19</v>
      </c>
      <c r="Y2113">
        <v>1</v>
      </c>
      <c r="Z2113">
        <v>10</v>
      </c>
    </row>
    <row r="2114" spans="1:26" x14ac:dyDescent="0.3">
      <c r="A2114">
        <v>20</v>
      </c>
      <c r="B2114">
        <v>75</v>
      </c>
      <c r="C2114" t="s">
        <v>26</v>
      </c>
      <c r="D2114">
        <v>10.522</v>
      </c>
      <c r="E2114">
        <v>9.5</v>
      </c>
      <c r="F2114">
        <v>6.89</v>
      </c>
      <c r="G2114">
        <v>37.590000000000003</v>
      </c>
      <c r="H2114">
        <v>0.67</v>
      </c>
      <c r="I2114">
        <v>11</v>
      </c>
      <c r="J2114">
        <v>157.44</v>
      </c>
      <c r="K2114">
        <v>49.1</v>
      </c>
      <c r="L2114">
        <v>6</v>
      </c>
      <c r="M2114">
        <v>9</v>
      </c>
      <c r="N2114">
        <v>27.35</v>
      </c>
      <c r="O2114">
        <v>19652.13</v>
      </c>
      <c r="P2114">
        <v>76.91</v>
      </c>
      <c r="Q2114">
        <v>204.15</v>
      </c>
      <c r="R2114">
        <v>27.94</v>
      </c>
      <c r="S2114">
        <v>17.37</v>
      </c>
      <c r="T2114">
        <v>3155.06</v>
      </c>
      <c r="U2114">
        <v>0.62</v>
      </c>
      <c r="V2114">
        <v>0.74</v>
      </c>
      <c r="W2114">
        <v>1.1599999999999999</v>
      </c>
      <c r="X2114">
        <v>0.2</v>
      </c>
      <c r="Y2114">
        <v>1</v>
      </c>
      <c r="Z2114">
        <v>10</v>
      </c>
    </row>
    <row r="2115" spans="1:26" x14ac:dyDescent="0.3">
      <c r="A2115">
        <v>21</v>
      </c>
      <c r="B2115">
        <v>75</v>
      </c>
      <c r="C2115" t="s">
        <v>26</v>
      </c>
      <c r="D2115">
        <v>10.5814</v>
      </c>
      <c r="E2115">
        <v>9.4499999999999993</v>
      </c>
      <c r="F2115">
        <v>6.87</v>
      </c>
      <c r="G2115">
        <v>41.21</v>
      </c>
      <c r="H2115">
        <v>0.7</v>
      </c>
      <c r="I2115">
        <v>10</v>
      </c>
      <c r="J2115">
        <v>157.80000000000001</v>
      </c>
      <c r="K2115">
        <v>49.1</v>
      </c>
      <c r="L2115">
        <v>6.25</v>
      </c>
      <c r="M2115">
        <v>8</v>
      </c>
      <c r="N2115">
        <v>27.45</v>
      </c>
      <c r="O2115">
        <v>19695.71</v>
      </c>
      <c r="P2115">
        <v>76.33</v>
      </c>
      <c r="Q2115">
        <v>204.18</v>
      </c>
      <c r="R2115">
        <v>27.39</v>
      </c>
      <c r="S2115">
        <v>17.37</v>
      </c>
      <c r="T2115">
        <v>2888.12</v>
      </c>
      <c r="U2115">
        <v>0.63</v>
      </c>
      <c r="V2115">
        <v>0.74</v>
      </c>
      <c r="W2115">
        <v>1.1499999999999999</v>
      </c>
      <c r="X2115">
        <v>0.18</v>
      </c>
      <c r="Y2115">
        <v>1</v>
      </c>
      <c r="Z2115">
        <v>10</v>
      </c>
    </row>
    <row r="2116" spans="1:26" x14ac:dyDescent="0.3">
      <c r="A2116">
        <v>22</v>
      </c>
      <c r="B2116">
        <v>75</v>
      </c>
      <c r="C2116" t="s">
        <v>26</v>
      </c>
      <c r="D2116">
        <v>10.584199999999999</v>
      </c>
      <c r="E2116">
        <v>9.4499999999999993</v>
      </c>
      <c r="F2116">
        <v>6.87</v>
      </c>
      <c r="G2116">
        <v>41.2</v>
      </c>
      <c r="H2116">
        <v>0.73</v>
      </c>
      <c r="I2116">
        <v>10</v>
      </c>
      <c r="J2116">
        <v>158.15</v>
      </c>
      <c r="K2116">
        <v>49.1</v>
      </c>
      <c r="L2116">
        <v>6.5</v>
      </c>
      <c r="M2116">
        <v>8</v>
      </c>
      <c r="N2116">
        <v>27.56</v>
      </c>
      <c r="O2116">
        <v>19739.330000000002</v>
      </c>
      <c r="P2116">
        <v>76.319999999999993</v>
      </c>
      <c r="Q2116">
        <v>204.14</v>
      </c>
      <c r="R2116">
        <v>27.27</v>
      </c>
      <c r="S2116">
        <v>17.37</v>
      </c>
      <c r="T2116">
        <v>2827.12</v>
      </c>
      <c r="U2116">
        <v>0.64</v>
      </c>
      <c r="V2116">
        <v>0.74</v>
      </c>
      <c r="W2116">
        <v>1.1499999999999999</v>
      </c>
      <c r="X2116">
        <v>0.17</v>
      </c>
      <c r="Y2116">
        <v>1</v>
      </c>
      <c r="Z2116">
        <v>10</v>
      </c>
    </row>
    <row r="2117" spans="1:26" x14ac:dyDescent="0.3">
      <c r="A2117">
        <v>23</v>
      </c>
      <c r="B2117">
        <v>75</v>
      </c>
      <c r="C2117" t="s">
        <v>26</v>
      </c>
      <c r="D2117">
        <v>10.648099999999999</v>
      </c>
      <c r="E2117">
        <v>9.39</v>
      </c>
      <c r="F2117">
        <v>6.84</v>
      </c>
      <c r="G2117">
        <v>45.6</v>
      </c>
      <c r="H2117">
        <v>0.75</v>
      </c>
      <c r="I2117">
        <v>9</v>
      </c>
      <c r="J2117">
        <v>158.51</v>
      </c>
      <c r="K2117">
        <v>49.1</v>
      </c>
      <c r="L2117">
        <v>6.75</v>
      </c>
      <c r="M2117">
        <v>7</v>
      </c>
      <c r="N2117">
        <v>27.66</v>
      </c>
      <c r="O2117">
        <v>19782.990000000002</v>
      </c>
      <c r="P2117">
        <v>75.44</v>
      </c>
      <c r="Q2117">
        <v>204.15</v>
      </c>
      <c r="R2117">
        <v>26.51</v>
      </c>
      <c r="S2117">
        <v>17.37</v>
      </c>
      <c r="T2117">
        <v>2451.61</v>
      </c>
      <c r="U2117">
        <v>0.66</v>
      </c>
      <c r="V2117">
        <v>0.75</v>
      </c>
      <c r="W2117">
        <v>1.1499999999999999</v>
      </c>
      <c r="X2117">
        <v>0.15</v>
      </c>
      <c r="Y2117">
        <v>1</v>
      </c>
      <c r="Z2117">
        <v>10</v>
      </c>
    </row>
    <row r="2118" spans="1:26" x14ac:dyDescent="0.3">
      <c r="A2118">
        <v>24</v>
      </c>
      <c r="B2118">
        <v>75</v>
      </c>
      <c r="C2118" t="s">
        <v>26</v>
      </c>
      <c r="D2118">
        <v>10.624499999999999</v>
      </c>
      <c r="E2118">
        <v>9.41</v>
      </c>
      <c r="F2118">
        <v>6.86</v>
      </c>
      <c r="G2118">
        <v>45.74</v>
      </c>
      <c r="H2118">
        <v>0.78</v>
      </c>
      <c r="I2118">
        <v>9</v>
      </c>
      <c r="J2118">
        <v>158.86000000000001</v>
      </c>
      <c r="K2118">
        <v>49.1</v>
      </c>
      <c r="L2118">
        <v>7</v>
      </c>
      <c r="M2118">
        <v>7</v>
      </c>
      <c r="N2118">
        <v>27.77</v>
      </c>
      <c r="O2118">
        <v>19826.68</v>
      </c>
      <c r="P2118">
        <v>75.989999999999995</v>
      </c>
      <c r="Q2118">
        <v>204.18</v>
      </c>
      <c r="R2118">
        <v>27.15</v>
      </c>
      <c r="S2118">
        <v>17.37</v>
      </c>
      <c r="T2118">
        <v>2772.48</v>
      </c>
      <c r="U2118">
        <v>0.64</v>
      </c>
      <c r="V2118">
        <v>0.74</v>
      </c>
      <c r="W2118">
        <v>1.1499999999999999</v>
      </c>
      <c r="X2118">
        <v>0.17</v>
      </c>
      <c r="Y2118">
        <v>1</v>
      </c>
      <c r="Z2118">
        <v>10</v>
      </c>
    </row>
    <row r="2119" spans="1:26" x14ac:dyDescent="0.3">
      <c r="A2119">
        <v>25</v>
      </c>
      <c r="B2119">
        <v>75</v>
      </c>
      <c r="C2119" t="s">
        <v>26</v>
      </c>
      <c r="D2119">
        <v>10.631399999999999</v>
      </c>
      <c r="E2119">
        <v>9.41</v>
      </c>
      <c r="F2119">
        <v>6.85</v>
      </c>
      <c r="G2119">
        <v>45.7</v>
      </c>
      <c r="H2119">
        <v>0.81</v>
      </c>
      <c r="I2119">
        <v>9</v>
      </c>
      <c r="J2119">
        <v>159.22</v>
      </c>
      <c r="K2119">
        <v>49.1</v>
      </c>
      <c r="L2119">
        <v>7.25</v>
      </c>
      <c r="M2119">
        <v>7</v>
      </c>
      <c r="N2119">
        <v>27.87</v>
      </c>
      <c r="O2119">
        <v>19870.53</v>
      </c>
      <c r="P2119">
        <v>75.709999999999994</v>
      </c>
      <c r="Q2119">
        <v>204.14</v>
      </c>
      <c r="R2119">
        <v>26.93</v>
      </c>
      <c r="S2119">
        <v>17.37</v>
      </c>
      <c r="T2119">
        <v>2664.75</v>
      </c>
      <c r="U2119">
        <v>0.65</v>
      </c>
      <c r="V2119">
        <v>0.74</v>
      </c>
      <c r="W2119">
        <v>1.1499999999999999</v>
      </c>
      <c r="X2119">
        <v>0.16</v>
      </c>
      <c r="Y2119">
        <v>1</v>
      </c>
      <c r="Z2119">
        <v>10</v>
      </c>
    </row>
    <row r="2120" spans="1:26" x14ac:dyDescent="0.3">
      <c r="A2120">
        <v>26</v>
      </c>
      <c r="B2120">
        <v>75</v>
      </c>
      <c r="C2120" t="s">
        <v>26</v>
      </c>
      <c r="D2120">
        <v>10.6257</v>
      </c>
      <c r="E2120">
        <v>9.41</v>
      </c>
      <c r="F2120">
        <v>6.86</v>
      </c>
      <c r="G2120">
        <v>45.73</v>
      </c>
      <c r="H2120">
        <v>0.83</v>
      </c>
      <c r="I2120">
        <v>9</v>
      </c>
      <c r="J2120">
        <v>159.57</v>
      </c>
      <c r="K2120">
        <v>49.1</v>
      </c>
      <c r="L2120">
        <v>7.5</v>
      </c>
      <c r="M2120">
        <v>7</v>
      </c>
      <c r="N2120">
        <v>27.98</v>
      </c>
      <c r="O2120">
        <v>19914.3</v>
      </c>
      <c r="P2120">
        <v>75.319999999999993</v>
      </c>
      <c r="Q2120">
        <v>204.15</v>
      </c>
      <c r="R2120">
        <v>27.1</v>
      </c>
      <c r="S2120">
        <v>17.37</v>
      </c>
      <c r="T2120">
        <v>2746.04</v>
      </c>
      <c r="U2120">
        <v>0.64</v>
      </c>
      <c r="V2120">
        <v>0.74</v>
      </c>
      <c r="W2120">
        <v>1.1499999999999999</v>
      </c>
      <c r="X2120">
        <v>0.17</v>
      </c>
      <c r="Y2120">
        <v>1</v>
      </c>
      <c r="Z2120">
        <v>10</v>
      </c>
    </row>
    <row r="2121" spans="1:26" x14ac:dyDescent="0.3">
      <c r="A2121">
        <v>27</v>
      </c>
      <c r="B2121">
        <v>75</v>
      </c>
      <c r="C2121" t="s">
        <v>26</v>
      </c>
      <c r="D2121">
        <v>10.7035</v>
      </c>
      <c r="E2121">
        <v>9.34</v>
      </c>
      <c r="F2121">
        <v>6.82</v>
      </c>
      <c r="G2121">
        <v>51.16</v>
      </c>
      <c r="H2121">
        <v>0.86</v>
      </c>
      <c r="I2121">
        <v>8</v>
      </c>
      <c r="J2121">
        <v>159.91999999999999</v>
      </c>
      <c r="K2121">
        <v>49.1</v>
      </c>
      <c r="L2121">
        <v>7.75</v>
      </c>
      <c r="M2121">
        <v>6</v>
      </c>
      <c r="N2121">
        <v>28.08</v>
      </c>
      <c r="O2121">
        <v>19958.099999999999</v>
      </c>
      <c r="P2121">
        <v>74.61</v>
      </c>
      <c r="Q2121">
        <v>204.14</v>
      </c>
      <c r="R2121">
        <v>25.97</v>
      </c>
      <c r="S2121">
        <v>17.37</v>
      </c>
      <c r="T2121">
        <v>2185.33</v>
      </c>
      <c r="U2121">
        <v>0.67</v>
      </c>
      <c r="V2121">
        <v>0.75</v>
      </c>
      <c r="W2121">
        <v>1.1499999999999999</v>
      </c>
      <c r="X2121">
        <v>0.13</v>
      </c>
      <c r="Y2121">
        <v>1</v>
      </c>
      <c r="Z2121">
        <v>10</v>
      </c>
    </row>
    <row r="2122" spans="1:26" x14ac:dyDescent="0.3">
      <c r="A2122">
        <v>28</v>
      </c>
      <c r="B2122">
        <v>75</v>
      </c>
      <c r="C2122" t="s">
        <v>26</v>
      </c>
      <c r="D2122">
        <v>10.701499999999999</v>
      </c>
      <c r="E2122">
        <v>9.34</v>
      </c>
      <c r="F2122">
        <v>6.82</v>
      </c>
      <c r="G2122">
        <v>51.18</v>
      </c>
      <c r="H2122">
        <v>0.88</v>
      </c>
      <c r="I2122">
        <v>8</v>
      </c>
      <c r="J2122">
        <v>160.28</v>
      </c>
      <c r="K2122">
        <v>49.1</v>
      </c>
      <c r="L2122">
        <v>8</v>
      </c>
      <c r="M2122">
        <v>6</v>
      </c>
      <c r="N2122">
        <v>28.19</v>
      </c>
      <c r="O2122">
        <v>20001.93</v>
      </c>
      <c r="P2122">
        <v>74.31</v>
      </c>
      <c r="Q2122">
        <v>204.19</v>
      </c>
      <c r="R2122">
        <v>25.9</v>
      </c>
      <c r="S2122">
        <v>17.37</v>
      </c>
      <c r="T2122">
        <v>2151.9699999999998</v>
      </c>
      <c r="U2122">
        <v>0.67</v>
      </c>
      <c r="V2122">
        <v>0.75</v>
      </c>
      <c r="W2122">
        <v>1.1499999999999999</v>
      </c>
      <c r="X2122">
        <v>0.13</v>
      </c>
      <c r="Y2122">
        <v>1</v>
      </c>
      <c r="Z2122">
        <v>10</v>
      </c>
    </row>
    <row r="2123" spans="1:26" x14ac:dyDescent="0.3">
      <c r="A2123">
        <v>29</v>
      </c>
      <c r="B2123">
        <v>75</v>
      </c>
      <c r="C2123" t="s">
        <v>26</v>
      </c>
      <c r="D2123">
        <v>10.6942</v>
      </c>
      <c r="E2123">
        <v>9.35</v>
      </c>
      <c r="F2123">
        <v>6.83</v>
      </c>
      <c r="G2123">
        <v>51.23</v>
      </c>
      <c r="H2123">
        <v>0.91</v>
      </c>
      <c r="I2123">
        <v>8</v>
      </c>
      <c r="J2123">
        <v>160.63999999999999</v>
      </c>
      <c r="K2123">
        <v>49.1</v>
      </c>
      <c r="L2123">
        <v>8.25</v>
      </c>
      <c r="M2123">
        <v>6</v>
      </c>
      <c r="N2123">
        <v>28.29</v>
      </c>
      <c r="O2123">
        <v>20045.810000000001</v>
      </c>
      <c r="P2123">
        <v>74.06</v>
      </c>
      <c r="Q2123">
        <v>204.15</v>
      </c>
      <c r="R2123">
        <v>26.12</v>
      </c>
      <c r="S2123">
        <v>17.37</v>
      </c>
      <c r="T2123">
        <v>2260.7800000000002</v>
      </c>
      <c r="U2123">
        <v>0.67</v>
      </c>
      <c r="V2123">
        <v>0.75</v>
      </c>
      <c r="W2123">
        <v>1.1499999999999999</v>
      </c>
      <c r="X2123">
        <v>0.14000000000000001</v>
      </c>
      <c r="Y2123">
        <v>1</v>
      </c>
      <c r="Z2123">
        <v>10</v>
      </c>
    </row>
    <row r="2124" spans="1:26" x14ac:dyDescent="0.3">
      <c r="A2124">
        <v>30</v>
      </c>
      <c r="B2124">
        <v>75</v>
      </c>
      <c r="C2124" t="s">
        <v>26</v>
      </c>
      <c r="D2124">
        <v>10.694599999999999</v>
      </c>
      <c r="E2124">
        <v>9.35</v>
      </c>
      <c r="F2124">
        <v>6.83</v>
      </c>
      <c r="G2124">
        <v>51.22</v>
      </c>
      <c r="H2124">
        <v>0.94</v>
      </c>
      <c r="I2124">
        <v>8</v>
      </c>
      <c r="J2124">
        <v>160.99</v>
      </c>
      <c r="K2124">
        <v>49.1</v>
      </c>
      <c r="L2124">
        <v>8.5</v>
      </c>
      <c r="M2124">
        <v>6</v>
      </c>
      <c r="N2124">
        <v>28.4</v>
      </c>
      <c r="O2124">
        <v>20089.72</v>
      </c>
      <c r="P2124">
        <v>73.86</v>
      </c>
      <c r="Q2124">
        <v>204.14</v>
      </c>
      <c r="R2124">
        <v>26.12</v>
      </c>
      <c r="S2124">
        <v>17.37</v>
      </c>
      <c r="T2124">
        <v>2264.2199999999998</v>
      </c>
      <c r="U2124">
        <v>0.67</v>
      </c>
      <c r="V2124">
        <v>0.75</v>
      </c>
      <c r="W2124">
        <v>1.1499999999999999</v>
      </c>
      <c r="X2124">
        <v>0.14000000000000001</v>
      </c>
      <c r="Y2124">
        <v>1</v>
      </c>
      <c r="Z2124">
        <v>10</v>
      </c>
    </row>
    <row r="2125" spans="1:26" x14ac:dyDescent="0.3">
      <c r="A2125">
        <v>31</v>
      </c>
      <c r="B2125">
        <v>75</v>
      </c>
      <c r="C2125" t="s">
        <v>26</v>
      </c>
      <c r="D2125">
        <v>10.7591</v>
      </c>
      <c r="E2125">
        <v>9.2899999999999991</v>
      </c>
      <c r="F2125">
        <v>6.8</v>
      </c>
      <c r="G2125">
        <v>58.32</v>
      </c>
      <c r="H2125">
        <v>0.96</v>
      </c>
      <c r="I2125">
        <v>7</v>
      </c>
      <c r="J2125">
        <v>161.35</v>
      </c>
      <c r="K2125">
        <v>49.1</v>
      </c>
      <c r="L2125">
        <v>8.75</v>
      </c>
      <c r="M2125">
        <v>5</v>
      </c>
      <c r="N2125">
        <v>28.5</v>
      </c>
      <c r="O2125">
        <v>20133.66</v>
      </c>
      <c r="P2125">
        <v>73.06</v>
      </c>
      <c r="Q2125">
        <v>204.14</v>
      </c>
      <c r="R2125">
        <v>25.29</v>
      </c>
      <c r="S2125">
        <v>17.37</v>
      </c>
      <c r="T2125">
        <v>1851.75</v>
      </c>
      <c r="U2125">
        <v>0.69</v>
      </c>
      <c r="V2125">
        <v>0.75</v>
      </c>
      <c r="W2125">
        <v>1.1499999999999999</v>
      </c>
      <c r="X2125">
        <v>0.11</v>
      </c>
      <c r="Y2125">
        <v>1</v>
      </c>
      <c r="Z2125">
        <v>10</v>
      </c>
    </row>
    <row r="2126" spans="1:26" x14ac:dyDescent="0.3">
      <c r="A2126">
        <v>32</v>
      </c>
      <c r="B2126">
        <v>75</v>
      </c>
      <c r="C2126" t="s">
        <v>26</v>
      </c>
      <c r="D2126">
        <v>10.7514</v>
      </c>
      <c r="E2126">
        <v>9.3000000000000007</v>
      </c>
      <c r="F2126">
        <v>6.81</v>
      </c>
      <c r="G2126">
        <v>58.38</v>
      </c>
      <c r="H2126">
        <v>0.99</v>
      </c>
      <c r="I2126">
        <v>7</v>
      </c>
      <c r="J2126">
        <v>161.71</v>
      </c>
      <c r="K2126">
        <v>49.1</v>
      </c>
      <c r="L2126">
        <v>9</v>
      </c>
      <c r="M2126">
        <v>5</v>
      </c>
      <c r="N2126">
        <v>28.61</v>
      </c>
      <c r="O2126">
        <v>20177.64</v>
      </c>
      <c r="P2126">
        <v>73.37</v>
      </c>
      <c r="Q2126">
        <v>204.2</v>
      </c>
      <c r="R2126">
        <v>25.58</v>
      </c>
      <c r="S2126">
        <v>17.37</v>
      </c>
      <c r="T2126">
        <v>1997.19</v>
      </c>
      <c r="U2126">
        <v>0.68</v>
      </c>
      <c r="V2126">
        <v>0.75</v>
      </c>
      <c r="W2126">
        <v>1.1499999999999999</v>
      </c>
      <c r="X2126">
        <v>0.12</v>
      </c>
      <c r="Y2126">
        <v>1</v>
      </c>
      <c r="Z2126">
        <v>10</v>
      </c>
    </row>
    <row r="2127" spans="1:26" x14ac:dyDescent="0.3">
      <c r="A2127">
        <v>33</v>
      </c>
      <c r="B2127">
        <v>75</v>
      </c>
      <c r="C2127" t="s">
        <v>26</v>
      </c>
      <c r="D2127">
        <v>10.754899999999999</v>
      </c>
      <c r="E2127">
        <v>9.3000000000000007</v>
      </c>
      <c r="F2127">
        <v>6.81</v>
      </c>
      <c r="G2127">
        <v>58.35</v>
      </c>
      <c r="H2127">
        <v>1.01</v>
      </c>
      <c r="I2127">
        <v>7</v>
      </c>
      <c r="J2127">
        <v>162.06</v>
      </c>
      <c r="K2127">
        <v>49.1</v>
      </c>
      <c r="L2127">
        <v>9.25</v>
      </c>
      <c r="M2127">
        <v>5</v>
      </c>
      <c r="N2127">
        <v>28.72</v>
      </c>
      <c r="O2127">
        <v>20221.66</v>
      </c>
      <c r="P2127">
        <v>73.400000000000006</v>
      </c>
      <c r="Q2127">
        <v>204.14</v>
      </c>
      <c r="R2127">
        <v>25.5</v>
      </c>
      <c r="S2127">
        <v>17.37</v>
      </c>
      <c r="T2127">
        <v>1957.77</v>
      </c>
      <c r="U2127">
        <v>0.68</v>
      </c>
      <c r="V2127">
        <v>0.75</v>
      </c>
      <c r="W2127">
        <v>1.1499999999999999</v>
      </c>
      <c r="X2127">
        <v>0.12</v>
      </c>
      <c r="Y2127">
        <v>1</v>
      </c>
      <c r="Z2127">
        <v>10</v>
      </c>
    </row>
    <row r="2128" spans="1:26" x14ac:dyDescent="0.3">
      <c r="A2128">
        <v>34</v>
      </c>
      <c r="B2128">
        <v>75</v>
      </c>
      <c r="C2128" t="s">
        <v>26</v>
      </c>
      <c r="D2128">
        <v>10.755599999999999</v>
      </c>
      <c r="E2128">
        <v>9.3000000000000007</v>
      </c>
      <c r="F2128">
        <v>6.81</v>
      </c>
      <c r="G2128">
        <v>58.35</v>
      </c>
      <c r="H2128">
        <v>1.04</v>
      </c>
      <c r="I2128">
        <v>7</v>
      </c>
      <c r="J2128">
        <v>162.41999999999999</v>
      </c>
      <c r="K2128">
        <v>49.1</v>
      </c>
      <c r="L2128">
        <v>9.5</v>
      </c>
      <c r="M2128">
        <v>5</v>
      </c>
      <c r="N2128">
        <v>28.82</v>
      </c>
      <c r="O2128">
        <v>20265.72</v>
      </c>
      <c r="P2128">
        <v>73.2</v>
      </c>
      <c r="Q2128">
        <v>204.14</v>
      </c>
      <c r="R2128">
        <v>25.52</v>
      </c>
      <c r="S2128">
        <v>17.37</v>
      </c>
      <c r="T2128">
        <v>1966</v>
      </c>
      <c r="U2128">
        <v>0.68</v>
      </c>
      <c r="V2128">
        <v>0.75</v>
      </c>
      <c r="W2128">
        <v>1.1499999999999999</v>
      </c>
      <c r="X2128">
        <v>0.12</v>
      </c>
      <c r="Y2128">
        <v>1</v>
      </c>
      <c r="Z2128">
        <v>10</v>
      </c>
    </row>
    <row r="2129" spans="1:26" x14ac:dyDescent="0.3">
      <c r="A2129">
        <v>35</v>
      </c>
      <c r="B2129">
        <v>75</v>
      </c>
      <c r="C2129" t="s">
        <v>26</v>
      </c>
      <c r="D2129">
        <v>10.7524</v>
      </c>
      <c r="E2129">
        <v>9.3000000000000007</v>
      </c>
      <c r="F2129">
        <v>6.81</v>
      </c>
      <c r="G2129">
        <v>58.37</v>
      </c>
      <c r="H2129">
        <v>1.06</v>
      </c>
      <c r="I2129">
        <v>7</v>
      </c>
      <c r="J2129">
        <v>162.78</v>
      </c>
      <c r="K2129">
        <v>49.1</v>
      </c>
      <c r="L2129">
        <v>9.75</v>
      </c>
      <c r="M2129">
        <v>5</v>
      </c>
      <c r="N2129">
        <v>28.93</v>
      </c>
      <c r="O2129">
        <v>20309.810000000001</v>
      </c>
      <c r="P2129">
        <v>72.77</v>
      </c>
      <c r="Q2129">
        <v>204.14</v>
      </c>
      <c r="R2129">
        <v>25.58</v>
      </c>
      <c r="S2129">
        <v>17.37</v>
      </c>
      <c r="T2129">
        <v>1997.77</v>
      </c>
      <c r="U2129">
        <v>0.68</v>
      </c>
      <c r="V2129">
        <v>0.75</v>
      </c>
      <c r="W2129">
        <v>1.1499999999999999</v>
      </c>
      <c r="X2129">
        <v>0.12</v>
      </c>
      <c r="Y2129">
        <v>1</v>
      </c>
      <c r="Z2129">
        <v>10</v>
      </c>
    </row>
    <row r="2130" spans="1:26" x14ac:dyDescent="0.3">
      <c r="A2130">
        <v>36</v>
      </c>
      <c r="B2130">
        <v>75</v>
      </c>
      <c r="C2130" t="s">
        <v>26</v>
      </c>
      <c r="D2130">
        <v>10.7424</v>
      </c>
      <c r="E2130">
        <v>9.31</v>
      </c>
      <c r="F2130">
        <v>6.82</v>
      </c>
      <c r="G2130">
        <v>58.45</v>
      </c>
      <c r="H2130">
        <v>1.0900000000000001</v>
      </c>
      <c r="I2130">
        <v>7</v>
      </c>
      <c r="J2130">
        <v>163.13</v>
      </c>
      <c r="K2130">
        <v>49.1</v>
      </c>
      <c r="L2130">
        <v>10</v>
      </c>
      <c r="M2130">
        <v>5</v>
      </c>
      <c r="N2130">
        <v>29.04</v>
      </c>
      <c r="O2130">
        <v>20353.939999999999</v>
      </c>
      <c r="P2130">
        <v>72.510000000000005</v>
      </c>
      <c r="Q2130">
        <v>204.15</v>
      </c>
      <c r="R2130">
        <v>25.76</v>
      </c>
      <c r="S2130">
        <v>17.37</v>
      </c>
      <c r="T2130">
        <v>2088.4299999999998</v>
      </c>
      <c r="U2130">
        <v>0.67</v>
      </c>
      <c r="V2130">
        <v>0.75</v>
      </c>
      <c r="W2130">
        <v>1.1499999999999999</v>
      </c>
      <c r="X2130">
        <v>0.13</v>
      </c>
      <c r="Y2130">
        <v>1</v>
      </c>
      <c r="Z2130">
        <v>10</v>
      </c>
    </row>
    <row r="2131" spans="1:26" x14ac:dyDescent="0.3">
      <c r="A2131">
        <v>37</v>
      </c>
      <c r="B2131">
        <v>75</v>
      </c>
      <c r="C2131" t="s">
        <v>26</v>
      </c>
      <c r="D2131">
        <v>10.817600000000001</v>
      </c>
      <c r="E2131">
        <v>9.24</v>
      </c>
      <c r="F2131">
        <v>6.78</v>
      </c>
      <c r="G2131">
        <v>67.84</v>
      </c>
      <c r="H2131">
        <v>1.1100000000000001</v>
      </c>
      <c r="I2131">
        <v>6</v>
      </c>
      <c r="J2131">
        <v>163.49</v>
      </c>
      <c r="K2131">
        <v>49.1</v>
      </c>
      <c r="L2131">
        <v>10.25</v>
      </c>
      <c r="M2131">
        <v>4</v>
      </c>
      <c r="N2131">
        <v>29.15</v>
      </c>
      <c r="O2131">
        <v>20398.099999999999</v>
      </c>
      <c r="P2131">
        <v>71.569999999999993</v>
      </c>
      <c r="Q2131">
        <v>204.15</v>
      </c>
      <c r="R2131">
        <v>24.75</v>
      </c>
      <c r="S2131">
        <v>17.37</v>
      </c>
      <c r="T2131">
        <v>1589.55</v>
      </c>
      <c r="U2131">
        <v>0.7</v>
      </c>
      <c r="V2131">
        <v>0.75</v>
      </c>
      <c r="W2131">
        <v>1.1499999999999999</v>
      </c>
      <c r="X2131">
        <v>0.09</v>
      </c>
      <c r="Y2131">
        <v>1</v>
      </c>
      <c r="Z2131">
        <v>10</v>
      </c>
    </row>
    <row r="2132" spans="1:26" x14ac:dyDescent="0.3">
      <c r="A2132">
        <v>38</v>
      </c>
      <c r="B2132">
        <v>75</v>
      </c>
      <c r="C2132" t="s">
        <v>26</v>
      </c>
      <c r="D2132">
        <v>10.818300000000001</v>
      </c>
      <c r="E2132">
        <v>9.24</v>
      </c>
      <c r="F2132">
        <v>6.78</v>
      </c>
      <c r="G2132">
        <v>67.84</v>
      </c>
      <c r="H2132">
        <v>1.1399999999999999</v>
      </c>
      <c r="I2132">
        <v>6</v>
      </c>
      <c r="J2132">
        <v>163.85</v>
      </c>
      <c r="K2132">
        <v>49.1</v>
      </c>
      <c r="L2132">
        <v>10.5</v>
      </c>
      <c r="M2132">
        <v>4</v>
      </c>
      <c r="N2132">
        <v>29.26</v>
      </c>
      <c r="O2132">
        <v>20442.3</v>
      </c>
      <c r="P2132">
        <v>71.510000000000005</v>
      </c>
      <c r="Q2132">
        <v>204.14</v>
      </c>
      <c r="R2132">
        <v>24.83</v>
      </c>
      <c r="S2132">
        <v>17.37</v>
      </c>
      <c r="T2132">
        <v>1628.61</v>
      </c>
      <c r="U2132">
        <v>0.7</v>
      </c>
      <c r="V2132">
        <v>0.75</v>
      </c>
      <c r="W2132">
        <v>1.1399999999999999</v>
      </c>
      <c r="X2132">
        <v>0.09</v>
      </c>
      <c r="Y2132">
        <v>1</v>
      </c>
      <c r="Z2132">
        <v>10</v>
      </c>
    </row>
    <row r="2133" spans="1:26" x14ac:dyDescent="0.3">
      <c r="A2133">
        <v>39</v>
      </c>
      <c r="B2133">
        <v>75</v>
      </c>
      <c r="C2133" t="s">
        <v>26</v>
      </c>
      <c r="D2133">
        <v>10.8131</v>
      </c>
      <c r="E2133">
        <v>9.25</v>
      </c>
      <c r="F2133">
        <v>6.79</v>
      </c>
      <c r="G2133">
        <v>67.88</v>
      </c>
      <c r="H2133">
        <v>1.1599999999999999</v>
      </c>
      <c r="I2133">
        <v>6</v>
      </c>
      <c r="J2133">
        <v>164.21</v>
      </c>
      <c r="K2133">
        <v>49.1</v>
      </c>
      <c r="L2133">
        <v>10.75</v>
      </c>
      <c r="M2133">
        <v>4</v>
      </c>
      <c r="N2133">
        <v>29.36</v>
      </c>
      <c r="O2133">
        <v>20486.54</v>
      </c>
      <c r="P2133">
        <v>71.63</v>
      </c>
      <c r="Q2133">
        <v>204.14</v>
      </c>
      <c r="R2133">
        <v>24.86</v>
      </c>
      <c r="S2133">
        <v>17.37</v>
      </c>
      <c r="T2133">
        <v>1640.72</v>
      </c>
      <c r="U2133">
        <v>0.7</v>
      </c>
      <c r="V2133">
        <v>0.75</v>
      </c>
      <c r="W2133">
        <v>1.1499999999999999</v>
      </c>
      <c r="X2133">
        <v>0.1</v>
      </c>
      <c r="Y2133">
        <v>1</v>
      </c>
      <c r="Z2133">
        <v>10</v>
      </c>
    </row>
    <row r="2134" spans="1:26" x14ac:dyDescent="0.3">
      <c r="A2134">
        <v>40</v>
      </c>
      <c r="B2134">
        <v>75</v>
      </c>
      <c r="C2134" t="s">
        <v>26</v>
      </c>
      <c r="D2134">
        <v>10.816000000000001</v>
      </c>
      <c r="E2134">
        <v>9.25</v>
      </c>
      <c r="F2134">
        <v>6.79</v>
      </c>
      <c r="G2134">
        <v>67.86</v>
      </c>
      <c r="H2134">
        <v>1.18</v>
      </c>
      <c r="I2134">
        <v>6</v>
      </c>
      <c r="J2134">
        <v>164.57</v>
      </c>
      <c r="K2134">
        <v>49.1</v>
      </c>
      <c r="L2134">
        <v>11</v>
      </c>
      <c r="M2134">
        <v>4</v>
      </c>
      <c r="N2134">
        <v>29.47</v>
      </c>
      <c r="O2134">
        <v>20530.82</v>
      </c>
      <c r="P2134">
        <v>71.540000000000006</v>
      </c>
      <c r="Q2134">
        <v>204.14</v>
      </c>
      <c r="R2134">
        <v>24.75</v>
      </c>
      <c r="S2134">
        <v>17.37</v>
      </c>
      <c r="T2134">
        <v>1586.03</v>
      </c>
      <c r="U2134">
        <v>0.7</v>
      </c>
      <c r="V2134">
        <v>0.75</v>
      </c>
      <c r="W2134">
        <v>1.1499999999999999</v>
      </c>
      <c r="X2134">
        <v>0.09</v>
      </c>
      <c r="Y2134">
        <v>1</v>
      </c>
      <c r="Z2134">
        <v>10</v>
      </c>
    </row>
    <row r="2135" spans="1:26" x14ac:dyDescent="0.3">
      <c r="A2135">
        <v>41</v>
      </c>
      <c r="B2135">
        <v>75</v>
      </c>
      <c r="C2135" t="s">
        <v>26</v>
      </c>
      <c r="D2135">
        <v>10.818300000000001</v>
      </c>
      <c r="E2135">
        <v>9.24</v>
      </c>
      <c r="F2135">
        <v>6.78</v>
      </c>
      <c r="G2135">
        <v>67.84</v>
      </c>
      <c r="H2135">
        <v>1.21</v>
      </c>
      <c r="I2135">
        <v>6</v>
      </c>
      <c r="J2135">
        <v>164.93</v>
      </c>
      <c r="K2135">
        <v>49.1</v>
      </c>
      <c r="L2135">
        <v>11.25</v>
      </c>
      <c r="M2135">
        <v>4</v>
      </c>
      <c r="N2135">
        <v>29.58</v>
      </c>
      <c r="O2135">
        <v>20575.13</v>
      </c>
      <c r="P2135">
        <v>71.02</v>
      </c>
      <c r="Q2135">
        <v>204.15</v>
      </c>
      <c r="R2135">
        <v>24.62</v>
      </c>
      <c r="S2135">
        <v>17.37</v>
      </c>
      <c r="T2135">
        <v>1521.82</v>
      </c>
      <c r="U2135">
        <v>0.71</v>
      </c>
      <c r="V2135">
        <v>0.75</v>
      </c>
      <c r="W2135">
        <v>1.1499999999999999</v>
      </c>
      <c r="X2135">
        <v>0.09</v>
      </c>
      <c r="Y2135">
        <v>1</v>
      </c>
      <c r="Z2135">
        <v>10</v>
      </c>
    </row>
    <row r="2136" spans="1:26" x14ac:dyDescent="0.3">
      <c r="A2136">
        <v>42</v>
      </c>
      <c r="B2136">
        <v>75</v>
      </c>
      <c r="C2136" t="s">
        <v>26</v>
      </c>
      <c r="D2136">
        <v>10.8095</v>
      </c>
      <c r="E2136">
        <v>9.25</v>
      </c>
      <c r="F2136">
        <v>6.79</v>
      </c>
      <c r="G2136">
        <v>67.91</v>
      </c>
      <c r="H2136">
        <v>1.23</v>
      </c>
      <c r="I2136">
        <v>6</v>
      </c>
      <c r="J2136">
        <v>165.29</v>
      </c>
      <c r="K2136">
        <v>49.1</v>
      </c>
      <c r="L2136">
        <v>11.5</v>
      </c>
      <c r="M2136">
        <v>4</v>
      </c>
      <c r="N2136">
        <v>29.69</v>
      </c>
      <c r="O2136">
        <v>20619.48</v>
      </c>
      <c r="P2136">
        <v>70.92</v>
      </c>
      <c r="Q2136">
        <v>204.16</v>
      </c>
      <c r="R2136">
        <v>24.99</v>
      </c>
      <c r="S2136">
        <v>17.37</v>
      </c>
      <c r="T2136">
        <v>1709.11</v>
      </c>
      <c r="U2136">
        <v>0.7</v>
      </c>
      <c r="V2136">
        <v>0.75</v>
      </c>
      <c r="W2136">
        <v>1.1499999999999999</v>
      </c>
      <c r="X2136">
        <v>0.1</v>
      </c>
      <c r="Y2136">
        <v>1</v>
      </c>
      <c r="Z2136">
        <v>10</v>
      </c>
    </row>
    <row r="2137" spans="1:26" x14ac:dyDescent="0.3">
      <c r="A2137">
        <v>43</v>
      </c>
      <c r="B2137">
        <v>75</v>
      </c>
      <c r="C2137" t="s">
        <v>26</v>
      </c>
      <c r="D2137">
        <v>10.8157</v>
      </c>
      <c r="E2137">
        <v>9.25</v>
      </c>
      <c r="F2137">
        <v>6.79</v>
      </c>
      <c r="G2137">
        <v>67.86</v>
      </c>
      <c r="H2137">
        <v>1.26</v>
      </c>
      <c r="I2137">
        <v>6</v>
      </c>
      <c r="J2137">
        <v>165.65</v>
      </c>
      <c r="K2137">
        <v>49.1</v>
      </c>
      <c r="L2137">
        <v>11.75</v>
      </c>
      <c r="M2137">
        <v>4</v>
      </c>
      <c r="N2137">
        <v>29.8</v>
      </c>
      <c r="O2137">
        <v>20663.87</v>
      </c>
      <c r="P2137">
        <v>70.39</v>
      </c>
      <c r="Q2137">
        <v>204.14</v>
      </c>
      <c r="R2137">
        <v>24.83</v>
      </c>
      <c r="S2137">
        <v>17.37</v>
      </c>
      <c r="T2137">
        <v>1625.33</v>
      </c>
      <c r="U2137">
        <v>0.7</v>
      </c>
      <c r="V2137">
        <v>0.75</v>
      </c>
      <c r="W2137">
        <v>1.1399999999999999</v>
      </c>
      <c r="X2137">
        <v>0.1</v>
      </c>
      <c r="Y2137">
        <v>1</v>
      </c>
      <c r="Z2137">
        <v>10</v>
      </c>
    </row>
    <row r="2138" spans="1:26" x14ac:dyDescent="0.3">
      <c r="A2138">
        <v>44</v>
      </c>
      <c r="B2138">
        <v>75</v>
      </c>
      <c r="C2138" t="s">
        <v>26</v>
      </c>
      <c r="D2138">
        <v>10.8147</v>
      </c>
      <c r="E2138">
        <v>9.25</v>
      </c>
      <c r="F2138">
        <v>6.79</v>
      </c>
      <c r="G2138">
        <v>67.87</v>
      </c>
      <c r="H2138">
        <v>1.28</v>
      </c>
      <c r="I2138">
        <v>6</v>
      </c>
      <c r="J2138">
        <v>166.01</v>
      </c>
      <c r="K2138">
        <v>49.1</v>
      </c>
      <c r="L2138">
        <v>12</v>
      </c>
      <c r="M2138">
        <v>4</v>
      </c>
      <c r="N2138">
        <v>29.91</v>
      </c>
      <c r="O2138">
        <v>20708.3</v>
      </c>
      <c r="P2138">
        <v>70.39</v>
      </c>
      <c r="Q2138">
        <v>204.15</v>
      </c>
      <c r="R2138">
        <v>24.77</v>
      </c>
      <c r="S2138">
        <v>17.37</v>
      </c>
      <c r="T2138">
        <v>1596.32</v>
      </c>
      <c r="U2138">
        <v>0.7</v>
      </c>
      <c r="V2138">
        <v>0.75</v>
      </c>
      <c r="W2138">
        <v>1.1499999999999999</v>
      </c>
      <c r="X2138">
        <v>0.1</v>
      </c>
      <c r="Y2138">
        <v>1</v>
      </c>
      <c r="Z2138">
        <v>10</v>
      </c>
    </row>
    <row r="2139" spans="1:26" x14ac:dyDescent="0.3">
      <c r="A2139">
        <v>45</v>
      </c>
      <c r="B2139">
        <v>75</v>
      </c>
      <c r="C2139" t="s">
        <v>26</v>
      </c>
      <c r="D2139">
        <v>10.8072</v>
      </c>
      <c r="E2139">
        <v>9.25</v>
      </c>
      <c r="F2139">
        <v>6.79</v>
      </c>
      <c r="G2139">
        <v>67.930000000000007</v>
      </c>
      <c r="H2139">
        <v>1.3</v>
      </c>
      <c r="I2139">
        <v>6</v>
      </c>
      <c r="J2139">
        <v>166.37</v>
      </c>
      <c r="K2139">
        <v>49.1</v>
      </c>
      <c r="L2139">
        <v>12.25</v>
      </c>
      <c r="M2139">
        <v>4</v>
      </c>
      <c r="N2139">
        <v>30.02</v>
      </c>
      <c r="O2139">
        <v>20752.759999999998</v>
      </c>
      <c r="P2139">
        <v>69.64</v>
      </c>
      <c r="Q2139">
        <v>204.14</v>
      </c>
      <c r="R2139">
        <v>25.05</v>
      </c>
      <c r="S2139">
        <v>17.37</v>
      </c>
      <c r="T2139">
        <v>1738.42</v>
      </c>
      <c r="U2139">
        <v>0.69</v>
      </c>
      <c r="V2139">
        <v>0.75</v>
      </c>
      <c r="W2139">
        <v>1.1499999999999999</v>
      </c>
      <c r="X2139">
        <v>0.1</v>
      </c>
      <c r="Y2139">
        <v>1</v>
      </c>
      <c r="Z2139">
        <v>10</v>
      </c>
    </row>
    <row r="2140" spans="1:26" x14ac:dyDescent="0.3">
      <c r="A2140">
        <v>46</v>
      </c>
      <c r="B2140">
        <v>75</v>
      </c>
      <c r="C2140" t="s">
        <v>26</v>
      </c>
      <c r="D2140">
        <v>10.866899999999999</v>
      </c>
      <c r="E2140">
        <v>9.1999999999999993</v>
      </c>
      <c r="F2140">
        <v>6.77</v>
      </c>
      <c r="G2140">
        <v>81.28</v>
      </c>
      <c r="H2140">
        <v>1.33</v>
      </c>
      <c r="I2140">
        <v>5</v>
      </c>
      <c r="J2140">
        <v>166.73</v>
      </c>
      <c r="K2140">
        <v>49.1</v>
      </c>
      <c r="L2140">
        <v>12.5</v>
      </c>
      <c r="M2140">
        <v>3</v>
      </c>
      <c r="N2140">
        <v>30.13</v>
      </c>
      <c r="O2140">
        <v>20797.259999999998</v>
      </c>
      <c r="P2140">
        <v>69.239999999999995</v>
      </c>
      <c r="Q2140">
        <v>204.14</v>
      </c>
      <c r="R2140">
        <v>24.42</v>
      </c>
      <c r="S2140">
        <v>17.37</v>
      </c>
      <c r="T2140">
        <v>1428.29</v>
      </c>
      <c r="U2140">
        <v>0.71</v>
      </c>
      <c r="V2140">
        <v>0.75</v>
      </c>
      <c r="W2140">
        <v>1.1399999999999999</v>
      </c>
      <c r="X2140">
        <v>0.08</v>
      </c>
      <c r="Y2140">
        <v>1</v>
      </c>
      <c r="Z2140">
        <v>10</v>
      </c>
    </row>
    <row r="2141" spans="1:26" x14ac:dyDescent="0.3">
      <c r="A2141">
        <v>47</v>
      </c>
      <c r="B2141">
        <v>75</v>
      </c>
      <c r="C2141" t="s">
        <v>26</v>
      </c>
      <c r="D2141">
        <v>10.866300000000001</v>
      </c>
      <c r="E2141">
        <v>9.1999999999999993</v>
      </c>
      <c r="F2141">
        <v>6.77</v>
      </c>
      <c r="G2141">
        <v>81.28</v>
      </c>
      <c r="H2141">
        <v>1.35</v>
      </c>
      <c r="I2141">
        <v>5</v>
      </c>
      <c r="J2141">
        <v>167.09</v>
      </c>
      <c r="K2141">
        <v>49.1</v>
      </c>
      <c r="L2141">
        <v>12.75</v>
      </c>
      <c r="M2141">
        <v>3</v>
      </c>
      <c r="N2141">
        <v>30.25</v>
      </c>
      <c r="O2141">
        <v>20841.8</v>
      </c>
      <c r="P2141">
        <v>69.430000000000007</v>
      </c>
      <c r="Q2141">
        <v>204.14</v>
      </c>
      <c r="R2141">
        <v>24.46</v>
      </c>
      <c r="S2141">
        <v>17.37</v>
      </c>
      <c r="T2141">
        <v>1444.83</v>
      </c>
      <c r="U2141">
        <v>0.71</v>
      </c>
      <c r="V2141">
        <v>0.75</v>
      </c>
      <c r="W2141">
        <v>1.1399999999999999</v>
      </c>
      <c r="X2141">
        <v>0.08</v>
      </c>
      <c r="Y2141">
        <v>1</v>
      </c>
      <c r="Z2141">
        <v>10</v>
      </c>
    </row>
    <row r="2142" spans="1:26" x14ac:dyDescent="0.3">
      <c r="A2142">
        <v>48</v>
      </c>
      <c r="B2142">
        <v>75</v>
      </c>
      <c r="C2142" t="s">
        <v>26</v>
      </c>
      <c r="D2142">
        <v>10.862299999999999</v>
      </c>
      <c r="E2142">
        <v>9.2100000000000009</v>
      </c>
      <c r="F2142">
        <v>6.78</v>
      </c>
      <c r="G2142">
        <v>81.319999999999993</v>
      </c>
      <c r="H2142">
        <v>1.38</v>
      </c>
      <c r="I2142">
        <v>5</v>
      </c>
      <c r="J2142">
        <v>167.45</v>
      </c>
      <c r="K2142">
        <v>49.1</v>
      </c>
      <c r="L2142">
        <v>13</v>
      </c>
      <c r="M2142">
        <v>3</v>
      </c>
      <c r="N2142">
        <v>30.36</v>
      </c>
      <c r="O2142">
        <v>20886.38</v>
      </c>
      <c r="P2142">
        <v>69.63</v>
      </c>
      <c r="Q2142">
        <v>204.16</v>
      </c>
      <c r="R2142">
        <v>24.47</v>
      </c>
      <c r="S2142">
        <v>17.37</v>
      </c>
      <c r="T2142">
        <v>1453.92</v>
      </c>
      <c r="U2142">
        <v>0.71</v>
      </c>
      <c r="V2142">
        <v>0.75</v>
      </c>
      <c r="W2142">
        <v>1.1499999999999999</v>
      </c>
      <c r="X2142">
        <v>0.09</v>
      </c>
      <c r="Y2142">
        <v>1</v>
      </c>
      <c r="Z2142">
        <v>10</v>
      </c>
    </row>
    <row r="2143" spans="1:26" x14ac:dyDescent="0.3">
      <c r="A2143">
        <v>49</v>
      </c>
      <c r="B2143">
        <v>75</v>
      </c>
      <c r="C2143" t="s">
        <v>26</v>
      </c>
      <c r="D2143">
        <v>10.865</v>
      </c>
      <c r="E2143">
        <v>9.1999999999999993</v>
      </c>
      <c r="F2143">
        <v>6.77</v>
      </c>
      <c r="G2143">
        <v>81.3</v>
      </c>
      <c r="H2143">
        <v>1.4</v>
      </c>
      <c r="I2143">
        <v>5</v>
      </c>
      <c r="J2143">
        <v>167.81</v>
      </c>
      <c r="K2143">
        <v>49.1</v>
      </c>
      <c r="L2143">
        <v>13.25</v>
      </c>
      <c r="M2143">
        <v>3</v>
      </c>
      <c r="N2143">
        <v>30.47</v>
      </c>
      <c r="O2143">
        <v>20930.990000000002</v>
      </c>
      <c r="P2143">
        <v>69.23</v>
      </c>
      <c r="Q2143">
        <v>204.14</v>
      </c>
      <c r="R2143">
        <v>24.41</v>
      </c>
      <c r="S2143">
        <v>17.37</v>
      </c>
      <c r="T2143">
        <v>1421.74</v>
      </c>
      <c r="U2143">
        <v>0.71</v>
      </c>
      <c r="V2143">
        <v>0.75</v>
      </c>
      <c r="W2143">
        <v>1.1499999999999999</v>
      </c>
      <c r="X2143">
        <v>0.08</v>
      </c>
      <c r="Y2143">
        <v>1</v>
      </c>
      <c r="Z2143">
        <v>10</v>
      </c>
    </row>
    <row r="2144" spans="1:26" x14ac:dyDescent="0.3">
      <c r="A2144">
        <v>50</v>
      </c>
      <c r="B2144">
        <v>75</v>
      </c>
      <c r="C2144" t="s">
        <v>26</v>
      </c>
      <c r="D2144">
        <v>10.866300000000001</v>
      </c>
      <c r="E2144">
        <v>9.1999999999999993</v>
      </c>
      <c r="F2144">
        <v>6.77</v>
      </c>
      <c r="G2144">
        <v>81.28</v>
      </c>
      <c r="H2144">
        <v>1.42</v>
      </c>
      <c r="I2144">
        <v>5</v>
      </c>
      <c r="J2144">
        <v>168.18</v>
      </c>
      <c r="K2144">
        <v>49.1</v>
      </c>
      <c r="L2144">
        <v>13.5</v>
      </c>
      <c r="M2144">
        <v>3</v>
      </c>
      <c r="N2144">
        <v>30.58</v>
      </c>
      <c r="O2144">
        <v>20975.64</v>
      </c>
      <c r="P2144">
        <v>69.03</v>
      </c>
      <c r="Q2144">
        <v>204.14</v>
      </c>
      <c r="R2144">
        <v>24.5</v>
      </c>
      <c r="S2144">
        <v>17.37</v>
      </c>
      <c r="T2144">
        <v>1465.91</v>
      </c>
      <c r="U2144">
        <v>0.71</v>
      </c>
      <c r="V2144">
        <v>0.75</v>
      </c>
      <c r="W2144">
        <v>1.1399999999999999</v>
      </c>
      <c r="X2144">
        <v>0.08</v>
      </c>
      <c r="Y2144">
        <v>1</v>
      </c>
      <c r="Z2144">
        <v>10</v>
      </c>
    </row>
    <row r="2145" spans="1:26" x14ac:dyDescent="0.3">
      <c r="A2145">
        <v>51</v>
      </c>
      <c r="B2145">
        <v>75</v>
      </c>
      <c r="C2145" t="s">
        <v>26</v>
      </c>
      <c r="D2145">
        <v>10.8689</v>
      </c>
      <c r="E2145">
        <v>9.1999999999999993</v>
      </c>
      <c r="F2145">
        <v>6.77</v>
      </c>
      <c r="G2145">
        <v>81.260000000000005</v>
      </c>
      <c r="H2145">
        <v>1.45</v>
      </c>
      <c r="I2145">
        <v>5</v>
      </c>
      <c r="J2145">
        <v>168.54</v>
      </c>
      <c r="K2145">
        <v>49.1</v>
      </c>
      <c r="L2145">
        <v>13.75</v>
      </c>
      <c r="M2145">
        <v>3</v>
      </c>
      <c r="N2145">
        <v>30.69</v>
      </c>
      <c r="O2145">
        <v>21020.34</v>
      </c>
      <c r="P2145">
        <v>68.67</v>
      </c>
      <c r="Q2145">
        <v>204.14</v>
      </c>
      <c r="R2145">
        <v>24.36</v>
      </c>
      <c r="S2145">
        <v>17.37</v>
      </c>
      <c r="T2145">
        <v>1396.27</v>
      </c>
      <c r="U2145">
        <v>0.71</v>
      </c>
      <c r="V2145">
        <v>0.75</v>
      </c>
      <c r="W2145">
        <v>1.1399999999999999</v>
      </c>
      <c r="X2145">
        <v>0.08</v>
      </c>
      <c r="Y2145">
        <v>1</v>
      </c>
      <c r="Z2145">
        <v>10</v>
      </c>
    </row>
    <row r="2146" spans="1:26" x14ac:dyDescent="0.3">
      <c r="A2146">
        <v>52</v>
      </c>
      <c r="B2146">
        <v>75</v>
      </c>
      <c r="C2146" t="s">
        <v>26</v>
      </c>
      <c r="D2146">
        <v>10.8751</v>
      </c>
      <c r="E2146">
        <v>9.1999999999999993</v>
      </c>
      <c r="F2146">
        <v>6.77</v>
      </c>
      <c r="G2146">
        <v>81.19</v>
      </c>
      <c r="H2146">
        <v>1.47</v>
      </c>
      <c r="I2146">
        <v>5</v>
      </c>
      <c r="J2146">
        <v>168.9</v>
      </c>
      <c r="K2146">
        <v>49.1</v>
      </c>
      <c r="L2146">
        <v>14</v>
      </c>
      <c r="M2146">
        <v>3</v>
      </c>
      <c r="N2146">
        <v>30.81</v>
      </c>
      <c r="O2146">
        <v>21065.06</v>
      </c>
      <c r="P2146">
        <v>68.209999999999994</v>
      </c>
      <c r="Q2146">
        <v>204.14</v>
      </c>
      <c r="R2146">
        <v>24.18</v>
      </c>
      <c r="S2146">
        <v>17.37</v>
      </c>
      <c r="T2146">
        <v>1306.6600000000001</v>
      </c>
      <c r="U2146">
        <v>0.72</v>
      </c>
      <c r="V2146">
        <v>0.75</v>
      </c>
      <c r="W2146">
        <v>1.1399999999999999</v>
      </c>
      <c r="X2146">
        <v>7.0000000000000007E-2</v>
      </c>
      <c r="Y2146">
        <v>1</v>
      </c>
      <c r="Z2146">
        <v>10</v>
      </c>
    </row>
    <row r="2147" spans="1:26" x14ac:dyDescent="0.3">
      <c r="A2147">
        <v>53</v>
      </c>
      <c r="B2147">
        <v>75</v>
      </c>
      <c r="C2147" t="s">
        <v>26</v>
      </c>
      <c r="D2147">
        <v>10.8774</v>
      </c>
      <c r="E2147">
        <v>9.19</v>
      </c>
      <c r="F2147">
        <v>6.76</v>
      </c>
      <c r="G2147">
        <v>81.17</v>
      </c>
      <c r="H2147">
        <v>1.49</v>
      </c>
      <c r="I2147">
        <v>5</v>
      </c>
      <c r="J2147">
        <v>169.26</v>
      </c>
      <c r="K2147">
        <v>49.1</v>
      </c>
      <c r="L2147">
        <v>14.25</v>
      </c>
      <c r="M2147">
        <v>3</v>
      </c>
      <c r="N2147">
        <v>30.92</v>
      </c>
      <c r="O2147">
        <v>21109.83</v>
      </c>
      <c r="P2147">
        <v>67.56</v>
      </c>
      <c r="Q2147">
        <v>204.14</v>
      </c>
      <c r="R2147">
        <v>24.02</v>
      </c>
      <c r="S2147">
        <v>17.37</v>
      </c>
      <c r="T2147">
        <v>1229.6400000000001</v>
      </c>
      <c r="U2147">
        <v>0.72</v>
      </c>
      <c r="V2147">
        <v>0.75</v>
      </c>
      <c r="W2147">
        <v>1.1499999999999999</v>
      </c>
      <c r="X2147">
        <v>7.0000000000000007E-2</v>
      </c>
      <c r="Y2147">
        <v>1</v>
      </c>
      <c r="Z2147">
        <v>10</v>
      </c>
    </row>
    <row r="2148" spans="1:26" x14ac:dyDescent="0.3">
      <c r="A2148">
        <v>54</v>
      </c>
      <c r="B2148">
        <v>75</v>
      </c>
      <c r="C2148" t="s">
        <v>26</v>
      </c>
      <c r="D2148">
        <v>10.8751</v>
      </c>
      <c r="E2148">
        <v>9.1999999999999993</v>
      </c>
      <c r="F2148">
        <v>6.77</v>
      </c>
      <c r="G2148">
        <v>81.19</v>
      </c>
      <c r="H2148">
        <v>1.52</v>
      </c>
      <c r="I2148">
        <v>5</v>
      </c>
      <c r="J2148">
        <v>169.63</v>
      </c>
      <c r="K2148">
        <v>49.1</v>
      </c>
      <c r="L2148">
        <v>14.5</v>
      </c>
      <c r="M2148">
        <v>3</v>
      </c>
      <c r="N2148">
        <v>31.03</v>
      </c>
      <c r="O2148">
        <v>21154.639999999999</v>
      </c>
      <c r="P2148">
        <v>66.77</v>
      </c>
      <c r="Q2148">
        <v>204.15</v>
      </c>
      <c r="R2148">
        <v>24.26</v>
      </c>
      <c r="S2148">
        <v>17.37</v>
      </c>
      <c r="T2148">
        <v>1345.77</v>
      </c>
      <c r="U2148">
        <v>0.72</v>
      </c>
      <c r="V2148">
        <v>0.75</v>
      </c>
      <c r="W2148">
        <v>1.1399999999999999</v>
      </c>
      <c r="X2148">
        <v>7.0000000000000007E-2</v>
      </c>
      <c r="Y2148">
        <v>1</v>
      </c>
      <c r="Z2148">
        <v>10</v>
      </c>
    </row>
    <row r="2149" spans="1:26" x14ac:dyDescent="0.3">
      <c r="A2149">
        <v>55</v>
      </c>
      <c r="B2149">
        <v>75</v>
      </c>
      <c r="C2149" t="s">
        <v>26</v>
      </c>
      <c r="D2149">
        <v>10.875500000000001</v>
      </c>
      <c r="E2149">
        <v>9.1999999999999993</v>
      </c>
      <c r="F2149">
        <v>6.77</v>
      </c>
      <c r="G2149">
        <v>81.19</v>
      </c>
      <c r="H2149">
        <v>1.54</v>
      </c>
      <c r="I2149">
        <v>5</v>
      </c>
      <c r="J2149">
        <v>169.99</v>
      </c>
      <c r="K2149">
        <v>49.1</v>
      </c>
      <c r="L2149">
        <v>14.75</v>
      </c>
      <c r="M2149">
        <v>3</v>
      </c>
      <c r="N2149">
        <v>31.15</v>
      </c>
      <c r="O2149">
        <v>21199.48</v>
      </c>
      <c r="P2149">
        <v>66.41</v>
      </c>
      <c r="Q2149">
        <v>204.14</v>
      </c>
      <c r="R2149">
        <v>24.15</v>
      </c>
      <c r="S2149">
        <v>17.37</v>
      </c>
      <c r="T2149">
        <v>1290.4000000000001</v>
      </c>
      <c r="U2149">
        <v>0.72</v>
      </c>
      <c r="V2149">
        <v>0.75</v>
      </c>
      <c r="W2149">
        <v>1.1399999999999999</v>
      </c>
      <c r="X2149">
        <v>7.0000000000000007E-2</v>
      </c>
      <c r="Y2149">
        <v>1</v>
      </c>
      <c r="Z2149">
        <v>10</v>
      </c>
    </row>
    <row r="2150" spans="1:26" x14ac:dyDescent="0.3">
      <c r="A2150">
        <v>56</v>
      </c>
      <c r="B2150">
        <v>75</v>
      </c>
      <c r="C2150" t="s">
        <v>26</v>
      </c>
      <c r="D2150">
        <v>10.8696</v>
      </c>
      <c r="E2150">
        <v>9.1999999999999993</v>
      </c>
      <c r="F2150">
        <v>6.77</v>
      </c>
      <c r="G2150">
        <v>81.25</v>
      </c>
      <c r="H2150">
        <v>1.56</v>
      </c>
      <c r="I2150">
        <v>5</v>
      </c>
      <c r="J2150">
        <v>170.35</v>
      </c>
      <c r="K2150">
        <v>49.1</v>
      </c>
      <c r="L2150">
        <v>15</v>
      </c>
      <c r="M2150">
        <v>3</v>
      </c>
      <c r="N2150">
        <v>31.26</v>
      </c>
      <c r="O2150">
        <v>21244.37</v>
      </c>
      <c r="P2150">
        <v>66.260000000000005</v>
      </c>
      <c r="Q2150">
        <v>204.14</v>
      </c>
      <c r="R2150">
        <v>24.39</v>
      </c>
      <c r="S2150">
        <v>17.37</v>
      </c>
      <c r="T2150">
        <v>1413.35</v>
      </c>
      <c r="U2150">
        <v>0.71</v>
      </c>
      <c r="V2150">
        <v>0.75</v>
      </c>
      <c r="W2150">
        <v>1.1399999999999999</v>
      </c>
      <c r="X2150">
        <v>0.08</v>
      </c>
      <c r="Y2150">
        <v>1</v>
      </c>
      <c r="Z2150">
        <v>10</v>
      </c>
    </row>
    <row r="2151" spans="1:26" x14ac:dyDescent="0.3">
      <c r="A2151">
        <v>57</v>
      </c>
      <c r="B2151">
        <v>75</v>
      </c>
      <c r="C2151" t="s">
        <v>26</v>
      </c>
      <c r="D2151">
        <v>10.868600000000001</v>
      </c>
      <c r="E2151">
        <v>9.1999999999999993</v>
      </c>
      <c r="F2151">
        <v>6.77</v>
      </c>
      <c r="G2151">
        <v>81.260000000000005</v>
      </c>
      <c r="H2151">
        <v>1.58</v>
      </c>
      <c r="I2151">
        <v>5</v>
      </c>
      <c r="J2151">
        <v>170.72</v>
      </c>
      <c r="K2151">
        <v>49.1</v>
      </c>
      <c r="L2151">
        <v>15.25</v>
      </c>
      <c r="M2151">
        <v>3</v>
      </c>
      <c r="N2151">
        <v>31.37</v>
      </c>
      <c r="O2151">
        <v>21289.29</v>
      </c>
      <c r="P2151">
        <v>65.64</v>
      </c>
      <c r="Q2151">
        <v>204.14</v>
      </c>
      <c r="R2151">
        <v>24.26</v>
      </c>
      <c r="S2151">
        <v>17.37</v>
      </c>
      <c r="T2151">
        <v>1347.93</v>
      </c>
      <c r="U2151">
        <v>0.72</v>
      </c>
      <c r="V2151">
        <v>0.75</v>
      </c>
      <c r="W2151">
        <v>1.1499999999999999</v>
      </c>
      <c r="X2151">
        <v>0.08</v>
      </c>
      <c r="Y2151">
        <v>1</v>
      </c>
      <c r="Z2151">
        <v>10</v>
      </c>
    </row>
    <row r="2152" spans="1:26" x14ac:dyDescent="0.3">
      <c r="A2152">
        <v>58</v>
      </c>
      <c r="B2152">
        <v>75</v>
      </c>
      <c r="C2152" t="s">
        <v>26</v>
      </c>
      <c r="D2152">
        <v>10.938599999999999</v>
      </c>
      <c r="E2152">
        <v>9.14</v>
      </c>
      <c r="F2152">
        <v>6.74</v>
      </c>
      <c r="G2152">
        <v>101.15</v>
      </c>
      <c r="H2152">
        <v>1.61</v>
      </c>
      <c r="I2152">
        <v>4</v>
      </c>
      <c r="J2152">
        <v>171.08</v>
      </c>
      <c r="K2152">
        <v>49.1</v>
      </c>
      <c r="L2152">
        <v>15.5</v>
      </c>
      <c r="M2152">
        <v>2</v>
      </c>
      <c r="N2152">
        <v>31.49</v>
      </c>
      <c r="O2152">
        <v>21334.25</v>
      </c>
      <c r="P2152">
        <v>64.599999999999994</v>
      </c>
      <c r="Q2152">
        <v>204.14</v>
      </c>
      <c r="R2152">
        <v>23.46</v>
      </c>
      <c r="S2152">
        <v>17.37</v>
      </c>
      <c r="T2152">
        <v>952.58</v>
      </c>
      <c r="U2152">
        <v>0.74</v>
      </c>
      <c r="V2152">
        <v>0.76</v>
      </c>
      <c r="W2152">
        <v>1.1399999999999999</v>
      </c>
      <c r="X2152">
        <v>0.05</v>
      </c>
      <c r="Y2152">
        <v>1</v>
      </c>
      <c r="Z2152">
        <v>10</v>
      </c>
    </row>
    <row r="2153" spans="1:26" x14ac:dyDescent="0.3">
      <c r="A2153">
        <v>59</v>
      </c>
      <c r="B2153">
        <v>75</v>
      </c>
      <c r="C2153" t="s">
        <v>26</v>
      </c>
      <c r="D2153">
        <v>10.9316</v>
      </c>
      <c r="E2153">
        <v>9.15</v>
      </c>
      <c r="F2153">
        <v>6.75</v>
      </c>
      <c r="G2153">
        <v>101.24</v>
      </c>
      <c r="H2153">
        <v>1.63</v>
      </c>
      <c r="I2153">
        <v>4</v>
      </c>
      <c r="J2153">
        <v>171.45</v>
      </c>
      <c r="K2153">
        <v>49.1</v>
      </c>
      <c r="L2153">
        <v>15.75</v>
      </c>
      <c r="M2153">
        <v>2</v>
      </c>
      <c r="N2153">
        <v>31.6</v>
      </c>
      <c r="O2153">
        <v>21379.25</v>
      </c>
      <c r="P2153">
        <v>64.790000000000006</v>
      </c>
      <c r="Q2153">
        <v>204.14</v>
      </c>
      <c r="R2153">
        <v>23.63</v>
      </c>
      <c r="S2153">
        <v>17.37</v>
      </c>
      <c r="T2153">
        <v>1039.3399999999999</v>
      </c>
      <c r="U2153">
        <v>0.74</v>
      </c>
      <c r="V2153">
        <v>0.76</v>
      </c>
      <c r="W2153">
        <v>1.1399999999999999</v>
      </c>
      <c r="X2153">
        <v>0.06</v>
      </c>
      <c r="Y2153">
        <v>1</v>
      </c>
      <c r="Z2153">
        <v>10</v>
      </c>
    </row>
    <row r="2154" spans="1:26" x14ac:dyDescent="0.3">
      <c r="A2154">
        <v>60</v>
      </c>
      <c r="B2154">
        <v>75</v>
      </c>
      <c r="C2154" t="s">
        <v>26</v>
      </c>
      <c r="D2154">
        <v>10.9306</v>
      </c>
      <c r="E2154">
        <v>9.15</v>
      </c>
      <c r="F2154">
        <v>6.75</v>
      </c>
      <c r="G2154">
        <v>101.25</v>
      </c>
      <c r="H2154">
        <v>1.65</v>
      </c>
      <c r="I2154">
        <v>4</v>
      </c>
      <c r="J2154">
        <v>171.81</v>
      </c>
      <c r="K2154">
        <v>49.1</v>
      </c>
      <c r="L2154">
        <v>16</v>
      </c>
      <c r="M2154">
        <v>1</v>
      </c>
      <c r="N2154">
        <v>31.72</v>
      </c>
      <c r="O2154">
        <v>21424.29</v>
      </c>
      <c r="P2154">
        <v>64.92</v>
      </c>
      <c r="Q2154">
        <v>204.16</v>
      </c>
      <c r="R2154">
        <v>23.63</v>
      </c>
      <c r="S2154">
        <v>17.37</v>
      </c>
      <c r="T2154">
        <v>1034.8699999999999</v>
      </c>
      <c r="U2154">
        <v>0.74</v>
      </c>
      <c r="V2154">
        <v>0.76</v>
      </c>
      <c r="W2154">
        <v>1.1399999999999999</v>
      </c>
      <c r="X2154">
        <v>0.06</v>
      </c>
      <c r="Y2154">
        <v>1</v>
      </c>
      <c r="Z2154">
        <v>10</v>
      </c>
    </row>
    <row r="2155" spans="1:26" x14ac:dyDescent="0.3">
      <c r="A2155">
        <v>61</v>
      </c>
      <c r="B2155">
        <v>75</v>
      </c>
      <c r="C2155" t="s">
        <v>26</v>
      </c>
      <c r="D2155">
        <v>10.93</v>
      </c>
      <c r="E2155">
        <v>9.15</v>
      </c>
      <c r="F2155">
        <v>6.75</v>
      </c>
      <c r="G2155">
        <v>101.26</v>
      </c>
      <c r="H2155">
        <v>1.67</v>
      </c>
      <c r="I2155">
        <v>4</v>
      </c>
      <c r="J2155">
        <v>172.18</v>
      </c>
      <c r="K2155">
        <v>49.1</v>
      </c>
      <c r="L2155">
        <v>16.25</v>
      </c>
      <c r="M2155">
        <v>0</v>
      </c>
      <c r="N2155">
        <v>31.83</v>
      </c>
      <c r="O2155">
        <v>21469.360000000001</v>
      </c>
      <c r="P2155">
        <v>65.03</v>
      </c>
      <c r="Q2155">
        <v>204.15</v>
      </c>
      <c r="R2155">
        <v>23.57</v>
      </c>
      <c r="S2155">
        <v>17.37</v>
      </c>
      <c r="T2155">
        <v>1005.46</v>
      </c>
      <c r="U2155">
        <v>0.74</v>
      </c>
      <c r="V2155">
        <v>0.76</v>
      </c>
      <c r="W2155">
        <v>1.1499999999999999</v>
      </c>
      <c r="X2155">
        <v>0.06</v>
      </c>
      <c r="Y2155">
        <v>1</v>
      </c>
      <c r="Z2155">
        <v>10</v>
      </c>
    </row>
    <row r="2156" spans="1:26" x14ac:dyDescent="0.3">
      <c r="A2156">
        <v>0</v>
      </c>
      <c r="B2156">
        <v>95</v>
      </c>
      <c r="C2156" t="s">
        <v>26</v>
      </c>
      <c r="D2156">
        <v>7.18</v>
      </c>
      <c r="E2156">
        <v>13.93</v>
      </c>
      <c r="F2156">
        <v>8.3699999999999992</v>
      </c>
      <c r="G2156">
        <v>6.05</v>
      </c>
      <c r="H2156">
        <v>0.1</v>
      </c>
      <c r="I2156">
        <v>83</v>
      </c>
      <c r="J2156">
        <v>185.69</v>
      </c>
      <c r="K2156">
        <v>53.44</v>
      </c>
      <c r="L2156">
        <v>1</v>
      </c>
      <c r="M2156">
        <v>81</v>
      </c>
      <c r="N2156">
        <v>36.26</v>
      </c>
      <c r="O2156">
        <v>23136.14</v>
      </c>
      <c r="P2156">
        <v>113.42</v>
      </c>
      <c r="Q2156">
        <v>204.22</v>
      </c>
      <c r="R2156">
        <v>74.25</v>
      </c>
      <c r="S2156">
        <v>17.37</v>
      </c>
      <c r="T2156">
        <v>25951.85</v>
      </c>
      <c r="U2156">
        <v>0.23</v>
      </c>
      <c r="V2156">
        <v>0.61</v>
      </c>
      <c r="W2156">
        <v>1.27</v>
      </c>
      <c r="X2156">
        <v>1.68</v>
      </c>
      <c r="Y2156">
        <v>1</v>
      </c>
      <c r="Z2156">
        <v>10</v>
      </c>
    </row>
    <row r="2157" spans="1:26" x14ac:dyDescent="0.3">
      <c r="A2157">
        <v>1</v>
      </c>
      <c r="B2157">
        <v>95</v>
      </c>
      <c r="C2157" t="s">
        <v>26</v>
      </c>
      <c r="D2157">
        <v>7.8250999999999999</v>
      </c>
      <c r="E2157">
        <v>12.78</v>
      </c>
      <c r="F2157">
        <v>7.97</v>
      </c>
      <c r="G2157">
        <v>7.59</v>
      </c>
      <c r="H2157">
        <v>0.12</v>
      </c>
      <c r="I2157">
        <v>63</v>
      </c>
      <c r="J2157">
        <v>186.07</v>
      </c>
      <c r="K2157">
        <v>53.44</v>
      </c>
      <c r="L2157">
        <v>1.25</v>
      </c>
      <c r="M2157">
        <v>61</v>
      </c>
      <c r="N2157">
        <v>36.39</v>
      </c>
      <c r="O2157">
        <v>23182.76</v>
      </c>
      <c r="P2157">
        <v>107.76</v>
      </c>
      <c r="Q2157">
        <v>204.17</v>
      </c>
      <c r="R2157">
        <v>61.45</v>
      </c>
      <c r="S2157">
        <v>17.37</v>
      </c>
      <c r="T2157">
        <v>19651.02</v>
      </c>
      <c r="U2157">
        <v>0.28000000000000003</v>
      </c>
      <c r="V2157">
        <v>0.64</v>
      </c>
      <c r="W2157">
        <v>1.24</v>
      </c>
      <c r="X2157">
        <v>1.27</v>
      </c>
      <c r="Y2157">
        <v>1</v>
      </c>
      <c r="Z2157">
        <v>10</v>
      </c>
    </row>
    <row r="2158" spans="1:26" x14ac:dyDescent="0.3">
      <c r="A2158">
        <v>2</v>
      </c>
      <c r="B2158">
        <v>95</v>
      </c>
      <c r="C2158" t="s">
        <v>26</v>
      </c>
      <c r="D2158">
        <v>8.2807999999999993</v>
      </c>
      <c r="E2158">
        <v>12.08</v>
      </c>
      <c r="F2158">
        <v>7.71</v>
      </c>
      <c r="G2158">
        <v>9.07</v>
      </c>
      <c r="H2158">
        <v>0.14000000000000001</v>
      </c>
      <c r="I2158">
        <v>51</v>
      </c>
      <c r="J2158">
        <v>186.45</v>
      </c>
      <c r="K2158">
        <v>53.44</v>
      </c>
      <c r="L2158">
        <v>1.5</v>
      </c>
      <c r="M2158">
        <v>49</v>
      </c>
      <c r="N2158">
        <v>36.51</v>
      </c>
      <c r="O2158">
        <v>23229.42</v>
      </c>
      <c r="P2158">
        <v>104.1</v>
      </c>
      <c r="Q2158">
        <v>204.27</v>
      </c>
      <c r="R2158">
        <v>53.57</v>
      </c>
      <c r="S2158">
        <v>17.37</v>
      </c>
      <c r="T2158">
        <v>15770.83</v>
      </c>
      <c r="U2158">
        <v>0.32</v>
      </c>
      <c r="V2158">
        <v>0.66</v>
      </c>
      <c r="W2158">
        <v>1.22</v>
      </c>
      <c r="X2158">
        <v>1.02</v>
      </c>
      <c r="Y2158">
        <v>1</v>
      </c>
      <c r="Z2158">
        <v>10</v>
      </c>
    </row>
    <row r="2159" spans="1:26" x14ac:dyDescent="0.3">
      <c r="A2159">
        <v>3</v>
      </c>
      <c r="B2159">
        <v>95</v>
      </c>
      <c r="C2159" t="s">
        <v>26</v>
      </c>
      <c r="D2159">
        <v>8.6102000000000007</v>
      </c>
      <c r="E2159">
        <v>11.61</v>
      </c>
      <c r="F2159">
        <v>7.54</v>
      </c>
      <c r="G2159">
        <v>10.53</v>
      </c>
      <c r="H2159">
        <v>0.17</v>
      </c>
      <c r="I2159">
        <v>43</v>
      </c>
      <c r="J2159">
        <v>186.83</v>
      </c>
      <c r="K2159">
        <v>53.44</v>
      </c>
      <c r="L2159">
        <v>1.75</v>
      </c>
      <c r="M2159">
        <v>41</v>
      </c>
      <c r="N2159">
        <v>36.64</v>
      </c>
      <c r="O2159">
        <v>23276.13</v>
      </c>
      <c r="P2159">
        <v>101.75</v>
      </c>
      <c r="Q2159">
        <v>204.16</v>
      </c>
      <c r="R2159">
        <v>48.45</v>
      </c>
      <c r="S2159">
        <v>17.37</v>
      </c>
      <c r="T2159">
        <v>13253.53</v>
      </c>
      <c r="U2159">
        <v>0.36</v>
      </c>
      <c r="V2159">
        <v>0.68</v>
      </c>
      <c r="W2159">
        <v>1.21</v>
      </c>
      <c r="X2159">
        <v>0.85</v>
      </c>
      <c r="Y2159">
        <v>1</v>
      </c>
      <c r="Z2159">
        <v>10</v>
      </c>
    </row>
    <row r="2160" spans="1:26" x14ac:dyDescent="0.3">
      <c r="A2160">
        <v>4</v>
      </c>
      <c r="B2160">
        <v>95</v>
      </c>
      <c r="C2160" t="s">
        <v>26</v>
      </c>
      <c r="D2160">
        <v>8.8803000000000001</v>
      </c>
      <c r="E2160">
        <v>11.26</v>
      </c>
      <c r="F2160">
        <v>7.42</v>
      </c>
      <c r="G2160">
        <v>12.02</v>
      </c>
      <c r="H2160">
        <v>0.19</v>
      </c>
      <c r="I2160">
        <v>37</v>
      </c>
      <c r="J2160">
        <v>187.21</v>
      </c>
      <c r="K2160">
        <v>53.44</v>
      </c>
      <c r="L2160">
        <v>2</v>
      </c>
      <c r="M2160">
        <v>35</v>
      </c>
      <c r="N2160">
        <v>36.770000000000003</v>
      </c>
      <c r="O2160">
        <v>23322.880000000001</v>
      </c>
      <c r="P2160">
        <v>99.8</v>
      </c>
      <c r="Q2160">
        <v>204.14</v>
      </c>
      <c r="R2160">
        <v>44.42</v>
      </c>
      <c r="S2160">
        <v>17.37</v>
      </c>
      <c r="T2160">
        <v>11268.53</v>
      </c>
      <c r="U2160">
        <v>0.39</v>
      </c>
      <c r="V2160">
        <v>0.69</v>
      </c>
      <c r="W2160">
        <v>1.2</v>
      </c>
      <c r="X2160">
        <v>0.72</v>
      </c>
      <c r="Y2160">
        <v>1</v>
      </c>
      <c r="Z2160">
        <v>10</v>
      </c>
    </row>
    <row r="2161" spans="1:26" x14ac:dyDescent="0.3">
      <c r="A2161">
        <v>5</v>
      </c>
      <c r="B2161">
        <v>95</v>
      </c>
      <c r="C2161" t="s">
        <v>26</v>
      </c>
      <c r="D2161">
        <v>9.0561000000000007</v>
      </c>
      <c r="E2161">
        <v>11.04</v>
      </c>
      <c r="F2161">
        <v>7.35</v>
      </c>
      <c r="G2161">
        <v>13.36</v>
      </c>
      <c r="H2161">
        <v>0.21</v>
      </c>
      <c r="I2161">
        <v>33</v>
      </c>
      <c r="J2161">
        <v>187.59</v>
      </c>
      <c r="K2161">
        <v>53.44</v>
      </c>
      <c r="L2161">
        <v>2.25</v>
      </c>
      <c r="M2161">
        <v>31</v>
      </c>
      <c r="N2161">
        <v>36.9</v>
      </c>
      <c r="O2161">
        <v>23369.68</v>
      </c>
      <c r="P2161">
        <v>98.72</v>
      </c>
      <c r="Q2161">
        <v>204.19</v>
      </c>
      <c r="R2161">
        <v>42.1</v>
      </c>
      <c r="S2161">
        <v>17.37</v>
      </c>
      <c r="T2161">
        <v>10129.75</v>
      </c>
      <c r="U2161">
        <v>0.41</v>
      </c>
      <c r="V2161">
        <v>0.7</v>
      </c>
      <c r="W2161">
        <v>1.19</v>
      </c>
      <c r="X2161">
        <v>0.65</v>
      </c>
      <c r="Y2161">
        <v>1</v>
      </c>
      <c r="Z2161">
        <v>10</v>
      </c>
    </row>
    <row r="2162" spans="1:26" x14ac:dyDescent="0.3">
      <c r="A2162">
        <v>6</v>
      </c>
      <c r="B2162">
        <v>95</v>
      </c>
      <c r="C2162" t="s">
        <v>26</v>
      </c>
      <c r="D2162">
        <v>9.2485999999999997</v>
      </c>
      <c r="E2162">
        <v>10.81</v>
      </c>
      <c r="F2162">
        <v>7.26</v>
      </c>
      <c r="G2162">
        <v>15.03</v>
      </c>
      <c r="H2162">
        <v>0.24</v>
      </c>
      <c r="I2162">
        <v>29</v>
      </c>
      <c r="J2162">
        <v>187.97</v>
      </c>
      <c r="K2162">
        <v>53.44</v>
      </c>
      <c r="L2162">
        <v>2.5</v>
      </c>
      <c r="M2162">
        <v>27</v>
      </c>
      <c r="N2162">
        <v>37.03</v>
      </c>
      <c r="O2162">
        <v>23416.52</v>
      </c>
      <c r="P2162">
        <v>97.44</v>
      </c>
      <c r="Q2162">
        <v>204.18</v>
      </c>
      <c r="R2162">
        <v>39.76</v>
      </c>
      <c r="S2162">
        <v>17.37</v>
      </c>
      <c r="T2162">
        <v>8978.32</v>
      </c>
      <c r="U2162">
        <v>0.44</v>
      </c>
      <c r="V2162">
        <v>0.7</v>
      </c>
      <c r="W2162">
        <v>1.18</v>
      </c>
      <c r="X2162">
        <v>0.56999999999999995</v>
      </c>
      <c r="Y2162">
        <v>1</v>
      </c>
      <c r="Z2162">
        <v>10</v>
      </c>
    </row>
    <row r="2163" spans="1:26" x14ac:dyDescent="0.3">
      <c r="A2163">
        <v>7</v>
      </c>
      <c r="B2163">
        <v>95</v>
      </c>
      <c r="C2163" t="s">
        <v>26</v>
      </c>
      <c r="D2163">
        <v>9.3544999999999998</v>
      </c>
      <c r="E2163">
        <v>10.69</v>
      </c>
      <c r="F2163">
        <v>7.22</v>
      </c>
      <c r="G2163">
        <v>16.04</v>
      </c>
      <c r="H2163">
        <v>0.26</v>
      </c>
      <c r="I2163">
        <v>27</v>
      </c>
      <c r="J2163">
        <v>188.35</v>
      </c>
      <c r="K2163">
        <v>53.44</v>
      </c>
      <c r="L2163">
        <v>2.75</v>
      </c>
      <c r="M2163">
        <v>25</v>
      </c>
      <c r="N2163">
        <v>37.159999999999997</v>
      </c>
      <c r="O2163">
        <v>23463.4</v>
      </c>
      <c r="P2163">
        <v>96.67</v>
      </c>
      <c r="Q2163">
        <v>204.16</v>
      </c>
      <c r="R2163">
        <v>38.06</v>
      </c>
      <c r="S2163">
        <v>17.37</v>
      </c>
      <c r="T2163">
        <v>8135.14</v>
      </c>
      <c r="U2163">
        <v>0.46</v>
      </c>
      <c r="V2163">
        <v>0.71</v>
      </c>
      <c r="W2163">
        <v>1.19</v>
      </c>
      <c r="X2163">
        <v>0.53</v>
      </c>
      <c r="Y2163">
        <v>1</v>
      </c>
      <c r="Z2163">
        <v>10</v>
      </c>
    </row>
    <row r="2164" spans="1:26" x14ac:dyDescent="0.3">
      <c r="A2164">
        <v>8</v>
      </c>
      <c r="B2164">
        <v>95</v>
      </c>
      <c r="C2164" t="s">
        <v>26</v>
      </c>
      <c r="D2164">
        <v>9.5116999999999994</v>
      </c>
      <c r="E2164">
        <v>10.51</v>
      </c>
      <c r="F2164">
        <v>7.15</v>
      </c>
      <c r="G2164">
        <v>17.88</v>
      </c>
      <c r="H2164">
        <v>0.28000000000000003</v>
      </c>
      <c r="I2164">
        <v>24</v>
      </c>
      <c r="J2164">
        <v>188.73</v>
      </c>
      <c r="K2164">
        <v>53.44</v>
      </c>
      <c r="L2164">
        <v>3</v>
      </c>
      <c r="M2164">
        <v>22</v>
      </c>
      <c r="N2164">
        <v>37.29</v>
      </c>
      <c r="O2164">
        <v>23510.33</v>
      </c>
      <c r="P2164">
        <v>95.6</v>
      </c>
      <c r="Q2164">
        <v>204.15</v>
      </c>
      <c r="R2164">
        <v>36.24</v>
      </c>
      <c r="S2164">
        <v>17.37</v>
      </c>
      <c r="T2164">
        <v>7243.51</v>
      </c>
      <c r="U2164">
        <v>0.48</v>
      </c>
      <c r="V2164">
        <v>0.71</v>
      </c>
      <c r="W2164">
        <v>1.17</v>
      </c>
      <c r="X2164">
        <v>0.46</v>
      </c>
      <c r="Y2164">
        <v>1</v>
      </c>
      <c r="Z2164">
        <v>10</v>
      </c>
    </row>
    <row r="2165" spans="1:26" x14ac:dyDescent="0.3">
      <c r="A2165">
        <v>9</v>
      </c>
      <c r="B2165">
        <v>95</v>
      </c>
      <c r="C2165" t="s">
        <v>26</v>
      </c>
      <c r="D2165">
        <v>9.6195000000000004</v>
      </c>
      <c r="E2165">
        <v>10.4</v>
      </c>
      <c r="F2165">
        <v>7.11</v>
      </c>
      <c r="G2165">
        <v>19.39</v>
      </c>
      <c r="H2165">
        <v>0.3</v>
      </c>
      <c r="I2165">
        <v>22</v>
      </c>
      <c r="J2165">
        <v>189.11</v>
      </c>
      <c r="K2165">
        <v>53.44</v>
      </c>
      <c r="L2165">
        <v>3.25</v>
      </c>
      <c r="M2165">
        <v>20</v>
      </c>
      <c r="N2165">
        <v>37.42</v>
      </c>
      <c r="O2165">
        <v>23557.3</v>
      </c>
      <c r="P2165">
        <v>94.86</v>
      </c>
      <c r="Q2165">
        <v>204.16</v>
      </c>
      <c r="R2165">
        <v>34.86</v>
      </c>
      <c r="S2165">
        <v>17.37</v>
      </c>
      <c r="T2165">
        <v>6562.53</v>
      </c>
      <c r="U2165">
        <v>0.5</v>
      </c>
      <c r="V2165">
        <v>0.72</v>
      </c>
      <c r="W2165">
        <v>1.17</v>
      </c>
      <c r="X2165">
        <v>0.42</v>
      </c>
      <c r="Y2165">
        <v>1</v>
      </c>
      <c r="Z2165">
        <v>10</v>
      </c>
    </row>
    <row r="2166" spans="1:26" x14ac:dyDescent="0.3">
      <c r="A2166">
        <v>10</v>
      </c>
      <c r="B2166">
        <v>95</v>
      </c>
      <c r="C2166" t="s">
        <v>26</v>
      </c>
      <c r="D2166">
        <v>9.6760999999999999</v>
      </c>
      <c r="E2166">
        <v>10.33</v>
      </c>
      <c r="F2166">
        <v>7.08</v>
      </c>
      <c r="G2166">
        <v>20.239999999999998</v>
      </c>
      <c r="H2166">
        <v>0.33</v>
      </c>
      <c r="I2166">
        <v>21</v>
      </c>
      <c r="J2166">
        <v>189.49</v>
      </c>
      <c r="K2166">
        <v>53.44</v>
      </c>
      <c r="L2166">
        <v>3.5</v>
      </c>
      <c r="M2166">
        <v>19</v>
      </c>
      <c r="N2166">
        <v>37.549999999999997</v>
      </c>
      <c r="O2166">
        <v>23604.32</v>
      </c>
      <c r="P2166">
        <v>94.32</v>
      </c>
      <c r="Q2166">
        <v>204.19</v>
      </c>
      <c r="R2166">
        <v>34.08</v>
      </c>
      <c r="S2166">
        <v>17.37</v>
      </c>
      <c r="T2166">
        <v>6177.13</v>
      </c>
      <c r="U2166">
        <v>0.51</v>
      </c>
      <c r="V2166">
        <v>0.72</v>
      </c>
      <c r="W2166">
        <v>1.17</v>
      </c>
      <c r="X2166">
        <v>0.39</v>
      </c>
      <c r="Y2166">
        <v>1</v>
      </c>
      <c r="Z2166">
        <v>10</v>
      </c>
    </row>
    <row r="2167" spans="1:26" x14ac:dyDescent="0.3">
      <c r="A2167">
        <v>11</v>
      </c>
      <c r="B2167">
        <v>95</v>
      </c>
      <c r="C2167" t="s">
        <v>26</v>
      </c>
      <c r="D2167">
        <v>9.7745999999999995</v>
      </c>
      <c r="E2167">
        <v>10.23</v>
      </c>
      <c r="F2167">
        <v>7.05</v>
      </c>
      <c r="G2167">
        <v>22.28</v>
      </c>
      <c r="H2167">
        <v>0.35</v>
      </c>
      <c r="I2167">
        <v>19</v>
      </c>
      <c r="J2167">
        <v>189.87</v>
      </c>
      <c r="K2167">
        <v>53.44</v>
      </c>
      <c r="L2167">
        <v>3.75</v>
      </c>
      <c r="M2167">
        <v>17</v>
      </c>
      <c r="N2167">
        <v>37.69</v>
      </c>
      <c r="O2167">
        <v>23651.38</v>
      </c>
      <c r="P2167">
        <v>93.76</v>
      </c>
      <c r="Q2167">
        <v>204.14</v>
      </c>
      <c r="R2167">
        <v>32.94</v>
      </c>
      <c r="S2167">
        <v>17.37</v>
      </c>
      <c r="T2167">
        <v>5614.93</v>
      </c>
      <c r="U2167">
        <v>0.53</v>
      </c>
      <c r="V2167">
        <v>0.72</v>
      </c>
      <c r="W2167">
        <v>1.17</v>
      </c>
      <c r="X2167">
        <v>0.36</v>
      </c>
      <c r="Y2167">
        <v>1</v>
      </c>
      <c r="Z2167">
        <v>10</v>
      </c>
    </row>
    <row r="2168" spans="1:26" x14ac:dyDescent="0.3">
      <c r="A2168">
        <v>12</v>
      </c>
      <c r="B2168">
        <v>95</v>
      </c>
      <c r="C2168" t="s">
        <v>26</v>
      </c>
      <c r="D2168">
        <v>9.8430999999999997</v>
      </c>
      <c r="E2168">
        <v>10.16</v>
      </c>
      <c r="F2168">
        <v>7.02</v>
      </c>
      <c r="G2168">
        <v>23.4</v>
      </c>
      <c r="H2168">
        <v>0.37</v>
      </c>
      <c r="I2168">
        <v>18</v>
      </c>
      <c r="J2168">
        <v>190.25</v>
      </c>
      <c r="K2168">
        <v>53.44</v>
      </c>
      <c r="L2168">
        <v>4</v>
      </c>
      <c r="M2168">
        <v>16</v>
      </c>
      <c r="N2168">
        <v>37.82</v>
      </c>
      <c r="O2168">
        <v>23698.48</v>
      </c>
      <c r="P2168">
        <v>93.24</v>
      </c>
      <c r="Q2168">
        <v>204.14</v>
      </c>
      <c r="R2168">
        <v>32</v>
      </c>
      <c r="S2168">
        <v>17.37</v>
      </c>
      <c r="T2168">
        <v>5149.87</v>
      </c>
      <c r="U2168">
        <v>0.54</v>
      </c>
      <c r="V2168">
        <v>0.73</v>
      </c>
      <c r="W2168">
        <v>1.17</v>
      </c>
      <c r="X2168">
        <v>0.33</v>
      </c>
      <c r="Y2168">
        <v>1</v>
      </c>
      <c r="Z2168">
        <v>10</v>
      </c>
    </row>
    <row r="2169" spans="1:26" x14ac:dyDescent="0.3">
      <c r="A2169">
        <v>13</v>
      </c>
      <c r="B2169">
        <v>95</v>
      </c>
      <c r="C2169" t="s">
        <v>26</v>
      </c>
      <c r="D2169">
        <v>9.8787000000000003</v>
      </c>
      <c r="E2169">
        <v>10.119999999999999</v>
      </c>
      <c r="F2169">
        <v>7.02</v>
      </c>
      <c r="G2169">
        <v>24.78</v>
      </c>
      <c r="H2169">
        <v>0.4</v>
      </c>
      <c r="I2169">
        <v>17</v>
      </c>
      <c r="J2169">
        <v>190.63</v>
      </c>
      <c r="K2169">
        <v>53.44</v>
      </c>
      <c r="L2169">
        <v>4.25</v>
      </c>
      <c r="M2169">
        <v>15</v>
      </c>
      <c r="N2169">
        <v>37.950000000000003</v>
      </c>
      <c r="O2169">
        <v>23745.63</v>
      </c>
      <c r="P2169">
        <v>93.05</v>
      </c>
      <c r="Q2169">
        <v>204.16</v>
      </c>
      <c r="R2169">
        <v>32.11</v>
      </c>
      <c r="S2169">
        <v>17.37</v>
      </c>
      <c r="T2169">
        <v>5213.8599999999997</v>
      </c>
      <c r="U2169">
        <v>0.54</v>
      </c>
      <c r="V2169">
        <v>0.73</v>
      </c>
      <c r="W2169">
        <v>1.1599999999999999</v>
      </c>
      <c r="X2169">
        <v>0.33</v>
      </c>
      <c r="Y2169">
        <v>1</v>
      </c>
      <c r="Z2169">
        <v>10</v>
      </c>
    </row>
    <row r="2170" spans="1:26" x14ac:dyDescent="0.3">
      <c r="A2170">
        <v>14</v>
      </c>
      <c r="B2170">
        <v>95</v>
      </c>
      <c r="C2170" t="s">
        <v>26</v>
      </c>
      <c r="D2170">
        <v>9.9395000000000007</v>
      </c>
      <c r="E2170">
        <v>10.06</v>
      </c>
      <c r="F2170">
        <v>7</v>
      </c>
      <c r="G2170">
        <v>26.24</v>
      </c>
      <c r="H2170">
        <v>0.42</v>
      </c>
      <c r="I2170">
        <v>16</v>
      </c>
      <c r="J2170">
        <v>191.02</v>
      </c>
      <c r="K2170">
        <v>53.44</v>
      </c>
      <c r="L2170">
        <v>4.5</v>
      </c>
      <c r="M2170">
        <v>14</v>
      </c>
      <c r="N2170">
        <v>38.08</v>
      </c>
      <c r="O2170">
        <v>23792.83</v>
      </c>
      <c r="P2170">
        <v>92.56</v>
      </c>
      <c r="Q2170">
        <v>204.16</v>
      </c>
      <c r="R2170">
        <v>31.13</v>
      </c>
      <c r="S2170">
        <v>17.37</v>
      </c>
      <c r="T2170">
        <v>4728.78</v>
      </c>
      <c r="U2170">
        <v>0.56000000000000005</v>
      </c>
      <c r="V2170">
        <v>0.73</v>
      </c>
      <c r="W2170">
        <v>1.17</v>
      </c>
      <c r="X2170">
        <v>0.3</v>
      </c>
      <c r="Y2170">
        <v>1</v>
      </c>
      <c r="Z2170">
        <v>10</v>
      </c>
    </row>
    <row r="2171" spans="1:26" x14ac:dyDescent="0.3">
      <c r="A2171">
        <v>15</v>
      </c>
      <c r="B2171">
        <v>95</v>
      </c>
      <c r="C2171" t="s">
        <v>26</v>
      </c>
      <c r="D2171">
        <v>9.9888999999999992</v>
      </c>
      <c r="E2171">
        <v>10.01</v>
      </c>
      <c r="F2171">
        <v>6.98</v>
      </c>
      <c r="G2171">
        <v>27.94</v>
      </c>
      <c r="H2171">
        <v>0.44</v>
      </c>
      <c r="I2171">
        <v>15</v>
      </c>
      <c r="J2171">
        <v>191.4</v>
      </c>
      <c r="K2171">
        <v>53.44</v>
      </c>
      <c r="L2171">
        <v>4.75</v>
      </c>
      <c r="M2171">
        <v>13</v>
      </c>
      <c r="N2171">
        <v>38.22</v>
      </c>
      <c r="O2171">
        <v>23840.07</v>
      </c>
      <c r="P2171">
        <v>92.27</v>
      </c>
      <c r="Q2171">
        <v>204.15</v>
      </c>
      <c r="R2171">
        <v>31.17</v>
      </c>
      <c r="S2171">
        <v>17.37</v>
      </c>
      <c r="T2171">
        <v>4753.82</v>
      </c>
      <c r="U2171">
        <v>0.56000000000000005</v>
      </c>
      <c r="V2171">
        <v>0.73</v>
      </c>
      <c r="W2171">
        <v>1.1599999999999999</v>
      </c>
      <c r="X2171">
        <v>0.28999999999999998</v>
      </c>
      <c r="Y2171">
        <v>1</v>
      </c>
      <c r="Z2171">
        <v>10</v>
      </c>
    </row>
    <row r="2172" spans="1:26" x14ac:dyDescent="0.3">
      <c r="A2172">
        <v>16</v>
      </c>
      <c r="B2172">
        <v>95</v>
      </c>
      <c r="C2172" t="s">
        <v>26</v>
      </c>
      <c r="D2172">
        <v>10.0017</v>
      </c>
      <c r="E2172">
        <v>10</v>
      </c>
      <c r="F2172">
        <v>6.97</v>
      </c>
      <c r="G2172">
        <v>27.89</v>
      </c>
      <c r="H2172">
        <v>0.46</v>
      </c>
      <c r="I2172">
        <v>15</v>
      </c>
      <c r="J2172">
        <v>191.78</v>
      </c>
      <c r="K2172">
        <v>53.44</v>
      </c>
      <c r="L2172">
        <v>5</v>
      </c>
      <c r="M2172">
        <v>13</v>
      </c>
      <c r="N2172">
        <v>38.35</v>
      </c>
      <c r="O2172">
        <v>23887.360000000001</v>
      </c>
      <c r="P2172">
        <v>91.89</v>
      </c>
      <c r="Q2172">
        <v>204.22</v>
      </c>
      <c r="R2172">
        <v>30.61</v>
      </c>
      <c r="S2172">
        <v>17.37</v>
      </c>
      <c r="T2172">
        <v>4472.1400000000003</v>
      </c>
      <c r="U2172">
        <v>0.56999999999999995</v>
      </c>
      <c r="V2172">
        <v>0.73</v>
      </c>
      <c r="W2172">
        <v>1.1599999999999999</v>
      </c>
      <c r="X2172">
        <v>0.28000000000000003</v>
      </c>
      <c r="Y2172">
        <v>1</v>
      </c>
      <c r="Z2172">
        <v>10</v>
      </c>
    </row>
    <row r="2173" spans="1:26" x14ac:dyDescent="0.3">
      <c r="A2173">
        <v>17</v>
      </c>
      <c r="B2173">
        <v>95</v>
      </c>
      <c r="C2173" t="s">
        <v>26</v>
      </c>
      <c r="D2173">
        <v>10.066800000000001</v>
      </c>
      <c r="E2173">
        <v>9.93</v>
      </c>
      <c r="F2173">
        <v>6.94</v>
      </c>
      <c r="G2173">
        <v>29.76</v>
      </c>
      <c r="H2173">
        <v>0.48</v>
      </c>
      <c r="I2173">
        <v>14</v>
      </c>
      <c r="J2173">
        <v>192.17</v>
      </c>
      <c r="K2173">
        <v>53.44</v>
      </c>
      <c r="L2173">
        <v>5.25</v>
      </c>
      <c r="M2173">
        <v>12</v>
      </c>
      <c r="N2173">
        <v>38.479999999999997</v>
      </c>
      <c r="O2173">
        <v>23934.69</v>
      </c>
      <c r="P2173">
        <v>91.5</v>
      </c>
      <c r="Q2173">
        <v>204.15</v>
      </c>
      <c r="R2173">
        <v>29.65</v>
      </c>
      <c r="S2173">
        <v>17.37</v>
      </c>
      <c r="T2173">
        <v>3999.21</v>
      </c>
      <c r="U2173">
        <v>0.59</v>
      </c>
      <c r="V2173">
        <v>0.74</v>
      </c>
      <c r="W2173">
        <v>1.1599999999999999</v>
      </c>
      <c r="X2173">
        <v>0.25</v>
      </c>
      <c r="Y2173">
        <v>1</v>
      </c>
      <c r="Z2173">
        <v>10</v>
      </c>
    </row>
    <row r="2174" spans="1:26" x14ac:dyDescent="0.3">
      <c r="A2174">
        <v>18</v>
      </c>
      <c r="B2174">
        <v>95</v>
      </c>
      <c r="C2174" t="s">
        <v>26</v>
      </c>
      <c r="D2174">
        <v>10.117800000000001</v>
      </c>
      <c r="E2174">
        <v>9.8800000000000008</v>
      </c>
      <c r="F2174">
        <v>6.93</v>
      </c>
      <c r="G2174">
        <v>31.99</v>
      </c>
      <c r="H2174">
        <v>0.51</v>
      </c>
      <c r="I2174">
        <v>13</v>
      </c>
      <c r="J2174">
        <v>192.55</v>
      </c>
      <c r="K2174">
        <v>53.44</v>
      </c>
      <c r="L2174">
        <v>5.5</v>
      </c>
      <c r="M2174">
        <v>11</v>
      </c>
      <c r="N2174">
        <v>38.619999999999997</v>
      </c>
      <c r="O2174">
        <v>23982.06</v>
      </c>
      <c r="P2174">
        <v>91.06</v>
      </c>
      <c r="Q2174">
        <v>204.14</v>
      </c>
      <c r="R2174">
        <v>29.37</v>
      </c>
      <c r="S2174">
        <v>17.37</v>
      </c>
      <c r="T2174">
        <v>3864.07</v>
      </c>
      <c r="U2174">
        <v>0.59</v>
      </c>
      <c r="V2174">
        <v>0.74</v>
      </c>
      <c r="W2174">
        <v>1.1599999999999999</v>
      </c>
      <c r="X2174">
        <v>0.24</v>
      </c>
      <c r="Y2174">
        <v>1</v>
      </c>
      <c r="Z2174">
        <v>10</v>
      </c>
    </row>
    <row r="2175" spans="1:26" x14ac:dyDescent="0.3">
      <c r="A2175">
        <v>19</v>
      </c>
      <c r="B2175">
        <v>95</v>
      </c>
      <c r="C2175" t="s">
        <v>26</v>
      </c>
      <c r="D2175">
        <v>10.122299999999999</v>
      </c>
      <c r="E2175">
        <v>9.8800000000000008</v>
      </c>
      <c r="F2175">
        <v>6.93</v>
      </c>
      <c r="G2175">
        <v>31.97</v>
      </c>
      <c r="H2175">
        <v>0.53</v>
      </c>
      <c r="I2175">
        <v>13</v>
      </c>
      <c r="J2175">
        <v>192.94</v>
      </c>
      <c r="K2175">
        <v>53.44</v>
      </c>
      <c r="L2175">
        <v>5.75</v>
      </c>
      <c r="M2175">
        <v>11</v>
      </c>
      <c r="N2175">
        <v>38.75</v>
      </c>
      <c r="O2175">
        <v>24029.48</v>
      </c>
      <c r="P2175">
        <v>90.93</v>
      </c>
      <c r="Q2175">
        <v>204.19</v>
      </c>
      <c r="R2175">
        <v>29.07</v>
      </c>
      <c r="S2175">
        <v>17.37</v>
      </c>
      <c r="T2175">
        <v>3711.51</v>
      </c>
      <c r="U2175">
        <v>0.6</v>
      </c>
      <c r="V2175">
        <v>0.74</v>
      </c>
      <c r="W2175">
        <v>1.1599999999999999</v>
      </c>
      <c r="X2175">
        <v>0.23</v>
      </c>
      <c r="Y2175">
        <v>1</v>
      </c>
      <c r="Z2175">
        <v>10</v>
      </c>
    </row>
    <row r="2176" spans="1:26" x14ac:dyDescent="0.3">
      <c r="A2176">
        <v>20</v>
      </c>
      <c r="B2176">
        <v>95</v>
      </c>
      <c r="C2176" t="s">
        <v>26</v>
      </c>
      <c r="D2176">
        <v>10.1752</v>
      </c>
      <c r="E2176">
        <v>9.83</v>
      </c>
      <c r="F2176">
        <v>6.91</v>
      </c>
      <c r="G2176">
        <v>34.56</v>
      </c>
      <c r="H2176">
        <v>0.55000000000000004</v>
      </c>
      <c r="I2176">
        <v>12</v>
      </c>
      <c r="J2176">
        <v>193.32</v>
      </c>
      <c r="K2176">
        <v>53.44</v>
      </c>
      <c r="L2176">
        <v>6</v>
      </c>
      <c r="M2176">
        <v>10</v>
      </c>
      <c r="N2176">
        <v>38.89</v>
      </c>
      <c r="O2176">
        <v>24076.95</v>
      </c>
      <c r="P2176">
        <v>90.55</v>
      </c>
      <c r="Q2176">
        <v>204.17</v>
      </c>
      <c r="R2176">
        <v>28.92</v>
      </c>
      <c r="S2176">
        <v>17.37</v>
      </c>
      <c r="T2176">
        <v>3644.24</v>
      </c>
      <c r="U2176">
        <v>0.6</v>
      </c>
      <c r="V2176">
        <v>0.74</v>
      </c>
      <c r="W2176">
        <v>1.1499999999999999</v>
      </c>
      <c r="X2176">
        <v>0.22</v>
      </c>
      <c r="Y2176">
        <v>1</v>
      </c>
      <c r="Z2176">
        <v>10</v>
      </c>
    </row>
    <row r="2177" spans="1:26" x14ac:dyDescent="0.3">
      <c r="A2177">
        <v>21</v>
      </c>
      <c r="B2177">
        <v>95</v>
      </c>
      <c r="C2177" t="s">
        <v>26</v>
      </c>
      <c r="D2177">
        <v>10.1698</v>
      </c>
      <c r="E2177">
        <v>9.83</v>
      </c>
      <c r="F2177">
        <v>6.92</v>
      </c>
      <c r="G2177">
        <v>34.590000000000003</v>
      </c>
      <c r="H2177">
        <v>0.56999999999999995</v>
      </c>
      <c r="I2177">
        <v>12</v>
      </c>
      <c r="J2177">
        <v>193.71</v>
      </c>
      <c r="K2177">
        <v>53.44</v>
      </c>
      <c r="L2177">
        <v>6.25</v>
      </c>
      <c r="M2177">
        <v>10</v>
      </c>
      <c r="N2177">
        <v>39.020000000000003</v>
      </c>
      <c r="O2177">
        <v>24124.47</v>
      </c>
      <c r="P2177">
        <v>90.52</v>
      </c>
      <c r="Q2177">
        <v>204.15</v>
      </c>
      <c r="R2177">
        <v>28.84</v>
      </c>
      <c r="S2177">
        <v>17.37</v>
      </c>
      <c r="T2177">
        <v>3603.17</v>
      </c>
      <c r="U2177">
        <v>0.6</v>
      </c>
      <c r="V2177">
        <v>0.74</v>
      </c>
      <c r="W2177">
        <v>1.1599999999999999</v>
      </c>
      <c r="X2177">
        <v>0.23</v>
      </c>
      <c r="Y2177">
        <v>1</v>
      </c>
      <c r="Z2177">
        <v>10</v>
      </c>
    </row>
    <row r="2178" spans="1:26" x14ac:dyDescent="0.3">
      <c r="A2178">
        <v>22</v>
      </c>
      <c r="B2178">
        <v>95</v>
      </c>
      <c r="C2178" t="s">
        <v>26</v>
      </c>
      <c r="D2178">
        <v>10.248799999999999</v>
      </c>
      <c r="E2178">
        <v>9.76</v>
      </c>
      <c r="F2178">
        <v>6.88</v>
      </c>
      <c r="G2178">
        <v>37.520000000000003</v>
      </c>
      <c r="H2178">
        <v>0.59</v>
      </c>
      <c r="I2178">
        <v>11</v>
      </c>
      <c r="J2178">
        <v>194.09</v>
      </c>
      <c r="K2178">
        <v>53.44</v>
      </c>
      <c r="L2178">
        <v>6.5</v>
      </c>
      <c r="M2178">
        <v>9</v>
      </c>
      <c r="N2178">
        <v>39.159999999999997</v>
      </c>
      <c r="O2178">
        <v>24172.03</v>
      </c>
      <c r="P2178">
        <v>89.61</v>
      </c>
      <c r="Q2178">
        <v>204.14</v>
      </c>
      <c r="R2178">
        <v>27.64</v>
      </c>
      <c r="S2178">
        <v>17.37</v>
      </c>
      <c r="T2178">
        <v>3005.83</v>
      </c>
      <c r="U2178">
        <v>0.63</v>
      </c>
      <c r="V2178">
        <v>0.74</v>
      </c>
      <c r="W2178">
        <v>1.1499999999999999</v>
      </c>
      <c r="X2178">
        <v>0.19</v>
      </c>
      <c r="Y2178">
        <v>1</v>
      </c>
      <c r="Z2178">
        <v>10</v>
      </c>
    </row>
    <row r="2179" spans="1:26" x14ac:dyDescent="0.3">
      <c r="A2179">
        <v>23</v>
      </c>
      <c r="B2179">
        <v>95</v>
      </c>
      <c r="C2179" t="s">
        <v>26</v>
      </c>
      <c r="D2179">
        <v>10.2447</v>
      </c>
      <c r="E2179">
        <v>9.76</v>
      </c>
      <c r="F2179">
        <v>6.88</v>
      </c>
      <c r="G2179">
        <v>37.54</v>
      </c>
      <c r="H2179">
        <v>0.62</v>
      </c>
      <c r="I2179">
        <v>11</v>
      </c>
      <c r="J2179">
        <v>194.48</v>
      </c>
      <c r="K2179">
        <v>53.44</v>
      </c>
      <c r="L2179">
        <v>6.75</v>
      </c>
      <c r="M2179">
        <v>9</v>
      </c>
      <c r="N2179">
        <v>39.29</v>
      </c>
      <c r="O2179">
        <v>24219.63</v>
      </c>
      <c r="P2179">
        <v>89.64</v>
      </c>
      <c r="Q2179">
        <v>204.15</v>
      </c>
      <c r="R2179">
        <v>27.81</v>
      </c>
      <c r="S2179">
        <v>17.37</v>
      </c>
      <c r="T2179">
        <v>3091.7</v>
      </c>
      <c r="U2179">
        <v>0.62</v>
      </c>
      <c r="V2179">
        <v>0.74</v>
      </c>
      <c r="W2179">
        <v>1.1499999999999999</v>
      </c>
      <c r="X2179">
        <v>0.19</v>
      </c>
      <c r="Y2179">
        <v>1</v>
      </c>
      <c r="Z2179">
        <v>10</v>
      </c>
    </row>
    <row r="2180" spans="1:26" x14ac:dyDescent="0.3">
      <c r="A2180">
        <v>24</v>
      </c>
      <c r="B2180">
        <v>95</v>
      </c>
      <c r="C2180" t="s">
        <v>26</v>
      </c>
      <c r="D2180">
        <v>10.242100000000001</v>
      </c>
      <c r="E2180">
        <v>9.76</v>
      </c>
      <c r="F2180">
        <v>6.89</v>
      </c>
      <c r="G2180">
        <v>37.56</v>
      </c>
      <c r="H2180">
        <v>0.64</v>
      </c>
      <c r="I2180">
        <v>11</v>
      </c>
      <c r="J2180">
        <v>194.86</v>
      </c>
      <c r="K2180">
        <v>53.44</v>
      </c>
      <c r="L2180">
        <v>7</v>
      </c>
      <c r="M2180">
        <v>9</v>
      </c>
      <c r="N2180">
        <v>39.43</v>
      </c>
      <c r="O2180">
        <v>24267.279999999999</v>
      </c>
      <c r="P2180">
        <v>89.37</v>
      </c>
      <c r="Q2180">
        <v>204.18</v>
      </c>
      <c r="R2180">
        <v>27.9</v>
      </c>
      <c r="S2180">
        <v>17.37</v>
      </c>
      <c r="T2180">
        <v>3139.5</v>
      </c>
      <c r="U2180">
        <v>0.62</v>
      </c>
      <c r="V2180">
        <v>0.74</v>
      </c>
      <c r="W2180">
        <v>1.1499999999999999</v>
      </c>
      <c r="X2180">
        <v>0.19</v>
      </c>
      <c r="Y2180">
        <v>1</v>
      </c>
      <c r="Z2180">
        <v>10</v>
      </c>
    </row>
    <row r="2181" spans="1:26" x14ac:dyDescent="0.3">
      <c r="A2181">
        <v>25</v>
      </c>
      <c r="B2181">
        <v>95</v>
      </c>
      <c r="C2181" t="s">
        <v>26</v>
      </c>
      <c r="D2181">
        <v>10.303100000000001</v>
      </c>
      <c r="E2181">
        <v>9.7100000000000009</v>
      </c>
      <c r="F2181">
        <v>6.87</v>
      </c>
      <c r="G2181">
        <v>41.19</v>
      </c>
      <c r="H2181">
        <v>0.66</v>
      </c>
      <c r="I2181">
        <v>10</v>
      </c>
      <c r="J2181">
        <v>195.25</v>
      </c>
      <c r="K2181">
        <v>53.44</v>
      </c>
      <c r="L2181">
        <v>7.25</v>
      </c>
      <c r="M2181">
        <v>8</v>
      </c>
      <c r="N2181">
        <v>39.57</v>
      </c>
      <c r="O2181">
        <v>24314.98</v>
      </c>
      <c r="P2181">
        <v>88.83</v>
      </c>
      <c r="Q2181">
        <v>204.15</v>
      </c>
      <c r="R2181">
        <v>27.3</v>
      </c>
      <c r="S2181">
        <v>17.37</v>
      </c>
      <c r="T2181">
        <v>2841.04</v>
      </c>
      <c r="U2181">
        <v>0.64</v>
      </c>
      <c r="V2181">
        <v>0.74</v>
      </c>
      <c r="W2181">
        <v>1.1499999999999999</v>
      </c>
      <c r="X2181">
        <v>0.17</v>
      </c>
      <c r="Y2181">
        <v>1</v>
      </c>
      <c r="Z2181">
        <v>10</v>
      </c>
    </row>
    <row r="2182" spans="1:26" x14ac:dyDescent="0.3">
      <c r="A2182">
        <v>26</v>
      </c>
      <c r="B2182">
        <v>95</v>
      </c>
      <c r="C2182" t="s">
        <v>26</v>
      </c>
      <c r="D2182">
        <v>10.3001</v>
      </c>
      <c r="E2182">
        <v>9.7100000000000009</v>
      </c>
      <c r="F2182">
        <v>6.87</v>
      </c>
      <c r="G2182">
        <v>41.21</v>
      </c>
      <c r="H2182">
        <v>0.68</v>
      </c>
      <c r="I2182">
        <v>10</v>
      </c>
      <c r="J2182">
        <v>195.64</v>
      </c>
      <c r="K2182">
        <v>53.44</v>
      </c>
      <c r="L2182">
        <v>7.5</v>
      </c>
      <c r="M2182">
        <v>8</v>
      </c>
      <c r="N2182">
        <v>39.700000000000003</v>
      </c>
      <c r="O2182">
        <v>24362.73</v>
      </c>
      <c r="P2182">
        <v>88.84</v>
      </c>
      <c r="Q2182">
        <v>204.14</v>
      </c>
      <c r="R2182">
        <v>27.33</v>
      </c>
      <c r="S2182">
        <v>17.37</v>
      </c>
      <c r="T2182">
        <v>2855.01</v>
      </c>
      <c r="U2182">
        <v>0.64</v>
      </c>
      <c r="V2182">
        <v>0.74</v>
      </c>
      <c r="W2182">
        <v>1.1499999999999999</v>
      </c>
      <c r="X2182">
        <v>0.18</v>
      </c>
      <c r="Y2182">
        <v>1</v>
      </c>
      <c r="Z2182">
        <v>10</v>
      </c>
    </row>
    <row r="2183" spans="1:26" x14ac:dyDescent="0.3">
      <c r="A2183">
        <v>27</v>
      </c>
      <c r="B2183">
        <v>95</v>
      </c>
      <c r="C2183" t="s">
        <v>26</v>
      </c>
      <c r="D2183">
        <v>10.300700000000001</v>
      </c>
      <c r="E2183">
        <v>9.7100000000000009</v>
      </c>
      <c r="F2183">
        <v>6.87</v>
      </c>
      <c r="G2183">
        <v>41.2</v>
      </c>
      <c r="H2183">
        <v>0.7</v>
      </c>
      <c r="I2183">
        <v>10</v>
      </c>
      <c r="J2183">
        <v>196.03</v>
      </c>
      <c r="K2183">
        <v>53.44</v>
      </c>
      <c r="L2183">
        <v>7.75</v>
      </c>
      <c r="M2183">
        <v>8</v>
      </c>
      <c r="N2183">
        <v>39.840000000000003</v>
      </c>
      <c r="O2183">
        <v>24410.52</v>
      </c>
      <c r="P2183">
        <v>88.77</v>
      </c>
      <c r="Q2183">
        <v>204.17</v>
      </c>
      <c r="R2183">
        <v>27.32</v>
      </c>
      <c r="S2183">
        <v>17.37</v>
      </c>
      <c r="T2183">
        <v>2853.9</v>
      </c>
      <c r="U2183">
        <v>0.64</v>
      </c>
      <c r="V2183">
        <v>0.74</v>
      </c>
      <c r="W2183">
        <v>1.1499999999999999</v>
      </c>
      <c r="X2183">
        <v>0.18</v>
      </c>
      <c r="Y2183">
        <v>1</v>
      </c>
      <c r="Z2183">
        <v>10</v>
      </c>
    </row>
    <row r="2184" spans="1:26" x14ac:dyDescent="0.3">
      <c r="A2184">
        <v>28</v>
      </c>
      <c r="B2184">
        <v>95</v>
      </c>
      <c r="C2184" t="s">
        <v>26</v>
      </c>
      <c r="D2184">
        <v>10.3546</v>
      </c>
      <c r="E2184">
        <v>9.66</v>
      </c>
      <c r="F2184">
        <v>6.85</v>
      </c>
      <c r="G2184">
        <v>45.69</v>
      </c>
      <c r="H2184">
        <v>0.72</v>
      </c>
      <c r="I2184">
        <v>9</v>
      </c>
      <c r="J2184">
        <v>196.41</v>
      </c>
      <c r="K2184">
        <v>53.44</v>
      </c>
      <c r="L2184">
        <v>8</v>
      </c>
      <c r="M2184">
        <v>7</v>
      </c>
      <c r="N2184">
        <v>39.979999999999997</v>
      </c>
      <c r="O2184">
        <v>24458.36</v>
      </c>
      <c r="P2184">
        <v>88.35</v>
      </c>
      <c r="Q2184">
        <v>204.19</v>
      </c>
      <c r="R2184">
        <v>26.81</v>
      </c>
      <c r="S2184">
        <v>17.37</v>
      </c>
      <c r="T2184">
        <v>2601.4299999999998</v>
      </c>
      <c r="U2184">
        <v>0.65</v>
      </c>
      <c r="V2184">
        <v>0.75</v>
      </c>
      <c r="W2184">
        <v>1.1499999999999999</v>
      </c>
      <c r="X2184">
        <v>0.16</v>
      </c>
      <c r="Y2184">
        <v>1</v>
      </c>
      <c r="Z2184">
        <v>10</v>
      </c>
    </row>
    <row r="2185" spans="1:26" x14ac:dyDescent="0.3">
      <c r="A2185">
        <v>29</v>
      </c>
      <c r="B2185">
        <v>95</v>
      </c>
      <c r="C2185" t="s">
        <v>26</v>
      </c>
      <c r="D2185">
        <v>10.3514</v>
      </c>
      <c r="E2185">
        <v>9.66</v>
      </c>
      <c r="F2185">
        <v>6.86</v>
      </c>
      <c r="G2185">
        <v>45.71</v>
      </c>
      <c r="H2185">
        <v>0.74</v>
      </c>
      <c r="I2185">
        <v>9</v>
      </c>
      <c r="J2185">
        <v>196.8</v>
      </c>
      <c r="K2185">
        <v>53.44</v>
      </c>
      <c r="L2185">
        <v>8.25</v>
      </c>
      <c r="M2185">
        <v>7</v>
      </c>
      <c r="N2185">
        <v>40.119999999999997</v>
      </c>
      <c r="O2185">
        <v>24506.240000000002</v>
      </c>
      <c r="P2185">
        <v>88.52</v>
      </c>
      <c r="Q2185">
        <v>204.14</v>
      </c>
      <c r="R2185">
        <v>26.98</v>
      </c>
      <c r="S2185">
        <v>17.37</v>
      </c>
      <c r="T2185">
        <v>2687.88</v>
      </c>
      <c r="U2185">
        <v>0.64</v>
      </c>
      <c r="V2185">
        <v>0.74</v>
      </c>
      <c r="W2185">
        <v>1.1499999999999999</v>
      </c>
      <c r="X2185">
        <v>0.17</v>
      </c>
      <c r="Y2185">
        <v>1</v>
      </c>
      <c r="Z2185">
        <v>10</v>
      </c>
    </row>
    <row r="2186" spans="1:26" x14ac:dyDescent="0.3">
      <c r="A2186">
        <v>30</v>
      </c>
      <c r="B2186">
        <v>95</v>
      </c>
      <c r="C2186" t="s">
        <v>26</v>
      </c>
      <c r="D2186">
        <v>10.350199999999999</v>
      </c>
      <c r="E2186">
        <v>9.66</v>
      </c>
      <c r="F2186">
        <v>6.86</v>
      </c>
      <c r="G2186">
        <v>45.72</v>
      </c>
      <c r="H2186">
        <v>0.77</v>
      </c>
      <c r="I2186">
        <v>9</v>
      </c>
      <c r="J2186">
        <v>197.19</v>
      </c>
      <c r="K2186">
        <v>53.44</v>
      </c>
      <c r="L2186">
        <v>8.5</v>
      </c>
      <c r="M2186">
        <v>7</v>
      </c>
      <c r="N2186">
        <v>40.26</v>
      </c>
      <c r="O2186">
        <v>24554.18</v>
      </c>
      <c r="P2186">
        <v>88.3</v>
      </c>
      <c r="Q2186">
        <v>204.15</v>
      </c>
      <c r="R2186">
        <v>26.99</v>
      </c>
      <c r="S2186">
        <v>17.37</v>
      </c>
      <c r="T2186">
        <v>2691.38</v>
      </c>
      <c r="U2186">
        <v>0.64</v>
      </c>
      <c r="V2186">
        <v>0.74</v>
      </c>
      <c r="W2186">
        <v>1.1499999999999999</v>
      </c>
      <c r="X2186">
        <v>0.17</v>
      </c>
      <c r="Y2186">
        <v>1</v>
      </c>
      <c r="Z2186">
        <v>10</v>
      </c>
    </row>
    <row r="2187" spans="1:26" x14ac:dyDescent="0.3">
      <c r="A2187">
        <v>31</v>
      </c>
      <c r="B2187">
        <v>95</v>
      </c>
      <c r="C2187" t="s">
        <v>26</v>
      </c>
      <c r="D2187">
        <v>10.352</v>
      </c>
      <c r="E2187">
        <v>9.66</v>
      </c>
      <c r="F2187">
        <v>6.86</v>
      </c>
      <c r="G2187">
        <v>45.71</v>
      </c>
      <c r="H2187">
        <v>0.79</v>
      </c>
      <c r="I2187">
        <v>9</v>
      </c>
      <c r="J2187">
        <v>197.58</v>
      </c>
      <c r="K2187">
        <v>53.44</v>
      </c>
      <c r="L2187">
        <v>8.75</v>
      </c>
      <c r="M2187">
        <v>7</v>
      </c>
      <c r="N2187">
        <v>40.39</v>
      </c>
      <c r="O2187">
        <v>24602.15</v>
      </c>
      <c r="P2187">
        <v>88.04</v>
      </c>
      <c r="Q2187">
        <v>204.14</v>
      </c>
      <c r="R2187">
        <v>26.99</v>
      </c>
      <c r="S2187">
        <v>17.37</v>
      </c>
      <c r="T2187">
        <v>2694.76</v>
      </c>
      <c r="U2187">
        <v>0.64</v>
      </c>
      <c r="V2187">
        <v>0.74</v>
      </c>
      <c r="W2187">
        <v>1.1499999999999999</v>
      </c>
      <c r="X2187">
        <v>0.17</v>
      </c>
      <c r="Y2187">
        <v>1</v>
      </c>
      <c r="Z2187">
        <v>10</v>
      </c>
    </row>
    <row r="2188" spans="1:26" x14ac:dyDescent="0.3">
      <c r="A2188">
        <v>32</v>
      </c>
      <c r="B2188">
        <v>95</v>
      </c>
      <c r="C2188" t="s">
        <v>26</v>
      </c>
      <c r="D2188">
        <v>10.415800000000001</v>
      </c>
      <c r="E2188">
        <v>9.6</v>
      </c>
      <c r="F2188">
        <v>6.83</v>
      </c>
      <c r="G2188">
        <v>51.26</v>
      </c>
      <c r="H2188">
        <v>0.81</v>
      </c>
      <c r="I2188">
        <v>8</v>
      </c>
      <c r="J2188">
        <v>197.97</v>
      </c>
      <c r="K2188">
        <v>53.44</v>
      </c>
      <c r="L2188">
        <v>9</v>
      </c>
      <c r="M2188">
        <v>6</v>
      </c>
      <c r="N2188">
        <v>40.53</v>
      </c>
      <c r="O2188">
        <v>24650.18</v>
      </c>
      <c r="P2188">
        <v>87.47</v>
      </c>
      <c r="Q2188">
        <v>204.15</v>
      </c>
      <c r="R2188">
        <v>26.34</v>
      </c>
      <c r="S2188">
        <v>17.37</v>
      </c>
      <c r="T2188">
        <v>2374.4</v>
      </c>
      <c r="U2188">
        <v>0.66</v>
      </c>
      <c r="V2188">
        <v>0.75</v>
      </c>
      <c r="W2188">
        <v>1.1499999999999999</v>
      </c>
      <c r="X2188">
        <v>0.14000000000000001</v>
      </c>
      <c r="Y2188">
        <v>1</v>
      </c>
      <c r="Z2188">
        <v>10</v>
      </c>
    </row>
    <row r="2189" spans="1:26" x14ac:dyDescent="0.3">
      <c r="A2189">
        <v>33</v>
      </c>
      <c r="B2189">
        <v>95</v>
      </c>
      <c r="C2189" t="s">
        <v>26</v>
      </c>
      <c r="D2189">
        <v>10.432700000000001</v>
      </c>
      <c r="E2189">
        <v>9.59</v>
      </c>
      <c r="F2189">
        <v>6.82</v>
      </c>
      <c r="G2189">
        <v>51.14</v>
      </c>
      <c r="H2189">
        <v>0.83</v>
      </c>
      <c r="I2189">
        <v>8</v>
      </c>
      <c r="J2189">
        <v>198.36</v>
      </c>
      <c r="K2189">
        <v>53.44</v>
      </c>
      <c r="L2189">
        <v>9.25</v>
      </c>
      <c r="M2189">
        <v>6</v>
      </c>
      <c r="N2189">
        <v>40.67</v>
      </c>
      <c r="O2189">
        <v>24698.26</v>
      </c>
      <c r="P2189">
        <v>87.06</v>
      </c>
      <c r="Q2189">
        <v>204.15</v>
      </c>
      <c r="R2189">
        <v>25.81</v>
      </c>
      <c r="S2189">
        <v>17.37</v>
      </c>
      <c r="T2189">
        <v>2109.38</v>
      </c>
      <c r="U2189">
        <v>0.67</v>
      </c>
      <c r="V2189">
        <v>0.75</v>
      </c>
      <c r="W2189">
        <v>1.1499999999999999</v>
      </c>
      <c r="X2189">
        <v>0.13</v>
      </c>
      <c r="Y2189">
        <v>1</v>
      </c>
      <c r="Z2189">
        <v>10</v>
      </c>
    </row>
    <row r="2190" spans="1:26" x14ac:dyDescent="0.3">
      <c r="A2190">
        <v>34</v>
      </c>
      <c r="B2190">
        <v>95</v>
      </c>
      <c r="C2190" t="s">
        <v>26</v>
      </c>
      <c r="D2190">
        <v>10.421200000000001</v>
      </c>
      <c r="E2190">
        <v>9.6</v>
      </c>
      <c r="F2190">
        <v>6.83</v>
      </c>
      <c r="G2190">
        <v>51.22</v>
      </c>
      <c r="H2190">
        <v>0.85</v>
      </c>
      <c r="I2190">
        <v>8</v>
      </c>
      <c r="J2190">
        <v>198.75</v>
      </c>
      <c r="K2190">
        <v>53.44</v>
      </c>
      <c r="L2190">
        <v>9.5</v>
      </c>
      <c r="M2190">
        <v>6</v>
      </c>
      <c r="N2190">
        <v>40.81</v>
      </c>
      <c r="O2190">
        <v>24746.38</v>
      </c>
      <c r="P2190">
        <v>87.03</v>
      </c>
      <c r="Q2190">
        <v>204.14</v>
      </c>
      <c r="R2190">
        <v>26.09</v>
      </c>
      <c r="S2190">
        <v>17.37</v>
      </c>
      <c r="T2190">
        <v>2246.7399999999998</v>
      </c>
      <c r="U2190">
        <v>0.67</v>
      </c>
      <c r="V2190">
        <v>0.75</v>
      </c>
      <c r="W2190">
        <v>1.1499999999999999</v>
      </c>
      <c r="X2190">
        <v>0.14000000000000001</v>
      </c>
      <c r="Y2190">
        <v>1</v>
      </c>
      <c r="Z2190">
        <v>10</v>
      </c>
    </row>
    <row r="2191" spans="1:26" x14ac:dyDescent="0.3">
      <c r="A2191">
        <v>35</v>
      </c>
      <c r="B2191">
        <v>95</v>
      </c>
      <c r="C2191" t="s">
        <v>26</v>
      </c>
      <c r="D2191">
        <v>10.4251</v>
      </c>
      <c r="E2191">
        <v>9.59</v>
      </c>
      <c r="F2191">
        <v>6.83</v>
      </c>
      <c r="G2191">
        <v>51.19</v>
      </c>
      <c r="H2191">
        <v>0.87</v>
      </c>
      <c r="I2191">
        <v>8</v>
      </c>
      <c r="J2191">
        <v>199.14</v>
      </c>
      <c r="K2191">
        <v>53.44</v>
      </c>
      <c r="L2191">
        <v>9.75</v>
      </c>
      <c r="M2191">
        <v>6</v>
      </c>
      <c r="N2191">
        <v>40.950000000000003</v>
      </c>
      <c r="O2191">
        <v>24794.55</v>
      </c>
      <c r="P2191">
        <v>86.78</v>
      </c>
      <c r="Q2191">
        <v>204.16</v>
      </c>
      <c r="R2191">
        <v>26.13</v>
      </c>
      <c r="S2191">
        <v>17.37</v>
      </c>
      <c r="T2191">
        <v>2269.6</v>
      </c>
      <c r="U2191">
        <v>0.66</v>
      </c>
      <c r="V2191">
        <v>0.75</v>
      </c>
      <c r="W2191">
        <v>1.1499999999999999</v>
      </c>
      <c r="X2191">
        <v>0.13</v>
      </c>
      <c r="Y2191">
        <v>1</v>
      </c>
      <c r="Z2191">
        <v>10</v>
      </c>
    </row>
    <row r="2192" spans="1:26" x14ac:dyDescent="0.3">
      <c r="A2192">
        <v>36</v>
      </c>
      <c r="B2192">
        <v>95</v>
      </c>
      <c r="C2192" t="s">
        <v>26</v>
      </c>
      <c r="D2192">
        <v>10.4206</v>
      </c>
      <c r="E2192">
        <v>9.6</v>
      </c>
      <c r="F2192">
        <v>6.83</v>
      </c>
      <c r="G2192">
        <v>51.23</v>
      </c>
      <c r="H2192">
        <v>0.89</v>
      </c>
      <c r="I2192">
        <v>8</v>
      </c>
      <c r="J2192">
        <v>199.53</v>
      </c>
      <c r="K2192">
        <v>53.44</v>
      </c>
      <c r="L2192">
        <v>10</v>
      </c>
      <c r="M2192">
        <v>6</v>
      </c>
      <c r="N2192">
        <v>41.1</v>
      </c>
      <c r="O2192">
        <v>24842.77</v>
      </c>
      <c r="P2192">
        <v>86.66</v>
      </c>
      <c r="Q2192">
        <v>204.14</v>
      </c>
      <c r="R2192">
        <v>26.09</v>
      </c>
      <c r="S2192">
        <v>17.37</v>
      </c>
      <c r="T2192">
        <v>2249.7399999999998</v>
      </c>
      <c r="U2192">
        <v>0.67</v>
      </c>
      <c r="V2192">
        <v>0.75</v>
      </c>
      <c r="W2192">
        <v>1.1499999999999999</v>
      </c>
      <c r="X2192">
        <v>0.14000000000000001</v>
      </c>
      <c r="Y2192">
        <v>1</v>
      </c>
      <c r="Z2192">
        <v>10</v>
      </c>
    </row>
    <row r="2193" spans="1:26" x14ac:dyDescent="0.3">
      <c r="A2193">
        <v>37</v>
      </c>
      <c r="B2193">
        <v>95</v>
      </c>
      <c r="C2193" t="s">
        <v>26</v>
      </c>
      <c r="D2193">
        <v>10.4941</v>
      </c>
      <c r="E2193">
        <v>9.5299999999999994</v>
      </c>
      <c r="F2193">
        <v>6.8</v>
      </c>
      <c r="G2193">
        <v>58.29</v>
      </c>
      <c r="H2193">
        <v>0.91</v>
      </c>
      <c r="I2193">
        <v>7</v>
      </c>
      <c r="J2193">
        <v>199.92</v>
      </c>
      <c r="K2193">
        <v>53.44</v>
      </c>
      <c r="L2193">
        <v>10.25</v>
      </c>
      <c r="M2193">
        <v>5</v>
      </c>
      <c r="N2193">
        <v>41.24</v>
      </c>
      <c r="O2193">
        <v>24891.03</v>
      </c>
      <c r="P2193">
        <v>85.86</v>
      </c>
      <c r="Q2193">
        <v>204.14</v>
      </c>
      <c r="R2193">
        <v>25.27</v>
      </c>
      <c r="S2193">
        <v>17.37</v>
      </c>
      <c r="T2193">
        <v>1842.32</v>
      </c>
      <c r="U2193">
        <v>0.69</v>
      </c>
      <c r="V2193">
        <v>0.75</v>
      </c>
      <c r="W2193">
        <v>1.1499999999999999</v>
      </c>
      <c r="X2193">
        <v>0.11</v>
      </c>
      <c r="Y2193">
        <v>1</v>
      </c>
      <c r="Z2193">
        <v>10</v>
      </c>
    </row>
    <row r="2194" spans="1:26" x14ac:dyDescent="0.3">
      <c r="A2194">
        <v>38</v>
      </c>
      <c r="B2194">
        <v>95</v>
      </c>
      <c r="C2194" t="s">
        <v>26</v>
      </c>
      <c r="D2194">
        <v>10.493499999999999</v>
      </c>
      <c r="E2194">
        <v>9.5299999999999994</v>
      </c>
      <c r="F2194">
        <v>6.8</v>
      </c>
      <c r="G2194">
        <v>58.29</v>
      </c>
      <c r="H2194">
        <v>0.93</v>
      </c>
      <c r="I2194">
        <v>7</v>
      </c>
      <c r="J2194">
        <v>200.31</v>
      </c>
      <c r="K2194">
        <v>53.44</v>
      </c>
      <c r="L2194">
        <v>10.5</v>
      </c>
      <c r="M2194">
        <v>5</v>
      </c>
      <c r="N2194">
        <v>41.38</v>
      </c>
      <c r="O2194">
        <v>24939.35</v>
      </c>
      <c r="P2194">
        <v>86.1</v>
      </c>
      <c r="Q2194">
        <v>204.16</v>
      </c>
      <c r="R2194">
        <v>25.25</v>
      </c>
      <c r="S2194">
        <v>17.37</v>
      </c>
      <c r="T2194">
        <v>1834.79</v>
      </c>
      <c r="U2194">
        <v>0.69</v>
      </c>
      <c r="V2194">
        <v>0.75</v>
      </c>
      <c r="W2194">
        <v>1.1499999999999999</v>
      </c>
      <c r="X2194">
        <v>0.11</v>
      </c>
      <c r="Y2194">
        <v>1</v>
      </c>
      <c r="Z2194">
        <v>10</v>
      </c>
    </row>
    <row r="2195" spans="1:26" x14ac:dyDescent="0.3">
      <c r="A2195">
        <v>39</v>
      </c>
      <c r="B2195">
        <v>95</v>
      </c>
      <c r="C2195" t="s">
        <v>26</v>
      </c>
      <c r="D2195">
        <v>10.489800000000001</v>
      </c>
      <c r="E2195">
        <v>9.5299999999999994</v>
      </c>
      <c r="F2195">
        <v>6.8</v>
      </c>
      <c r="G2195">
        <v>58.32</v>
      </c>
      <c r="H2195">
        <v>0.95</v>
      </c>
      <c r="I2195">
        <v>7</v>
      </c>
      <c r="J2195">
        <v>200.71</v>
      </c>
      <c r="K2195">
        <v>53.44</v>
      </c>
      <c r="L2195">
        <v>10.75</v>
      </c>
      <c r="M2195">
        <v>5</v>
      </c>
      <c r="N2195">
        <v>41.52</v>
      </c>
      <c r="O2195">
        <v>24987.71</v>
      </c>
      <c r="P2195">
        <v>86.27</v>
      </c>
      <c r="Q2195">
        <v>204.14</v>
      </c>
      <c r="R2195">
        <v>25.31</v>
      </c>
      <c r="S2195">
        <v>17.37</v>
      </c>
      <c r="T2195">
        <v>1859.84</v>
      </c>
      <c r="U2195">
        <v>0.69</v>
      </c>
      <c r="V2195">
        <v>0.75</v>
      </c>
      <c r="W2195">
        <v>1.1499999999999999</v>
      </c>
      <c r="X2195">
        <v>0.11</v>
      </c>
      <c r="Y2195">
        <v>1</v>
      </c>
      <c r="Z2195">
        <v>10</v>
      </c>
    </row>
    <row r="2196" spans="1:26" x14ac:dyDescent="0.3">
      <c r="A2196">
        <v>40</v>
      </c>
      <c r="B2196">
        <v>95</v>
      </c>
      <c r="C2196" t="s">
        <v>26</v>
      </c>
      <c r="D2196">
        <v>10.476100000000001</v>
      </c>
      <c r="E2196">
        <v>9.5500000000000007</v>
      </c>
      <c r="F2196">
        <v>6.82</v>
      </c>
      <c r="G2196">
        <v>58.43</v>
      </c>
      <c r="H2196">
        <v>0.97</v>
      </c>
      <c r="I2196">
        <v>7</v>
      </c>
      <c r="J2196">
        <v>201.1</v>
      </c>
      <c r="K2196">
        <v>53.44</v>
      </c>
      <c r="L2196">
        <v>11</v>
      </c>
      <c r="M2196">
        <v>5</v>
      </c>
      <c r="N2196">
        <v>41.66</v>
      </c>
      <c r="O2196">
        <v>25036.12</v>
      </c>
      <c r="P2196">
        <v>86.29</v>
      </c>
      <c r="Q2196">
        <v>204.15</v>
      </c>
      <c r="R2196">
        <v>25.72</v>
      </c>
      <c r="S2196">
        <v>17.37</v>
      </c>
      <c r="T2196">
        <v>2067.36</v>
      </c>
      <c r="U2196">
        <v>0.68</v>
      </c>
      <c r="V2196">
        <v>0.75</v>
      </c>
      <c r="W2196">
        <v>1.1499999999999999</v>
      </c>
      <c r="X2196">
        <v>0.12</v>
      </c>
      <c r="Y2196">
        <v>1</v>
      </c>
      <c r="Z2196">
        <v>10</v>
      </c>
    </row>
    <row r="2197" spans="1:26" x14ac:dyDescent="0.3">
      <c r="A2197">
        <v>41</v>
      </c>
      <c r="B2197">
        <v>95</v>
      </c>
      <c r="C2197" t="s">
        <v>26</v>
      </c>
      <c r="D2197">
        <v>10.483700000000001</v>
      </c>
      <c r="E2197">
        <v>9.5399999999999991</v>
      </c>
      <c r="F2197">
        <v>6.81</v>
      </c>
      <c r="G2197">
        <v>58.37</v>
      </c>
      <c r="H2197">
        <v>0.99</v>
      </c>
      <c r="I2197">
        <v>7</v>
      </c>
      <c r="J2197">
        <v>201.49</v>
      </c>
      <c r="K2197">
        <v>53.44</v>
      </c>
      <c r="L2197">
        <v>11.25</v>
      </c>
      <c r="M2197">
        <v>5</v>
      </c>
      <c r="N2197">
        <v>41.81</v>
      </c>
      <c r="O2197">
        <v>25084.58</v>
      </c>
      <c r="P2197">
        <v>86.03</v>
      </c>
      <c r="Q2197">
        <v>204.14</v>
      </c>
      <c r="R2197">
        <v>25.6</v>
      </c>
      <c r="S2197">
        <v>17.37</v>
      </c>
      <c r="T2197">
        <v>2008.77</v>
      </c>
      <c r="U2197">
        <v>0.68</v>
      </c>
      <c r="V2197">
        <v>0.75</v>
      </c>
      <c r="W2197">
        <v>1.1499999999999999</v>
      </c>
      <c r="X2197">
        <v>0.12</v>
      </c>
      <c r="Y2197">
        <v>1</v>
      </c>
      <c r="Z2197">
        <v>10</v>
      </c>
    </row>
    <row r="2198" spans="1:26" x14ac:dyDescent="0.3">
      <c r="A2198">
        <v>42</v>
      </c>
      <c r="B2198">
        <v>95</v>
      </c>
      <c r="C2198" t="s">
        <v>26</v>
      </c>
      <c r="D2198">
        <v>10.4834</v>
      </c>
      <c r="E2198">
        <v>9.5399999999999991</v>
      </c>
      <c r="F2198">
        <v>6.81</v>
      </c>
      <c r="G2198">
        <v>58.37</v>
      </c>
      <c r="H2198">
        <v>1.01</v>
      </c>
      <c r="I2198">
        <v>7</v>
      </c>
      <c r="J2198">
        <v>201.88</v>
      </c>
      <c r="K2198">
        <v>53.44</v>
      </c>
      <c r="L2198">
        <v>11.5</v>
      </c>
      <c r="M2198">
        <v>5</v>
      </c>
      <c r="N2198">
        <v>41.95</v>
      </c>
      <c r="O2198">
        <v>25133.09</v>
      </c>
      <c r="P2198">
        <v>85.73</v>
      </c>
      <c r="Q2198">
        <v>204.14</v>
      </c>
      <c r="R2198">
        <v>25.57</v>
      </c>
      <c r="S2198">
        <v>17.37</v>
      </c>
      <c r="T2198">
        <v>1994.16</v>
      </c>
      <c r="U2198">
        <v>0.68</v>
      </c>
      <c r="V2198">
        <v>0.75</v>
      </c>
      <c r="W2198">
        <v>1.1499999999999999</v>
      </c>
      <c r="X2198">
        <v>0.12</v>
      </c>
      <c r="Y2198">
        <v>1</v>
      </c>
      <c r="Z2198">
        <v>10</v>
      </c>
    </row>
    <row r="2199" spans="1:26" x14ac:dyDescent="0.3">
      <c r="A2199">
        <v>43</v>
      </c>
      <c r="B2199">
        <v>95</v>
      </c>
      <c r="C2199" t="s">
        <v>26</v>
      </c>
      <c r="D2199">
        <v>10.4712</v>
      </c>
      <c r="E2199">
        <v>9.5500000000000007</v>
      </c>
      <c r="F2199">
        <v>6.82</v>
      </c>
      <c r="G2199">
        <v>58.46</v>
      </c>
      <c r="H2199">
        <v>1.03</v>
      </c>
      <c r="I2199">
        <v>7</v>
      </c>
      <c r="J2199">
        <v>202.28</v>
      </c>
      <c r="K2199">
        <v>53.44</v>
      </c>
      <c r="L2199">
        <v>11.75</v>
      </c>
      <c r="M2199">
        <v>5</v>
      </c>
      <c r="N2199">
        <v>42.09</v>
      </c>
      <c r="O2199">
        <v>25181.64</v>
      </c>
      <c r="P2199">
        <v>85.58</v>
      </c>
      <c r="Q2199">
        <v>204.2</v>
      </c>
      <c r="R2199">
        <v>25.88</v>
      </c>
      <c r="S2199">
        <v>17.37</v>
      </c>
      <c r="T2199">
        <v>2147.2399999999998</v>
      </c>
      <c r="U2199">
        <v>0.67</v>
      </c>
      <c r="V2199">
        <v>0.75</v>
      </c>
      <c r="W2199">
        <v>1.1499999999999999</v>
      </c>
      <c r="X2199">
        <v>0.13</v>
      </c>
      <c r="Y2199">
        <v>1</v>
      </c>
      <c r="Z2199">
        <v>10</v>
      </c>
    </row>
    <row r="2200" spans="1:26" x14ac:dyDescent="0.3">
      <c r="A2200">
        <v>44</v>
      </c>
      <c r="B2200">
        <v>95</v>
      </c>
      <c r="C2200" t="s">
        <v>26</v>
      </c>
      <c r="D2200">
        <v>10.487399999999999</v>
      </c>
      <c r="E2200">
        <v>9.5399999999999991</v>
      </c>
      <c r="F2200">
        <v>6.81</v>
      </c>
      <c r="G2200">
        <v>58.34</v>
      </c>
      <c r="H2200">
        <v>1.05</v>
      </c>
      <c r="I2200">
        <v>7</v>
      </c>
      <c r="J2200">
        <v>202.67</v>
      </c>
      <c r="K2200">
        <v>53.44</v>
      </c>
      <c r="L2200">
        <v>12</v>
      </c>
      <c r="M2200">
        <v>5</v>
      </c>
      <c r="N2200">
        <v>42.24</v>
      </c>
      <c r="O2200">
        <v>25230.25</v>
      </c>
      <c r="P2200">
        <v>85.05</v>
      </c>
      <c r="Q2200">
        <v>204.14</v>
      </c>
      <c r="R2200">
        <v>25.46</v>
      </c>
      <c r="S2200">
        <v>17.37</v>
      </c>
      <c r="T2200">
        <v>1935.02</v>
      </c>
      <c r="U2200">
        <v>0.68</v>
      </c>
      <c r="V2200">
        <v>0.75</v>
      </c>
      <c r="W2200">
        <v>1.1499999999999999</v>
      </c>
      <c r="X2200">
        <v>0.12</v>
      </c>
      <c r="Y2200">
        <v>1</v>
      </c>
      <c r="Z2200">
        <v>10</v>
      </c>
    </row>
    <row r="2201" spans="1:26" x14ac:dyDescent="0.3">
      <c r="A2201">
        <v>45</v>
      </c>
      <c r="B2201">
        <v>95</v>
      </c>
      <c r="C2201" t="s">
        <v>26</v>
      </c>
      <c r="D2201">
        <v>10.555300000000001</v>
      </c>
      <c r="E2201">
        <v>9.4700000000000006</v>
      </c>
      <c r="F2201">
        <v>6.78</v>
      </c>
      <c r="G2201">
        <v>67.819999999999993</v>
      </c>
      <c r="H2201">
        <v>1.07</v>
      </c>
      <c r="I2201">
        <v>6</v>
      </c>
      <c r="J2201">
        <v>203.07</v>
      </c>
      <c r="K2201">
        <v>53.44</v>
      </c>
      <c r="L2201">
        <v>12.25</v>
      </c>
      <c r="M2201">
        <v>4</v>
      </c>
      <c r="N2201">
        <v>42.38</v>
      </c>
      <c r="O2201">
        <v>25279.03</v>
      </c>
      <c r="P2201">
        <v>84.53</v>
      </c>
      <c r="Q2201">
        <v>204.14</v>
      </c>
      <c r="R2201">
        <v>24.67</v>
      </c>
      <c r="S2201">
        <v>17.37</v>
      </c>
      <c r="T2201">
        <v>1545.05</v>
      </c>
      <c r="U2201">
        <v>0.7</v>
      </c>
      <c r="V2201">
        <v>0.75</v>
      </c>
      <c r="W2201">
        <v>1.1399999999999999</v>
      </c>
      <c r="X2201">
        <v>0.09</v>
      </c>
      <c r="Y2201">
        <v>1</v>
      </c>
      <c r="Z2201">
        <v>10</v>
      </c>
    </row>
    <row r="2202" spans="1:26" x14ac:dyDescent="0.3">
      <c r="A2202">
        <v>46</v>
      </c>
      <c r="B2202">
        <v>95</v>
      </c>
      <c r="C2202" t="s">
        <v>26</v>
      </c>
      <c r="D2202">
        <v>10.549099999999999</v>
      </c>
      <c r="E2202">
        <v>9.48</v>
      </c>
      <c r="F2202">
        <v>6.79</v>
      </c>
      <c r="G2202">
        <v>67.88</v>
      </c>
      <c r="H2202">
        <v>1.0900000000000001</v>
      </c>
      <c r="I2202">
        <v>6</v>
      </c>
      <c r="J2202">
        <v>203.46</v>
      </c>
      <c r="K2202">
        <v>53.44</v>
      </c>
      <c r="L2202">
        <v>12.5</v>
      </c>
      <c r="M2202">
        <v>4</v>
      </c>
      <c r="N2202">
        <v>42.53</v>
      </c>
      <c r="O2202">
        <v>25327.74</v>
      </c>
      <c r="P2202">
        <v>84.59</v>
      </c>
      <c r="Q2202">
        <v>204.14</v>
      </c>
      <c r="R2202">
        <v>24.84</v>
      </c>
      <c r="S2202">
        <v>17.37</v>
      </c>
      <c r="T2202">
        <v>1634.62</v>
      </c>
      <c r="U2202">
        <v>0.7</v>
      </c>
      <c r="V2202">
        <v>0.75</v>
      </c>
      <c r="W2202">
        <v>1.1499999999999999</v>
      </c>
      <c r="X2202">
        <v>0.1</v>
      </c>
      <c r="Y2202">
        <v>1</v>
      </c>
      <c r="Z2202">
        <v>10</v>
      </c>
    </row>
    <row r="2203" spans="1:26" x14ac:dyDescent="0.3">
      <c r="A2203">
        <v>47</v>
      </c>
      <c r="B2203">
        <v>95</v>
      </c>
      <c r="C2203" t="s">
        <v>26</v>
      </c>
      <c r="D2203">
        <v>10.5479</v>
      </c>
      <c r="E2203">
        <v>9.48</v>
      </c>
      <c r="F2203">
        <v>6.79</v>
      </c>
      <c r="G2203">
        <v>67.89</v>
      </c>
      <c r="H2203">
        <v>1.1100000000000001</v>
      </c>
      <c r="I2203">
        <v>6</v>
      </c>
      <c r="J2203">
        <v>203.86</v>
      </c>
      <c r="K2203">
        <v>53.44</v>
      </c>
      <c r="L2203">
        <v>12.75</v>
      </c>
      <c r="M2203">
        <v>4</v>
      </c>
      <c r="N2203">
        <v>42.67</v>
      </c>
      <c r="O2203">
        <v>25376.49</v>
      </c>
      <c r="P2203">
        <v>84.71</v>
      </c>
      <c r="Q2203">
        <v>204.14</v>
      </c>
      <c r="R2203">
        <v>24.85</v>
      </c>
      <c r="S2203">
        <v>17.37</v>
      </c>
      <c r="T2203">
        <v>1635.97</v>
      </c>
      <c r="U2203">
        <v>0.7</v>
      </c>
      <c r="V2203">
        <v>0.75</v>
      </c>
      <c r="W2203">
        <v>1.1499999999999999</v>
      </c>
      <c r="X2203">
        <v>0.1</v>
      </c>
      <c r="Y2203">
        <v>1</v>
      </c>
      <c r="Z2203">
        <v>10</v>
      </c>
    </row>
    <row r="2204" spans="1:26" x14ac:dyDescent="0.3">
      <c r="A2204">
        <v>48</v>
      </c>
      <c r="B2204">
        <v>95</v>
      </c>
      <c r="C2204" t="s">
        <v>26</v>
      </c>
      <c r="D2204">
        <v>10.5482</v>
      </c>
      <c r="E2204">
        <v>9.48</v>
      </c>
      <c r="F2204">
        <v>6.79</v>
      </c>
      <c r="G2204">
        <v>67.88</v>
      </c>
      <c r="H2204">
        <v>1.1299999999999999</v>
      </c>
      <c r="I2204">
        <v>6</v>
      </c>
      <c r="J2204">
        <v>204.25</v>
      </c>
      <c r="K2204">
        <v>53.44</v>
      </c>
      <c r="L2204">
        <v>13</v>
      </c>
      <c r="M2204">
        <v>4</v>
      </c>
      <c r="N2204">
        <v>42.82</v>
      </c>
      <c r="O2204">
        <v>25425.3</v>
      </c>
      <c r="P2204">
        <v>84.65</v>
      </c>
      <c r="Q2204">
        <v>204.16</v>
      </c>
      <c r="R2204">
        <v>24.97</v>
      </c>
      <c r="S2204">
        <v>17.37</v>
      </c>
      <c r="T2204">
        <v>1697.51</v>
      </c>
      <c r="U2204">
        <v>0.7</v>
      </c>
      <c r="V2204">
        <v>0.75</v>
      </c>
      <c r="W2204">
        <v>1.1399999999999999</v>
      </c>
      <c r="X2204">
        <v>0.1</v>
      </c>
      <c r="Y2204">
        <v>1</v>
      </c>
      <c r="Z2204">
        <v>10</v>
      </c>
    </row>
    <row r="2205" spans="1:26" x14ac:dyDescent="0.3">
      <c r="A2205">
        <v>49</v>
      </c>
      <c r="B2205">
        <v>95</v>
      </c>
      <c r="C2205" t="s">
        <v>26</v>
      </c>
      <c r="D2205">
        <v>10.5572</v>
      </c>
      <c r="E2205">
        <v>9.4700000000000006</v>
      </c>
      <c r="F2205">
        <v>6.78</v>
      </c>
      <c r="G2205">
        <v>67.8</v>
      </c>
      <c r="H2205">
        <v>1.1499999999999999</v>
      </c>
      <c r="I2205">
        <v>6</v>
      </c>
      <c r="J2205">
        <v>204.65</v>
      </c>
      <c r="K2205">
        <v>53.44</v>
      </c>
      <c r="L2205">
        <v>13.25</v>
      </c>
      <c r="M2205">
        <v>4</v>
      </c>
      <c r="N2205">
        <v>42.96</v>
      </c>
      <c r="O2205">
        <v>25474.16</v>
      </c>
      <c r="P2205">
        <v>84.34</v>
      </c>
      <c r="Q2205">
        <v>204.14</v>
      </c>
      <c r="R2205">
        <v>24.59</v>
      </c>
      <c r="S2205">
        <v>17.37</v>
      </c>
      <c r="T2205">
        <v>1504.89</v>
      </c>
      <c r="U2205">
        <v>0.71</v>
      </c>
      <c r="V2205">
        <v>0.75</v>
      </c>
      <c r="W2205">
        <v>1.1499999999999999</v>
      </c>
      <c r="X2205">
        <v>0.09</v>
      </c>
      <c r="Y2205">
        <v>1</v>
      </c>
      <c r="Z2205">
        <v>10</v>
      </c>
    </row>
    <row r="2206" spans="1:26" x14ac:dyDescent="0.3">
      <c r="A2206">
        <v>50</v>
      </c>
      <c r="B2206">
        <v>95</v>
      </c>
      <c r="C2206" t="s">
        <v>26</v>
      </c>
      <c r="D2206">
        <v>10.5479</v>
      </c>
      <c r="E2206">
        <v>9.48</v>
      </c>
      <c r="F2206">
        <v>6.79</v>
      </c>
      <c r="G2206">
        <v>67.89</v>
      </c>
      <c r="H2206">
        <v>1.17</v>
      </c>
      <c r="I2206">
        <v>6</v>
      </c>
      <c r="J2206">
        <v>205.05</v>
      </c>
      <c r="K2206">
        <v>53.44</v>
      </c>
      <c r="L2206">
        <v>13.5</v>
      </c>
      <c r="M2206">
        <v>4</v>
      </c>
      <c r="N2206">
        <v>43.11</v>
      </c>
      <c r="O2206">
        <v>25523.06</v>
      </c>
      <c r="P2206">
        <v>84.2</v>
      </c>
      <c r="Q2206">
        <v>204.14</v>
      </c>
      <c r="R2206">
        <v>24.87</v>
      </c>
      <c r="S2206">
        <v>17.37</v>
      </c>
      <c r="T2206">
        <v>1645.98</v>
      </c>
      <c r="U2206">
        <v>0.7</v>
      </c>
      <c r="V2206">
        <v>0.75</v>
      </c>
      <c r="W2206">
        <v>1.1499999999999999</v>
      </c>
      <c r="X2206">
        <v>0.1</v>
      </c>
      <c r="Y2206">
        <v>1</v>
      </c>
      <c r="Z2206">
        <v>10</v>
      </c>
    </row>
    <row r="2207" spans="1:26" x14ac:dyDescent="0.3">
      <c r="A2207">
        <v>51</v>
      </c>
      <c r="B2207">
        <v>95</v>
      </c>
      <c r="C2207" t="s">
        <v>26</v>
      </c>
      <c r="D2207">
        <v>10.539899999999999</v>
      </c>
      <c r="E2207">
        <v>9.49</v>
      </c>
      <c r="F2207">
        <v>6.8</v>
      </c>
      <c r="G2207">
        <v>67.959999999999994</v>
      </c>
      <c r="H2207">
        <v>1.19</v>
      </c>
      <c r="I2207">
        <v>6</v>
      </c>
      <c r="J2207">
        <v>205.44</v>
      </c>
      <c r="K2207">
        <v>53.44</v>
      </c>
      <c r="L2207">
        <v>13.75</v>
      </c>
      <c r="M2207">
        <v>4</v>
      </c>
      <c r="N2207">
        <v>43.26</v>
      </c>
      <c r="O2207">
        <v>25572.02</v>
      </c>
      <c r="P2207">
        <v>84.12</v>
      </c>
      <c r="Q2207">
        <v>204.14</v>
      </c>
      <c r="R2207">
        <v>25.12</v>
      </c>
      <c r="S2207">
        <v>17.37</v>
      </c>
      <c r="T2207">
        <v>1772.21</v>
      </c>
      <c r="U2207">
        <v>0.69</v>
      </c>
      <c r="V2207">
        <v>0.75</v>
      </c>
      <c r="W2207">
        <v>1.1499999999999999</v>
      </c>
      <c r="X2207">
        <v>0.1</v>
      </c>
      <c r="Y2207">
        <v>1</v>
      </c>
      <c r="Z2207">
        <v>10</v>
      </c>
    </row>
    <row r="2208" spans="1:26" x14ac:dyDescent="0.3">
      <c r="A2208">
        <v>52</v>
      </c>
      <c r="B2208">
        <v>95</v>
      </c>
      <c r="C2208" t="s">
        <v>26</v>
      </c>
      <c r="D2208">
        <v>10.548500000000001</v>
      </c>
      <c r="E2208">
        <v>9.48</v>
      </c>
      <c r="F2208">
        <v>6.79</v>
      </c>
      <c r="G2208">
        <v>67.88</v>
      </c>
      <c r="H2208">
        <v>1.21</v>
      </c>
      <c r="I2208">
        <v>6</v>
      </c>
      <c r="J2208">
        <v>205.84</v>
      </c>
      <c r="K2208">
        <v>53.44</v>
      </c>
      <c r="L2208">
        <v>14</v>
      </c>
      <c r="M2208">
        <v>4</v>
      </c>
      <c r="N2208">
        <v>43.4</v>
      </c>
      <c r="O2208">
        <v>25621.03</v>
      </c>
      <c r="P2208">
        <v>83.68</v>
      </c>
      <c r="Q2208">
        <v>204.14</v>
      </c>
      <c r="R2208">
        <v>24.83</v>
      </c>
      <c r="S2208">
        <v>17.37</v>
      </c>
      <c r="T2208">
        <v>1626.31</v>
      </c>
      <c r="U2208">
        <v>0.7</v>
      </c>
      <c r="V2208">
        <v>0.75</v>
      </c>
      <c r="W2208">
        <v>1.1499999999999999</v>
      </c>
      <c r="X2208">
        <v>0.1</v>
      </c>
      <c r="Y2208">
        <v>1</v>
      </c>
      <c r="Z2208">
        <v>10</v>
      </c>
    </row>
    <row r="2209" spans="1:26" x14ac:dyDescent="0.3">
      <c r="A2209">
        <v>53</v>
      </c>
      <c r="B2209">
        <v>95</v>
      </c>
      <c r="C2209" t="s">
        <v>26</v>
      </c>
      <c r="D2209">
        <v>10.549799999999999</v>
      </c>
      <c r="E2209">
        <v>9.48</v>
      </c>
      <c r="F2209">
        <v>6.79</v>
      </c>
      <c r="G2209">
        <v>67.87</v>
      </c>
      <c r="H2209">
        <v>1.23</v>
      </c>
      <c r="I2209">
        <v>6</v>
      </c>
      <c r="J2209">
        <v>206.24</v>
      </c>
      <c r="K2209">
        <v>53.44</v>
      </c>
      <c r="L2209">
        <v>14.25</v>
      </c>
      <c r="M2209">
        <v>4</v>
      </c>
      <c r="N2209">
        <v>43.55</v>
      </c>
      <c r="O2209">
        <v>25670.09</v>
      </c>
      <c r="P2209">
        <v>83.59</v>
      </c>
      <c r="Q2209">
        <v>204.14</v>
      </c>
      <c r="R2209">
        <v>24.81</v>
      </c>
      <c r="S2209">
        <v>17.37</v>
      </c>
      <c r="T2209">
        <v>1616.1</v>
      </c>
      <c r="U2209">
        <v>0.7</v>
      </c>
      <c r="V2209">
        <v>0.75</v>
      </c>
      <c r="W2209">
        <v>1.1499999999999999</v>
      </c>
      <c r="X2209">
        <v>0.1</v>
      </c>
      <c r="Y2209">
        <v>1</v>
      </c>
      <c r="Z2209">
        <v>10</v>
      </c>
    </row>
    <row r="2210" spans="1:26" x14ac:dyDescent="0.3">
      <c r="A2210">
        <v>54</v>
      </c>
      <c r="B2210">
        <v>95</v>
      </c>
      <c r="C2210" t="s">
        <v>26</v>
      </c>
      <c r="D2210">
        <v>10.5442</v>
      </c>
      <c r="E2210">
        <v>9.48</v>
      </c>
      <c r="F2210">
        <v>6.79</v>
      </c>
      <c r="G2210">
        <v>67.92</v>
      </c>
      <c r="H2210">
        <v>1.25</v>
      </c>
      <c r="I2210">
        <v>6</v>
      </c>
      <c r="J2210">
        <v>206.64</v>
      </c>
      <c r="K2210">
        <v>53.44</v>
      </c>
      <c r="L2210">
        <v>14.5</v>
      </c>
      <c r="M2210">
        <v>4</v>
      </c>
      <c r="N2210">
        <v>43.7</v>
      </c>
      <c r="O2210">
        <v>25719.19</v>
      </c>
      <c r="P2210">
        <v>83.38</v>
      </c>
      <c r="Q2210">
        <v>204.14</v>
      </c>
      <c r="R2210">
        <v>24.95</v>
      </c>
      <c r="S2210">
        <v>17.37</v>
      </c>
      <c r="T2210">
        <v>1687.38</v>
      </c>
      <c r="U2210">
        <v>0.7</v>
      </c>
      <c r="V2210">
        <v>0.75</v>
      </c>
      <c r="W2210">
        <v>1.1499999999999999</v>
      </c>
      <c r="X2210">
        <v>0.1</v>
      </c>
      <c r="Y2210">
        <v>1</v>
      </c>
      <c r="Z2210">
        <v>10</v>
      </c>
    </row>
    <row r="2211" spans="1:26" x14ac:dyDescent="0.3">
      <c r="A2211">
        <v>55</v>
      </c>
      <c r="B2211">
        <v>95</v>
      </c>
      <c r="C2211" t="s">
        <v>26</v>
      </c>
      <c r="D2211">
        <v>10.613200000000001</v>
      </c>
      <c r="E2211">
        <v>9.42</v>
      </c>
      <c r="F2211">
        <v>6.77</v>
      </c>
      <c r="G2211">
        <v>81.209999999999994</v>
      </c>
      <c r="H2211">
        <v>1.27</v>
      </c>
      <c r="I2211">
        <v>5</v>
      </c>
      <c r="J2211">
        <v>207.03</v>
      </c>
      <c r="K2211">
        <v>53.44</v>
      </c>
      <c r="L2211">
        <v>14.75</v>
      </c>
      <c r="M2211">
        <v>3</v>
      </c>
      <c r="N2211">
        <v>43.85</v>
      </c>
      <c r="O2211">
        <v>25768.35</v>
      </c>
      <c r="P2211">
        <v>82.33</v>
      </c>
      <c r="Q2211">
        <v>204.14</v>
      </c>
      <c r="R2211">
        <v>24.22</v>
      </c>
      <c r="S2211">
        <v>17.37</v>
      </c>
      <c r="T2211">
        <v>1328.64</v>
      </c>
      <c r="U2211">
        <v>0.72</v>
      </c>
      <c r="V2211">
        <v>0.75</v>
      </c>
      <c r="W2211">
        <v>1.1399999999999999</v>
      </c>
      <c r="X2211">
        <v>0.08</v>
      </c>
      <c r="Y2211">
        <v>1</v>
      </c>
      <c r="Z2211">
        <v>10</v>
      </c>
    </row>
    <row r="2212" spans="1:26" x14ac:dyDescent="0.3">
      <c r="A2212">
        <v>56</v>
      </c>
      <c r="B2212">
        <v>95</v>
      </c>
      <c r="C2212" t="s">
        <v>26</v>
      </c>
      <c r="D2212">
        <v>10.6088</v>
      </c>
      <c r="E2212">
        <v>9.43</v>
      </c>
      <c r="F2212">
        <v>6.77</v>
      </c>
      <c r="G2212">
        <v>81.260000000000005</v>
      </c>
      <c r="H2212">
        <v>1.28</v>
      </c>
      <c r="I2212">
        <v>5</v>
      </c>
      <c r="J2212">
        <v>207.43</v>
      </c>
      <c r="K2212">
        <v>53.44</v>
      </c>
      <c r="L2212">
        <v>15</v>
      </c>
      <c r="M2212">
        <v>3</v>
      </c>
      <c r="N2212">
        <v>44</v>
      </c>
      <c r="O2212">
        <v>25817.56</v>
      </c>
      <c r="P2212">
        <v>82.61</v>
      </c>
      <c r="Q2212">
        <v>204.14</v>
      </c>
      <c r="R2212">
        <v>24.4</v>
      </c>
      <c r="S2212">
        <v>17.37</v>
      </c>
      <c r="T2212">
        <v>1417.14</v>
      </c>
      <c r="U2212">
        <v>0.71</v>
      </c>
      <c r="V2212">
        <v>0.75</v>
      </c>
      <c r="W2212">
        <v>1.1399999999999999</v>
      </c>
      <c r="X2212">
        <v>0.08</v>
      </c>
      <c r="Y2212">
        <v>1</v>
      </c>
      <c r="Z2212">
        <v>10</v>
      </c>
    </row>
    <row r="2213" spans="1:26" x14ac:dyDescent="0.3">
      <c r="A2213">
        <v>57</v>
      </c>
      <c r="B2213">
        <v>95</v>
      </c>
      <c r="C2213" t="s">
        <v>26</v>
      </c>
      <c r="D2213">
        <v>10.606</v>
      </c>
      <c r="E2213">
        <v>9.43</v>
      </c>
      <c r="F2213">
        <v>6.77</v>
      </c>
      <c r="G2213">
        <v>81.290000000000006</v>
      </c>
      <c r="H2213">
        <v>1.3</v>
      </c>
      <c r="I2213">
        <v>5</v>
      </c>
      <c r="J2213">
        <v>207.83</v>
      </c>
      <c r="K2213">
        <v>53.44</v>
      </c>
      <c r="L2213">
        <v>15.25</v>
      </c>
      <c r="M2213">
        <v>3</v>
      </c>
      <c r="N2213">
        <v>44.15</v>
      </c>
      <c r="O2213">
        <v>25866.82</v>
      </c>
      <c r="P2213">
        <v>82.85</v>
      </c>
      <c r="Q2213">
        <v>204.14</v>
      </c>
      <c r="R2213">
        <v>24.5</v>
      </c>
      <c r="S2213">
        <v>17.37</v>
      </c>
      <c r="T2213">
        <v>1465.25</v>
      </c>
      <c r="U2213">
        <v>0.71</v>
      </c>
      <c r="V2213">
        <v>0.75</v>
      </c>
      <c r="W2213">
        <v>1.1399999999999999</v>
      </c>
      <c r="X2213">
        <v>0.08</v>
      </c>
      <c r="Y2213">
        <v>1</v>
      </c>
      <c r="Z2213">
        <v>10</v>
      </c>
    </row>
    <row r="2214" spans="1:26" x14ac:dyDescent="0.3">
      <c r="A2214">
        <v>58</v>
      </c>
      <c r="B2214">
        <v>95</v>
      </c>
      <c r="C2214" t="s">
        <v>26</v>
      </c>
      <c r="D2214">
        <v>10.6088</v>
      </c>
      <c r="E2214">
        <v>9.43</v>
      </c>
      <c r="F2214">
        <v>6.77</v>
      </c>
      <c r="G2214">
        <v>81.260000000000005</v>
      </c>
      <c r="H2214">
        <v>1.32</v>
      </c>
      <c r="I2214">
        <v>5</v>
      </c>
      <c r="J2214">
        <v>208.23</v>
      </c>
      <c r="K2214">
        <v>53.44</v>
      </c>
      <c r="L2214">
        <v>15.5</v>
      </c>
      <c r="M2214">
        <v>3</v>
      </c>
      <c r="N2214">
        <v>44.3</v>
      </c>
      <c r="O2214">
        <v>25916.13</v>
      </c>
      <c r="P2214">
        <v>82.91</v>
      </c>
      <c r="Q2214">
        <v>204.14</v>
      </c>
      <c r="R2214">
        <v>24.37</v>
      </c>
      <c r="S2214">
        <v>17.37</v>
      </c>
      <c r="T2214">
        <v>1401.29</v>
      </c>
      <c r="U2214">
        <v>0.71</v>
      </c>
      <c r="V2214">
        <v>0.75</v>
      </c>
      <c r="W2214">
        <v>1.1399999999999999</v>
      </c>
      <c r="X2214">
        <v>0.08</v>
      </c>
      <c r="Y2214">
        <v>1</v>
      </c>
      <c r="Z2214">
        <v>10</v>
      </c>
    </row>
    <row r="2215" spans="1:26" x14ac:dyDescent="0.3">
      <c r="A2215">
        <v>59</v>
      </c>
      <c r="B2215">
        <v>95</v>
      </c>
      <c r="C2215" t="s">
        <v>26</v>
      </c>
      <c r="D2215">
        <v>10.6051</v>
      </c>
      <c r="E2215">
        <v>9.43</v>
      </c>
      <c r="F2215">
        <v>6.77</v>
      </c>
      <c r="G2215">
        <v>81.3</v>
      </c>
      <c r="H2215">
        <v>1.34</v>
      </c>
      <c r="I2215">
        <v>5</v>
      </c>
      <c r="J2215">
        <v>208.63</v>
      </c>
      <c r="K2215">
        <v>53.44</v>
      </c>
      <c r="L2215">
        <v>15.75</v>
      </c>
      <c r="M2215">
        <v>3</v>
      </c>
      <c r="N2215">
        <v>44.45</v>
      </c>
      <c r="O2215">
        <v>25965.5</v>
      </c>
      <c r="P2215">
        <v>82.89</v>
      </c>
      <c r="Q2215">
        <v>204.14</v>
      </c>
      <c r="R2215">
        <v>24.48</v>
      </c>
      <c r="S2215">
        <v>17.37</v>
      </c>
      <c r="T2215">
        <v>1458.19</v>
      </c>
      <c r="U2215">
        <v>0.71</v>
      </c>
      <c r="V2215">
        <v>0.75</v>
      </c>
      <c r="W2215">
        <v>1.1399999999999999</v>
      </c>
      <c r="X2215">
        <v>0.08</v>
      </c>
      <c r="Y2215">
        <v>1</v>
      </c>
      <c r="Z2215">
        <v>10</v>
      </c>
    </row>
    <row r="2216" spans="1:26" x14ac:dyDescent="0.3">
      <c r="A2216">
        <v>60</v>
      </c>
      <c r="B2216">
        <v>95</v>
      </c>
      <c r="C2216" t="s">
        <v>26</v>
      </c>
      <c r="D2216">
        <v>10.6098</v>
      </c>
      <c r="E2216">
        <v>9.43</v>
      </c>
      <c r="F2216">
        <v>6.77</v>
      </c>
      <c r="G2216">
        <v>81.25</v>
      </c>
      <c r="H2216">
        <v>1.36</v>
      </c>
      <c r="I2216">
        <v>5</v>
      </c>
      <c r="J2216">
        <v>209.03</v>
      </c>
      <c r="K2216">
        <v>53.44</v>
      </c>
      <c r="L2216">
        <v>16</v>
      </c>
      <c r="M2216">
        <v>3</v>
      </c>
      <c r="N2216">
        <v>44.6</v>
      </c>
      <c r="O2216">
        <v>26014.91</v>
      </c>
      <c r="P2216">
        <v>82.65</v>
      </c>
      <c r="Q2216">
        <v>204.14</v>
      </c>
      <c r="R2216">
        <v>24.41</v>
      </c>
      <c r="S2216">
        <v>17.37</v>
      </c>
      <c r="T2216">
        <v>1421.8</v>
      </c>
      <c r="U2216">
        <v>0.71</v>
      </c>
      <c r="V2216">
        <v>0.75</v>
      </c>
      <c r="W2216">
        <v>1.1399999999999999</v>
      </c>
      <c r="X2216">
        <v>0.08</v>
      </c>
      <c r="Y2216">
        <v>1</v>
      </c>
      <c r="Z2216">
        <v>10</v>
      </c>
    </row>
    <row r="2217" spans="1:26" x14ac:dyDescent="0.3">
      <c r="A2217">
        <v>61</v>
      </c>
      <c r="B2217">
        <v>95</v>
      </c>
      <c r="C2217" t="s">
        <v>26</v>
      </c>
      <c r="D2217">
        <v>10.6029</v>
      </c>
      <c r="E2217">
        <v>9.43</v>
      </c>
      <c r="F2217">
        <v>6.78</v>
      </c>
      <c r="G2217">
        <v>81.319999999999993</v>
      </c>
      <c r="H2217">
        <v>1.38</v>
      </c>
      <c r="I2217">
        <v>5</v>
      </c>
      <c r="J2217">
        <v>209.43</v>
      </c>
      <c r="K2217">
        <v>53.44</v>
      </c>
      <c r="L2217">
        <v>16.25</v>
      </c>
      <c r="M2217">
        <v>3</v>
      </c>
      <c r="N2217">
        <v>44.75</v>
      </c>
      <c r="O2217">
        <v>26064.38</v>
      </c>
      <c r="P2217">
        <v>82.59</v>
      </c>
      <c r="Q2217">
        <v>204.14</v>
      </c>
      <c r="R2217">
        <v>24.51</v>
      </c>
      <c r="S2217">
        <v>17.37</v>
      </c>
      <c r="T2217">
        <v>1470.26</v>
      </c>
      <c r="U2217">
        <v>0.71</v>
      </c>
      <c r="V2217">
        <v>0.75</v>
      </c>
      <c r="W2217">
        <v>1.1399999999999999</v>
      </c>
      <c r="X2217">
        <v>0.09</v>
      </c>
      <c r="Y2217">
        <v>1</v>
      </c>
      <c r="Z2217">
        <v>10</v>
      </c>
    </row>
    <row r="2218" spans="1:26" x14ac:dyDescent="0.3">
      <c r="A2218">
        <v>62</v>
      </c>
      <c r="B2218">
        <v>95</v>
      </c>
      <c r="C2218" t="s">
        <v>26</v>
      </c>
      <c r="D2218">
        <v>10.608499999999999</v>
      </c>
      <c r="E2218">
        <v>9.43</v>
      </c>
      <c r="F2218">
        <v>6.77</v>
      </c>
      <c r="G2218">
        <v>81.260000000000005</v>
      </c>
      <c r="H2218">
        <v>1.4</v>
      </c>
      <c r="I2218">
        <v>5</v>
      </c>
      <c r="J2218">
        <v>209.84</v>
      </c>
      <c r="K2218">
        <v>53.44</v>
      </c>
      <c r="L2218">
        <v>16.5</v>
      </c>
      <c r="M2218">
        <v>3</v>
      </c>
      <c r="N2218">
        <v>44.9</v>
      </c>
      <c r="O2218">
        <v>26113.9</v>
      </c>
      <c r="P2218">
        <v>82.33</v>
      </c>
      <c r="Q2218">
        <v>204.18</v>
      </c>
      <c r="R2218">
        <v>24.39</v>
      </c>
      <c r="S2218">
        <v>17.37</v>
      </c>
      <c r="T2218">
        <v>1412.57</v>
      </c>
      <c r="U2218">
        <v>0.71</v>
      </c>
      <c r="V2218">
        <v>0.75</v>
      </c>
      <c r="W2218">
        <v>1.1399999999999999</v>
      </c>
      <c r="X2218">
        <v>0.08</v>
      </c>
      <c r="Y2218">
        <v>1</v>
      </c>
      <c r="Z2218">
        <v>10</v>
      </c>
    </row>
    <row r="2219" spans="1:26" x14ac:dyDescent="0.3">
      <c r="A2219">
        <v>63</v>
      </c>
      <c r="B2219">
        <v>95</v>
      </c>
      <c r="C2219" t="s">
        <v>26</v>
      </c>
      <c r="D2219">
        <v>10.608499999999999</v>
      </c>
      <c r="E2219">
        <v>9.43</v>
      </c>
      <c r="F2219">
        <v>6.77</v>
      </c>
      <c r="G2219">
        <v>81.260000000000005</v>
      </c>
      <c r="H2219">
        <v>1.42</v>
      </c>
      <c r="I2219">
        <v>5</v>
      </c>
      <c r="J2219">
        <v>210.24</v>
      </c>
      <c r="K2219">
        <v>53.44</v>
      </c>
      <c r="L2219">
        <v>16.75</v>
      </c>
      <c r="M2219">
        <v>3</v>
      </c>
      <c r="N2219">
        <v>45.05</v>
      </c>
      <c r="O2219">
        <v>26163.47</v>
      </c>
      <c r="P2219">
        <v>82.13</v>
      </c>
      <c r="Q2219">
        <v>204.14</v>
      </c>
      <c r="R2219">
        <v>24.33</v>
      </c>
      <c r="S2219">
        <v>17.37</v>
      </c>
      <c r="T2219">
        <v>1382.21</v>
      </c>
      <c r="U2219">
        <v>0.71</v>
      </c>
      <c r="V2219">
        <v>0.75</v>
      </c>
      <c r="W2219">
        <v>1.1399999999999999</v>
      </c>
      <c r="X2219">
        <v>0.08</v>
      </c>
      <c r="Y2219">
        <v>1</v>
      </c>
      <c r="Z2219">
        <v>10</v>
      </c>
    </row>
    <row r="2220" spans="1:26" x14ac:dyDescent="0.3">
      <c r="A2220">
        <v>64</v>
      </c>
      <c r="B2220">
        <v>95</v>
      </c>
      <c r="C2220" t="s">
        <v>26</v>
      </c>
      <c r="D2220">
        <v>10.615399999999999</v>
      </c>
      <c r="E2220">
        <v>9.42</v>
      </c>
      <c r="F2220">
        <v>6.77</v>
      </c>
      <c r="G2220">
        <v>81.19</v>
      </c>
      <c r="H2220">
        <v>1.43</v>
      </c>
      <c r="I2220">
        <v>5</v>
      </c>
      <c r="J2220">
        <v>210.64</v>
      </c>
      <c r="K2220">
        <v>53.44</v>
      </c>
      <c r="L2220">
        <v>17</v>
      </c>
      <c r="M2220">
        <v>3</v>
      </c>
      <c r="N2220">
        <v>45.21</v>
      </c>
      <c r="O2220">
        <v>26213.09</v>
      </c>
      <c r="P2220">
        <v>81.650000000000006</v>
      </c>
      <c r="Q2220">
        <v>204.14</v>
      </c>
      <c r="R2220">
        <v>24.14</v>
      </c>
      <c r="S2220">
        <v>17.37</v>
      </c>
      <c r="T2220">
        <v>1286.3900000000001</v>
      </c>
      <c r="U2220">
        <v>0.72</v>
      </c>
      <c r="V2220">
        <v>0.75</v>
      </c>
      <c r="W2220">
        <v>1.1399999999999999</v>
      </c>
      <c r="X2220">
        <v>7.0000000000000007E-2</v>
      </c>
      <c r="Y2220">
        <v>1</v>
      </c>
      <c r="Z2220">
        <v>10</v>
      </c>
    </row>
    <row r="2221" spans="1:26" x14ac:dyDescent="0.3">
      <c r="A2221">
        <v>65</v>
      </c>
      <c r="B2221">
        <v>95</v>
      </c>
      <c r="C2221" t="s">
        <v>26</v>
      </c>
      <c r="D2221">
        <v>10.6173</v>
      </c>
      <c r="E2221">
        <v>9.42</v>
      </c>
      <c r="F2221">
        <v>6.76</v>
      </c>
      <c r="G2221">
        <v>81.17</v>
      </c>
      <c r="H2221">
        <v>1.45</v>
      </c>
      <c r="I2221">
        <v>5</v>
      </c>
      <c r="J2221">
        <v>211.04</v>
      </c>
      <c r="K2221">
        <v>53.44</v>
      </c>
      <c r="L2221">
        <v>17.25</v>
      </c>
      <c r="M2221">
        <v>3</v>
      </c>
      <c r="N2221">
        <v>45.36</v>
      </c>
      <c r="O2221">
        <v>26262.77</v>
      </c>
      <c r="P2221">
        <v>81.180000000000007</v>
      </c>
      <c r="Q2221">
        <v>204.15</v>
      </c>
      <c r="R2221">
        <v>24.06</v>
      </c>
      <c r="S2221">
        <v>17.37</v>
      </c>
      <c r="T2221">
        <v>1249.26</v>
      </c>
      <c r="U2221">
        <v>0.72</v>
      </c>
      <c r="V2221">
        <v>0.76</v>
      </c>
      <c r="W2221">
        <v>1.1399999999999999</v>
      </c>
      <c r="X2221">
        <v>7.0000000000000007E-2</v>
      </c>
      <c r="Y2221">
        <v>1</v>
      </c>
      <c r="Z2221">
        <v>10</v>
      </c>
    </row>
    <row r="2222" spans="1:26" x14ac:dyDescent="0.3">
      <c r="A2222">
        <v>66</v>
      </c>
      <c r="B2222">
        <v>95</v>
      </c>
      <c r="C2222" t="s">
        <v>26</v>
      </c>
      <c r="D2222">
        <v>10.6104</v>
      </c>
      <c r="E2222">
        <v>9.42</v>
      </c>
      <c r="F2222">
        <v>6.77</v>
      </c>
      <c r="G2222">
        <v>81.239999999999995</v>
      </c>
      <c r="H2222">
        <v>1.47</v>
      </c>
      <c r="I2222">
        <v>5</v>
      </c>
      <c r="J2222">
        <v>211.45</v>
      </c>
      <c r="K2222">
        <v>53.44</v>
      </c>
      <c r="L2222">
        <v>17.5</v>
      </c>
      <c r="M2222">
        <v>3</v>
      </c>
      <c r="N2222">
        <v>45.51</v>
      </c>
      <c r="O2222">
        <v>26312.5</v>
      </c>
      <c r="P2222">
        <v>80.69</v>
      </c>
      <c r="Q2222">
        <v>204.14</v>
      </c>
      <c r="R2222">
        <v>24.2</v>
      </c>
      <c r="S2222">
        <v>17.37</v>
      </c>
      <c r="T2222">
        <v>1319.28</v>
      </c>
      <c r="U2222">
        <v>0.72</v>
      </c>
      <c r="V2222">
        <v>0.75</v>
      </c>
      <c r="W2222">
        <v>1.1499999999999999</v>
      </c>
      <c r="X2222">
        <v>0.08</v>
      </c>
      <c r="Y2222">
        <v>1</v>
      </c>
      <c r="Z2222">
        <v>10</v>
      </c>
    </row>
    <row r="2223" spans="1:26" x14ac:dyDescent="0.3">
      <c r="A2223">
        <v>67</v>
      </c>
      <c r="B2223">
        <v>95</v>
      </c>
      <c r="C2223" t="s">
        <v>26</v>
      </c>
      <c r="D2223">
        <v>10.613200000000001</v>
      </c>
      <c r="E2223">
        <v>9.42</v>
      </c>
      <c r="F2223">
        <v>6.77</v>
      </c>
      <c r="G2223">
        <v>81.209999999999994</v>
      </c>
      <c r="H2223">
        <v>1.49</v>
      </c>
      <c r="I2223">
        <v>5</v>
      </c>
      <c r="J2223">
        <v>211.85</v>
      </c>
      <c r="K2223">
        <v>53.44</v>
      </c>
      <c r="L2223">
        <v>17.75</v>
      </c>
      <c r="M2223">
        <v>3</v>
      </c>
      <c r="N2223">
        <v>45.67</v>
      </c>
      <c r="O2223">
        <v>26362.28</v>
      </c>
      <c r="P2223">
        <v>80.27</v>
      </c>
      <c r="Q2223">
        <v>204.18</v>
      </c>
      <c r="R2223">
        <v>24.18</v>
      </c>
      <c r="S2223">
        <v>17.37</v>
      </c>
      <c r="T2223">
        <v>1305.92</v>
      </c>
      <c r="U2223">
        <v>0.72</v>
      </c>
      <c r="V2223">
        <v>0.75</v>
      </c>
      <c r="W2223">
        <v>1.1399999999999999</v>
      </c>
      <c r="X2223">
        <v>0.08</v>
      </c>
      <c r="Y2223">
        <v>1</v>
      </c>
      <c r="Z2223">
        <v>10</v>
      </c>
    </row>
    <row r="2224" spans="1:26" x14ac:dyDescent="0.3">
      <c r="A2224">
        <v>68</v>
      </c>
      <c r="B2224">
        <v>95</v>
      </c>
      <c r="C2224" t="s">
        <v>26</v>
      </c>
      <c r="D2224">
        <v>10.6091</v>
      </c>
      <c r="E2224">
        <v>9.43</v>
      </c>
      <c r="F2224">
        <v>6.77</v>
      </c>
      <c r="G2224">
        <v>81.25</v>
      </c>
      <c r="H2224">
        <v>1.51</v>
      </c>
      <c r="I2224">
        <v>5</v>
      </c>
      <c r="J2224">
        <v>212.25</v>
      </c>
      <c r="K2224">
        <v>53.44</v>
      </c>
      <c r="L2224">
        <v>18</v>
      </c>
      <c r="M2224">
        <v>3</v>
      </c>
      <c r="N2224">
        <v>45.82</v>
      </c>
      <c r="O2224">
        <v>26412.11</v>
      </c>
      <c r="P2224">
        <v>80.3</v>
      </c>
      <c r="Q2224">
        <v>204.15</v>
      </c>
      <c r="R2224">
        <v>24.25</v>
      </c>
      <c r="S2224">
        <v>17.37</v>
      </c>
      <c r="T2224">
        <v>1340.12</v>
      </c>
      <c r="U2224">
        <v>0.72</v>
      </c>
      <c r="V2224">
        <v>0.75</v>
      </c>
      <c r="W2224">
        <v>1.1499999999999999</v>
      </c>
      <c r="X2224">
        <v>0.08</v>
      </c>
      <c r="Y2224">
        <v>1</v>
      </c>
      <c r="Z2224">
        <v>10</v>
      </c>
    </row>
    <row r="2225" spans="1:26" x14ac:dyDescent="0.3">
      <c r="A2225">
        <v>69</v>
      </c>
      <c r="B2225">
        <v>95</v>
      </c>
      <c r="C2225" t="s">
        <v>26</v>
      </c>
      <c r="D2225">
        <v>10.605700000000001</v>
      </c>
      <c r="E2225">
        <v>9.43</v>
      </c>
      <c r="F2225">
        <v>6.77</v>
      </c>
      <c r="G2225">
        <v>81.290000000000006</v>
      </c>
      <c r="H2225">
        <v>1.52</v>
      </c>
      <c r="I2225">
        <v>5</v>
      </c>
      <c r="J2225">
        <v>212.66</v>
      </c>
      <c r="K2225">
        <v>53.44</v>
      </c>
      <c r="L2225">
        <v>18.25</v>
      </c>
      <c r="M2225">
        <v>3</v>
      </c>
      <c r="N2225">
        <v>45.97</v>
      </c>
      <c r="O2225">
        <v>26462</v>
      </c>
      <c r="P2225">
        <v>80.040000000000006</v>
      </c>
      <c r="Q2225">
        <v>204.14</v>
      </c>
      <c r="R2225">
        <v>24.45</v>
      </c>
      <c r="S2225">
        <v>17.37</v>
      </c>
      <c r="T2225">
        <v>1441.87</v>
      </c>
      <c r="U2225">
        <v>0.71</v>
      </c>
      <c r="V2225">
        <v>0.75</v>
      </c>
      <c r="W2225">
        <v>1.1399999999999999</v>
      </c>
      <c r="X2225">
        <v>0.08</v>
      </c>
      <c r="Y2225">
        <v>1</v>
      </c>
      <c r="Z2225">
        <v>10</v>
      </c>
    </row>
    <row r="2226" spans="1:26" x14ac:dyDescent="0.3">
      <c r="A2226">
        <v>70</v>
      </c>
      <c r="B2226">
        <v>95</v>
      </c>
      <c r="C2226" t="s">
        <v>26</v>
      </c>
      <c r="D2226">
        <v>10.610099999999999</v>
      </c>
      <c r="E2226">
        <v>9.43</v>
      </c>
      <c r="F2226">
        <v>6.77</v>
      </c>
      <c r="G2226">
        <v>81.239999999999995</v>
      </c>
      <c r="H2226">
        <v>1.54</v>
      </c>
      <c r="I2226">
        <v>5</v>
      </c>
      <c r="J2226">
        <v>213.06</v>
      </c>
      <c r="K2226">
        <v>53.44</v>
      </c>
      <c r="L2226">
        <v>18.5</v>
      </c>
      <c r="M2226">
        <v>3</v>
      </c>
      <c r="N2226">
        <v>46.13</v>
      </c>
      <c r="O2226">
        <v>26511.94</v>
      </c>
      <c r="P2226">
        <v>79.52</v>
      </c>
      <c r="Q2226">
        <v>204.14</v>
      </c>
      <c r="R2226">
        <v>24.24</v>
      </c>
      <c r="S2226">
        <v>17.37</v>
      </c>
      <c r="T2226">
        <v>1335.18</v>
      </c>
      <c r="U2226">
        <v>0.72</v>
      </c>
      <c r="V2226">
        <v>0.75</v>
      </c>
      <c r="W2226">
        <v>1.1499999999999999</v>
      </c>
      <c r="X2226">
        <v>0.08</v>
      </c>
      <c r="Y2226">
        <v>1</v>
      </c>
      <c r="Z2226">
        <v>10</v>
      </c>
    </row>
    <row r="2227" spans="1:26" x14ac:dyDescent="0.3">
      <c r="A2227">
        <v>71</v>
      </c>
      <c r="B2227">
        <v>95</v>
      </c>
      <c r="C2227" t="s">
        <v>26</v>
      </c>
      <c r="D2227">
        <v>10.684699999999999</v>
      </c>
      <c r="E2227">
        <v>9.36</v>
      </c>
      <c r="F2227">
        <v>6.74</v>
      </c>
      <c r="G2227">
        <v>101.12</v>
      </c>
      <c r="H2227">
        <v>1.56</v>
      </c>
      <c r="I2227">
        <v>4</v>
      </c>
      <c r="J2227">
        <v>213.47</v>
      </c>
      <c r="K2227">
        <v>53.44</v>
      </c>
      <c r="L2227">
        <v>18.75</v>
      </c>
      <c r="M2227">
        <v>2</v>
      </c>
      <c r="N2227">
        <v>46.28</v>
      </c>
      <c r="O2227">
        <v>26561.93</v>
      </c>
      <c r="P2227">
        <v>78.569999999999993</v>
      </c>
      <c r="Q2227">
        <v>204.14</v>
      </c>
      <c r="R2227">
        <v>23.44</v>
      </c>
      <c r="S2227">
        <v>17.37</v>
      </c>
      <c r="T2227">
        <v>942.02</v>
      </c>
      <c r="U2227">
        <v>0.74</v>
      </c>
      <c r="V2227">
        <v>0.76</v>
      </c>
      <c r="W2227">
        <v>1.1399999999999999</v>
      </c>
      <c r="X2227">
        <v>0.05</v>
      </c>
      <c r="Y2227">
        <v>1</v>
      </c>
      <c r="Z2227">
        <v>10</v>
      </c>
    </row>
    <row r="2228" spans="1:26" x14ac:dyDescent="0.3">
      <c r="A2228">
        <v>72</v>
      </c>
      <c r="B2228">
        <v>95</v>
      </c>
      <c r="C2228" t="s">
        <v>26</v>
      </c>
      <c r="D2228">
        <v>10.6806</v>
      </c>
      <c r="E2228">
        <v>9.36</v>
      </c>
      <c r="F2228">
        <v>6.75</v>
      </c>
      <c r="G2228">
        <v>101.18</v>
      </c>
      <c r="H2228">
        <v>1.58</v>
      </c>
      <c r="I2228">
        <v>4</v>
      </c>
      <c r="J2228">
        <v>213.87</v>
      </c>
      <c r="K2228">
        <v>53.44</v>
      </c>
      <c r="L2228">
        <v>19</v>
      </c>
      <c r="M2228">
        <v>2</v>
      </c>
      <c r="N2228">
        <v>46.44</v>
      </c>
      <c r="O2228">
        <v>26611.98</v>
      </c>
      <c r="P2228">
        <v>78.64</v>
      </c>
      <c r="Q2228">
        <v>204.14</v>
      </c>
      <c r="R2228">
        <v>23.49</v>
      </c>
      <c r="S2228">
        <v>17.37</v>
      </c>
      <c r="T2228">
        <v>969.25</v>
      </c>
      <c r="U2228">
        <v>0.74</v>
      </c>
      <c r="V2228">
        <v>0.76</v>
      </c>
      <c r="W2228">
        <v>1.1399999999999999</v>
      </c>
      <c r="X2228">
        <v>0.05</v>
      </c>
      <c r="Y2228">
        <v>1</v>
      </c>
      <c r="Z2228">
        <v>10</v>
      </c>
    </row>
    <row r="2229" spans="1:26" x14ac:dyDescent="0.3">
      <c r="A2229">
        <v>73</v>
      </c>
      <c r="B2229">
        <v>95</v>
      </c>
      <c r="C2229" t="s">
        <v>26</v>
      </c>
      <c r="D2229">
        <v>10.6784</v>
      </c>
      <c r="E2229">
        <v>9.36</v>
      </c>
      <c r="F2229">
        <v>6.75</v>
      </c>
      <c r="G2229">
        <v>101.21</v>
      </c>
      <c r="H2229">
        <v>1.6</v>
      </c>
      <c r="I2229">
        <v>4</v>
      </c>
      <c r="J2229">
        <v>214.28</v>
      </c>
      <c r="K2229">
        <v>53.44</v>
      </c>
      <c r="L2229">
        <v>19.25</v>
      </c>
      <c r="M2229">
        <v>2</v>
      </c>
      <c r="N2229">
        <v>46.6</v>
      </c>
      <c r="O2229">
        <v>26662.080000000002</v>
      </c>
      <c r="P2229">
        <v>78.760000000000005</v>
      </c>
      <c r="Q2229">
        <v>204.15</v>
      </c>
      <c r="R2229">
        <v>23.63</v>
      </c>
      <c r="S2229">
        <v>17.37</v>
      </c>
      <c r="T2229">
        <v>1038.1300000000001</v>
      </c>
      <c r="U2229">
        <v>0.74</v>
      </c>
      <c r="V2229">
        <v>0.76</v>
      </c>
      <c r="W2229">
        <v>1.1399999999999999</v>
      </c>
      <c r="X2229">
        <v>0.06</v>
      </c>
      <c r="Y2229">
        <v>1</v>
      </c>
      <c r="Z2229">
        <v>10</v>
      </c>
    </row>
    <row r="2230" spans="1:26" x14ac:dyDescent="0.3">
      <c r="A2230">
        <v>74</v>
      </c>
      <c r="B2230">
        <v>95</v>
      </c>
      <c r="C2230" t="s">
        <v>26</v>
      </c>
      <c r="D2230">
        <v>10.6768</v>
      </c>
      <c r="E2230">
        <v>9.3699999999999992</v>
      </c>
      <c r="F2230">
        <v>6.75</v>
      </c>
      <c r="G2230">
        <v>101.23</v>
      </c>
      <c r="H2230">
        <v>1.61</v>
      </c>
      <c r="I2230">
        <v>4</v>
      </c>
      <c r="J2230">
        <v>214.69</v>
      </c>
      <c r="K2230">
        <v>53.44</v>
      </c>
      <c r="L2230">
        <v>19.5</v>
      </c>
      <c r="M2230">
        <v>2</v>
      </c>
      <c r="N2230">
        <v>46.75</v>
      </c>
      <c r="O2230">
        <v>26712.23</v>
      </c>
      <c r="P2230">
        <v>78.930000000000007</v>
      </c>
      <c r="Q2230">
        <v>204.14</v>
      </c>
      <c r="R2230">
        <v>23.65</v>
      </c>
      <c r="S2230">
        <v>17.37</v>
      </c>
      <c r="T2230">
        <v>1046.69</v>
      </c>
      <c r="U2230">
        <v>0.73</v>
      </c>
      <c r="V2230">
        <v>0.76</v>
      </c>
      <c r="W2230">
        <v>1.1399999999999999</v>
      </c>
      <c r="X2230">
        <v>0.06</v>
      </c>
      <c r="Y2230">
        <v>1</v>
      </c>
      <c r="Z2230">
        <v>10</v>
      </c>
    </row>
    <row r="2231" spans="1:26" x14ac:dyDescent="0.3">
      <c r="A2231">
        <v>75</v>
      </c>
      <c r="B2231">
        <v>95</v>
      </c>
      <c r="C2231" t="s">
        <v>26</v>
      </c>
      <c r="D2231">
        <v>10.672000000000001</v>
      </c>
      <c r="E2231">
        <v>9.3699999999999992</v>
      </c>
      <c r="F2231">
        <v>6.75</v>
      </c>
      <c r="G2231">
        <v>101.29</v>
      </c>
      <c r="H2231">
        <v>1.63</v>
      </c>
      <c r="I2231">
        <v>4</v>
      </c>
      <c r="J2231">
        <v>215.09</v>
      </c>
      <c r="K2231">
        <v>53.44</v>
      </c>
      <c r="L2231">
        <v>19.75</v>
      </c>
      <c r="M2231">
        <v>2</v>
      </c>
      <c r="N2231">
        <v>46.91</v>
      </c>
      <c r="O2231">
        <v>26762.44</v>
      </c>
      <c r="P2231">
        <v>78.930000000000007</v>
      </c>
      <c r="Q2231">
        <v>204.18</v>
      </c>
      <c r="R2231">
        <v>23.7</v>
      </c>
      <c r="S2231">
        <v>17.37</v>
      </c>
      <c r="T2231">
        <v>1073.33</v>
      </c>
      <c r="U2231">
        <v>0.73</v>
      </c>
      <c r="V2231">
        <v>0.76</v>
      </c>
      <c r="W2231">
        <v>1.1399999999999999</v>
      </c>
      <c r="X2231">
        <v>0.06</v>
      </c>
      <c r="Y2231">
        <v>1</v>
      </c>
      <c r="Z2231">
        <v>10</v>
      </c>
    </row>
    <row r="2232" spans="1:26" x14ac:dyDescent="0.3">
      <c r="A2232">
        <v>76</v>
      </c>
      <c r="B2232">
        <v>95</v>
      </c>
      <c r="C2232" t="s">
        <v>26</v>
      </c>
      <c r="D2232">
        <v>10.68</v>
      </c>
      <c r="E2232">
        <v>9.36</v>
      </c>
      <c r="F2232">
        <v>6.75</v>
      </c>
      <c r="G2232">
        <v>101.19</v>
      </c>
      <c r="H2232">
        <v>1.65</v>
      </c>
      <c r="I2232">
        <v>4</v>
      </c>
      <c r="J2232">
        <v>215.5</v>
      </c>
      <c r="K2232">
        <v>53.44</v>
      </c>
      <c r="L2232">
        <v>20</v>
      </c>
      <c r="M2232">
        <v>2</v>
      </c>
      <c r="N2232">
        <v>47.07</v>
      </c>
      <c r="O2232">
        <v>26812.71</v>
      </c>
      <c r="P2232">
        <v>79.16</v>
      </c>
      <c r="Q2232">
        <v>204.14</v>
      </c>
      <c r="R2232">
        <v>23.58</v>
      </c>
      <c r="S2232">
        <v>17.37</v>
      </c>
      <c r="T2232">
        <v>1010.69</v>
      </c>
      <c r="U2232">
        <v>0.74</v>
      </c>
      <c r="V2232">
        <v>0.76</v>
      </c>
      <c r="W2232">
        <v>1.1399999999999999</v>
      </c>
      <c r="X2232">
        <v>0.05</v>
      </c>
      <c r="Y2232">
        <v>1</v>
      </c>
      <c r="Z2232">
        <v>10</v>
      </c>
    </row>
    <row r="2233" spans="1:26" x14ac:dyDescent="0.3">
      <c r="A2233">
        <v>77</v>
      </c>
      <c r="B2233">
        <v>95</v>
      </c>
      <c r="C2233" t="s">
        <v>26</v>
      </c>
      <c r="D2233">
        <v>10.685</v>
      </c>
      <c r="E2233">
        <v>9.36</v>
      </c>
      <c r="F2233">
        <v>6.74</v>
      </c>
      <c r="G2233">
        <v>101.12</v>
      </c>
      <c r="H2233">
        <v>1.67</v>
      </c>
      <c r="I2233">
        <v>4</v>
      </c>
      <c r="J2233">
        <v>215.91</v>
      </c>
      <c r="K2233">
        <v>53.44</v>
      </c>
      <c r="L2233">
        <v>20.25</v>
      </c>
      <c r="M2233">
        <v>2</v>
      </c>
      <c r="N2233">
        <v>47.23</v>
      </c>
      <c r="O2233">
        <v>26863.02</v>
      </c>
      <c r="P2233">
        <v>79.17</v>
      </c>
      <c r="Q2233">
        <v>204.14</v>
      </c>
      <c r="R2233">
        <v>23.42</v>
      </c>
      <c r="S2233">
        <v>17.37</v>
      </c>
      <c r="T2233">
        <v>932.1</v>
      </c>
      <c r="U2233">
        <v>0.74</v>
      </c>
      <c r="V2233">
        <v>0.76</v>
      </c>
      <c r="W2233">
        <v>1.1399999999999999</v>
      </c>
      <c r="X2233">
        <v>0.05</v>
      </c>
      <c r="Y2233">
        <v>1</v>
      </c>
      <c r="Z2233">
        <v>10</v>
      </c>
    </row>
    <row r="2234" spans="1:26" x14ac:dyDescent="0.3">
      <c r="A2234">
        <v>78</v>
      </c>
      <c r="B2234">
        <v>95</v>
      </c>
      <c r="C2234" t="s">
        <v>26</v>
      </c>
      <c r="D2234">
        <v>10.680899999999999</v>
      </c>
      <c r="E2234">
        <v>9.36</v>
      </c>
      <c r="F2234">
        <v>6.75</v>
      </c>
      <c r="G2234">
        <v>101.17</v>
      </c>
      <c r="H2234">
        <v>1.68</v>
      </c>
      <c r="I2234">
        <v>4</v>
      </c>
      <c r="J2234">
        <v>216.32</v>
      </c>
      <c r="K2234">
        <v>53.44</v>
      </c>
      <c r="L2234">
        <v>20.5</v>
      </c>
      <c r="M2234">
        <v>2</v>
      </c>
      <c r="N2234">
        <v>47.38</v>
      </c>
      <c r="O2234">
        <v>26913.4</v>
      </c>
      <c r="P2234">
        <v>79.180000000000007</v>
      </c>
      <c r="Q2234">
        <v>204.14</v>
      </c>
      <c r="R2234">
        <v>23.55</v>
      </c>
      <c r="S2234">
        <v>17.37</v>
      </c>
      <c r="T2234">
        <v>998.5</v>
      </c>
      <c r="U2234">
        <v>0.74</v>
      </c>
      <c r="V2234">
        <v>0.76</v>
      </c>
      <c r="W2234">
        <v>1.1399999999999999</v>
      </c>
      <c r="X2234">
        <v>0.05</v>
      </c>
      <c r="Y2234">
        <v>1</v>
      </c>
      <c r="Z2234">
        <v>10</v>
      </c>
    </row>
    <row r="2235" spans="1:26" x14ac:dyDescent="0.3">
      <c r="A2235">
        <v>79</v>
      </c>
      <c r="B2235">
        <v>95</v>
      </c>
      <c r="C2235" t="s">
        <v>26</v>
      </c>
      <c r="D2235">
        <v>10.6746</v>
      </c>
      <c r="E2235">
        <v>9.3699999999999992</v>
      </c>
      <c r="F2235">
        <v>6.75</v>
      </c>
      <c r="G2235">
        <v>101.26</v>
      </c>
      <c r="H2235">
        <v>1.7</v>
      </c>
      <c r="I2235">
        <v>4</v>
      </c>
      <c r="J2235">
        <v>216.73</v>
      </c>
      <c r="K2235">
        <v>53.44</v>
      </c>
      <c r="L2235">
        <v>20.75</v>
      </c>
      <c r="M2235">
        <v>2</v>
      </c>
      <c r="N2235">
        <v>47.54</v>
      </c>
      <c r="O2235">
        <v>26963.82</v>
      </c>
      <c r="P2235">
        <v>79.02</v>
      </c>
      <c r="Q2235">
        <v>204.14</v>
      </c>
      <c r="R2235">
        <v>23.67</v>
      </c>
      <c r="S2235">
        <v>17.37</v>
      </c>
      <c r="T2235">
        <v>1058.29</v>
      </c>
      <c r="U2235">
        <v>0.73</v>
      </c>
      <c r="V2235">
        <v>0.76</v>
      </c>
      <c r="W2235">
        <v>1.1399999999999999</v>
      </c>
      <c r="X2235">
        <v>0.06</v>
      </c>
      <c r="Y2235">
        <v>1</v>
      </c>
      <c r="Z2235">
        <v>10</v>
      </c>
    </row>
    <row r="2236" spans="1:26" x14ac:dyDescent="0.3">
      <c r="A2236">
        <v>80</v>
      </c>
      <c r="B2236">
        <v>95</v>
      </c>
      <c r="C2236" t="s">
        <v>26</v>
      </c>
      <c r="D2236">
        <v>10.674300000000001</v>
      </c>
      <c r="E2236">
        <v>9.3699999999999992</v>
      </c>
      <c r="F2236">
        <v>6.75</v>
      </c>
      <c r="G2236">
        <v>101.26</v>
      </c>
      <c r="H2236">
        <v>1.72</v>
      </c>
      <c r="I2236">
        <v>4</v>
      </c>
      <c r="J2236">
        <v>217.14</v>
      </c>
      <c r="K2236">
        <v>53.44</v>
      </c>
      <c r="L2236">
        <v>21</v>
      </c>
      <c r="M2236">
        <v>2</v>
      </c>
      <c r="N2236">
        <v>47.7</v>
      </c>
      <c r="O2236">
        <v>27014.3</v>
      </c>
      <c r="P2236">
        <v>78.94</v>
      </c>
      <c r="Q2236">
        <v>204.14</v>
      </c>
      <c r="R2236">
        <v>23.65</v>
      </c>
      <c r="S2236">
        <v>17.37</v>
      </c>
      <c r="T2236">
        <v>1049.03</v>
      </c>
      <c r="U2236">
        <v>0.73</v>
      </c>
      <c r="V2236">
        <v>0.76</v>
      </c>
      <c r="W2236">
        <v>1.1399999999999999</v>
      </c>
      <c r="X2236">
        <v>0.06</v>
      </c>
      <c r="Y2236">
        <v>1</v>
      </c>
      <c r="Z2236">
        <v>10</v>
      </c>
    </row>
    <row r="2237" spans="1:26" x14ac:dyDescent="0.3">
      <c r="A2237">
        <v>81</v>
      </c>
      <c r="B2237">
        <v>95</v>
      </c>
      <c r="C2237" t="s">
        <v>26</v>
      </c>
      <c r="D2237">
        <v>10.674899999999999</v>
      </c>
      <c r="E2237">
        <v>9.3699999999999992</v>
      </c>
      <c r="F2237">
        <v>6.75</v>
      </c>
      <c r="G2237">
        <v>101.25</v>
      </c>
      <c r="H2237">
        <v>1.74</v>
      </c>
      <c r="I2237">
        <v>4</v>
      </c>
      <c r="J2237">
        <v>217.55</v>
      </c>
      <c r="K2237">
        <v>53.44</v>
      </c>
      <c r="L2237">
        <v>21.25</v>
      </c>
      <c r="M2237">
        <v>2</v>
      </c>
      <c r="N2237">
        <v>47.86</v>
      </c>
      <c r="O2237">
        <v>27064.84</v>
      </c>
      <c r="P2237">
        <v>78.8</v>
      </c>
      <c r="Q2237">
        <v>204.14</v>
      </c>
      <c r="R2237">
        <v>23.64</v>
      </c>
      <c r="S2237">
        <v>17.37</v>
      </c>
      <c r="T2237">
        <v>1043.8399999999999</v>
      </c>
      <c r="U2237">
        <v>0.73</v>
      </c>
      <c r="V2237">
        <v>0.76</v>
      </c>
      <c r="W2237">
        <v>1.1399999999999999</v>
      </c>
      <c r="X2237">
        <v>0.06</v>
      </c>
      <c r="Y2237">
        <v>1</v>
      </c>
      <c r="Z2237">
        <v>10</v>
      </c>
    </row>
    <row r="2238" spans="1:26" x14ac:dyDescent="0.3">
      <c r="A2238">
        <v>82</v>
      </c>
      <c r="B2238">
        <v>95</v>
      </c>
      <c r="C2238" t="s">
        <v>26</v>
      </c>
      <c r="D2238">
        <v>10.6784</v>
      </c>
      <c r="E2238">
        <v>9.36</v>
      </c>
      <c r="F2238">
        <v>6.75</v>
      </c>
      <c r="G2238">
        <v>101.21</v>
      </c>
      <c r="H2238">
        <v>1.75</v>
      </c>
      <c r="I2238">
        <v>4</v>
      </c>
      <c r="J2238">
        <v>217.96</v>
      </c>
      <c r="K2238">
        <v>53.44</v>
      </c>
      <c r="L2238">
        <v>21.5</v>
      </c>
      <c r="M2238">
        <v>2</v>
      </c>
      <c r="N2238">
        <v>48.02</v>
      </c>
      <c r="O2238">
        <v>27115.43</v>
      </c>
      <c r="P2238">
        <v>78.59</v>
      </c>
      <c r="Q2238">
        <v>204.18</v>
      </c>
      <c r="R2238">
        <v>23.58</v>
      </c>
      <c r="S2238">
        <v>17.37</v>
      </c>
      <c r="T2238">
        <v>1010.38</v>
      </c>
      <c r="U2238">
        <v>0.74</v>
      </c>
      <c r="V2238">
        <v>0.76</v>
      </c>
      <c r="W2238">
        <v>1.1399999999999999</v>
      </c>
      <c r="X2238">
        <v>0.06</v>
      </c>
      <c r="Y2238">
        <v>1</v>
      </c>
      <c r="Z2238">
        <v>10</v>
      </c>
    </row>
    <row r="2239" spans="1:26" x14ac:dyDescent="0.3">
      <c r="A2239">
        <v>83</v>
      </c>
      <c r="B2239">
        <v>95</v>
      </c>
      <c r="C2239" t="s">
        <v>26</v>
      </c>
      <c r="D2239">
        <v>10.682499999999999</v>
      </c>
      <c r="E2239">
        <v>9.36</v>
      </c>
      <c r="F2239">
        <v>6.74</v>
      </c>
      <c r="G2239">
        <v>101.15</v>
      </c>
      <c r="H2239">
        <v>1.77</v>
      </c>
      <c r="I2239">
        <v>4</v>
      </c>
      <c r="J2239">
        <v>218.37</v>
      </c>
      <c r="K2239">
        <v>53.44</v>
      </c>
      <c r="L2239">
        <v>21.75</v>
      </c>
      <c r="M2239">
        <v>2</v>
      </c>
      <c r="N2239">
        <v>48.18</v>
      </c>
      <c r="O2239">
        <v>27166.080000000002</v>
      </c>
      <c r="P2239">
        <v>78.41</v>
      </c>
      <c r="Q2239">
        <v>204.14</v>
      </c>
      <c r="R2239">
        <v>23.52</v>
      </c>
      <c r="S2239">
        <v>17.37</v>
      </c>
      <c r="T2239">
        <v>982.35</v>
      </c>
      <c r="U2239">
        <v>0.74</v>
      </c>
      <c r="V2239">
        <v>0.76</v>
      </c>
      <c r="W2239">
        <v>1.1399999999999999</v>
      </c>
      <c r="X2239">
        <v>0.05</v>
      </c>
      <c r="Y2239">
        <v>1</v>
      </c>
      <c r="Z2239">
        <v>10</v>
      </c>
    </row>
    <row r="2240" spans="1:26" x14ac:dyDescent="0.3">
      <c r="A2240">
        <v>84</v>
      </c>
      <c r="B2240">
        <v>95</v>
      </c>
      <c r="C2240" t="s">
        <v>26</v>
      </c>
      <c r="D2240">
        <v>10.686</v>
      </c>
      <c r="E2240">
        <v>9.36</v>
      </c>
      <c r="F2240">
        <v>6.74</v>
      </c>
      <c r="G2240">
        <v>101.11</v>
      </c>
      <c r="H2240">
        <v>1.79</v>
      </c>
      <c r="I2240">
        <v>4</v>
      </c>
      <c r="J2240">
        <v>218.78</v>
      </c>
      <c r="K2240">
        <v>53.44</v>
      </c>
      <c r="L2240">
        <v>22</v>
      </c>
      <c r="M2240">
        <v>2</v>
      </c>
      <c r="N2240">
        <v>48.34</v>
      </c>
      <c r="O2240">
        <v>27216.79</v>
      </c>
      <c r="P2240">
        <v>78.05</v>
      </c>
      <c r="Q2240">
        <v>204.14</v>
      </c>
      <c r="R2240">
        <v>23.37</v>
      </c>
      <c r="S2240">
        <v>17.37</v>
      </c>
      <c r="T2240">
        <v>906.39</v>
      </c>
      <c r="U2240">
        <v>0.74</v>
      </c>
      <c r="V2240">
        <v>0.76</v>
      </c>
      <c r="W2240">
        <v>1.1399999999999999</v>
      </c>
      <c r="X2240">
        <v>0.05</v>
      </c>
      <c r="Y2240">
        <v>1</v>
      </c>
      <c r="Z2240">
        <v>10</v>
      </c>
    </row>
    <row r="2241" spans="1:26" x14ac:dyDescent="0.3">
      <c r="A2241">
        <v>85</v>
      </c>
      <c r="B2241">
        <v>95</v>
      </c>
      <c r="C2241" t="s">
        <v>26</v>
      </c>
      <c r="D2241">
        <v>10.684699999999999</v>
      </c>
      <c r="E2241">
        <v>9.36</v>
      </c>
      <c r="F2241">
        <v>6.74</v>
      </c>
      <c r="G2241">
        <v>101.12</v>
      </c>
      <c r="H2241">
        <v>1.8</v>
      </c>
      <c r="I2241">
        <v>4</v>
      </c>
      <c r="J2241">
        <v>219.19</v>
      </c>
      <c r="K2241">
        <v>53.44</v>
      </c>
      <c r="L2241">
        <v>22.25</v>
      </c>
      <c r="M2241">
        <v>2</v>
      </c>
      <c r="N2241">
        <v>48.51</v>
      </c>
      <c r="O2241">
        <v>27267.55</v>
      </c>
      <c r="P2241">
        <v>77.739999999999995</v>
      </c>
      <c r="Q2241">
        <v>204.14</v>
      </c>
      <c r="R2241">
        <v>23.45</v>
      </c>
      <c r="S2241">
        <v>17.37</v>
      </c>
      <c r="T2241">
        <v>946.55</v>
      </c>
      <c r="U2241">
        <v>0.74</v>
      </c>
      <c r="V2241">
        <v>0.76</v>
      </c>
      <c r="W2241">
        <v>1.1399999999999999</v>
      </c>
      <c r="X2241">
        <v>0.05</v>
      </c>
      <c r="Y2241">
        <v>1</v>
      </c>
      <c r="Z2241">
        <v>10</v>
      </c>
    </row>
    <row r="2242" spans="1:26" x14ac:dyDescent="0.3">
      <c r="A2242">
        <v>86</v>
      </c>
      <c r="B2242">
        <v>95</v>
      </c>
      <c r="C2242" t="s">
        <v>26</v>
      </c>
      <c r="D2242">
        <v>10.6844</v>
      </c>
      <c r="E2242">
        <v>9.36</v>
      </c>
      <c r="F2242">
        <v>6.74</v>
      </c>
      <c r="G2242">
        <v>101.13</v>
      </c>
      <c r="H2242">
        <v>1.82</v>
      </c>
      <c r="I2242">
        <v>4</v>
      </c>
      <c r="J2242">
        <v>219.6</v>
      </c>
      <c r="K2242">
        <v>53.44</v>
      </c>
      <c r="L2242">
        <v>22.5</v>
      </c>
      <c r="M2242">
        <v>2</v>
      </c>
      <c r="N2242">
        <v>48.67</v>
      </c>
      <c r="O2242">
        <v>27318.36</v>
      </c>
      <c r="P2242">
        <v>77.45</v>
      </c>
      <c r="Q2242">
        <v>204.14</v>
      </c>
      <c r="R2242">
        <v>23.42</v>
      </c>
      <c r="S2242">
        <v>17.37</v>
      </c>
      <c r="T2242">
        <v>933.24</v>
      </c>
      <c r="U2242">
        <v>0.74</v>
      </c>
      <c r="V2242">
        <v>0.76</v>
      </c>
      <c r="W2242">
        <v>1.1399999999999999</v>
      </c>
      <c r="X2242">
        <v>0.05</v>
      </c>
      <c r="Y2242">
        <v>1</v>
      </c>
      <c r="Z2242">
        <v>10</v>
      </c>
    </row>
    <row r="2243" spans="1:26" x14ac:dyDescent="0.3">
      <c r="A2243">
        <v>87</v>
      </c>
      <c r="B2243">
        <v>95</v>
      </c>
      <c r="C2243" t="s">
        <v>26</v>
      </c>
      <c r="D2243">
        <v>10.685700000000001</v>
      </c>
      <c r="E2243">
        <v>9.36</v>
      </c>
      <c r="F2243">
        <v>6.74</v>
      </c>
      <c r="G2243">
        <v>101.11</v>
      </c>
      <c r="H2243">
        <v>1.84</v>
      </c>
      <c r="I2243">
        <v>4</v>
      </c>
      <c r="J2243">
        <v>220.01</v>
      </c>
      <c r="K2243">
        <v>53.44</v>
      </c>
      <c r="L2243">
        <v>22.75</v>
      </c>
      <c r="M2243">
        <v>2</v>
      </c>
      <c r="N2243">
        <v>48.83</v>
      </c>
      <c r="O2243">
        <v>27369.23</v>
      </c>
      <c r="P2243">
        <v>76.98</v>
      </c>
      <c r="Q2243">
        <v>204.14</v>
      </c>
      <c r="R2243">
        <v>23.41</v>
      </c>
      <c r="S2243">
        <v>17.37</v>
      </c>
      <c r="T2243">
        <v>925.61</v>
      </c>
      <c r="U2243">
        <v>0.74</v>
      </c>
      <c r="V2243">
        <v>0.76</v>
      </c>
      <c r="W2243">
        <v>1.1399999999999999</v>
      </c>
      <c r="X2243">
        <v>0.05</v>
      </c>
      <c r="Y2243">
        <v>1</v>
      </c>
      <c r="Z2243">
        <v>10</v>
      </c>
    </row>
    <row r="2244" spans="1:26" x14ac:dyDescent="0.3">
      <c r="A2244">
        <v>88</v>
      </c>
      <c r="B2244">
        <v>95</v>
      </c>
      <c r="C2244" t="s">
        <v>26</v>
      </c>
      <c r="D2244">
        <v>10.6911</v>
      </c>
      <c r="E2244">
        <v>9.35</v>
      </c>
      <c r="F2244">
        <v>6.74</v>
      </c>
      <c r="G2244">
        <v>101.04</v>
      </c>
      <c r="H2244">
        <v>1.85</v>
      </c>
      <c r="I2244">
        <v>4</v>
      </c>
      <c r="J2244">
        <v>220.43</v>
      </c>
      <c r="K2244">
        <v>53.44</v>
      </c>
      <c r="L2244">
        <v>23</v>
      </c>
      <c r="M2244">
        <v>2</v>
      </c>
      <c r="N2244">
        <v>48.99</v>
      </c>
      <c r="O2244">
        <v>27420.16</v>
      </c>
      <c r="P2244">
        <v>76.56</v>
      </c>
      <c r="Q2244">
        <v>204.14</v>
      </c>
      <c r="R2244">
        <v>23.17</v>
      </c>
      <c r="S2244">
        <v>17.37</v>
      </c>
      <c r="T2244">
        <v>808.22</v>
      </c>
      <c r="U2244">
        <v>0.75</v>
      </c>
      <c r="V2244">
        <v>0.76</v>
      </c>
      <c r="W2244">
        <v>1.1399999999999999</v>
      </c>
      <c r="X2244">
        <v>0.04</v>
      </c>
      <c r="Y2244">
        <v>1</v>
      </c>
      <c r="Z2244">
        <v>10</v>
      </c>
    </row>
    <row r="2245" spans="1:26" x14ac:dyDescent="0.3">
      <c r="A2245">
        <v>89</v>
      </c>
      <c r="B2245">
        <v>95</v>
      </c>
      <c r="C2245" t="s">
        <v>26</v>
      </c>
      <c r="D2245">
        <v>10.694900000000001</v>
      </c>
      <c r="E2245">
        <v>9.35</v>
      </c>
      <c r="F2245">
        <v>6.73</v>
      </c>
      <c r="G2245">
        <v>100.99</v>
      </c>
      <c r="H2245">
        <v>1.87</v>
      </c>
      <c r="I2245">
        <v>4</v>
      </c>
      <c r="J2245">
        <v>220.84</v>
      </c>
      <c r="K2245">
        <v>53.44</v>
      </c>
      <c r="L2245">
        <v>23.25</v>
      </c>
      <c r="M2245">
        <v>2</v>
      </c>
      <c r="N2245">
        <v>49.16</v>
      </c>
      <c r="O2245">
        <v>27471.15</v>
      </c>
      <c r="P2245">
        <v>76.22</v>
      </c>
      <c r="Q2245">
        <v>204.14</v>
      </c>
      <c r="R2245">
        <v>23.07</v>
      </c>
      <c r="S2245">
        <v>17.37</v>
      </c>
      <c r="T2245">
        <v>756.02</v>
      </c>
      <c r="U2245">
        <v>0.75</v>
      </c>
      <c r="V2245">
        <v>0.76</v>
      </c>
      <c r="W2245">
        <v>1.1399999999999999</v>
      </c>
      <c r="X2245">
        <v>0.04</v>
      </c>
      <c r="Y2245">
        <v>1</v>
      </c>
      <c r="Z2245">
        <v>10</v>
      </c>
    </row>
    <row r="2246" spans="1:26" x14ac:dyDescent="0.3">
      <c r="A2246">
        <v>90</v>
      </c>
      <c r="B2246">
        <v>95</v>
      </c>
      <c r="C2246" t="s">
        <v>26</v>
      </c>
      <c r="D2246">
        <v>10.689500000000001</v>
      </c>
      <c r="E2246">
        <v>9.36</v>
      </c>
      <c r="F2246">
        <v>6.74</v>
      </c>
      <c r="G2246">
        <v>101.06</v>
      </c>
      <c r="H2246">
        <v>1.89</v>
      </c>
      <c r="I2246">
        <v>4</v>
      </c>
      <c r="J2246">
        <v>221.25</v>
      </c>
      <c r="K2246">
        <v>53.44</v>
      </c>
      <c r="L2246">
        <v>23.5</v>
      </c>
      <c r="M2246">
        <v>1</v>
      </c>
      <c r="N2246">
        <v>49.32</v>
      </c>
      <c r="O2246">
        <v>27522.19</v>
      </c>
      <c r="P2246">
        <v>75.930000000000007</v>
      </c>
      <c r="Q2246">
        <v>204.14</v>
      </c>
      <c r="R2246">
        <v>23.15</v>
      </c>
      <c r="S2246">
        <v>17.37</v>
      </c>
      <c r="T2246">
        <v>798.24</v>
      </c>
      <c r="U2246">
        <v>0.75</v>
      </c>
      <c r="V2246">
        <v>0.76</v>
      </c>
      <c r="W2246">
        <v>1.1399999999999999</v>
      </c>
      <c r="X2246">
        <v>0.05</v>
      </c>
      <c r="Y2246">
        <v>1</v>
      </c>
      <c r="Z2246">
        <v>10</v>
      </c>
    </row>
    <row r="2247" spans="1:26" x14ac:dyDescent="0.3">
      <c r="A2247">
        <v>91</v>
      </c>
      <c r="B2247">
        <v>95</v>
      </c>
      <c r="C2247" t="s">
        <v>26</v>
      </c>
      <c r="D2247">
        <v>10.690099999999999</v>
      </c>
      <c r="E2247">
        <v>9.35</v>
      </c>
      <c r="F2247">
        <v>6.74</v>
      </c>
      <c r="G2247">
        <v>101.05</v>
      </c>
      <c r="H2247">
        <v>1.9</v>
      </c>
      <c r="I2247">
        <v>4</v>
      </c>
      <c r="J2247">
        <v>221.67</v>
      </c>
      <c r="K2247">
        <v>53.44</v>
      </c>
      <c r="L2247">
        <v>23.75</v>
      </c>
      <c r="M2247">
        <v>1</v>
      </c>
      <c r="N2247">
        <v>49.48</v>
      </c>
      <c r="O2247">
        <v>27573.29</v>
      </c>
      <c r="P2247">
        <v>75.8</v>
      </c>
      <c r="Q2247">
        <v>204.14</v>
      </c>
      <c r="R2247">
        <v>23.17</v>
      </c>
      <c r="S2247">
        <v>17.37</v>
      </c>
      <c r="T2247">
        <v>809.42</v>
      </c>
      <c r="U2247">
        <v>0.75</v>
      </c>
      <c r="V2247">
        <v>0.76</v>
      </c>
      <c r="W2247">
        <v>1.1399999999999999</v>
      </c>
      <c r="X2247">
        <v>0.05</v>
      </c>
      <c r="Y2247">
        <v>1</v>
      </c>
      <c r="Z2247">
        <v>10</v>
      </c>
    </row>
    <row r="2248" spans="1:26" x14ac:dyDescent="0.3">
      <c r="A2248">
        <v>92</v>
      </c>
      <c r="B2248">
        <v>95</v>
      </c>
      <c r="C2248" t="s">
        <v>26</v>
      </c>
      <c r="D2248">
        <v>10.688499999999999</v>
      </c>
      <c r="E2248">
        <v>9.36</v>
      </c>
      <c r="F2248">
        <v>6.74</v>
      </c>
      <c r="G2248">
        <v>101.08</v>
      </c>
      <c r="H2248">
        <v>1.92</v>
      </c>
      <c r="I2248">
        <v>4</v>
      </c>
      <c r="J2248">
        <v>222.08</v>
      </c>
      <c r="K2248">
        <v>53.44</v>
      </c>
      <c r="L2248">
        <v>24</v>
      </c>
      <c r="M2248">
        <v>1</v>
      </c>
      <c r="N2248">
        <v>49.65</v>
      </c>
      <c r="O2248">
        <v>27624.44</v>
      </c>
      <c r="P2248">
        <v>75.7</v>
      </c>
      <c r="Q2248">
        <v>204.14</v>
      </c>
      <c r="R2248">
        <v>23.19</v>
      </c>
      <c r="S2248">
        <v>17.37</v>
      </c>
      <c r="T2248">
        <v>818.65</v>
      </c>
      <c r="U2248">
        <v>0.75</v>
      </c>
      <c r="V2248">
        <v>0.76</v>
      </c>
      <c r="W2248">
        <v>1.1399999999999999</v>
      </c>
      <c r="X2248">
        <v>0.05</v>
      </c>
      <c r="Y2248">
        <v>1</v>
      </c>
      <c r="Z2248">
        <v>10</v>
      </c>
    </row>
    <row r="2249" spans="1:26" x14ac:dyDescent="0.3">
      <c r="A2249">
        <v>93</v>
      </c>
      <c r="B2249">
        <v>95</v>
      </c>
      <c r="C2249" t="s">
        <v>26</v>
      </c>
      <c r="D2249">
        <v>10.6876</v>
      </c>
      <c r="E2249">
        <v>9.36</v>
      </c>
      <c r="F2249">
        <v>6.74</v>
      </c>
      <c r="G2249">
        <v>101.09</v>
      </c>
      <c r="H2249">
        <v>1.94</v>
      </c>
      <c r="I2249">
        <v>4</v>
      </c>
      <c r="J2249">
        <v>222.5</v>
      </c>
      <c r="K2249">
        <v>53.44</v>
      </c>
      <c r="L2249">
        <v>24.25</v>
      </c>
      <c r="M2249">
        <v>1</v>
      </c>
      <c r="N2249">
        <v>49.81</v>
      </c>
      <c r="O2249">
        <v>27675.78</v>
      </c>
      <c r="P2249">
        <v>75.569999999999993</v>
      </c>
      <c r="Q2249">
        <v>204.14</v>
      </c>
      <c r="R2249">
        <v>23.24</v>
      </c>
      <c r="S2249">
        <v>17.37</v>
      </c>
      <c r="T2249">
        <v>840.17</v>
      </c>
      <c r="U2249">
        <v>0.75</v>
      </c>
      <c r="V2249">
        <v>0.76</v>
      </c>
      <c r="W2249">
        <v>1.1399999999999999</v>
      </c>
      <c r="X2249">
        <v>0.05</v>
      </c>
      <c r="Y2249">
        <v>1</v>
      </c>
      <c r="Z2249">
        <v>10</v>
      </c>
    </row>
    <row r="2250" spans="1:26" x14ac:dyDescent="0.3">
      <c r="A2250">
        <v>94</v>
      </c>
      <c r="B2250">
        <v>95</v>
      </c>
      <c r="C2250" t="s">
        <v>26</v>
      </c>
      <c r="D2250">
        <v>10.6869</v>
      </c>
      <c r="E2250">
        <v>9.36</v>
      </c>
      <c r="F2250">
        <v>6.74</v>
      </c>
      <c r="G2250">
        <v>101.1</v>
      </c>
      <c r="H2250">
        <v>1.95</v>
      </c>
      <c r="I2250">
        <v>4</v>
      </c>
      <c r="J2250">
        <v>222.92</v>
      </c>
      <c r="K2250">
        <v>53.44</v>
      </c>
      <c r="L2250">
        <v>24.5</v>
      </c>
      <c r="M2250">
        <v>0</v>
      </c>
      <c r="N2250">
        <v>49.98</v>
      </c>
      <c r="O2250">
        <v>27727.05</v>
      </c>
      <c r="P2250">
        <v>75.42</v>
      </c>
      <c r="Q2250">
        <v>204.14</v>
      </c>
      <c r="R2250">
        <v>23.25</v>
      </c>
      <c r="S2250">
        <v>17.37</v>
      </c>
      <c r="T2250">
        <v>846.62</v>
      </c>
      <c r="U2250">
        <v>0.75</v>
      </c>
      <c r="V2250">
        <v>0.76</v>
      </c>
      <c r="W2250">
        <v>1.1399999999999999</v>
      </c>
      <c r="X2250">
        <v>0.05</v>
      </c>
      <c r="Y2250">
        <v>1</v>
      </c>
      <c r="Z2250">
        <v>10</v>
      </c>
    </row>
    <row r="2251" spans="1:26" x14ac:dyDescent="0.3">
      <c r="A2251">
        <v>0</v>
      </c>
      <c r="B2251">
        <v>55</v>
      </c>
      <c r="C2251" t="s">
        <v>26</v>
      </c>
      <c r="D2251">
        <v>8.8626000000000005</v>
      </c>
      <c r="E2251">
        <v>11.28</v>
      </c>
      <c r="F2251">
        <v>7.84</v>
      </c>
      <c r="G2251">
        <v>8.25</v>
      </c>
      <c r="H2251">
        <v>0.15</v>
      </c>
      <c r="I2251">
        <v>57</v>
      </c>
      <c r="J2251">
        <v>116.05</v>
      </c>
      <c r="K2251">
        <v>43.4</v>
      </c>
      <c r="L2251">
        <v>1</v>
      </c>
      <c r="M2251">
        <v>55</v>
      </c>
      <c r="N2251">
        <v>16.649999999999999</v>
      </c>
      <c r="O2251">
        <v>14546.17</v>
      </c>
      <c r="P2251">
        <v>77.78</v>
      </c>
      <c r="Q2251">
        <v>204.19</v>
      </c>
      <c r="R2251">
        <v>57.49</v>
      </c>
      <c r="S2251">
        <v>17.37</v>
      </c>
      <c r="T2251">
        <v>17701.330000000002</v>
      </c>
      <c r="U2251">
        <v>0.3</v>
      </c>
      <c r="V2251">
        <v>0.65</v>
      </c>
      <c r="W2251">
        <v>1.23</v>
      </c>
      <c r="X2251">
        <v>1.1399999999999999</v>
      </c>
      <c r="Y2251">
        <v>1</v>
      </c>
      <c r="Z2251">
        <v>10</v>
      </c>
    </row>
    <row r="2252" spans="1:26" x14ac:dyDescent="0.3">
      <c r="A2252">
        <v>1</v>
      </c>
      <c r="B2252">
        <v>55</v>
      </c>
      <c r="C2252" t="s">
        <v>26</v>
      </c>
      <c r="D2252">
        <v>9.3390000000000004</v>
      </c>
      <c r="E2252">
        <v>10.71</v>
      </c>
      <c r="F2252">
        <v>7.57</v>
      </c>
      <c r="G2252">
        <v>10.33</v>
      </c>
      <c r="H2252">
        <v>0.19</v>
      </c>
      <c r="I2252">
        <v>44</v>
      </c>
      <c r="J2252">
        <v>116.37</v>
      </c>
      <c r="K2252">
        <v>43.4</v>
      </c>
      <c r="L2252">
        <v>1.25</v>
      </c>
      <c r="M2252">
        <v>42</v>
      </c>
      <c r="N2252">
        <v>16.72</v>
      </c>
      <c r="O2252">
        <v>14585.96</v>
      </c>
      <c r="P2252">
        <v>74.819999999999993</v>
      </c>
      <c r="Q2252">
        <v>204.18</v>
      </c>
      <c r="R2252">
        <v>49.19</v>
      </c>
      <c r="S2252">
        <v>17.37</v>
      </c>
      <c r="T2252">
        <v>13617.93</v>
      </c>
      <c r="U2252">
        <v>0.35</v>
      </c>
      <c r="V2252">
        <v>0.67</v>
      </c>
      <c r="W2252">
        <v>1.21</v>
      </c>
      <c r="X2252">
        <v>0.88</v>
      </c>
      <c r="Y2252">
        <v>1</v>
      </c>
      <c r="Z2252">
        <v>10</v>
      </c>
    </row>
    <row r="2253" spans="1:26" x14ac:dyDescent="0.3">
      <c r="A2253">
        <v>2</v>
      </c>
      <c r="B2253">
        <v>55</v>
      </c>
      <c r="C2253" t="s">
        <v>26</v>
      </c>
      <c r="D2253">
        <v>9.6704000000000008</v>
      </c>
      <c r="E2253">
        <v>10.34</v>
      </c>
      <c r="F2253">
        <v>7.4</v>
      </c>
      <c r="G2253">
        <v>12.33</v>
      </c>
      <c r="H2253">
        <v>0.23</v>
      </c>
      <c r="I2253">
        <v>36</v>
      </c>
      <c r="J2253">
        <v>116.69</v>
      </c>
      <c r="K2253">
        <v>43.4</v>
      </c>
      <c r="L2253">
        <v>1.5</v>
      </c>
      <c r="M2253">
        <v>34</v>
      </c>
      <c r="N2253">
        <v>16.79</v>
      </c>
      <c r="O2253">
        <v>14625.77</v>
      </c>
      <c r="P2253">
        <v>72.8</v>
      </c>
      <c r="Q2253">
        <v>204.18</v>
      </c>
      <c r="R2253">
        <v>43.65</v>
      </c>
      <c r="S2253">
        <v>17.37</v>
      </c>
      <c r="T2253">
        <v>10887.51</v>
      </c>
      <c r="U2253">
        <v>0.4</v>
      </c>
      <c r="V2253">
        <v>0.69</v>
      </c>
      <c r="W2253">
        <v>1.2</v>
      </c>
      <c r="X2253">
        <v>0.7</v>
      </c>
      <c r="Y2253">
        <v>1</v>
      </c>
      <c r="Z2253">
        <v>10</v>
      </c>
    </row>
    <row r="2254" spans="1:26" x14ac:dyDescent="0.3">
      <c r="A2254">
        <v>3</v>
      </c>
      <c r="B2254">
        <v>55</v>
      </c>
      <c r="C2254" t="s">
        <v>26</v>
      </c>
      <c r="D2254">
        <v>9.8787000000000003</v>
      </c>
      <c r="E2254">
        <v>10.119999999999999</v>
      </c>
      <c r="F2254">
        <v>7.3</v>
      </c>
      <c r="G2254">
        <v>14.13</v>
      </c>
      <c r="H2254">
        <v>0.26</v>
      </c>
      <c r="I2254">
        <v>31</v>
      </c>
      <c r="J2254">
        <v>117.01</v>
      </c>
      <c r="K2254">
        <v>43.4</v>
      </c>
      <c r="L2254">
        <v>1.75</v>
      </c>
      <c r="M2254">
        <v>29</v>
      </c>
      <c r="N2254">
        <v>16.86</v>
      </c>
      <c r="O2254">
        <v>14665.62</v>
      </c>
      <c r="P2254">
        <v>71.48</v>
      </c>
      <c r="Q2254">
        <v>204.16</v>
      </c>
      <c r="R2254">
        <v>40.520000000000003</v>
      </c>
      <c r="S2254">
        <v>17.37</v>
      </c>
      <c r="T2254">
        <v>9346.4</v>
      </c>
      <c r="U2254">
        <v>0.43</v>
      </c>
      <c r="V2254">
        <v>0.7</v>
      </c>
      <c r="W2254">
        <v>1.19</v>
      </c>
      <c r="X2254">
        <v>0.61</v>
      </c>
      <c r="Y2254">
        <v>1</v>
      </c>
      <c r="Z2254">
        <v>10</v>
      </c>
    </row>
    <row r="2255" spans="1:26" x14ac:dyDescent="0.3">
      <c r="A2255">
        <v>4</v>
      </c>
      <c r="B2255">
        <v>55</v>
      </c>
      <c r="C2255" t="s">
        <v>26</v>
      </c>
      <c r="D2255">
        <v>10.0533</v>
      </c>
      <c r="E2255">
        <v>9.9499999999999993</v>
      </c>
      <c r="F2255">
        <v>7.22</v>
      </c>
      <c r="G2255">
        <v>16.04</v>
      </c>
      <c r="H2255">
        <v>0.3</v>
      </c>
      <c r="I2255">
        <v>27</v>
      </c>
      <c r="J2255">
        <v>117.34</v>
      </c>
      <c r="K2255">
        <v>43.4</v>
      </c>
      <c r="L2255">
        <v>2</v>
      </c>
      <c r="M2255">
        <v>25</v>
      </c>
      <c r="N2255">
        <v>16.940000000000001</v>
      </c>
      <c r="O2255">
        <v>14705.49</v>
      </c>
      <c r="P2255">
        <v>70.44</v>
      </c>
      <c r="Q2255">
        <v>204.17</v>
      </c>
      <c r="R2255">
        <v>38.090000000000003</v>
      </c>
      <c r="S2255">
        <v>17.37</v>
      </c>
      <c r="T2255">
        <v>8150.21</v>
      </c>
      <c r="U2255">
        <v>0.46</v>
      </c>
      <c r="V2255">
        <v>0.71</v>
      </c>
      <c r="W2255">
        <v>1.18</v>
      </c>
      <c r="X2255">
        <v>0.53</v>
      </c>
      <c r="Y2255">
        <v>1</v>
      </c>
      <c r="Z2255">
        <v>10</v>
      </c>
    </row>
    <row r="2256" spans="1:26" x14ac:dyDescent="0.3">
      <c r="A2256">
        <v>5</v>
      </c>
      <c r="B2256">
        <v>55</v>
      </c>
      <c r="C2256" t="s">
        <v>26</v>
      </c>
      <c r="D2256">
        <v>10.238899999999999</v>
      </c>
      <c r="E2256">
        <v>9.77</v>
      </c>
      <c r="F2256">
        <v>7.13</v>
      </c>
      <c r="G2256">
        <v>18.61</v>
      </c>
      <c r="H2256">
        <v>0.34</v>
      </c>
      <c r="I2256">
        <v>23</v>
      </c>
      <c r="J2256">
        <v>117.66</v>
      </c>
      <c r="K2256">
        <v>43.4</v>
      </c>
      <c r="L2256">
        <v>2.25</v>
      </c>
      <c r="M2256">
        <v>21</v>
      </c>
      <c r="N2256">
        <v>17.010000000000002</v>
      </c>
      <c r="O2256">
        <v>14745.39</v>
      </c>
      <c r="P2256">
        <v>69.19</v>
      </c>
      <c r="Q2256">
        <v>204.23</v>
      </c>
      <c r="R2256">
        <v>35.67</v>
      </c>
      <c r="S2256">
        <v>17.37</v>
      </c>
      <c r="T2256">
        <v>6961.87</v>
      </c>
      <c r="U2256">
        <v>0.49</v>
      </c>
      <c r="V2256">
        <v>0.72</v>
      </c>
      <c r="W2256">
        <v>1.17</v>
      </c>
      <c r="X2256">
        <v>0.44</v>
      </c>
      <c r="Y2256">
        <v>1</v>
      </c>
      <c r="Z2256">
        <v>10</v>
      </c>
    </row>
    <row r="2257" spans="1:26" x14ac:dyDescent="0.3">
      <c r="A2257">
        <v>6</v>
      </c>
      <c r="B2257">
        <v>55</v>
      </c>
      <c r="C2257" t="s">
        <v>26</v>
      </c>
      <c r="D2257">
        <v>10.339499999999999</v>
      </c>
      <c r="E2257">
        <v>9.67</v>
      </c>
      <c r="F2257">
        <v>7.09</v>
      </c>
      <c r="G2257">
        <v>20.25</v>
      </c>
      <c r="H2257">
        <v>0.37</v>
      </c>
      <c r="I2257">
        <v>21</v>
      </c>
      <c r="J2257">
        <v>117.98</v>
      </c>
      <c r="K2257">
        <v>43.4</v>
      </c>
      <c r="L2257">
        <v>2.5</v>
      </c>
      <c r="M2257">
        <v>19</v>
      </c>
      <c r="N2257">
        <v>17.079999999999998</v>
      </c>
      <c r="O2257">
        <v>14785.31</v>
      </c>
      <c r="P2257">
        <v>68.48</v>
      </c>
      <c r="Q2257">
        <v>204.22</v>
      </c>
      <c r="R2257">
        <v>34.21</v>
      </c>
      <c r="S2257">
        <v>17.37</v>
      </c>
      <c r="T2257">
        <v>6243.98</v>
      </c>
      <c r="U2257">
        <v>0.51</v>
      </c>
      <c r="V2257">
        <v>0.72</v>
      </c>
      <c r="W2257">
        <v>1.17</v>
      </c>
      <c r="X2257">
        <v>0.39</v>
      </c>
      <c r="Y2257">
        <v>1</v>
      </c>
      <c r="Z2257">
        <v>10</v>
      </c>
    </row>
    <row r="2258" spans="1:26" x14ac:dyDescent="0.3">
      <c r="A2258">
        <v>7</v>
      </c>
      <c r="B2258">
        <v>55</v>
      </c>
      <c r="C2258" t="s">
        <v>26</v>
      </c>
      <c r="D2258">
        <v>10.436</v>
      </c>
      <c r="E2258">
        <v>9.58</v>
      </c>
      <c r="F2258">
        <v>7.04</v>
      </c>
      <c r="G2258">
        <v>22.24</v>
      </c>
      <c r="H2258">
        <v>0.41</v>
      </c>
      <c r="I2258">
        <v>19</v>
      </c>
      <c r="J2258">
        <v>118.31</v>
      </c>
      <c r="K2258">
        <v>43.4</v>
      </c>
      <c r="L2258">
        <v>2.75</v>
      </c>
      <c r="M2258">
        <v>17</v>
      </c>
      <c r="N2258">
        <v>17.16</v>
      </c>
      <c r="O2258">
        <v>14825.26</v>
      </c>
      <c r="P2258">
        <v>67.77</v>
      </c>
      <c r="Q2258">
        <v>204.15</v>
      </c>
      <c r="R2258">
        <v>32.93</v>
      </c>
      <c r="S2258">
        <v>17.37</v>
      </c>
      <c r="T2258">
        <v>5611.42</v>
      </c>
      <c r="U2258">
        <v>0.53</v>
      </c>
      <c r="V2258">
        <v>0.72</v>
      </c>
      <c r="W2258">
        <v>1.1599999999999999</v>
      </c>
      <c r="X2258">
        <v>0.35</v>
      </c>
      <c r="Y2258">
        <v>1</v>
      </c>
      <c r="Z2258">
        <v>10</v>
      </c>
    </row>
    <row r="2259" spans="1:26" x14ac:dyDescent="0.3">
      <c r="A2259">
        <v>8</v>
      </c>
      <c r="B2259">
        <v>55</v>
      </c>
      <c r="C2259" t="s">
        <v>26</v>
      </c>
      <c r="D2259">
        <v>10.5282</v>
      </c>
      <c r="E2259">
        <v>9.5</v>
      </c>
      <c r="F2259">
        <v>7.01</v>
      </c>
      <c r="G2259">
        <v>24.73</v>
      </c>
      <c r="H2259">
        <v>0.45</v>
      </c>
      <c r="I2259">
        <v>17</v>
      </c>
      <c r="J2259">
        <v>118.63</v>
      </c>
      <c r="K2259">
        <v>43.4</v>
      </c>
      <c r="L2259">
        <v>3</v>
      </c>
      <c r="M2259">
        <v>15</v>
      </c>
      <c r="N2259">
        <v>17.23</v>
      </c>
      <c r="O2259">
        <v>14865.24</v>
      </c>
      <c r="P2259">
        <v>66.849999999999994</v>
      </c>
      <c r="Q2259">
        <v>204.15</v>
      </c>
      <c r="R2259">
        <v>31.47</v>
      </c>
      <c r="S2259">
        <v>17.37</v>
      </c>
      <c r="T2259">
        <v>4894.42</v>
      </c>
      <c r="U2259">
        <v>0.55000000000000004</v>
      </c>
      <c r="V2259">
        <v>0.73</v>
      </c>
      <c r="W2259">
        <v>1.17</v>
      </c>
      <c r="X2259">
        <v>0.32</v>
      </c>
      <c r="Y2259">
        <v>1</v>
      </c>
      <c r="Z2259">
        <v>10</v>
      </c>
    </row>
    <row r="2260" spans="1:26" x14ac:dyDescent="0.3">
      <c r="A2260">
        <v>9</v>
      </c>
      <c r="B2260">
        <v>55</v>
      </c>
      <c r="C2260" t="s">
        <v>26</v>
      </c>
      <c r="D2260">
        <v>10.5783</v>
      </c>
      <c r="E2260">
        <v>9.4499999999999993</v>
      </c>
      <c r="F2260">
        <v>6.99</v>
      </c>
      <c r="G2260">
        <v>26.2</v>
      </c>
      <c r="H2260">
        <v>0.48</v>
      </c>
      <c r="I2260">
        <v>16</v>
      </c>
      <c r="J2260">
        <v>118.96</v>
      </c>
      <c r="K2260">
        <v>43.4</v>
      </c>
      <c r="L2260">
        <v>3.25</v>
      </c>
      <c r="M2260">
        <v>14</v>
      </c>
      <c r="N2260">
        <v>17.309999999999999</v>
      </c>
      <c r="O2260">
        <v>14905.25</v>
      </c>
      <c r="P2260">
        <v>66.540000000000006</v>
      </c>
      <c r="Q2260">
        <v>204.15</v>
      </c>
      <c r="R2260">
        <v>31.23</v>
      </c>
      <c r="S2260">
        <v>17.37</v>
      </c>
      <c r="T2260">
        <v>4775.7</v>
      </c>
      <c r="U2260">
        <v>0.56000000000000005</v>
      </c>
      <c r="V2260">
        <v>0.73</v>
      </c>
      <c r="W2260">
        <v>1.1599999999999999</v>
      </c>
      <c r="X2260">
        <v>0.3</v>
      </c>
      <c r="Y2260">
        <v>1</v>
      </c>
      <c r="Z2260">
        <v>10</v>
      </c>
    </row>
    <row r="2261" spans="1:26" x14ac:dyDescent="0.3">
      <c r="A2261">
        <v>10</v>
      </c>
      <c r="B2261">
        <v>55</v>
      </c>
      <c r="C2261" t="s">
        <v>26</v>
      </c>
      <c r="D2261">
        <v>10.6333</v>
      </c>
      <c r="E2261">
        <v>9.4</v>
      </c>
      <c r="F2261">
        <v>6.96</v>
      </c>
      <c r="G2261">
        <v>27.85</v>
      </c>
      <c r="H2261">
        <v>0.52</v>
      </c>
      <c r="I2261">
        <v>15</v>
      </c>
      <c r="J2261">
        <v>119.28</v>
      </c>
      <c r="K2261">
        <v>43.4</v>
      </c>
      <c r="L2261">
        <v>3.5</v>
      </c>
      <c r="M2261">
        <v>13</v>
      </c>
      <c r="N2261">
        <v>17.38</v>
      </c>
      <c r="O2261">
        <v>14945.29</v>
      </c>
      <c r="P2261">
        <v>66.040000000000006</v>
      </c>
      <c r="Q2261">
        <v>204.14</v>
      </c>
      <c r="R2261">
        <v>30.18</v>
      </c>
      <c r="S2261">
        <v>17.37</v>
      </c>
      <c r="T2261">
        <v>4256.71</v>
      </c>
      <c r="U2261">
        <v>0.57999999999999996</v>
      </c>
      <c r="V2261">
        <v>0.73</v>
      </c>
      <c r="W2261">
        <v>1.1599999999999999</v>
      </c>
      <c r="X2261">
        <v>0.27</v>
      </c>
      <c r="Y2261">
        <v>1</v>
      </c>
      <c r="Z2261">
        <v>10</v>
      </c>
    </row>
    <row r="2262" spans="1:26" x14ac:dyDescent="0.3">
      <c r="A2262">
        <v>11</v>
      </c>
      <c r="B2262">
        <v>55</v>
      </c>
      <c r="C2262" t="s">
        <v>26</v>
      </c>
      <c r="D2262">
        <v>10.6752</v>
      </c>
      <c r="E2262">
        <v>9.3699999999999992</v>
      </c>
      <c r="F2262">
        <v>6.95</v>
      </c>
      <c r="G2262">
        <v>29.78</v>
      </c>
      <c r="H2262">
        <v>0.55000000000000004</v>
      </c>
      <c r="I2262">
        <v>14</v>
      </c>
      <c r="J2262">
        <v>119.61</v>
      </c>
      <c r="K2262">
        <v>43.4</v>
      </c>
      <c r="L2262">
        <v>3.75</v>
      </c>
      <c r="M2262">
        <v>12</v>
      </c>
      <c r="N2262">
        <v>17.46</v>
      </c>
      <c r="O2262">
        <v>14985.35</v>
      </c>
      <c r="P2262">
        <v>65.75</v>
      </c>
      <c r="Q2262">
        <v>204.16</v>
      </c>
      <c r="R2262">
        <v>29.79</v>
      </c>
      <c r="S2262">
        <v>17.37</v>
      </c>
      <c r="T2262">
        <v>4069.59</v>
      </c>
      <c r="U2262">
        <v>0.57999999999999996</v>
      </c>
      <c r="V2262">
        <v>0.73</v>
      </c>
      <c r="W2262">
        <v>1.1599999999999999</v>
      </c>
      <c r="X2262">
        <v>0.26</v>
      </c>
      <c r="Y2262">
        <v>1</v>
      </c>
      <c r="Z2262">
        <v>10</v>
      </c>
    </row>
    <row r="2263" spans="1:26" x14ac:dyDescent="0.3">
      <c r="A2263">
        <v>12</v>
      </c>
      <c r="B2263">
        <v>55</v>
      </c>
      <c r="C2263" t="s">
        <v>26</v>
      </c>
      <c r="D2263">
        <v>10.7188</v>
      </c>
      <c r="E2263">
        <v>9.33</v>
      </c>
      <c r="F2263">
        <v>6.93</v>
      </c>
      <c r="G2263">
        <v>32.01</v>
      </c>
      <c r="H2263">
        <v>0.59</v>
      </c>
      <c r="I2263">
        <v>13</v>
      </c>
      <c r="J2263">
        <v>119.93</v>
      </c>
      <c r="K2263">
        <v>43.4</v>
      </c>
      <c r="L2263">
        <v>4</v>
      </c>
      <c r="M2263">
        <v>11</v>
      </c>
      <c r="N2263">
        <v>17.53</v>
      </c>
      <c r="O2263">
        <v>15025.44</v>
      </c>
      <c r="P2263">
        <v>65.17</v>
      </c>
      <c r="Q2263">
        <v>204.15</v>
      </c>
      <c r="R2263">
        <v>29.37</v>
      </c>
      <c r="S2263">
        <v>17.37</v>
      </c>
      <c r="T2263">
        <v>3864.75</v>
      </c>
      <c r="U2263">
        <v>0.59</v>
      </c>
      <c r="V2263">
        <v>0.74</v>
      </c>
      <c r="W2263">
        <v>1.1599999999999999</v>
      </c>
      <c r="X2263">
        <v>0.24</v>
      </c>
      <c r="Y2263">
        <v>1</v>
      </c>
      <c r="Z2263">
        <v>10</v>
      </c>
    </row>
    <row r="2264" spans="1:26" x14ac:dyDescent="0.3">
      <c r="A2264">
        <v>13</v>
      </c>
      <c r="B2264">
        <v>55</v>
      </c>
      <c r="C2264" t="s">
        <v>26</v>
      </c>
      <c r="D2264">
        <v>10.7713</v>
      </c>
      <c r="E2264">
        <v>9.2799999999999994</v>
      </c>
      <c r="F2264">
        <v>6.91</v>
      </c>
      <c r="G2264">
        <v>34.57</v>
      </c>
      <c r="H2264">
        <v>0.62</v>
      </c>
      <c r="I2264">
        <v>12</v>
      </c>
      <c r="J2264">
        <v>120.26</v>
      </c>
      <c r="K2264">
        <v>43.4</v>
      </c>
      <c r="L2264">
        <v>4.25</v>
      </c>
      <c r="M2264">
        <v>10</v>
      </c>
      <c r="N2264">
        <v>17.61</v>
      </c>
      <c r="O2264">
        <v>15065.56</v>
      </c>
      <c r="P2264">
        <v>64.67</v>
      </c>
      <c r="Q2264">
        <v>204.14</v>
      </c>
      <c r="R2264">
        <v>28.82</v>
      </c>
      <c r="S2264">
        <v>17.37</v>
      </c>
      <c r="T2264">
        <v>3594.31</v>
      </c>
      <c r="U2264">
        <v>0.6</v>
      </c>
      <c r="V2264">
        <v>0.74</v>
      </c>
      <c r="W2264">
        <v>1.1499999999999999</v>
      </c>
      <c r="X2264">
        <v>0.22</v>
      </c>
      <c r="Y2264">
        <v>1</v>
      </c>
      <c r="Z2264">
        <v>10</v>
      </c>
    </row>
    <row r="2265" spans="1:26" x14ac:dyDescent="0.3">
      <c r="A2265">
        <v>14</v>
      </c>
      <c r="B2265">
        <v>55</v>
      </c>
      <c r="C2265" t="s">
        <v>26</v>
      </c>
      <c r="D2265">
        <v>10.772</v>
      </c>
      <c r="E2265">
        <v>9.2799999999999994</v>
      </c>
      <c r="F2265">
        <v>6.91</v>
      </c>
      <c r="G2265">
        <v>34.56</v>
      </c>
      <c r="H2265">
        <v>0.66</v>
      </c>
      <c r="I2265">
        <v>12</v>
      </c>
      <c r="J2265">
        <v>120.58</v>
      </c>
      <c r="K2265">
        <v>43.4</v>
      </c>
      <c r="L2265">
        <v>4.5</v>
      </c>
      <c r="M2265">
        <v>10</v>
      </c>
      <c r="N2265">
        <v>17.68</v>
      </c>
      <c r="O2265">
        <v>15105.7</v>
      </c>
      <c r="P2265">
        <v>64.239999999999995</v>
      </c>
      <c r="Q2265">
        <v>204.14</v>
      </c>
      <c r="R2265">
        <v>28.72</v>
      </c>
      <c r="S2265">
        <v>17.37</v>
      </c>
      <c r="T2265">
        <v>3541.66</v>
      </c>
      <c r="U2265">
        <v>0.6</v>
      </c>
      <c r="V2265">
        <v>0.74</v>
      </c>
      <c r="W2265">
        <v>1.1599999999999999</v>
      </c>
      <c r="X2265">
        <v>0.22</v>
      </c>
      <c r="Y2265">
        <v>1</v>
      </c>
      <c r="Z2265">
        <v>10</v>
      </c>
    </row>
    <row r="2266" spans="1:26" x14ac:dyDescent="0.3">
      <c r="A2266">
        <v>15</v>
      </c>
      <c r="B2266">
        <v>55</v>
      </c>
      <c r="C2266" t="s">
        <v>26</v>
      </c>
      <c r="D2266">
        <v>10.832000000000001</v>
      </c>
      <c r="E2266">
        <v>9.23</v>
      </c>
      <c r="F2266">
        <v>6.88</v>
      </c>
      <c r="G2266">
        <v>37.549999999999997</v>
      </c>
      <c r="H2266">
        <v>0.69</v>
      </c>
      <c r="I2266">
        <v>11</v>
      </c>
      <c r="J2266">
        <v>120.91</v>
      </c>
      <c r="K2266">
        <v>43.4</v>
      </c>
      <c r="L2266">
        <v>4.75</v>
      </c>
      <c r="M2266">
        <v>9</v>
      </c>
      <c r="N2266">
        <v>17.760000000000002</v>
      </c>
      <c r="O2266">
        <v>15145.88</v>
      </c>
      <c r="P2266">
        <v>63.72</v>
      </c>
      <c r="Q2266">
        <v>204.17</v>
      </c>
      <c r="R2266">
        <v>27.64</v>
      </c>
      <c r="S2266">
        <v>17.37</v>
      </c>
      <c r="T2266">
        <v>3004.95</v>
      </c>
      <c r="U2266">
        <v>0.63</v>
      </c>
      <c r="V2266">
        <v>0.74</v>
      </c>
      <c r="W2266">
        <v>1.1599999999999999</v>
      </c>
      <c r="X2266">
        <v>0.19</v>
      </c>
      <c r="Y2266">
        <v>1</v>
      </c>
      <c r="Z2266">
        <v>10</v>
      </c>
    </row>
    <row r="2267" spans="1:26" x14ac:dyDescent="0.3">
      <c r="A2267">
        <v>16</v>
      </c>
      <c r="B2267">
        <v>55</v>
      </c>
      <c r="C2267" t="s">
        <v>26</v>
      </c>
      <c r="D2267">
        <v>10.8903</v>
      </c>
      <c r="E2267">
        <v>9.18</v>
      </c>
      <c r="F2267">
        <v>6.86</v>
      </c>
      <c r="G2267">
        <v>41.16</v>
      </c>
      <c r="H2267">
        <v>0.73</v>
      </c>
      <c r="I2267">
        <v>10</v>
      </c>
      <c r="J2267">
        <v>121.23</v>
      </c>
      <c r="K2267">
        <v>43.4</v>
      </c>
      <c r="L2267">
        <v>5</v>
      </c>
      <c r="M2267">
        <v>8</v>
      </c>
      <c r="N2267">
        <v>17.829999999999998</v>
      </c>
      <c r="O2267">
        <v>15186.08</v>
      </c>
      <c r="P2267">
        <v>62.81</v>
      </c>
      <c r="Q2267">
        <v>204.14</v>
      </c>
      <c r="R2267">
        <v>27.17</v>
      </c>
      <c r="S2267">
        <v>17.37</v>
      </c>
      <c r="T2267">
        <v>2775.04</v>
      </c>
      <c r="U2267">
        <v>0.64</v>
      </c>
      <c r="V2267">
        <v>0.74</v>
      </c>
      <c r="W2267">
        <v>1.1499999999999999</v>
      </c>
      <c r="X2267">
        <v>0.17</v>
      </c>
      <c r="Y2267">
        <v>1</v>
      </c>
      <c r="Z2267">
        <v>10</v>
      </c>
    </row>
    <row r="2268" spans="1:26" x14ac:dyDescent="0.3">
      <c r="A2268">
        <v>17</v>
      </c>
      <c r="B2268">
        <v>55</v>
      </c>
      <c r="C2268" t="s">
        <v>26</v>
      </c>
      <c r="D2268">
        <v>10.8834</v>
      </c>
      <c r="E2268">
        <v>9.19</v>
      </c>
      <c r="F2268">
        <v>6.87</v>
      </c>
      <c r="G2268">
        <v>41.19</v>
      </c>
      <c r="H2268">
        <v>0.76</v>
      </c>
      <c r="I2268">
        <v>10</v>
      </c>
      <c r="J2268">
        <v>121.56</v>
      </c>
      <c r="K2268">
        <v>43.4</v>
      </c>
      <c r="L2268">
        <v>5.25</v>
      </c>
      <c r="M2268">
        <v>8</v>
      </c>
      <c r="N2268">
        <v>17.91</v>
      </c>
      <c r="O2268">
        <v>15226.31</v>
      </c>
      <c r="P2268">
        <v>62.74</v>
      </c>
      <c r="Q2268">
        <v>204.14</v>
      </c>
      <c r="R2268">
        <v>27.24</v>
      </c>
      <c r="S2268">
        <v>17.37</v>
      </c>
      <c r="T2268">
        <v>2813.75</v>
      </c>
      <c r="U2268">
        <v>0.64</v>
      </c>
      <c r="V2268">
        <v>0.74</v>
      </c>
      <c r="W2268">
        <v>1.1499999999999999</v>
      </c>
      <c r="X2268">
        <v>0.17</v>
      </c>
      <c r="Y2268">
        <v>1</v>
      </c>
      <c r="Z2268">
        <v>10</v>
      </c>
    </row>
    <row r="2269" spans="1:26" x14ac:dyDescent="0.3">
      <c r="A2269">
        <v>18</v>
      </c>
      <c r="B2269">
        <v>55</v>
      </c>
      <c r="C2269" t="s">
        <v>26</v>
      </c>
      <c r="D2269">
        <v>10.8751</v>
      </c>
      <c r="E2269">
        <v>9.1999999999999993</v>
      </c>
      <c r="F2269">
        <v>6.87</v>
      </c>
      <c r="G2269">
        <v>41.23</v>
      </c>
      <c r="H2269">
        <v>0.8</v>
      </c>
      <c r="I2269">
        <v>10</v>
      </c>
      <c r="J2269">
        <v>121.89</v>
      </c>
      <c r="K2269">
        <v>43.4</v>
      </c>
      <c r="L2269">
        <v>5.5</v>
      </c>
      <c r="M2269">
        <v>8</v>
      </c>
      <c r="N2269">
        <v>17.989999999999998</v>
      </c>
      <c r="O2269">
        <v>15266.56</v>
      </c>
      <c r="P2269">
        <v>62.42</v>
      </c>
      <c r="Q2269">
        <v>204.15</v>
      </c>
      <c r="R2269">
        <v>27.32</v>
      </c>
      <c r="S2269">
        <v>17.37</v>
      </c>
      <c r="T2269">
        <v>2852.14</v>
      </c>
      <c r="U2269">
        <v>0.64</v>
      </c>
      <c r="V2269">
        <v>0.74</v>
      </c>
      <c r="W2269">
        <v>1.1599999999999999</v>
      </c>
      <c r="X2269">
        <v>0.18</v>
      </c>
      <c r="Y2269">
        <v>1</v>
      </c>
      <c r="Z2269">
        <v>10</v>
      </c>
    </row>
    <row r="2270" spans="1:26" x14ac:dyDescent="0.3">
      <c r="A2270">
        <v>19</v>
      </c>
      <c r="B2270">
        <v>55</v>
      </c>
      <c r="C2270" t="s">
        <v>26</v>
      </c>
      <c r="D2270">
        <v>10.916</v>
      </c>
      <c r="E2270">
        <v>9.16</v>
      </c>
      <c r="F2270">
        <v>6.86</v>
      </c>
      <c r="G2270">
        <v>45.74</v>
      </c>
      <c r="H2270">
        <v>0.83</v>
      </c>
      <c r="I2270">
        <v>9</v>
      </c>
      <c r="J2270">
        <v>122.21</v>
      </c>
      <c r="K2270">
        <v>43.4</v>
      </c>
      <c r="L2270">
        <v>5.75</v>
      </c>
      <c r="M2270">
        <v>7</v>
      </c>
      <c r="N2270">
        <v>18.059999999999999</v>
      </c>
      <c r="O2270">
        <v>15306.85</v>
      </c>
      <c r="P2270">
        <v>62.39</v>
      </c>
      <c r="Q2270">
        <v>204.14</v>
      </c>
      <c r="R2270">
        <v>27.13</v>
      </c>
      <c r="S2270">
        <v>17.37</v>
      </c>
      <c r="T2270">
        <v>2761.53</v>
      </c>
      <c r="U2270">
        <v>0.64</v>
      </c>
      <c r="V2270">
        <v>0.74</v>
      </c>
      <c r="W2270">
        <v>1.1499999999999999</v>
      </c>
      <c r="X2270">
        <v>0.17</v>
      </c>
      <c r="Y2270">
        <v>1</v>
      </c>
      <c r="Z2270">
        <v>10</v>
      </c>
    </row>
    <row r="2271" spans="1:26" x14ac:dyDescent="0.3">
      <c r="A2271">
        <v>20</v>
      </c>
      <c r="B2271">
        <v>55</v>
      </c>
      <c r="C2271" t="s">
        <v>26</v>
      </c>
      <c r="D2271">
        <v>10.924300000000001</v>
      </c>
      <c r="E2271">
        <v>9.15</v>
      </c>
      <c r="F2271">
        <v>6.85</v>
      </c>
      <c r="G2271">
        <v>45.7</v>
      </c>
      <c r="H2271">
        <v>0.86</v>
      </c>
      <c r="I2271">
        <v>9</v>
      </c>
      <c r="J2271">
        <v>122.54</v>
      </c>
      <c r="K2271">
        <v>43.4</v>
      </c>
      <c r="L2271">
        <v>6</v>
      </c>
      <c r="M2271">
        <v>7</v>
      </c>
      <c r="N2271">
        <v>18.14</v>
      </c>
      <c r="O2271">
        <v>15347.16</v>
      </c>
      <c r="P2271">
        <v>61.89</v>
      </c>
      <c r="Q2271">
        <v>204.14</v>
      </c>
      <c r="R2271">
        <v>27.02</v>
      </c>
      <c r="S2271">
        <v>17.37</v>
      </c>
      <c r="T2271">
        <v>2706.48</v>
      </c>
      <c r="U2271">
        <v>0.64</v>
      </c>
      <c r="V2271">
        <v>0.74</v>
      </c>
      <c r="W2271">
        <v>1.1499999999999999</v>
      </c>
      <c r="X2271">
        <v>0.16</v>
      </c>
      <c r="Y2271">
        <v>1</v>
      </c>
      <c r="Z2271">
        <v>10</v>
      </c>
    </row>
    <row r="2272" spans="1:26" x14ac:dyDescent="0.3">
      <c r="A2272">
        <v>21</v>
      </c>
      <c r="B2272">
        <v>55</v>
      </c>
      <c r="C2272" t="s">
        <v>26</v>
      </c>
      <c r="D2272">
        <v>10.9756</v>
      </c>
      <c r="E2272">
        <v>9.11</v>
      </c>
      <c r="F2272">
        <v>6.84</v>
      </c>
      <c r="G2272">
        <v>51.27</v>
      </c>
      <c r="H2272">
        <v>0.9</v>
      </c>
      <c r="I2272">
        <v>8</v>
      </c>
      <c r="J2272">
        <v>122.87</v>
      </c>
      <c r="K2272">
        <v>43.4</v>
      </c>
      <c r="L2272">
        <v>6.25</v>
      </c>
      <c r="M2272">
        <v>6</v>
      </c>
      <c r="N2272">
        <v>18.22</v>
      </c>
      <c r="O2272">
        <v>15387.5</v>
      </c>
      <c r="P2272">
        <v>61.06</v>
      </c>
      <c r="Q2272">
        <v>204.16</v>
      </c>
      <c r="R2272">
        <v>26.37</v>
      </c>
      <c r="S2272">
        <v>17.37</v>
      </c>
      <c r="T2272">
        <v>2385.4899999999998</v>
      </c>
      <c r="U2272">
        <v>0.66</v>
      </c>
      <c r="V2272">
        <v>0.75</v>
      </c>
      <c r="W2272">
        <v>1.1499999999999999</v>
      </c>
      <c r="X2272">
        <v>0.14000000000000001</v>
      </c>
      <c r="Y2272">
        <v>1</v>
      </c>
      <c r="Z2272">
        <v>10</v>
      </c>
    </row>
    <row r="2273" spans="1:26" x14ac:dyDescent="0.3">
      <c r="A2273">
        <v>22</v>
      </c>
      <c r="B2273">
        <v>55</v>
      </c>
      <c r="C2273" t="s">
        <v>26</v>
      </c>
      <c r="D2273">
        <v>10.993</v>
      </c>
      <c r="E2273">
        <v>9.1</v>
      </c>
      <c r="F2273">
        <v>6.82</v>
      </c>
      <c r="G2273">
        <v>51.16</v>
      </c>
      <c r="H2273">
        <v>0.93</v>
      </c>
      <c r="I2273">
        <v>8</v>
      </c>
      <c r="J2273">
        <v>123.19</v>
      </c>
      <c r="K2273">
        <v>43.4</v>
      </c>
      <c r="L2273">
        <v>6.5</v>
      </c>
      <c r="M2273">
        <v>6</v>
      </c>
      <c r="N2273">
        <v>18.29</v>
      </c>
      <c r="O2273">
        <v>15427.87</v>
      </c>
      <c r="P2273">
        <v>60.55</v>
      </c>
      <c r="Q2273">
        <v>204.14</v>
      </c>
      <c r="R2273">
        <v>25.89</v>
      </c>
      <c r="S2273">
        <v>17.37</v>
      </c>
      <c r="T2273">
        <v>2148.17</v>
      </c>
      <c r="U2273">
        <v>0.67</v>
      </c>
      <c r="V2273">
        <v>0.75</v>
      </c>
      <c r="W2273">
        <v>1.1499999999999999</v>
      </c>
      <c r="X2273">
        <v>0.13</v>
      </c>
      <c r="Y2273">
        <v>1</v>
      </c>
      <c r="Z2273">
        <v>10</v>
      </c>
    </row>
    <row r="2274" spans="1:26" x14ac:dyDescent="0.3">
      <c r="A2274">
        <v>23</v>
      </c>
      <c r="B2274">
        <v>55</v>
      </c>
      <c r="C2274" t="s">
        <v>26</v>
      </c>
      <c r="D2274">
        <v>10.981299999999999</v>
      </c>
      <c r="E2274">
        <v>9.11</v>
      </c>
      <c r="F2274">
        <v>6.83</v>
      </c>
      <c r="G2274">
        <v>51.23</v>
      </c>
      <c r="H2274">
        <v>0.96</v>
      </c>
      <c r="I2274">
        <v>8</v>
      </c>
      <c r="J2274">
        <v>123.52</v>
      </c>
      <c r="K2274">
        <v>43.4</v>
      </c>
      <c r="L2274">
        <v>6.75</v>
      </c>
      <c r="M2274">
        <v>6</v>
      </c>
      <c r="N2274">
        <v>18.37</v>
      </c>
      <c r="O2274">
        <v>15468.27</v>
      </c>
      <c r="P2274">
        <v>60.27</v>
      </c>
      <c r="Q2274">
        <v>204.14</v>
      </c>
      <c r="R2274">
        <v>26.08</v>
      </c>
      <c r="S2274">
        <v>17.37</v>
      </c>
      <c r="T2274">
        <v>2243.64</v>
      </c>
      <c r="U2274">
        <v>0.67</v>
      </c>
      <c r="V2274">
        <v>0.75</v>
      </c>
      <c r="W2274">
        <v>1.1499999999999999</v>
      </c>
      <c r="X2274">
        <v>0.14000000000000001</v>
      </c>
      <c r="Y2274">
        <v>1</v>
      </c>
      <c r="Z2274">
        <v>10</v>
      </c>
    </row>
    <row r="2275" spans="1:26" x14ac:dyDescent="0.3">
      <c r="A2275">
        <v>24</v>
      </c>
      <c r="B2275">
        <v>55</v>
      </c>
      <c r="C2275" t="s">
        <v>26</v>
      </c>
      <c r="D2275">
        <v>10.980600000000001</v>
      </c>
      <c r="E2275">
        <v>9.11</v>
      </c>
      <c r="F2275">
        <v>6.83</v>
      </c>
      <c r="G2275">
        <v>51.24</v>
      </c>
      <c r="H2275">
        <v>1</v>
      </c>
      <c r="I2275">
        <v>8</v>
      </c>
      <c r="J2275">
        <v>123.85</v>
      </c>
      <c r="K2275">
        <v>43.4</v>
      </c>
      <c r="L2275">
        <v>7</v>
      </c>
      <c r="M2275">
        <v>6</v>
      </c>
      <c r="N2275">
        <v>18.45</v>
      </c>
      <c r="O2275">
        <v>15508.69</v>
      </c>
      <c r="P2275">
        <v>59.83</v>
      </c>
      <c r="Q2275">
        <v>204.14</v>
      </c>
      <c r="R2275">
        <v>26.09</v>
      </c>
      <c r="S2275">
        <v>17.37</v>
      </c>
      <c r="T2275">
        <v>2248.42</v>
      </c>
      <c r="U2275">
        <v>0.67</v>
      </c>
      <c r="V2275">
        <v>0.75</v>
      </c>
      <c r="W2275">
        <v>1.1499999999999999</v>
      </c>
      <c r="X2275">
        <v>0.14000000000000001</v>
      </c>
      <c r="Y2275">
        <v>1</v>
      </c>
      <c r="Z2275">
        <v>10</v>
      </c>
    </row>
    <row r="2276" spans="1:26" x14ac:dyDescent="0.3">
      <c r="A2276">
        <v>25</v>
      </c>
      <c r="B2276">
        <v>55</v>
      </c>
      <c r="C2276" t="s">
        <v>26</v>
      </c>
      <c r="D2276">
        <v>11.041600000000001</v>
      </c>
      <c r="E2276">
        <v>9.06</v>
      </c>
      <c r="F2276">
        <v>6.81</v>
      </c>
      <c r="G2276">
        <v>58.33</v>
      </c>
      <c r="H2276">
        <v>1.03</v>
      </c>
      <c r="I2276">
        <v>7</v>
      </c>
      <c r="J2276">
        <v>124.18</v>
      </c>
      <c r="K2276">
        <v>43.4</v>
      </c>
      <c r="L2276">
        <v>7.25</v>
      </c>
      <c r="M2276">
        <v>5</v>
      </c>
      <c r="N2276">
        <v>18.53</v>
      </c>
      <c r="O2276">
        <v>15549.15</v>
      </c>
      <c r="P2276">
        <v>59.44</v>
      </c>
      <c r="Q2276">
        <v>204.16</v>
      </c>
      <c r="R2276">
        <v>25.39</v>
      </c>
      <c r="S2276">
        <v>17.37</v>
      </c>
      <c r="T2276">
        <v>1903.13</v>
      </c>
      <c r="U2276">
        <v>0.68</v>
      </c>
      <c r="V2276">
        <v>0.75</v>
      </c>
      <c r="W2276">
        <v>1.1499999999999999</v>
      </c>
      <c r="X2276">
        <v>0.11</v>
      </c>
      <c r="Y2276">
        <v>1</v>
      </c>
      <c r="Z2276">
        <v>10</v>
      </c>
    </row>
    <row r="2277" spans="1:26" x14ac:dyDescent="0.3">
      <c r="A2277">
        <v>26</v>
      </c>
      <c r="B2277">
        <v>55</v>
      </c>
      <c r="C2277" t="s">
        <v>26</v>
      </c>
      <c r="D2277">
        <v>11.030799999999999</v>
      </c>
      <c r="E2277">
        <v>9.07</v>
      </c>
      <c r="F2277">
        <v>6.81</v>
      </c>
      <c r="G2277">
        <v>58.41</v>
      </c>
      <c r="H2277">
        <v>1.06</v>
      </c>
      <c r="I2277">
        <v>7</v>
      </c>
      <c r="J2277">
        <v>124.51</v>
      </c>
      <c r="K2277">
        <v>43.4</v>
      </c>
      <c r="L2277">
        <v>7.5</v>
      </c>
      <c r="M2277">
        <v>5</v>
      </c>
      <c r="N2277">
        <v>18.61</v>
      </c>
      <c r="O2277">
        <v>15589.63</v>
      </c>
      <c r="P2277">
        <v>59.49</v>
      </c>
      <c r="Q2277">
        <v>204.14</v>
      </c>
      <c r="R2277">
        <v>25.65</v>
      </c>
      <c r="S2277">
        <v>17.37</v>
      </c>
      <c r="T2277">
        <v>2033.97</v>
      </c>
      <c r="U2277">
        <v>0.68</v>
      </c>
      <c r="V2277">
        <v>0.75</v>
      </c>
      <c r="W2277">
        <v>1.1499999999999999</v>
      </c>
      <c r="X2277">
        <v>0.12</v>
      </c>
      <c r="Y2277">
        <v>1</v>
      </c>
      <c r="Z2277">
        <v>10</v>
      </c>
    </row>
    <row r="2278" spans="1:26" x14ac:dyDescent="0.3">
      <c r="A2278">
        <v>27</v>
      </c>
      <c r="B2278">
        <v>55</v>
      </c>
      <c r="C2278" t="s">
        <v>26</v>
      </c>
      <c r="D2278">
        <v>11.0311</v>
      </c>
      <c r="E2278">
        <v>9.07</v>
      </c>
      <c r="F2278">
        <v>6.81</v>
      </c>
      <c r="G2278">
        <v>58.4</v>
      </c>
      <c r="H2278">
        <v>1.1000000000000001</v>
      </c>
      <c r="I2278">
        <v>7</v>
      </c>
      <c r="J2278">
        <v>124.83</v>
      </c>
      <c r="K2278">
        <v>43.4</v>
      </c>
      <c r="L2278">
        <v>7.75</v>
      </c>
      <c r="M2278">
        <v>5</v>
      </c>
      <c r="N2278">
        <v>18.68</v>
      </c>
      <c r="O2278">
        <v>15630.14</v>
      </c>
      <c r="P2278">
        <v>59.1</v>
      </c>
      <c r="Q2278">
        <v>204.14</v>
      </c>
      <c r="R2278">
        <v>25.62</v>
      </c>
      <c r="S2278">
        <v>17.37</v>
      </c>
      <c r="T2278">
        <v>2018.35</v>
      </c>
      <c r="U2278">
        <v>0.68</v>
      </c>
      <c r="V2278">
        <v>0.75</v>
      </c>
      <c r="W2278">
        <v>1.1499999999999999</v>
      </c>
      <c r="X2278">
        <v>0.12</v>
      </c>
      <c r="Y2278">
        <v>1</v>
      </c>
      <c r="Z2278">
        <v>10</v>
      </c>
    </row>
    <row r="2279" spans="1:26" x14ac:dyDescent="0.3">
      <c r="A2279">
        <v>28</v>
      </c>
      <c r="B2279">
        <v>55</v>
      </c>
      <c r="C2279" t="s">
        <v>26</v>
      </c>
      <c r="D2279">
        <v>11.0223</v>
      </c>
      <c r="E2279">
        <v>9.07</v>
      </c>
      <c r="F2279">
        <v>6.82</v>
      </c>
      <c r="G2279">
        <v>58.47</v>
      </c>
      <c r="H2279">
        <v>1.1299999999999999</v>
      </c>
      <c r="I2279">
        <v>7</v>
      </c>
      <c r="J2279">
        <v>125.16</v>
      </c>
      <c r="K2279">
        <v>43.4</v>
      </c>
      <c r="L2279">
        <v>8</v>
      </c>
      <c r="M2279">
        <v>5</v>
      </c>
      <c r="N2279">
        <v>18.760000000000002</v>
      </c>
      <c r="O2279">
        <v>15670.68</v>
      </c>
      <c r="P2279">
        <v>58.57</v>
      </c>
      <c r="Q2279">
        <v>204.14</v>
      </c>
      <c r="R2279">
        <v>25.87</v>
      </c>
      <c r="S2279">
        <v>17.37</v>
      </c>
      <c r="T2279">
        <v>2141.1799999999998</v>
      </c>
      <c r="U2279">
        <v>0.67</v>
      </c>
      <c r="V2279">
        <v>0.75</v>
      </c>
      <c r="W2279">
        <v>1.1499999999999999</v>
      </c>
      <c r="X2279">
        <v>0.13</v>
      </c>
      <c r="Y2279">
        <v>1</v>
      </c>
      <c r="Z2279">
        <v>10</v>
      </c>
    </row>
    <row r="2280" spans="1:26" x14ac:dyDescent="0.3">
      <c r="A2280">
        <v>29</v>
      </c>
      <c r="B2280">
        <v>55</v>
      </c>
      <c r="C2280" t="s">
        <v>26</v>
      </c>
      <c r="D2280">
        <v>11.096</v>
      </c>
      <c r="E2280">
        <v>9.01</v>
      </c>
      <c r="F2280">
        <v>6.78</v>
      </c>
      <c r="G2280">
        <v>67.849999999999994</v>
      </c>
      <c r="H2280">
        <v>1.1599999999999999</v>
      </c>
      <c r="I2280">
        <v>6</v>
      </c>
      <c r="J2280">
        <v>125.49</v>
      </c>
      <c r="K2280">
        <v>43.4</v>
      </c>
      <c r="L2280">
        <v>8.25</v>
      </c>
      <c r="M2280">
        <v>4</v>
      </c>
      <c r="N2280">
        <v>18.84</v>
      </c>
      <c r="O2280">
        <v>15711.24</v>
      </c>
      <c r="P2280">
        <v>57.56</v>
      </c>
      <c r="Q2280">
        <v>204.15</v>
      </c>
      <c r="R2280">
        <v>24.79</v>
      </c>
      <c r="S2280">
        <v>17.37</v>
      </c>
      <c r="T2280">
        <v>1608.19</v>
      </c>
      <c r="U2280">
        <v>0.7</v>
      </c>
      <c r="V2280">
        <v>0.75</v>
      </c>
      <c r="W2280">
        <v>1.1399999999999999</v>
      </c>
      <c r="X2280">
        <v>0.09</v>
      </c>
      <c r="Y2280">
        <v>1</v>
      </c>
      <c r="Z2280">
        <v>10</v>
      </c>
    </row>
    <row r="2281" spans="1:26" x14ac:dyDescent="0.3">
      <c r="A2281">
        <v>30</v>
      </c>
      <c r="B2281">
        <v>55</v>
      </c>
      <c r="C2281" t="s">
        <v>26</v>
      </c>
      <c r="D2281">
        <v>11.093999999999999</v>
      </c>
      <c r="E2281">
        <v>9.01</v>
      </c>
      <c r="F2281">
        <v>6.79</v>
      </c>
      <c r="G2281">
        <v>67.86</v>
      </c>
      <c r="H2281">
        <v>1.19</v>
      </c>
      <c r="I2281">
        <v>6</v>
      </c>
      <c r="J2281">
        <v>125.82</v>
      </c>
      <c r="K2281">
        <v>43.4</v>
      </c>
      <c r="L2281">
        <v>8.5</v>
      </c>
      <c r="M2281">
        <v>4</v>
      </c>
      <c r="N2281">
        <v>18.920000000000002</v>
      </c>
      <c r="O2281">
        <v>15751.84</v>
      </c>
      <c r="P2281">
        <v>57.43</v>
      </c>
      <c r="Q2281">
        <v>204.14</v>
      </c>
      <c r="R2281">
        <v>24.79</v>
      </c>
      <c r="S2281">
        <v>17.37</v>
      </c>
      <c r="T2281">
        <v>1607.38</v>
      </c>
      <c r="U2281">
        <v>0.7</v>
      </c>
      <c r="V2281">
        <v>0.75</v>
      </c>
      <c r="W2281">
        <v>1.1499999999999999</v>
      </c>
      <c r="X2281">
        <v>0.1</v>
      </c>
      <c r="Y2281">
        <v>1</v>
      </c>
      <c r="Z2281">
        <v>10</v>
      </c>
    </row>
    <row r="2282" spans="1:26" x14ac:dyDescent="0.3">
      <c r="A2282">
        <v>31</v>
      </c>
      <c r="B2282">
        <v>55</v>
      </c>
      <c r="C2282" t="s">
        <v>26</v>
      </c>
      <c r="D2282">
        <v>11.093999999999999</v>
      </c>
      <c r="E2282">
        <v>9.01</v>
      </c>
      <c r="F2282">
        <v>6.79</v>
      </c>
      <c r="G2282">
        <v>67.86</v>
      </c>
      <c r="H2282">
        <v>1.22</v>
      </c>
      <c r="I2282">
        <v>6</v>
      </c>
      <c r="J2282">
        <v>126.15</v>
      </c>
      <c r="K2282">
        <v>43.4</v>
      </c>
      <c r="L2282">
        <v>8.75</v>
      </c>
      <c r="M2282">
        <v>4</v>
      </c>
      <c r="N2282">
        <v>19</v>
      </c>
      <c r="O2282">
        <v>15792.46</v>
      </c>
      <c r="P2282">
        <v>57.43</v>
      </c>
      <c r="Q2282">
        <v>204.14</v>
      </c>
      <c r="R2282">
        <v>24.91</v>
      </c>
      <c r="S2282">
        <v>17.37</v>
      </c>
      <c r="T2282">
        <v>1666.53</v>
      </c>
      <c r="U2282">
        <v>0.7</v>
      </c>
      <c r="V2282">
        <v>0.75</v>
      </c>
      <c r="W2282">
        <v>1.1399999999999999</v>
      </c>
      <c r="X2282">
        <v>0.1</v>
      </c>
      <c r="Y2282">
        <v>1</v>
      </c>
      <c r="Z2282">
        <v>10</v>
      </c>
    </row>
    <row r="2283" spans="1:26" x14ac:dyDescent="0.3">
      <c r="A2283">
        <v>32</v>
      </c>
      <c r="B2283">
        <v>55</v>
      </c>
      <c r="C2283" t="s">
        <v>26</v>
      </c>
      <c r="D2283">
        <v>11.0943</v>
      </c>
      <c r="E2283">
        <v>9.01</v>
      </c>
      <c r="F2283">
        <v>6.79</v>
      </c>
      <c r="G2283">
        <v>67.86</v>
      </c>
      <c r="H2283">
        <v>1.26</v>
      </c>
      <c r="I2283">
        <v>6</v>
      </c>
      <c r="J2283">
        <v>126.48</v>
      </c>
      <c r="K2283">
        <v>43.4</v>
      </c>
      <c r="L2283">
        <v>9</v>
      </c>
      <c r="M2283">
        <v>4</v>
      </c>
      <c r="N2283">
        <v>19.079999999999998</v>
      </c>
      <c r="O2283">
        <v>15833.12</v>
      </c>
      <c r="P2283">
        <v>56.84</v>
      </c>
      <c r="Q2283">
        <v>204.14</v>
      </c>
      <c r="R2283">
        <v>24.75</v>
      </c>
      <c r="S2283">
        <v>17.37</v>
      </c>
      <c r="T2283">
        <v>1589.28</v>
      </c>
      <c r="U2283">
        <v>0.7</v>
      </c>
      <c r="V2283">
        <v>0.75</v>
      </c>
      <c r="W2283">
        <v>1.1499999999999999</v>
      </c>
      <c r="X2283">
        <v>0.1</v>
      </c>
      <c r="Y2283">
        <v>1</v>
      </c>
      <c r="Z2283">
        <v>10</v>
      </c>
    </row>
    <row r="2284" spans="1:26" x14ac:dyDescent="0.3">
      <c r="A2284">
        <v>33</v>
      </c>
      <c r="B2284">
        <v>55</v>
      </c>
      <c r="C2284" t="s">
        <v>26</v>
      </c>
      <c r="D2284">
        <v>11.0878</v>
      </c>
      <c r="E2284">
        <v>9.02</v>
      </c>
      <c r="F2284">
        <v>6.79</v>
      </c>
      <c r="G2284">
        <v>67.91</v>
      </c>
      <c r="H2284">
        <v>1.29</v>
      </c>
      <c r="I2284">
        <v>6</v>
      </c>
      <c r="J2284">
        <v>126.81</v>
      </c>
      <c r="K2284">
        <v>43.4</v>
      </c>
      <c r="L2284">
        <v>9.25</v>
      </c>
      <c r="M2284">
        <v>4</v>
      </c>
      <c r="N2284">
        <v>19.16</v>
      </c>
      <c r="O2284">
        <v>15873.8</v>
      </c>
      <c r="P2284">
        <v>56.44</v>
      </c>
      <c r="Q2284">
        <v>204.15</v>
      </c>
      <c r="R2284">
        <v>24.97</v>
      </c>
      <c r="S2284">
        <v>17.37</v>
      </c>
      <c r="T2284">
        <v>1699.19</v>
      </c>
      <c r="U2284">
        <v>0.7</v>
      </c>
      <c r="V2284">
        <v>0.75</v>
      </c>
      <c r="W2284">
        <v>1.1499999999999999</v>
      </c>
      <c r="X2284">
        <v>0.1</v>
      </c>
      <c r="Y2284">
        <v>1</v>
      </c>
      <c r="Z2284">
        <v>10</v>
      </c>
    </row>
    <row r="2285" spans="1:26" x14ac:dyDescent="0.3">
      <c r="A2285">
        <v>34</v>
      </c>
      <c r="B2285">
        <v>55</v>
      </c>
      <c r="C2285" t="s">
        <v>26</v>
      </c>
      <c r="D2285">
        <v>11.0906</v>
      </c>
      <c r="E2285">
        <v>9.02</v>
      </c>
      <c r="F2285">
        <v>6.79</v>
      </c>
      <c r="G2285">
        <v>67.89</v>
      </c>
      <c r="H2285">
        <v>1.32</v>
      </c>
      <c r="I2285">
        <v>6</v>
      </c>
      <c r="J2285">
        <v>127.14</v>
      </c>
      <c r="K2285">
        <v>43.4</v>
      </c>
      <c r="L2285">
        <v>9.5</v>
      </c>
      <c r="M2285">
        <v>3</v>
      </c>
      <c r="N2285">
        <v>19.239999999999998</v>
      </c>
      <c r="O2285">
        <v>15914.51</v>
      </c>
      <c r="P2285">
        <v>56.17</v>
      </c>
      <c r="Q2285">
        <v>204.14</v>
      </c>
      <c r="R2285">
        <v>24.87</v>
      </c>
      <c r="S2285">
        <v>17.37</v>
      </c>
      <c r="T2285">
        <v>1649.01</v>
      </c>
      <c r="U2285">
        <v>0.7</v>
      </c>
      <c r="V2285">
        <v>0.75</v>
      </c>
      <c r="W2285">
        <v>1.1499999999999999</v>
      </c>
      <c r="X2285">
        <v>0.1</v>
      </c>
      <c r="Y2285">
        <v>1</v>
      </c>
      <c r="Z2285">
        <v>10</v>
      </c>
    </row>
    <row r="2286" spans="1:26" x14ac:dyDescent="0.3">
      <c r="A2286">
        <v>35</v>
      </c>
      <c r="B2286">
        <v>55</v>
      </c>
      <c r="C2286" t="s">
        <v>26</v>
      </c>
      <c r="D2286">
        <v>11.0943</v>
      </c>
      <c r="E2286">
        <v>9.01</v>
      </c>
      <c r="F2286">
        <v>6.79</v>
      </c>
      <c r="G2286">
        <v>67.86</v>
      </c>
      <c r="H2286">
        <v>1.35</v>
      </c>
      <c r="I2286">
        <v>6</v>
      </c>
      <c r="J2286">
        <v>127.47</v>
      </c>
      <c r="K2286">
        <v>43.4</v>
      </c>
      <c r="L2286">
        <v>9.75</v>
      </c>
      <c r="M2286">
        <v>3</v>
      </c>
      <c r="N2286">
        <v>19.32</v>
      </c>
      <c r="O2286">
        <v>15955.25</v>
      </c>
      <c r="P2286">
        <v>55.72</v>
      </c>
      <c r="Q2286">
        <v>204.21</v>
      </c>
      <c r="R2286">
        <v>24.76</v>
      </c>
      <c r="S2286">
        <v>17.37</v>
      </c>
      <c r="T2286">
        <v>1593.57</v>
      </c>
      <c r="U2286">
        <v>0.7</v>
      </c>
      <c r="V2286">
        <v>0.75</v>
      </c>
      <c r="W2286">
        <v>1.1499999999999999</v>
      </c>
      <c r="X2286">
        <v>0.09</v>
      </c>
      <c r="Y2286">
        <v>1</v>
      </c>
      <c r="Z2286">
        <v>10</v>
      </c>
    </row>
    <row r="2287" spans="1:26" x14ac:dyDescent="0.3">
      <c r="A2287">
        <v>36</v>
      </c>
      <c r="B2287">
        <v>55</v>
      </c>
      <c r="C2287" t="s">
        <v>26</v>
      </c>
      <c r="D2287">
        <v>11.1393</v>
      </c>
      <c r="E2287">
        <v>8.98</v>
      </c>
      <c r="F2287">
        <v>6.77</v>
      </c>
      <c r="G2287">
        <v>81.28</v>
      </c>
      <c r="H2287">
        <v>1.38</v>
      </c>
      <c r="I2287">
        <v>5</v>
      </c>
      <c r="J2287">
        <v>127.8</v>
      </c>
      <c r="K2287">
        <v>43.4</v>
      </c>
      <c r="L2287">
        <v>10</v>
      </c>
      <c r="M2287">
        <v>2</v>
      </c>
      <c r="N2287">
        <v>19.399999999999999</v>
      </c>
      <c r="O2287">
        <v>15996.02</v>
      </c>
      <c r="P2287">
        <v>54.86</v>
      </c>
      <c r="Q2287">
        <v>204.14</v>
      </c>
      <c r="R2287">
        <v>24.37</v>
      </c>
      <c r="S2287">
        <v>17.37</v>
      </c>
      <c r="T2287">
        <v>1402.75</v>
      </c>
      <c r="U2287">
        <v>0.71</v>
      </c>
      <c r="V2287">
        <v>0.75</v>
      </c>
      <c r="W2287">
        <v>1.1499999999999999</v>
      </c>
      <c r="X2287">
        <v>0.08</v>
      </c>
      <c r="Y2287">
        <v>1</v>
      </c>
      <c r="Z2287">
        <v>10</v>
      </c>
    </row>
    <row r="2288" spans="1:26" x14ac:dyDescent="0.3">
      <c r="A2288">
        <v>37</v>
      </c>
      <c r="B2288">
        <v>55</v>
      </c>
      <c r="C2288" t="s">
        <v>26</v>
      </c>
      <c r="D2288">
        <v>11.1441</v>
      </c>
      <c r="E2288">
        <v>8.9700000000000006</v>
      </c>
      <c r="F2288">
        <v>6.77</v>
      </c>
      <c r="G2288">
        <v>81.239999999999995</v>
      </c>
      <c r="H2288">
        <v>1.41</v>
      </c>
      <c r="I2288">
        <v>5</v>
      </c>
      <c r="J2288">
        <v>128.13</v>
      </c>
      <c r="K2288">
        <v>43.4</v>
      </c>
      <c r="L2288">
        <v>10.25</v>
      </c>
      <c r="M2288">
        <v>1</v>
      </c>
      <c r="N2288">
        <v>19.48</v>
      </c>
      <c r="O2288">
        <v>16036.82</v>
      </c>
      <c r="P2288">
        <v>54.91</v>
      </c>
      <c r="Q2288">
        <v>204.14</v>
      </c>
      <c r="R2288">
        <v>24.26</v>
      </c>
      <c r="S2288">
        <v>17.37</v>
      </c>
      <c r="T2288">
        <v>1346.69</v>
      </c>
      <c r="U2288">
        <v>0.72</v>
      </c>
      <c r="V2288">
        <v>0.75</v>
      </c>
      <c r="W2288">
        <v>1.1499999999999999</v>
      </c>
      <c r="X2288">
        <v>0.08</v>
      </c>
      <c r="Y2288">
        <v>1</v>
      </c>
      <c r="Z2288">
        <v>10</v>
      </c>
    </row>
    <row r="2289" spans="1:26" x14ac:dyDescent="0.3">
      <c r="A2289">
        <v>38</v>
      </c>
      <c r="B2289">
        <v>55</v>
      </c>
      <c r="C2289" t="s">
        <v>26</v>
      </c>
      <c r="D2289">
        <v>11.1403</v>
      </c>
      <c r="E2289">
        <v>8.98</v>
      </c>
      <c r="F2289">
        <v>6.77</v>
      </c>
      <c r="G2289">
        <v>81.27</v>
      </c>
      <c r="H2289">
        <v>1.44</v>
      </c>
      <c r="I2289">
        <v>5</v>
      </c>
      <c r="J2289">
        <v>128.46</v>
      </c>
      <c r="K2289">
        <v>43.4</v>
      </c>
      <c r="L2289">
        <v>10.5</v>
      </c>
      <c r="M2289">
        <v>1</v>
      </c>
      <c r="N2289">
        <v>19.559999999999999</v>
      </c>
      <c r="O2289">
        <v>16077.65</v>
      </c>
      <c r="P2289">
        <v>55.17</v>
      </c>
      <c r="Q2289">
        <v>204.14</v>
      </c>
      <c r="R2289">
        <v>24.37</v>
      </c>
      <c r="S2289">
        <v>17.37</v>
      </c>
      <c r="T2289">
        <v>1401.54</v>
      </c>
      <c r="U2289">
        <v>0.71</v>
      </c>
      <c r="V2289">
        <v>0.75</v>
      </c>
      <c r="W2289">
        <v>1.1499999999999999</v>
      </c>
      <c r="X2289">
        <v>0.08</v>
      </c>
      <c r="Y2289">
        <v>1</v>
      </c>
      <c r="Z2289">
        <v>10</v>
      </c>
    </row>
    <row r="2290" spans="1:26" x14ac:dyDescent="0.3">
      <c r="A2290">
        <v>39</v>
      </c>
      <c r="B2290">
        <v>55</v>
      </c>
      <c r="C2290" t="s">
        <v>26</v>
      </c>
      <c r="D2290">
        <v>11.137600000000001</v>
      </c>
      <c r="E2290">
        <v>8.98</v>
      </c>
      <c r="F2290">
        <v>6.78</v>
      </c>
      <c r="G2290">
        <v>81.3</v>
      </c>
      <c r="H2290">
        <v>1.47</v>
      </c>
      <c r="I2290">
        <v>5</v>
      </c>
      <c r="J2290">
        <v>128.79</v>
      </c>
      <c r="K2290">
        <v>43.4</v>
      </c>
      <c r="L2290">
        <v>10.75</v>
      </c>
      <c r="M2290">
        <v>0</v>
      </c>
      <c r="N2290">
        <v>19.64</v>
      </c>
      <c r="O2290">
        <v>16118.5</v>
      </c>
      <c r="P2290">
        <v>55.36</v>
      </c>
      <c r="Q2290">
        <v>204.14</v>
      </c>
      <c r="R2290">
        <v>24.35</v>
      </c>
      <c r="S2290">
        <v>17.37</v>
      </c>
      <c r="T2290">
        <v>1393.54</v>
      </c>
      <c r="U2290">
        <v>0.71</v>
      </c>
      <c r="V2290">
        <v>0.75</v>
      </c>
      <c r="W2290">
        <v>1.1499999999999999</v>
      </c>
      <c r="X2290">
        <v>0.08</v>
      </c>
      <c r="Y2290">
        <v>1</v>
      </c>
      <c r="Z2290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21AE2-1CFC-4D83-A091-AEC01689F5A2}">
  <sheetPr codeName="Planilha33"/>
  <dimension ref="A1:J30"/>
  <sheetViews>
    <sheetView tabSelected="1" workbookViewId="0"/>
  </sheetViews>
  <sheetFormatPr defaultRowHeight="14.4" x14ac:dyDescent="0.3"/>
  <sheetData>
    <row r="1" spans="1:10" x14ac:dyDescent="0.3">
      <c r="B1" t="s">
        <v>33</v>
      </c>
      <c r="C1" t="s">
        <v>1</v>
      </c>
      <c r="D1" t="s">
        <v>34</v>
      </c>
      <c r="E1" t="s">
        <v>35</v>
      </c>
      <c r="F1" t="s">
        <v>5</v>
      </c>
      <c r="G1" t="s">
        <v>36</v>
      </c>
      <c r="H1" t="s">
        <v>37</v>
      </c>
      <c r="I1" t="s">
        <v>38</v>
      </c>
      <c r="J1" t="s">
        <v>39</v>
      </c>
    </row>
    <row r="2" spans="1:10" x14ac:dyDescent="0.3">
      <c r="A2" t="s">
        <v>40</v>
      </c>
      <c r="B2">
        <v>11.079000000000001</v>
      </c>
      <c r="C2">
        <f>_xlfn.XLOOKUP(B2,RESULTADOS_0!D:D,RESULTADOS_0!B:B,0,0,1)</f>
        <v>10</v>
      </c>
      <c r="D2">
        <f>_xlfn.XLOOKUP(B2,RESULTADOS_0!D:D,RESULTADOS_0!L:L,0,0,1)</f>
        <v>1</v>
      </c>
      <c r="E2">
        <f>_xlfn.XLOOKUP(B2,RESULTADOS_0!D:D,RESULTADOS_0!I:I,0,0,1)</f>
        <v>22</v>
      </c>
      <c r="F2">
        <f>_xlfn.XLOOKUP(B2,RESULTADOS_0!D:D,RESULTADOS_0!F:F,0,0,1)</f>
        <v>7.13</v>
      </c>
      <c r="G2">
        <f>_xlfn.XLOOKUP(B2,RESULTADOS_0!D:D,RESULTADOS_0!M:M,0,0,1)</f>
        <v>0</v>
      </c>
      <c r="H2">
        <v>16</v>
      </c>
      <c r="I2">
        <v>1.77264</v>
      </c>
      <c r="J2">
        <v>2</v>
      </c>
    </row>
    <row r="3" spans="1:10" x14ac:dyDescent="0.3">
      <c r="A3" t="s">
        <v>41</v>
      </c>
      <c r="B3">
        <v>11.286</v>
      </c>
      <c r="C3">
        <f>_xlfn.XLOOKUP(B3,RESULTADOS_1!D:D,RESULTADOS_1!B:B,0,0,1)</f>
        <v>15</v>
      </c>
      <c r="D3">
        <f>_xlfn.XLOOKUP(B3,RESULTADOS_1!D:D,RESULTADOS_1!L:L,0,0,1)</f>
        <v>1.75</v>
      </c>
      <c r="E3">
        <f>_xlfn.XLOOKUP(B3,RESULTADOS_1!D:D,RESULTADOS_1!I:I,0,0,1)</f>
        <v>15</v>
      </c>
      <c r="F3">
        <f>_xlfn.XLOOKUP(B3,RESULTADOS_1!D:D,RESULTADOS_1!F:F,0,0,1)</f>
        <v>7</v>
      </c>
      <c r="G3">
        <f>_xlfn.XLOOKUP(B3,RESULTADOS_1!D:D,RESULTADOS_1!M:M,0,0,1)</f>
        <v>1</v>
      </c>
      <c r="I3">
        <v>1.80576</v>
      </c>
    </row>
    <row r="4" spans="1:10" x14ac:dyDescent="0.3">
      <c r="A4" t="s">
        <v>42</v>
      </c>
      <c r="B4">
        <v>11.3543</v>
      </c>
      <c r="C4">
        <f>_xlfn.XLOOKUP(B4,RESULTADOS_2!D:D,RESULTADOS_2!B:B,0,0,1)</f>
        <v>20</v>
      </c>
      <c r="D4">
        <f>_xlfn.XLOOKUP(B4,RESULTADOS_2!D:D,RESULTADOS_2!L:L,0,0,1)</f>
        <v>2.25</v>
      </c>
      <c r="E4">
        <f>_xlfn.XLOOKUP(B4,RESULTADOS_2!D:D,RESULTADOS_2!I:I,0,0,1)</f>
        <v>12</v>
      </c>
      <c r="F4">
        <f>_xlfn.XLOOKUP(B4,RESULTADOS_2!D:D,RESULTADOS_2!F:F,0,0,1)</f>
        <v>6.91</v>
      </c>
      <c r="G4">
        <f>_xlfn.XLOOKUP(B4,RESULTADOS_2!D:D,RESULTADOS_2!M:M,0,0,1)</f>
        <v>4</v>
      </c>
      <c r="I4">
        <v>1.8166880000000001</v>
      </c>
    </row>
    <row r="5" spans="1:10" x14ac:dyDescent="0.3">
      <c r="A5" t="s">
        <v>43</v>
      </c>
      <c r="B5">
        <v>11.3597</v>
      </c>
      <c r="C5">
        <f>_xlfn.XLOOKUP(B5,RESULTADOS_3!D:D,RESULTADOS_3!B:B,0,0,1)</f>
        <v>25</v>
      </c>
      <c r="D5">
        <f>_xlfn.XLOOKUP(B5,RESULTADOS_3!D:D,RESULTADOS_3!L:L,0,0,1)</f>
        <v>3</v>
      </c>
      <c r="E5">
        <f>_xlfn.XLOOKUP(B5,RESULTADOS_3!D:D,RESULTADOS_3!I:I,0,0,1)</f>
        <v>10</v>
      </c>
      <c r="F5">
        <f>_xlfn.XLOOKUP(B5,RESULTADOS_3!D:D,RESULTADOS_3!F:F,0,0,1)</f>
        <v>6.87</v>
      </c>
      <c r="G5">
        <f>_xlfn.XLOOKUP(B5,RESULTADOS_3!D:D,RESULTADOS_3!M:M,0,0,1)</f>
        <v>6</v>
      </c>
      <c r="I5">
        <v>1.8175520000000001</v>
      </c>
    </row>
    <row r="6" spans="1:10" x14ac:dyDescent="0.3">
      <c r="A6" t="s">
        <v>44</v>
      </c>
      <c r="B6">
        <v>11.3583</v>
      </c>
      <c r="C6">
        <f>_xlfn.XLOOKUP(B6,RESULTADOS_4!D:D,RESULTADOS_4!B:B,0,0,1)</f>
        <v>30</v>
      </c>
      <c r="D6">
        <f>_xlfn.XLOOKUP(B6,RESULTADOS_4!D:D,RESULTADOS_4!L:L,0,0,1)</f>
        <v>4.5</v>
      </c>
      <c r="E6">
        <f>_xlfn.XLOOKUP(B6,RESULTADOS_4!D:D,RESULTADOS_4!I:I,0,0,1)</f>
        <v>8</v>
      </c>
      <c r="F6">
        <f>_xlfn.XLOOKUP(B6,RESULTADOS_4!D:D,RESULTADOS_4!F:F,0,0,1)</f>
        <v>6.84</v>
      </c>
      <c r="G6">
        <f>_xlfn.XLOOKUP(B6,RESULTADOS_4!D:D,RESULTADOS_4!M:M,0,0,1)</f>
        <v>0</v>
      </c>
      <c r="I6">
        <v>1.8173280000000001</v>
      </c>
    </row>
    <row r="7" spans="1:10" x14ac:dyDescent="0.3">
      <c r="A7" t="s">
        <v>45</v>
      </c>
      <c r="B7">
        <v>11.325699999999999</v>
      </c>
      <c r="C7">
        <f>_xlfn.XLOOKUP(B7,RESULTADOS_5!D:D,RESULTADOS_5!B:B,0,0,1)</f>
        <v>35</v>
      </c>
      <c r="D7">
        <f>_xlfn.XLOOKUP(B7,RESULTADOS_5!D:D,RESULTADOS_5!L:L,0,0,1)</f>
        <v>5.5</v>
      </c>
      <c r="E7">
        <f>_xlfn.XLOOKUP(B7,RESULTADOS_5!D:D,RESULTADOS_5!I:I,0,0,1)</f>
        <v>7</v>
      </c>
      <c r="F7">
        <f>_xlfn.XLOOKUP(B7,RESULTADOS_5!D:D,RESULTADOS_5!F:F,0,0,1)</f>
        <v>6.82</v>
      </c>
      <c r="G7">
        <f>_xlfn.XLOOKUP(B7,RESULTADOS_5!D:D,RESULTADOS_5!M:M,0,0,1)</f>
        <v>1</v>
      </c>
      <c r="I7">
        <v>1.8121119999999999</v>
      </c>
    </row>
    <row r="8" spans="1:10" x14ac:dyDescent="0.3">
      <c r="A8" t="s">
        <v>46</v>
      </c>
      <c r="B8">
        <v>11.271100000000001</v>
      </c>
      <c r="C8">
        <f>_xlfn.XLOOKUP(B8,RESULTADOS_6!D:D,RESULTADOS_6!B:B,0,0,1)</f>
        <v>40</v>
      </c>
      <c r="D8">
        <f>_xlfn.XLOOKUP(B8,RESULTADOS_6!D:D,RESULTADOS_6!L:L,0,0,1)</f>
        <v>5.75</v>
      </c>
      <c r="E8">
        <f>_xlfn.XLOOKUP(B8,RESULTADOS_6!D:D,RESULTADOS_6!I:I,0,0,1)</f>
        <v>7</v>
      </c>
      <c r="F8">
        <f>_xlfn.XLOOKUP(B8,RESULTADOS_6!D:D,RESULTADOS_6!F:F,0,0,1)</f>
        <v>6.8</v>
      </c>
      <c r="G8">
        <f>_xlfn.XLOOKUP(B8,RESULTADOS_6!D:D,RESULTADOS_6!M:M,0,0,1)</f>
        <v>5</v>
      </c>
      <c r="I8">
        <v>1.8033760000000001</v>
      </c>
    </row>
    <row r="9" spans="1:10" x14ac:dyDescent="0.3">
      <c r="A9" t="s">
        <v>47</v>
      </c>
      <c r="B9">
        <v>11.2433</v>
      </c>
      <c r="C9">
        <f>_xlfn.XLOOKUP(B9,RESULTADOS_7!D:D,RESULTADOS_7!B:B,0,0,1)</f>
        <v>45</v>
      </c>
      <c r="D9">
        <f>_xlfn.XLOOKUP(B9,RESULTADOS_7!D:D,RESULTADOS_7!L:L,0,0,1)</f>
        <v>7.25</v>
      </c>
      <c r="E9">
        <f>_xlfn.XLOOKUP(B9,RESULTADOS_7!D:D,RESULTADOS_7!I:I,0,0,1)</f>
        <v>6</v>
      </c>
      <c r="F9">
        <f>_xlfn.XLOOKUP(B9,RESULTADOS_7!D:D,RESULTADOS_7!F:F,0,0,1)</f>
        <v>6.78</v>
      </c>
      <c r="G9">
        <f>_xlfn.XLOOKUP(B9,RESULTADOS_7!D:D,RESULTADOS_7!M:M,0,0,1)</f>
        <v>3</v>
      </c>
      <c r="I9">
        <v>1.7989279999999999</v>
      </c>
    </row>
    <row r="10" spans="1:10" x14ac:dyDescent="0.3">
      <c r="A10" t="s">
        <v>48</v>
      </c>
      <c r="B10">
        <v>11.1676</v>
      </c>
      <c r="C10">
        <f>_xlfn.XLOOKUP(B10,RESULTADOS_8!D:D,RESULTADOS_8!B:B,0,0,1)</f>
        <v>50</v>
      </c>
      <c r="D10">
        <f>_xlfn.XLOOKUP(B10,RESULTADOS_8!D:D,RESULTADOS_8!L:L,0,0,1)</f>
        <v>7.75</v>
      </c>
      <c r="E10">
        <f>_xlfn.XLOOKUP(B10,RESULTADOS_8!D:D,RESULTADOS_8!I:I,0,0,1)</f>
        <v>6</v>
      </c>
      <c r="F10">
        <f>_xlfn.XLOOKUP(B10,RESULTADOS_8!D:D,RESULTADOS_8!F:F,0,0,1)</f>
        <v>6.79</v>
      </c>
      <c r="G10">
        <f>_xlfn.XLOOKUP(B10,RESULTADOS_8!D:D,RESULTADOS_8!M:M,0,0,1)</f>
        <v>4</v>
      </c>
      <c r="I10">
        <v>1.786816</v>
      </c>
    </row>
    <row r="11" spans="1:10" x14ac:dyDescent="0.3">
      <c r="A11" t="s">
        <v>49</v>
      </c>
      <c r="B11">
        <v>11.1441</v>
      </c>
      <c r="C11">
        <f>_xlfn.XLOOKUP(B11,RESULTADOS_9!D:D,RESULTADOS_9!B:B,0,0,1)</f>
        <v>55</v>
      </c>
      <c r="D11">
        <f>_xlfn.XLOOKUP(B11,RESULTADOS_9!D:D,RESULTADOS_9!L:L,0,0,1)</f>
        <v>10.25</v>
      </c>
      <c r="E11">
        <f>_xlfn.XLOOKUP(B11,RESULTADOS_9!D:D,RESULTADOS_9!I:I,0,0,1)</f>
        <v>5</v>
      </c>
      <c r="F11">
        <f>_xlfn.XLOOKUP(B11,RESULTADOS_9!D:D,RESULTADOS_9!F:F,0,0,1)</f>
        <v>6.77</v>
      </c>
      <c r="G11">
        <f>_xlfn.XLOOKUP(B11,RESULTADOS_9!D:D,RESULTADOS_9!M:M,0,0,1)</f>
        <v>1</v>
      </c>
      <c r="I11">
        <v>1.783056</v>
      </c>
    </row>
    <row r="12" spans="1:10" x14ac:dyDescent="0.3">
      <c r="A12" t="s">
        <v>50</v>
      </c>
      <c r="B12">
        <v>11.0739</v>
      </c>
      <c r="C12">
        <f>_xlfn.XLOOKUP(B12,RESULTADOS_10!D:D,RESULTADOS_10!B:B,0,0,1)</f>
        <v>60</v>
      </c>
      <c r="D12">
        <f>_xlfn.XLOOKUP(B12,RESULTADOS_10!D:D,RESULTADOS_10!L:L,0,0,1)</f>
        <v>11</v>
      </c>
      <c r="E12">
        <f>_xlfn.XLOOKUP(B12,RESULTADOS_10!D:D,RESULTADOS_10!I:I,0,0,1)</f>
        <v>5</v>
      </c>
      <c r="F12">
        <f>_xlfn.XLOOKUP(B12,RESULTADOS_10!D:D,RESULTADOS_10!F:F,0,0,1)</f>
        <v>6.77</v>
      </c>
      <c r="G12">
        <f>_xlfn.XLOOKUP(B12,RESULTADOS_10!D:D,RESULTADOS_10!M:M,0,0,1)</f>
        <v>2</v>
      </c>
      <c r="I12">
        <v>1.7718240000000001</v>
      </c>
    </row>
    <row r="13" spans="1:10" x14ac:dyDescent="0.3">
      <c r="A13" t="s">
        <v>51</v>
      </c>
      <c r="B13">
        <v>11.010899999999999</v>
      </c>
      <c r="C13">
        <f>_xlfn.XLOOKUP(B13,RESULTADOS_11!D:D,RESULTADOS_11!B:B,0,0,1)</f>
        <v>65</v>
      </c>
      <c r="D13">
        <f>_xlfn.XLOOKUP(B13,RESULTADOS_11!D:D,RESULTADOS_11!L:L,0,0,1)</f>
        <v>13.75</v>
      </c>
      <c r="E13">
        <f>_xlfn.XLOOKUP(B13,RESULTADOS_11!D:D,RESULTADOS_11!I:I,0,0,1)</f>
        <v>5</v>
      </c>
      <c r="F13">
        <f>_xlfn.XLOOKUP(B13,RESULTADOS_11!D:D,RESULTADOS_11!F:F,0,0,1)</f>
        <v>6.77</v>
      </c>
      <c r="G13">
        <f>_xlfn.XLOOKUP(B13,RESULTADOS_11!D:D,RESULTADOS_11!M:M,0,0,1)</f>
        <v>1</v>
      </c>
      <c r="I13">
        <v>1.761744</v>
      </c>
    </row>
    <row r="14" spans="1:10" x14ac:dyDescent="0.3">
      <c r="A14" t="s">
        <v>52</v>
      </c>
      <c r="B14">
        <v>10.9937</v>
      </c>
      <c r="C14">
        <f>_xlfn.XLOOKUP(B14,RESULTADOS_12!D:D,RESULTADOS_12!B:B,0,0,1)</f>
        <v>70</v>
      </c>
      <c r="D14">
        <f>_xlfn.XLOOKUP(B14,RESULTADOS_12!D:D,RESULTADOS_12!L:L,0,0,1)</f>
        <v>15.5</v>
      </c>
      <c r="E14">
        <f>_xlfn.XLOOKUP(B14,RESULTADOS_12!D:D,RESULTADOS_12!I:I,0,0,1)</f>
        <v>4</v>
      </c>
      <c r="F14">
        <f>_xlfn.XLOOKUP(B14,RESULTADOS_12!D:D,RESULTADOS_12!F:F,0,0,1)</f>
        <v>6.75</v>
      </c>
      <c r="G14">
        <f>_xlfn.XLOOKUP(B14,RESULTADOS_12!D:D,RESULTADOS_12!M:M,0,0,1)</f>
        <v>0</v>
      </c>
      <c r="I14">
        <v>1.7589920000000001</v>
      </c>
    </row>
    <row r="15" spans="1:10" x14ac:dyDescent="0.3">
      <c r="A15" t="s">
        <v>53</v>
      </c>
      <c r="B15">
        <v>10.938599999999999</v>
      </c>
      <c r="C15">
        <f>_xlfn.XLOOKUP(B15,RESULTADOS_13!D:D,RESULTADOS_13!B:B,0,0,1)</f>
        <v>75</v>
      </c>
      <c r="D15">
        <f>_xlfn.XLOOKUP(B15,RESULTADOS_13!D:D,RESULTADOS_13!L:L,0,0,1)</f>
        <v>15.5</v>
      </c>
      <c r="E15">
        <f>_xlfn.XLOOKUP(B15,RESULTADOS_13!D:D,RESULTADOS_13!I:I,0,0,1)</f>
        <v>4</v>
      </c>
      <c r="F15">
        <f>_xlfn.XLOOKUP(B15,RESULTADOS_13!D:D,RESULTADOS_13!F:F,0,0,1)</f>
        <v>6.74</v>
      </c>
      <c r="G15">
        <f>_xlfn.XLOOKUP(B15,RESULTADOS_13!D:D,RESULTADOS_13!M:M,0,0,1)</f>
        <v>2</v>
      </c>
      <c r="I15">
        <v>1.750176</v>
      </c>
    </row>
    <row r="16" spans="1:10" x14ac:dyDescent="0.3">
      <c r="A16" t="s">
        <v>54</v>
      </c>
      <c r="B16">
        <v>10.8751</v>
      </c>
      <c r="C16">
        <f>_xlfn.XLOOKUP(B16,RESULTADOS_14!D:D,RESULTADOS_14!B:B,0,0,1)</f>
        <v>80</v>
      </c>
      <c r="D16">
        <f>_xlfn.XLOOKUP(B16,RESULTADOS_14!D:D,RESULTADOS_14!L:L,0,0,1)</f>
        <v>17.5</v>
      </c>
      <c r="E16">
        <f>_xlfn.XLOOKUP(B16,RESULTADOS_14!D:D,RESULTADOS_14!I:I,0,0,1)</f>
        <v>4</v>
      </c>
      <c r="F16">
        <f>_xlfn.XLOOKUP(B16,RESULTADOS_14!D:D,RESULTADOS_14!F:F,0,0,1)</f>
        <v>6.74</v>
      </c>
      <c r="G16">
        <f>_xlfn.XLOOKUP(B16,RESULTADOS_14!D:D,RESULTADOS_14!M:M,0,0,1)</f>
        <v>1</v>
      </c>
      <c r="I16">
        <v>1.740016</v>
      </c>
    </row>
    <row r="17" spans="1:9" x14ac:dyDescent="0.3">
      <c r="A17" t="s">
        <v>55</v>
      </c>
      <c r="B17">
        <v>10.809799999999999</v>
      </c>
      <c r="C17">
        <f>_xlfn.XLOOKUP(B17,RESULTADOS_15!D:D,RESULTADOS_15!B:B,0,0,1)</f>
        <v>85</v>
      </c>
      <c r="D17">
        <f>_xlfn.XLOOKUP(B17,RESULTADOS_15!D:D,RESULTADOS_15!L:L,0,0,1)</f>
        <v>18.5</v>
      </c>
      <c r="E17">
        <f>_xlfn.XLOOKUP(B17,RESULTADOS_15!D:D,RESULTADOS_15!I:I,0,0,1)</f>
        <v>4</v>
      </c>
      <c r="F17">
        <f>_xlfn.XLOOKUP(B17,RESULTADOS_15!D:D,RESULTADOS_15!F:F,0,0,1)</f>
        <v>6.74</v>
      </c>
      <c r="G17">
        <f>_xlfn.XLOOKUP(B17,RESULTADOS_15!D:D,RESULTADOS_15!M:M,0,0,1)</f>
        <v>2</v>
      </c>
      <c r="I17">
        <v>1.7295679999999998</v>
      </c>
    </row>
    <row r="18" spans="1:9" x14ac:dyDescent="0.3">
      <c r="A18" t="s">
        <v>56</v>
      </c>
      <c r="B18">
        <v>10.750400000000001</v>
      </c>
      <c r="C18">
        <f>_xlfn.XLOOKUP(B18,RESULTADOS_16!D:D,RESULTADOS_16!B:B,0,0,1)</f>
        <v>90</v>
      </c>
      <c r="D18">
        <f>_xlfn.XLOOKUP(B18,RESULTADOS_16!D:D,RESULTADOS_16!L:L,0,0,1)</f>
        <v>22</v>
      </c>
      <c r="E18">
        <f>_xlfn.XLOOKUP(B18,RESULTADOS_16!D:D,RESULTADOS_16!I:I,0,0,1)</f>
        <v>4</v>
      </c>
      <c r="F18">
        <f>_xlfn.XLOOKUP(B18,RESULTADOS_16!D:D,RESULTADOS_16!F:F,0,0,1)</f>
        <v>6.74</v>
      </c>
      <c r="G18">
        <f>_xlfn.XLOOKUP(B18,RESULTADOS_16!D:D,RESULTADOS_16!M:M,0,0,1)</f>
        <v>1</v>
      </c>
      <c r="I18">
        <v>1.720064</v>
      </c>
    </row>
    <row r="19" spans="1:9" x14ac:dyDescent="0.3">
      <c r="A19" t="s">
        <v>57</v>
      </c>
      <c r="B19">
        <v>10.694900000000001</v>
      </c>
      <c r="C19">
        <f>_xlfn.XLOOKUP(B19,RESULTADOS_17!D:D,RESULTADOS_17!B:B,0,0,1)</f>
        <v>95</v>
      </c>
      <c r="D19">
        <f>_xlfn.XLOOKUP(B19,RESULTADOS_17!D:D,RESULTADOS_17!L:L,0,0,1)</f>
        <v>23.25</v>
      </c>
      <c r="E19">
        <f>_xlfn.XLOOKUP(B19,RESULTADOS_17!D:D,RESULTADOS_17!I:I,0,0,1)</f>
        <v>4</v>
      </c>
      <c r="F19">
        <f>_xlfn.XLOOKUP(B19,RESULTADOS_17!D:D,RESULTADOS_17!F:F,0,0,1)</f>
        <v>6.73</v>
      </c>
      <c r="G19">
        <f>_xlfn.XLOOKUP(B19,RESULTADOS_17!D:D,RESULTADOS_17!M:M,0,0,1)</f>
        <v>2</v>
      </c>
      <c r="I19">
        <v>1.711184</v>
      </c>
    </row>
    <row r="20" spans="1:9" x14ac:dyDescent="0.3">
      <c r="A20" t="s">
        <v>58</v>
      </c>
      <c r="B20">
        <v>10.630100000000001</v>
      </c>
      <c r="C20">
        <f>_xlfn.XLOOKUP(B20,RESULTADOS_18!D:D,RESULTADOS_18!B:B,0,0,1)</f>
        <v>100</v>
      </c>
      <c r="D20">
        <f>_xlfn.XLOOKUP(B20,RESULTADOS_18!D:D,RESULTADOS_18!L:L,0,0,1)</f>
        <v>24.75</v>
      </c>
      <c r="E20">
        <f>_xlfn.XLOOKUP(B20,RESULTADOS_18!D:D,RESULTADOS_18!I:I,0,0,1)</f>
        <v>4</v>
      </c>
      <c r="F20">
        <f>_xlfn.XLOOKUP(B20,RESULTADOS_18!D:D,RESULTADOS_18!F:F,0,0,1)</f>
        <v>6.74</v>
      </c>
      <c r="G20">
        <f>_xlfn.XLOOKUP(B20,RESULTADOS_18!D:D,RESULTADOS_18!M:M,0,0,1)</f>
        <v>2</v>
      </c>
      <c r="I20">
        <v>1.7008160000000001</v>
      </c>
    </row>
    <row r="21" spans="1:9" x14ac:dyDescent="0.3">
      <c r="A21" t="s">
        <v>59</v>
      </c>
      <c r="B21">
        <v>10.629799999999999</v>
      </c>
      <c r="C21">
        <f>_xlfn.XLOOKUP(B21,RESULTADOS_19!D:D,RESULTADOS_19!B:B,0,0,1)</f>
        <v>105</v>
      </c>
      <c r="D21">
        <f>_xlfn.XLOOKUP(B21,RESULTADOS_19!D:D,RESULTADOS_19!L:L,0,0,1)</f>
        <v>28.75</v>
      </c>
      <c r="E21">
        <f>_xlfn.XLOOKUP(B21,RESULTADOS_19!D:D,RESULTADOS_19!I:I,0,0,1)</f>
        <v>3</v>
      </c>
      <c r="F21">
        <f>_xlfn.XLOOKUP(B21,RESULTADOS_19!D:D,RESULTADOS_19!F:F,0,0,1)</f>
        <v>6.72</v>
      </c>
      <c r="G21">
        <f>_xlfn.XLOOKUP(B21,RESULTADOS_19!D:D,RESULTADOS_19!M:M,0,0,1)</f>
        <v>0</v>
      </c>
      <c r="I21">
        <v>1.7007679999999998</v>
      </c>
    </row>
    <row r="22" spans="1:9" x14ac:dyDescent="0.3">
      <c r="A22" t="s">
        <v>60</v>
      </c>
      <c r="B22">
        <v>10.574199999999999</v>
      </c>
      <c r="C22">
        <f>_xlfn.XLOOKUP(B22,RESULTADOS_20!D:D,RESULTADOS_20!B:B,0,0,1)</f>
        <v>110</v>
      </c>
      <c r="D22">
        <f>_xlfn.XLOOKUP(B22,RESULTADOS_20!D:D,RESULTADOS_20!L:L,0,0,1)</f>
        <v>29.75</v>
      </c>
      <c r="E22">
        <f>_xlfn.XLOOKUP(B22,RESULTADOS_20!D:D,RESULTADOS_20!I:I,0,0,1)</f>
        <v>3</v>
      </c>
      <c r="F22">
        <f>_xlfn.XLOOKUP(B22,RESULTADOS_20!D:D,RESULTADOS_20!F:F,0,0,1)</f>
        <v>6.72</v>
      </c>
      <c r="G22">
        <f>_xlfn.XLOOKUP(B22,RESULTADOS_20!D:D,RESULTADOS_20!M:M,0,0,1)</f>
        <v>1</v>
      </c>
      <c r="I22">
        <v>1.6918719999999998</v>
      </c>
    </row>
    <row r="23" spans="1:9" x14ac:dyDescent="0.3">
      <c r="A23" t="s">
        <v>61</v>
      </c>
      <c r="B23">
        <v>10.5159</v>
      </c>
      <c r="C23">
        <f>_xlfn.XLOOKUP(B23,RESULTADOS_21!D:D,RESULTADOS_21!B:B,0,0,1)</f>
        <v>115</v>
      </c>
      <c r="D23">
        <f>_xlfn.XLOOKUP(B23,RESULTADOS_21!D:D,RESULTADOS_21!L:L,0,0,1)</f>
        <v>31.25</v>
      </c>
      <c r="E23">
        <f>_xlfn.XLOOKUP(B23,RESULTADOS_21!D:D,RESULTADOS_21!I:I,0,0,1)</f>
        <v>3</v>
      </c>
      <c r="F23">
        <f>_xlfn.XLOOKUP(B23,RESULTADOS_21!D:D,RESULTADOS_21!F:F,0,0,1)</f>
        <v>6.72</v>
      </c>
      <c r="G23">
        <f>_xlfn.XLOOKUP(B23,RESULTADOS_21!D:D,RESULTADOS_21!M:M,0,0,1)</f>
        <v>1</v>
      </c>
      <c r="I23">
        <v>1.682544</v>
      </c>
    </row>
    <row r="24" spans="1:9" x14ac:dyDescent="0.3">
      <c r="A24" t="s">
        <v>62</v>
      </c>
      <c r="B24">
        <v>10.459</v>
      </c>
      <c r="C24">
        <f>_xlfn.XLOOKUP(B24,RESULTADOS_22!D:D,RESULTADOS_22!B:B,0,0,1)</f>
        <v>120</v>
      </c>
      <c r="D24">
        <f>_xlfn.XLOOKUP(B24,RESULTADOS_22!D:D,RESULTADOS_22!L:L,0,0,1)</f>
        <v>32.5</v>
      </c>
      <c r="E24">
        <f>_xlfn.XLOOKUP(B24,RESULTADOS_22!D:D,RESULTADOS_22!I:I,0,0,1)</f>
        <v>3</v>
      </c>
      <c r="F24">
        <f>_xlfn.XLOOKUP(B24,RESULTADOS_22!D:D,RESULTADOS_22!F:F,0,0,1)</f>
        <v>6.72</v>
      </c>
      <c r="G24">
        <f>_xlfn.XLOOKUP(B24,RESULTADOS_22!D:D,RESULTADOS_22!M:M,0,0,1)</f>
        <v>1</v>
      </c>
      <c r="I24">
        <v>1.67344</v>
      </c>
    </row>
    <row r="25" spans="1:9" x14ac:dyDescent="0.3">
      <c r="A25" t="s">
        <v>63</v>
      </c>
      <c r="B25">
        <v>10.401300000000001</v>
      </c>
      <c r="C25">
        <f>_xlfn.XLOOKUP(B25,RESULTADOS_23!D:D,RESULTADOS_23!B:B,0,0,1)</f>
        <v>125</v>
      </c>
      <c r="D25">
        <f>_xlfn.XLOOKUP(B25,RESULTADOS_23!D:D,RESULTADOS_23!L:L,0,0,1)</f>
        <v>34</v>
      </c>
      <c r="E25">
        <f>_xlfn.XLOOKUP(B25,RESULTADOS_23!D:D,RESULTADOS_23!I:I,0,0,1)</f>
        <v>3</v>
      </c>
      <c r="F25">
        <f>_xlfn.XLOOKUP(B25,RESULTADOS_23!D:D,RESULTADOS_23!F:F,0,0,1)</f>
        <v>6.72</v>
      </c>
      <c r="G25">
        <f>_xlfn.XLOOKUP(B25,RESULTADOS_23!D:D,RESULTADOS_23!M:M,0,0,1)</f>
        <v>1</v>
      </c>
      <c r="I25">
        <v>1.6642080000000001</v>
      </c>
    </row>
    <row r="26" spans="1:9" x14ac:dyDescent="0.3">
      <c r="A26" t="s">
        <v>64</v>
      </c>
      <c r="B26">
        <v>10.3439</v>
      </c>
      <c r="C26">
        <f>_xlfn.XLOOKUP(B26,RESULTADOS_24!D:D,RESULTADOS_24!B:B,0,0,1)</f>
        <v>130</v>
      </c>
      <c r="D26">
        <f>_xlfn.XLOOKUP(B26,RESULTADOS_24!D:D,RESULTADOS_24!L:L,0,0,1)</f>
        <v>35.5</v>
      </c>
      <c r="E26">
        <f>_xlfn.XLOOKUP(B26,RESULTADOS_24!D:D,RESULTADOS_24!I:I,0,0,1)</f>
        <v>3</v>
      </c>
      <c r="F26">
        <f>_xlfn.XLOOKUP(B26,RESULTADOS_24!D:D,RESULTADOS_24!F:F,0,0,1)</f>
        <v>6.72</v>
      </c>
      <c r="G26">
        <f>_xlfn.XLOOKUP(B26,RESULTADOS_24!D:D,RESULTADOS_24!M:M,0,0,1)</f>
        <v>1</v>
      </c>
      <c r="I26">
        <v>1.6550240000000001</v>
      </c>
    </row>
    <row r="27" spans="1:9" x14ac:dyDescent="0.3">
      <c r="A27" t="s">
        <v>65</v>
      </c>
      <c r="B27">
        <v>10.2872</v>
      </c>
      <c r="C27">
        <f>_xlfn.XLOOKUP(B27,RESULTADOS_25!D:D,RESULTADOS_25!B:B,0,0,1)</f>
        <v>135</v>
      </c>
      <c r="D27">
        <f>_xlfn.XLOOKUP(B27,RESULTADOS_25!D:D,RESULTADOS_25!L:L,0,0,1)</f>
        <v>38.75</v>
      </c>
      <c r="E27">
        <f>_xlfn.XLOOKUP(B27,RESULTADOS_25!D:D,RESULTADOS_25!I:I,0,0,1)</f>
        <v>3</v>
      </c>
      <c r="F27">
        <f>_xlfn.XLOOKUP(B27,RESULTADOS_25!D:D,RESULTADOS_25!F:F,0,0,1)</f>
        <v>6.72</v>
      </c>
      <c r="G27">
        <f>_xlfn.XLOOKUP(B27,RESULTADOS_25!D:D,RESULTADOS_25!M:M,0,0,1)</f>
        <v>1</v>
      </c>
      <c r="I27">
        <v>1.6459520000000001</v>
      </c>
    </row>
    <row r="28" spans="1:9" x14ac:dyDescent="0.3">
      <c r="A28" t="s">
        <v>66</v>
      </c>
      <c r="B28">
        <v>10.2296</v>
      </c>
      <c r="C28">
        <f>_xlfn.XLOOKUP(B28,RESULTADOS_26!D:D,RESULTADOS_26!B:B,0,0,1)</f>
        <v>140</v>
      </c>
      <c r="D28">
        <f>_xlfn.XLOOKUP(B28,RESULTADOS_26!D:D,RESULTADOS_26!L:L,0,0,1)</f>
        <v>39</v>
      </c>
      <c r="E28">
        <f>_xlfn.XLOOKUP(B28,RESULTADOS_26!D:D,RESULTADOS_26!I:I,0,0,1)</f>
        <v>3</v>
      </c>
      <c r="F28">
        <f>_xlfn.XLOOKUP(B28,RESULTADOS_26!D:D,RESULTADOS_26!F:F,0,0,1)</f>
        <v>6.72</v>
      </c>
      <c r="G28">
        <f>_xlfn.XLOOKUP(B28,RESULTADOS_26!D:D,RESULTADOS_26!M:M,0,0,1)</f>
        <v>1</v>
      </c>
      <c r="I28">
        <v>1.636736</v>
      </c>
    </row>
    <row r="29" spans="1:9" x14ac:dyDescent="0.3">
      <c r="A29" t="s">
        <v>67</v>
      </c>
      <c r="B29">
        <v>10.102399999999999</v>
      </c>
      <c r="C29">
        <f>_xlfn.XLOOKUP(B29,RESULTADOS_27!D:D,RESULTADOS_27!B:B,0,0,1)</f>
        <v>145</v>
      </c>
      <c r="D29">
        <f>_xlfn.XLOOKUP(B29,RESULTADOS_27!D:D,RESULTADOS_27!L:L,0,0,1)</f>
        <v>35.75</v>
      </c>
      <c r="E29">
        <f>_xlfn.XLOOKUP(B29,RESULTADOS_27!D:D,RESULTADOS_27!I:I,0,0,1)</f>
        <v>4</v>
      </c>
      <c r="F29">
        <f>_xlfn.XLOOKUP(B29,RESULTADOS_27!D:D,RESULTADOS_27!F:F,0,0,1)</f>
        <v>6.73</v>
      </c>
      <c r="G29">
        <f>_xlfn.XLOOKUP(B29,RESULTADOS_27!D:D,RESULTADOS_27!M:M,0,0,1)</f>
        <v>2</v>
      </c>
      <c r="I29">
        <v>1.6163839999999998</v>
      </c>
    </row>
    <row r="30" spans="1:9" x14ac:dyDescent="0.3">
      <c r="A30" t="s">
        <v>68</v>
      </c>
      <c r="B30">
        <v>10.046900000000001</v>
      </c>
      <c r="C30">
        <f>_xlfn.XLOOKUP(B30,RESULTADOS_28!D:D,RESULTADOS_28!B:B,0,0,1)</f>
        <v>150</v>
      </c>
      <c r="D30">
        <f>_xlfn.XLOOKUP(B30,RESULTADOS_28!D:D,RESULTADOS_28!L:L,0,0,1)</f>
        <v>37.25</v>
      </c>
      <c r="E30">
        <f>_xlfn.XLOOKUP(B30,RESULTADOS_28!D:D,RESULTADOS_28!I:I,0,0,1)</f>
        <v>4</v>
      </c>
      <c r="F30">
        <f>_xlfn.XLOOKUP(B30,RESULTADOS_28!D:D,RESULTADOS_28!F:F,0,0,1)</f>
        <v>6.73</v>
      </c>
      <c r="G30">
        <f>_xlfn.XLOOKUP(B30,RESULTADOS_28!D:D,RESULTADOS_28!M:M,0,0,1)</f>
        <v>2</v>
      </c>
      <c r="I30">
        <v>1.607504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 codeName="Planilha31"/>
  <dimension ref="A1:C2295"/>
  <sheetViews>
    <sheetView workbookViewId="0"/>
  </sheetViews>
  <sheetFormatPr defaultRowHeight="14.4" x14ac:dyDescent="0.3"/>
  <sheetData>
    <row r="1" spans="1:3" x14ac:dyDescent="0.3">
      <c r="A1" t="s">
        <v>27</v>
      </c>
    </row>
    <row r="2" spans="1:3" x14ac:dyDescent="0.3">
      <c r="A2" t="s">
        <v>28</v>
      </c>
    </row>
    <row r="3" spans="1:3" x14ac:dyDescent="0.3">
      <c r="A3" t="s">
        <v>29</v>
      </c>
    </row>
    <row r="6" spans="1:3" x14ac:dyDescent="0.3">
      <c r="A6" t="s">
        <v>30</v>
      </c>
      <c r="B6" t="s">
        <v>31</v>
      </c>
      <c r="C6" t="s">
        <v>32</v>
      </c>
    </row>
    <row r="7" spans="1:3" x14ac:dyDescent="0.3">
      <c r="A7" t="e">
        <f>INDEX(resultados!$A$2:$ZZ$2290, 1, MATCH($B$1, resultados!$A$1:$ZZ$1, 0))</f>
        <v>#N/A</v>
      </c>
      <c r="B7" t="e">
        <f>INDEX(resultados!$A$2:$ZZ$2290, 1, MATCH($B$2, resultados!$A$1:$ZZ$1, 0))</f>
        <v>#N/A</v>
      </c>
      <c r="C7" t="e">
        <f>INDEX(resultados!$A$2:$ZZ$2290, 1, MATCH($B$3, resultados!$A$1:$ZZ$1, 0))</f>
        <v>#N/A</v>
      </c>
    </row>
    <row r="8" spans="1:3" x14ac:dyDescent="0.3">
      <c r="A8" t="e">
        <f>INDEX(resultados!$A$2:$ZZ$2290, 2, MATCH($B$1, resultados!$A$1:$ZZ$1, 0))</f>
        <v>#N/A</v>
      </c>
      <c r="B8" t="e">
        <f>INDEX(resultados!$A$2:$ZZ$2290, 2, MATCH($B$2, resultados!$A$1:$ZZ$1, 0))</f>
        <v>#N/A</v>
      </c>
      <c r="C8" t="e">
        <f>INDEX(resultados!$A$2:$ZZ$2290, 2, MATCH($B$3, resultados!$A$1:$ZZ$1, 0))</f>
        <v>#N/A</v>
      </c>
    </row>
    <row r="9" spans="1:3" x14ac:dyDescent="0.3">
      <c r="A9" t="e">
        <f>INDEX(resultados!$A$2:$ZZ$2290, 3, MATCH($B$1, resultados!$A$1:$ZZ$1, 0))</f>
        <v>#N/A</v>
      </c>
      <c r="B9" t="e">
        <f>INDEX(resultados!$A$2:$ZZ$2290, 3, MATCH($B$2, resultados!$A$1:$ZZ$1, 0))</f>
        <v>#N/A</v>
      </c>
      <c r="C9" t="e">
        <f>INDEX(resultados!$A$2:$ZZ$2290, 3, MATCH($B$3, resultados!$A$1:$ZZ$1, 0))</f>
        <v>#N/A</v>
      </c>
    </row>
    <row r="10" spans="1:3" x14ac:dyDescent="0.3">
      <c r="A10" t="e">
        <f>INDEX(resultados!$A$2:$ZZ$2290, 4, MATCH($B$1, resultados!$A$1:$ZZ$1, 0))</f>
        <v>#N/A</v>
      </c>
      <c r="B10" t="e">
        <f>INDEX(resultados!$A$2:$ZZ$2290, 4, MATCH($B$2, resultados!$A$1:$ZZ$1, 0))</f>
        <v>#N/A</v>
      </c>
      <c r="C10" t="e">
        <f>INDEX(resultados!$A$2:$ZZ$2290, 4, MATCH($B$3, resultados!$A$1:$ZZ$1, 0))</f>
        <v>#N/A</v>
      </c>
    </row>
    <row r="11" spans="1:3" x14ac:dyDescent="0.3">
      <c r="A11" t="e">
        <f>INDEX(resultados!$A$2:$ZZ$2290, 5, MATCH($B$1, resultados!$A$1:$ZZ$1, 0))</f>
        <v>#N/A</v>
      </c>
      <c r="B11" t="e">
        <f>INDEX(resultados!$A$2:$ZZ$2290, 5, MATCH($B$2, resultados!$A$1:$ZZ$1, 0))</f>
        <v>#N/A</v>
      </c>
      <c r="C11" t="e">
        <f>INDEX(resultados!$A$2:$ZZ$2290, 5, MATCH($B$3, resultados!$A$1:$ZZ$1, 0))</f>
        <v>#N/A</v>
      </c>
    </row>
    <row r="12" spans="1:3" x14ac:dyDescent="0.3">
      <c r="A12" t="e">
        <f>INDEX(resultados!$A$2:$ZZ$2290, 6, MATCH($B$1, resultados!$A$1:$ZZ$1, 0))</f>
        <v>#N/A</v>
      </c>
      <c r="B12" t="e">
        <f>INDEX(resultados!$A$2:$ZZ$2290, 6, MATCH($B$2, resultados!$A$1:$ZZ$1, 0))</f>
        <v>#N/A</v>
      </c>
      <c r="C12" t="e">
        <f>INDEX(resultados!$A$2:$ZZ$2290, 6, MATCH($B$3, resultados!$A$1:$ZZ$1, 0))</f>
        <v>#N/A</v>
      </c>
    </row>
    <row r="13" spans="1:3" x14ac:dyDescent="0.3">
      <c r="A13" t="e">
        <f>INDEX(resultados!$A$2:$ZZ$2290, 7, MATCH($B$1, resultados!$A$1:$ZZ$1, 0))</f>
        <v>#N/A</v>
      </c>
      <c r="B13" t="e">
        <f>INDEX(resultados!$A$2:$ZZ$2290, 7, MATCH($B$2, resultados!$A$1:$ZZ$1, 0))</f>
        <v>#N/A</v>
      </c>
      <c r="C13" t="e">
        <f>INDEX(resultados!$A$2:$ZZ$2290, 7, MATCH($B$3, resultados!$A$1:$ZZ$1, 0))</f>
        <v>#N/A</v>
      </c>
    </row>
    <row r="14" spans="1:3" x14ac:dyDescent="0.3">
      <c r="A14" t="e">
        <f>INDEX(resultados!$A$2:$ZZ$2290, 8, MATCH($B$1, resultados!$A$1:$ZZ$1, 0))</f>
        <v>#N/A</v>
      </c>
      <c r="B14" t="e">
        <f>INDEX(resultados!$A$2:$ZZ$2290, 8, MATCH($B$2, resultados!$A$1:$ZZ$1, 0))</f>
        <v>#N/A</v>
      </c>
      <c r="C14" t="e">
        <f>INDEX(resultados!$A$2:$ZZ$2290, 8, MATCH($B$3, resultados!$A$1:$ZZ$1, 0))</f>
        <v>#N/A</v>
      </c>
    </row>
    <row r="15" spans="1:3" x14ac:dyDescent="0.3">
      <c r="A15" t="e">
        <f>INDEX(resultados!$A$2:$ZZ$2290, 9, MATCH($B$1, resultados!$A$1:$ZZ$1, 0))</f>
        <v>#N/A</v>
      </c>
      <c r="B15" t="e">
        <f>INDEX(resultados!$A$2:$ZZ$2290, 9, MATCH($B$2, resultados!$A$1:$ZZ$1, 0))</f>
        <v>#N/A</v>
      </c>
      <c r="C15" t="e">
        <f>INDEX(resultados!$A$2:$ZZ$2290, 9, MATCH($B$3, resultados!$A$1:$ZZ$1, 0))</f>
        <v>#N/A</v>
      </c>
    </row>
    <row r="16" spans="1:3" x14ac:dyDescent="0.3">
      <c r="A16" t="e">
        <f>INDEX(resultados!$A$2:$ZZ$2290, 10, MATCH($B$1, resultados!$A$1:$ZZ$1, 0))</f>
        <v>#N/A</v>
      </c>
      <c r="B16" t="e">
        <f>INDEX(resultados!$A$2:$ZZ$2290, 10, MATCH($B$2, resultados!$A$1:$ZZ$1, 0))</f>
        <v>#N/A</v>
      </c>
      <c r="C16" t="e">
        <f>INDEX(resultados!$A$2:$ZZ$2290, 10, MATCH($B$3, resultados!$A$1:$ZZ$1, 0))</f>
        <v>#N/A</v>
      </c>
    </row>
    <row r="17" spans="1:3" x14ac:dyDescent="0.3">
      <c r="A17" t="e">
        <f>INDEX(resultados!$A$2:$ZZ$2290, 11, MATCH($B$1, resultados!$A$1:$ZZ$1, 0))</f>
        <v>#N/A</v>
      </c>
      <c r="B17" t="e">
        <f>INDEX(resultados!$A$2:$ZZ$2290, 11, MATCH($B$2, resultados!$A$1:$ZZ$1, 0))</f>
        <v>#N/A</v>
      </c>
      <c r="C17" t="e">
        <f>INDEX(resultados!$A$2:$ZZ$2290, 11, MATCH($B$3, resultados!$A$1:$ZZ$1, 0))</f>
        <v>#N/A</v>
      </c>
    </row>
    <row r="18" spans="1:3" x14ac:dyDescent="0.3">
      <c r="A18" t="e">
        <f>INDEX(resultados!$A$2:$ZZ$2290, 12, MATCH($B$1, resultados!$A$1:$ZZ$1, 0))</f>
        <v>#N/A</v>
      </c>
      <c r="B18" t="e">
        <f>INDEX(resultados!$A$2:$ZZ$2290, 12, MATCH($B$2, resultados!$A$1:$ZZ$1, 0))</f>
        <v>#N/A</v>
      </c>
      <c r="C18" t="e">
        <f>INDEX(resultados!$A$2:$ZZ$2290, 12, MATCH($B$3, resultados!$A$1:$ZZ$1, 0))</f>
        <v>#N/A</v>
      </c>
    </row>
    <row r="19" spans="1:3" x14ac:dyDescent="0.3">
      <c r="A19" t="e">
        <f>INDEX(resultados!$A$2:$ZZ$2290, 13, MATCH($B$1, resultados!$A$1:$ZZ$1, 0))</f>
        <v>#N/A</v>
      </c>
      <c r="B19" t="e">
        <f>INDEX(resultados!$A$2:$ZZ$2290, 13, MATCH($B$2, resultados!$A$1:$ZZ$1, 0))</f>
        <v>#N/A</v>
      </c>
      <c r="C19" t="e">
        <f>INDEX(resultados!$A$2:$ZZ$2290, 13, MATCH($B$3, resultados!$A$1:$ZZ$1, 0))</f>
        <v>#N/A</v>
      </c>
    </row>
    <row r="20" spans="1:3" x14ac:dyDescent="0.3">
      <c r="A20" t="e">
        <f>INDEX(resultados!$A$2:$ZZ$2290, 14, MATCH($B$1, resultados!$A$1:$ZZ$1, 0))</f>
        <v>#N/A</v>
      </c>
      <c r="B20" t="e">
        <f>INDEX(resultados!$A$2:$ZZ$2290, 14, MATCH($B$2, resultados!$A$1:$ZZ$1, 0))</f>
        <v>#N/A</v>
      </c>
      <c r="C20" t="e">
        <f>INDEX(resultados!$A$2:$ZZ$2290, 14, MATCH($B$3, resultados!$A$1:$ZZ$1, 0))</f>
        <v>#N/A</v>
      </c>
    </row>
    <row r="21" spans="1:3" x14ac:dyDescent="0.3">
      <c r="A21" t="e">
        <f>INDEX(resultados!$A$2:$ZZ$2290, 15, MATCH($B$1, resultados!$A$1:$ZZ$1, 0))</f>
        <v>#N/A</v>
      </c>
      <c r="B21" t="e">
        <f>INDEX(resultados!$A$2:$ZZ$2290, 15, MATCH($B$2, resultados!$A$1:$ZZ$1, 0))</f>
        <v>#N/A</v>
      </c>
      <c r="C21" t="e">
        <f>INDEX(resultados!$A$2:$ZZ$2290, 15, MATCH($B$3, resultados!$A$1:$ZZ$1, 0))</f>
        <v>#N/A</v>
      </c>
    </row>
    <row r="22" spans="1:3" x14ac:dyDescent="0.3">
      <c r="A22" t="e">
        <f>INDEX(resultados!$A$2:$ZZ$2290, 16, MATCH($B$1, resultados!$A$1:$ZZ$1, 0))</f>
        <v>#N/A</v>
      </c>
      <c r="B22" t="e">
        <f>INDEX(resultados!$A$2:$ZZ$2290, 16, MATCH($B$2, resultados!$A$1:$ZZ$1, 0))</f>
        <v>#N/A</v>
      </c>
      <c r="C22" t="e">
        <f>INDEX(resultados!$A$2:$ZZ$2290, 16, MATCH($B$3, resultados!$A$1:$ZZ$1, 0))</f>
        <v>#N/A</v>
      </c>
    </row>
    <row r="23" spans="1:3" x14ac:dyDescent="0.3">
      <c r="A23" t="e">
        <f>INDEX(resultados!$A$2:$ZZ$2290, 17, MATCH($B$1, resultados!$A$1:$ZZ$1, 0))</f>
        <v>#N/A</v>
      </c>
      <c r="B23" t="e">
        <f>INDEX(resultados!$A$2:$ZZ$2290, 17, MATCH($B$2, resultados!$A$1:$ZZ$1, 0))</f>
        <v>#N/A</v>
      </c>
      <c r="C23" t="e">
        <f>INDEX(resultados!$A$2:$ZZ$2290, 17, MATCH($B$3, resultados!$A$1:$ZZ$1, 0))</f>
        <v>#N/A</v>
      </c>
    </row>
    <row r="24" spans="1:3" x14ac:dyDescent="0.3">
      <c r="A24" t="e">
        <f>INDEX(resultados!$A$2:$ZZ$2290, 18, MATCH($B$1, resultados!$A$1:$ZZ$1, 0))</f>
        <v>#N/A</v>
      </c>
      <c r="B24" t="e">
        <f>INDEX(resultados!$A$2:$ZZ$2290, 18, MATCH($B$2, resultados!$A$1:$ZZ$1, 0))</f>
        <v>#N/A</v>
      </c>
      <c r="C24" t="e">
        <f>INDEX(resultados!$A$2:$ZZ$2290, 18, MATCH($B$3, resultados!$A$1:$ZZ$1, 0))</f>
        <v>#N/A</v>
      </c>
    </row>
    <row r="25" spans="1:3" x14ac:dyDescent="0.3">
      <c r="A25" t="e">
        <f>INDEX(resultados!$A$2:$ZZ$2290, 19, MATCH($B$1, resultados!$A$1:$ZZ$1, 0))</f>
        <v>#N/A</v>
      </c>
      <c r="B25" t="e">
        <f>INDEX(resultados!$A$2:$ZZ$2290, 19, MATCH($B$2, resultados!$A$1:$ZZ$1, 0))</f>
        <v>#N/A</v>
      </c>
      <c r="C25" t="e">
        <f>INDEX(resultados!$A$2:$ZZ$2290, 19, MATCH($B$3, resultados!$A$1:$ZZ$1, 0))</f>
        <v>#N/A</v>
      </c>
    </row>
    <row r="26" spans="1:3" x14ac:dyDescent="0.3">
      <c r="A26" t="e">
        <f>INDEX(resultados!$A$2:$ZZ$2290, 20, MATCH($B$1, resultados!$A$1:$ZZ$1, 0))</f>
        <v>#N/A</v>
      </c>
      <c r="B26" t="e">
        <f>INDEX(resultados!$A$2:$ZZ$2290, 20, MATCH($B$2, resultados!$A$1:$ZZ$1, 0))</f>
        <v>#N/A</v>
      </c>
      <c r="C26" t="e">
        <f>INDEX(resultados!$A$2:$ZZ$2290, 20, MATCH($B$3, resultados!$A$1:$ZZ$1, 0))</f>
        <v>#N/A</v>
      </c>
    </row>
    <row r="27" spans="1:3" x14ac:dyDescent="0.3">
      <c r="A27" t="e">
        <f>INDEX(resultados!$A$2:$ZZ$2290, 21, MATCH($B$1, resultados!$A$1:$ZZ$1, 0))</f>
        <v>#N/A</v>
      </c>
      <c r="B27" t="e">
        <f>INDEX(resultados!$A$2:$ZZ$2290, 21, MATCH($B$2, resultados!$A$1:$ZZ$1, 0))</f>
        <v>#N/A</v>
      </c>
      <c r="C27" t="e">
        <f>INDEX(resultados!$A$2:$ZZ$2290, 21, MATCH($B$3, resultados!$A$1:$ZZ$1, 0))</f>
        <v>#N/A</v>
      </c>
    </row>
    <row r="28" spans="1:3" x14ac:dyDescent="0.3">
      <c r="A28" t="e">
        <f>INDEX(resultados!$A$2:$ZZ$2290, 22, MATCH($B$1, resultados!$A$1:$ZZ$1, 0))</f>
        <v>#N/A</v>
      </c>
      <c r="B28" t="e">
        <f>INDEX(resultados!$A$2:$ZZ$2290, 22, MATCH($B$2, resultados!$A$1:$ZZ$1, 0))</f>
        <v>#N/A</v>
      </c>
      <c r="C28" t="e">
        <f>INDEX(resultados!$A$2:$ZZ$2290, 22, MATCH($B$3, resultados!$A$1:$ZZ$1, 0))</f>
        <v>#N/A</v>
      </c>
    </row>
    <row r="29" spans="1:3" x14ac:dyDescent="0.3">
      <c r="A29" t="e">
        <f>INDEX(resultados!$A$2:$ZZ$2290, 23, MATCH($B$1, resultados!$A$1:$ZZ$1, 0))</f>
        <v>#N/A</v>
      </c>
      <c r="B29" t="e">
        <f>INDEX(resultados!$A$2:$ZZ$2290, 23, MATCH($B$2, resultados!$A$1:$ZZ$1, 0))</f>
        <v>#N/A</v>
      </c>
      <c r="C29" t="e">
        <f>INDEX(resultados!$A$2:$ZZ$2290, 23, MATCH($B$3, resultados!$A$1:$ZZ$1, 0))</f>
        <v>#N/A</v>
      </c>
    </row>
    <row r="30" spans="1:3" x14ac:dyDescent="0.3">
      <c r="A30" t="e">
        <f>INDEX(resultados!$A$2:$ZZ$2290, 24, MATCH($B$1, resultados!$A$1:$ZZ$1, 0))</f>
        <v>#N/A</v>
      </c>
      <c r="B30" t="e">
        <f>INDEX(resultados!$A$2:$ZZ$2290, 24, MATCH($B$2, resultados!$A$1:$ZZ$1, 0))</f>
        <v>#N/A</v>
      </c>
      <c r="C30" t="e">
        <f>INDEX(resultados!$A$2:$ZZ$2290, 24, MATCH($B$3, resultados!$A$1:$ZZ$1, 0))</f>
        <v>#N/A</v>
      </c>
    </row>
    <row r="31" spans="1:3" x14ac:dyDescent="0.3">
      <c r="A31" t="e">
        <f>INDEX(resultados!$A$2:$ZZ$2290, 25, MATCH($B$1, resultados!$A$1:$ZZ$1, 0))</f>
        <v>#N/A</v>
      </c>
      <c r="B31" t="e">
        <f>INDEX(resultados!$A$2:$ZZ$2290, 25, MATCH($B$2, resultados!$A$1:$ZZ$1, 0))</f>
        <v>#N/A</v>
      </c>
      <c r="C31" t="e">
        <f>INDEX(resultados!$A$2:$ZZ$2290, 25, MATCH($B$3, resultados!$A$1:$ZZ$1, 0))</f>
        <v>#N/A</v>
      </c>
    </row>
    <row r="32" spans="1:3" x14ac:dyDescent="0.3">
      <c r="A32" t="e">
        <f>INDEX(resultados!$A$2:$ZZ$2290, 26, MATCH($B$1, resultados!$A$1:$ZZ$1, 0))</f>
        <v>#N/A</v>
      </c>
      <c r="B32" t="e">
        <f>INDEX(resultados!$A$2:$ZZ$2290, 26, MATCH($B$2, resultados!$A$1:$ZZ$1, 0))</f>
        <v>#N/A</v>
      </c>
      <c r="C32" t="e">
        <f>INDEX(resultados!$A$2:$ZZ$2290, 26, MATCH($B$3, resultados!$A$1:$ZZ$1, 0))</f>
        <v>#N/A</v>
      </c>
    </row>
    <row r="33" spans="1:3" x14ac:dyDescent="0.3">
      <c r="A33" t="e">
        <f>INDEX(resultados!$A$2:$ZZ$2290, 27, MATCH($B$1, resultados!$A$1:$ZZ$1, 0))</f>
        <v>#N/A</v>
      </c>
      <c r="B33" t="e">
        <f>INDEX(resultados!$A$2:$ZZ$2290, 27, MATCH($B$2, resultados!$A$1:$ZZ$1, 0))</f>
        <v>#N/A</v>
      </c>
      <c r="C33" t="e">
        <f>INDEX(resultados!$A$2:$ZZ$2290, 27, MATCH($B$3, resultados!$A$1:$ZZ$1, 0))</f>
        <v>#N/A</v>
      </c>
    </row>
    <row r="34" spans="1:3" x14ac:dyDescent="0.3">
      <c r="A34" t="e">
        <f>INDEX(resultados!$A$2:$ZZ$2290, 28, MATCH($B$1, resultados!$A$1:$ZZ$1, 0))</f>
        <v>#N/A</v>
      </c>
      <c r="B34" t="e">
        <f>INDEX(resultados!$A$2:$ZZ$2290, 28, MATCH($B$2, resultados!$A$1:$ZZ$1, 0))</f>
        <v>#N/A</v>
      </c>
      <c r="C34" t="e">
        <f>INDEX(resultados!$A$2:$ZZ$2290, 28, MATCH($B$3, resultados!$A$1:$ZZ$1, 0))</f>
        <v>#N/A</v>
      </c>
    </row>
    <row r="35" spans="1:3" x14ac:dyDescent="0.3">
      <c r="A35" t="e">
        <f>INDEX(resultados!$A$2:$ZZ$2290, 29, MATCH($B$1, resultados!$A$1:$ZZ$1, 0))</f>
        <v>#N/A</v>
      </c>
      <c r="B35" t="e">
        <f>INDEX(resultados!$A$2:$ZZ$2290, 29, MATCH($B$2, resultados!$A$1:$ZZ$1, 0))</f>
        <v>#N/A</v>
      </c>
      <c r="C35" t="e">
        <f>INDEX(resultados!$A$2:$ZZ$2290, 29, MATCH($B$3, resultados!$A$1:$ZZ$1, 0))</f>
        <v>#N/A</v>
      </c>
    </row>
    <row r="36" spans="1:3" x14ac:dyDescent="0.3">
      <c r="A36" t="e">
        <f>INDEX(resultados!$A$2:$ZZ$2290, 30, MATCH($B$1, resultados!$A$1:$ZZ$1, 0))</f>
        <v>#N/A</v>
      </c>
      <c r="B36" t="e">
        <f>INDEX(resultados!$A$2:$ZZ$2290, 30, MATCH($B$2, resultados!$A$1:$ZZ$1, 0))</f>
        <v>#N/A</v>
      </c>
      <c r="C36" t="e">
        <f>INDEX(resultados!$A$2:$ZZ$2290, 30, MATCH($B$3, resultados!$A$1:$ZZ$1, 0))</f>
        <v>#N/A</v>
      </c>
    </row>
    <row r="37" spans="1:3" x14ac:dyDescent="0.3">
      <c r="A37" t="e">
        <f>INDEX(resultados!$A$2:$ZZ$2290, 31, MATCH($B$1, resultados!$A$1:$ZZ$1, 0))</f>
        <v>#N/A</v>
      </c>
      <c r="B37" t="e">
        <f>INDEX(resultados!$A$2:$ZZ$2290, 31, MATCH($B$2, resultados!$A$1:$ZZ$1, 0))</f>
        <v>#N/A</v>
      </c>
      <c r="C37" t="e">
        <f>INDEX(resultados!$A$2:$ZZ$2290, 31, MATCH($B$3, resultados!$A$1:$ZZ$1, 0))</f>
        <v>#N/A</v>
      </c>
    </row>
    <row r="38" spans="1:3" x14ac:dyDescent="0.3">
      <c r="A38" t="e">
        <f>INDEX(resultados!$A$2:$ZZ$2290, 32, MATCH($B$1, resultados!$A$1:$ZZ$1, 0))</f>
        <v>#N/A</v>
      </c>
      <c r="B38" t="e">
        <f>INDEX(resultados!$A$2:$ZZ$2290, 32, MATCH($B$2, resultados!$A$1:$ZZ$1, 0))</f>
        <v>#N/A</v>
      </c>
      <c r="C38" t="e">
        <f>INDEX(resultados!$A$2:$ZZ$2290, 32, MATCH($B$3, resultados!$A$1:$ZZ$1, 0))</f>
        <v>#N/A</v>
      </c>
    </row>
    <row r="39" spans="1:3" x14ac:dyDescent="0.3">
      <c r="A39" t="e">
        <f>INDEX(resultados!$A$2:$ZZ$2290, 33, MATCH($B$1, resultados!$A$1:$ZZ$1, 0))</f>
        <v>#N/A</v>
      </c>
      <c r="B39" t="e">
        <f>INDEX(resultados!$A$2:$ZZ$2290, 33, MATCH($B$2, resultados!$A$1:$ZZ$1, 0))</f>
        <v>#N/A</v>
      </c>
      <c r="C39" t="e">
        <f>INDEX(resultados!$A$2:$ZZ$2290, 33, MATCH($B$3, resultados!$A$1:$ZZ$1, 0))</f>
        <v>#N/A</v>
      </c>
    </row>
    <row r="40" spans="1:3" x14ac:dyDescent="0.3">
      <c r="A40" t="e">
        <f>INDEX(resultados!$A$2:$ZZ$2290, 34, MATCH($B$1, resultados!$A$1:$ZZ$1, 0))</f>
        <v>#N/A</v>
      </c>
      <c r="B40" t="e">
        <f>INDEX(resultados!$A$2:$ZZ$2290, 34, MATCH($B$2, resultados!$A$1:$ZZ$1, 0))</f>
        <v>#N/A</v>
      </c>
      <c r="C40" t="e">
        <f>INDEX(resultados!$A$2:$ZZ$2290, 34, MATCH($B$3, resultados!$A$1:$ZZ$1, 0))</f>
        <v>#N/A</v>
      </c>
    </row>
    <row r="41" spans="1:3" x14ac:dyDescent="0.3">
      <c r="A41" t="e">
        <f>INDEX(resultados!$A$2:$ZZ$2290, 35, MATCH($B$1, resultados!$A$1:$ZZ$1, 0))</f>
        <v>#N/A</v>
      </c>
      <c r="B41" t="e">
        <f>INDEX(resultados!$A$2:$ZZ$2290, 35, MATCH($B$2, resultados!$A$1:$ZZ$1, 0))</f>
        <v>#N/A</v>
      </c>
      <c r="C41" t="e">
        <f>INDEX(resultados!$A$2:$ZZ$2290, 35, MATCH($B$3, resultados!$A$1:$ZZ$1, 0))</f>
        <v>#N/A</v>
      </c>
    </row>
    <row r="42" spans="1:3" x14ac:dyDescent="0.3">
      <c r="A42" t="e">
        <f>INDEX(resultados!$A$2:$ZZ$2290, 36, MATCH($B$1, resultados!$A$1:$ZZ$1, 0))</f>
        <v>#N/A</v>
      </c>
      <c r="B42" t="e">
        <f>INDEX(resultados!$A$2:$ZZ$2290, 36, MATCH($B$2, resultados!$A$1:$ZZ$1, 0))</f>
        <v>#N/A</v>
      </c>
      <c r="C42" t="e">
        <f>INDEX(resultados!$A$2:$ZZ$2290, 36, MATCH($B$3, resultados!$A$1:$ZZ$1, 0))</f>
        <v>#N/A</v>
      </c>
    </row>
    <row r="43" spans="1:3" x14ac:dyDescent="0.3">
      <c r="A43" t="e">
        <f>INDEX(resultados!$A$2:$ZZ$2290, 37, MATCH($B$1, resultados!$A$1:$ZZ$1, 0))</f>
        <v>#N/A</v>
      </c>
      <c r="B43" t="e">
        <f>INDEX(resultados!$A$2:$ZZ$2290, 37, MATCH($B$2, resultados!$A$1:$ZZ$1, 0))</f>
        <v>#N/A</v>
      </c>
      <c r="C43" t="e">
        <f>INDEX(resultados!$A$2:$ZZ$2290, 37, MATCH($B$3, resultados!$A$1:$ZZ$1, 0))</f>
        <v>#N/A</v>
      </c>
    </row>
    <row r="44" spans="1:3" x14ac:dyDescent="0.3">
      <c r="A44" t="e">
        <f>INDEX(resultados!$A$2:$ZZ$2290, 38, MATCH($B$1, resultados!$A$1:$ZZ$1, 0))</f>
        <v>#N/A</v>
      </c>
      <c r="B44" t="e">
        <f>INDEX(resultados!$A$2:$ZZ$2290, 38, MATCH($B$2, resultados!$A$1:$ZZ$1, 0))</f>
        <v>#N/A</v>
      </c>
      <c r="C44" t="e">
        <f>INDEX(resultados!$A$2:$ZZ$2290, 38, MATCH($B$3, resultados!$A$1:$ZZ$1, 0))</f>
        <v>#N/A</v>
      </c>
    </row>
    <row r="45" spans="1:3" x14ac:dyDescent="0.3">
      <c r="A45" t="e">
        <f>INDEX(resultados!$A$2:$ZZ$2290, 39, MATCH($B$1, resultados!$A$1:$ZZ$1, 0))</f>
        <v>#N/A</v>
      </c>
      <c r="B45" t="e">
        <f>INDEX(resultados!$A$2:$ZZ$2290, 39, MATCH($B$2, resultados!$A$1:$ZZ$1, 0))</f>
        <v>#N/A</v>
      </c>
      <c r="C45" t="e">
        <f>INDEX(resultados!$A$2:$ZZ$2290, 39, MATCH($B$3, resultados!$A$1:$ZZ$1, 0))</f>
        <v>#N/A</v>
      </c>
    </row>
    <row r="46" spans="1:3" x14ac:dyDescent="0.3">
      <c r="A46" t="e">
        <f>INDEX(resultados!$A$2:$ZZ$2290, 40, MATCH($B$1, resultados!$A$1:$ZZ$1, 0))</f>
        <v>#N/A</v>
      </c>
      <c r="B46" t="e">
        <f>INDEX(resultados!$A$2:$ZZ$2290, 40, MATCH($B$2, resultados!$A$1:$ZZ$1, 0))</f>
        <v>#N/A</v>
      </c>
      <c r="C46" t="e">
        <f>INDEX(resultados!$A$2:$ZZ$2290, 40, MATCH($B$3, resultados!$A$1:$ZZ$1, 0))</f>
        <v>#N/A</v>
      </c>
    </row>
    <row r="47" spans="1:3" x14ac:dyDescent="0.3">
      <c r="A47" t="e">
        <f>INDEX(resultados!$A$2:$ZZ$2290, 41, MATCH($B$1, resultados!$A$1:$ZZ$1, 0))</f>
        <v>#N/A</v>
      </c>
      <c r="B47" t="e">
        <f>INDEX(resultados!$A$2:$ZZ$2290, 41, MATCH($B$2, resultados!$A$1:$ZZ$1, 0))</f>
        <v>#N/A</v>
      </c>
      <c r="C47" t="e">
        <f>INDEX(resultados!$A$2:$ZZ$2290, 41, MATCH($B$3, resultados!$A$1:$ZZ$1, 0))</f>
        <v>#N/A</v>
      </c>
    </row>
    <row r="48" spans="1:3" x14ac:dyDescent="0.3">
      <c r="A48" t="e">
        <f>INDEX(resultados!$A$2:$ZZ$2290, 42, MATCH($B$1, resultados!$A$1:$ZZ$1, 0))</f>
        <v>#N/A</v>
      </c>
      <c r="B48" t="e">
        <f>INDEX(resultados!$A$2:$ZZ$2290, 42, MATCH($B$2, resultados!$A$1:$ZZ$1, 0))</f>
        <v>#N/A</v>
      </c>
      <c r="C48" t="e">
        <f>INDEX(resultados!$A$2:$ZZ$2290, 42, MATCH($B$3, resultados!$A$1:$ZZ$1, 0))</f>
        <v>#N/A</v>
      </c>
    </row>
    <row r="49" spans="1:3" x14ac:dyDescent="0.3">
      <c r="A49" t="e">
        <f>INDEX(resultados!$A$2:$ZZ$2290, 43, MATCH($B$1, resultados!$A$1:$ZZ$1, 0))</f>
        <v>#N/A</v>
      </c>
      <c r="B49" t="e">
        <f>INDEX(resultados!$A$2:$ZZ$2290, 43, MATCH($B$2, resultados!$A$1:$ZZ$1, 0))</f>
        <v>#N/A</v>
      </c>
      <c r="C49" t="e">
        <f>INDEX(resultados!$A$2:$ZZ$2290, 43, MATCH($B$3, resultados!$A$1:$ZZ$1, 0))</f>
        <v>#N/A</v>
      </c>
    </row>
    <row r="50" spans="1:3" x14ac:dyDescent="0.3">
      <c r="A50" t="e">
        <f>INDEX(resultados!$A$2:$ZZ$2290, 44, MATCH($B$1, resultados!$A$1:$ZZ$1, 0))</f>
        <v>#N/A</v>
      </c>
      <c r="B50" t="e">
        <f>INDEX(resultados!$A$2:$ZZ$2290, 44, MATCH($B$2, resultados!$A$1:$ZZ$1, 0))</f>
        <v>#N/A</v>
      </c>
      <c r="C50" t="e">
        <f>INDEX(resultados!$A$2:$ZZ$2290, 44, MATCH($B$3, resultados!$A$1:$ZZ$1, 0))</f>
        <v>#N/A</v>
      </c>
    </row>
    <row r="51" spans="1:3" x14ac:dyDescent="0.3">
      <c r="A51" t="e">
        <f>INDEX(resultados!$A$2:$ZZ$2290, 45, MATCH($B$1, resultados!$A$1:$ZZ$1, 0))</f>
        <v>#N/A</v>
      </c>
      <c r="B51" t="e">
        <f>INDEX(resultados!$A$2:$ZZ$2290, 45, MATCH($B$2, resultados!$A$1:$ZZ$1, 0))</f>
        <v>#N/A</v>
      </c>
      <c r="C51" t="e">
        <f>INDEX(resultados!$A$2:$ZZ$2290, 45, MATCH($B$3, resultados!$A$1:$ZZ$1, 0))</f>
        <v>#N/A</v>
      </c>
    </row>
    <row r="52" spans="1:3" x14ac:dyDescent="0.3">
      <c r="A52" t="e">
        <f>INDEX(resultados!$A$2:$ZZ$2290, 46, MATCH($B$1, resultados!$A$1:$ZZ$1, 0))</f>
        <v>#N/A</v>
      </c>
      <c r="B52" t="e">
        <f>INDEX(resultados!$A$2:$ZZ$2290, 46, MATCH($B$2, resultados!$A$1:$ZZ$1, 0))</f>
        <v>#N/A</v>
      </c>
      <c r="C52" t="e">
        <f>INDEX(resultados!$A$2:$ZZ$2290, 46, MATCH($B$3, resultados!$A$1:$ZZ$1, 0))</f>
        <v>#N/A</v>
      </c>
    </row>
    <row r="53" spans="1:3" x14ac:dyDescent="0.3">
      <c r="A53" t="e">
        <f>INDEX(resultados!$A$2:$ZZ$2290, 47, MATCH($B$1, resultados!$A$1:$ZZ$1, 0))</f>
        <v>#N/A</v>
      </c>
      <c r="B53" t="e">
        <f>INDEX(resultados!$A$2:$ZZ$2290, 47, MATCH($B$2, resultados!$A$1:$ZZ$1, 0))</f>
        <v>#N/A</v>
      </c>
      <c r="C53" t="e">
        <f>INDEX(resultados!$A$2:$ZZ$2290, 47, MATCH($B$3, resultados!$A$1:$ZZ$1, 0))</f>
        <v>#N/A</v>
      </c>
    </row>
    <row r="54" spans="1:3" x14ac:dyDescent="0.3">
      <c r="A54" t="e">
        <f>INDEX(resultados!$A$2:$ZZ$2290, 48, MATCH($B$1, resultados!$A$1:$ZZ$1, 0))</f>
        <v>#N/A</v>
      </c>
      <c r="B54" t="e">
        <f>INDEX(resultados!$A$2:$ZZ$2290, 48, MATCH($B$2, resultados!$A$1:$ZZ$1, 0))</f>
        <v>#N/A</v>
      </c>
      <c r="C54" t="e">
        <f>INDEX(resultados!$A$2:$ZZ$2290, 48, MATCH($B$3, resultados!$A$1:$ZZ$1, 0))</f>
        <v>#N/A</v>
      </c>
    </row>
    <row r="55" spans="1:3" x14ac:dyDescent="0.3">
      <c r="A55" t="e">
        <f>INDEX(resultados!$A$2:$ZZ$2290, 49, MATCH($B$1, resultados!$A$1:$ZZ$1, 0))</f>
        <v>#N/A</v>
      </c>
      <c r="B55" t="e">
        <f>INDEX(resultados!$A$2:$ZZ$2290, 49, MATCH($B$2, resultados!$A$1:$ZZ$1, 0))</f>
        <v>#N/A</v>
      </c>
      <c r="C55" t="e">
        <f>INDEX(resultados!$A$2:$ZZ$2290, 49, MATCH($B$3, resultados!$A$1:$ZZ$1, 0))</f>
        <v>#N/A</v>
      </c>
    </row>
    <row r="56" spans="1:3" x14ac:dyDescent="0.3">
      <c r="A56" t="e">
        <f>INDEX(resultados!$A$2:$ZZ$2290, 50, MATCH($B$1, resultados!$A$1:$ZZ$1, 0))</f>
        <v>#N/A</v>
      </c>
      <c r="B56" t="e">
        <f>INDEX(resultados!$A$2:$ZZ$2290, 50, MATCH($B$2, resultados!$A$1:$ZZ$1, 0))</f>
        <v>#N/A</v>
      </c>
      <c r="C56" t="e">
        <f>INDEX(resultados!$A$2:$ZZ$2290, 50, MATCH($B$3, resultados!$A$1:$ZZ$1, 0))</f>
        <v>#N/A</v>
      </c>
    </row>
    <row r="57" spans="1:3" x14ac:dyDescent="0.3">
      <c r="A57" t="e">
        <f>INDEX(resultados!$A$2:$ZZ$2290, 51, MATCH($B$1, resultados!$A$1:$ZZ$1, 0))</f>
        <v>#N/A</v>
      </c>
      <c r="B57" t="e">
        <f>INDEX(resultados!$A$2:$ZZ$2290, 51, MATCH($B$2, resultados!$A$1:$ZZ$1, 0))</f>
        <v>#N/A</v>
      </c>
      <c r="C57" t="e">
        <f>INDEX(resultados!$A$2:$ZZ$2290, 51, MATCH($B$3, resultados!$A$1:$ZZ$1, 0))</f>
        <v>#N/A</v>
      </c>
    </row>
    <row r="58" spans="1:3" x14ac:dyDescent="0.3">
      <c r="A58" t="e">
        <f>INDEX(resultados!$A$2:$ZZ$2290, 52, MATCH($B$1, resultados!$A$1:$ZZ$1, 0))</f>
        <v>#N/A</v>
      </c>
      <c r="B58" t="e">
        <f>INDEX(resultados!$A$2:$ZZ$2290, 52, MATCH($B$2, resultados!$A$1:$ZZ$1, 0))</f>
        <v>#N/A</v>
      </c>
      <c r="C58" t="e">
        <f>INDEX(resultados!$A$2:$ZZ$2290, 52, MATCH($B$3, resultados!$A$1:$ZZ$1, 0))</f>
        <v>#N/A</v>
      </c>
    </row>
    <row r="59" spans="1:3" x14ac:dyDescent="0.3">
      <c r="A59" t="e">
        <f>INDEX(resultados!$A$2:$ZZ$2290, 53, MATCH($B$1, resultados!$A$1:$ZZ$1, 0))</f>
        <v>#N/A</v>
      </c>
      <c r="B59" t="e">
        <f>INDEX(resultados!$A$2:$ZZ$2290, 53, MATCH($B$2, resultados!$A$1:$ZZ$1, 0))</f>
        <v>#N/A</v>
      </c>
      <c r="C59" t="e">
        <f>INDEX(resultados!$A$2:$ZZ$2290, 53, MATCH($B$3, resultados!$A$1:$ZZ$1, 0))</f>
        <v>#N/A</v>
      </c>
    </row>
    <row r="60" spans="1:3" x14ac:dyDescent="0.3">
      <c r="A60" t="e">
        <f>INDEX(resultados!$A$2:$ZZ$2290, 54, MATCH($B$1, resultados!$A$1:$ZZ$1, 0))</f>
        <v>#N/A</v>
      </c>
      <c r="B60" t="e">
        <f>INDEX(resultados!$A$2:$ZZ$2290, 54, MATCH($B$2, resultados!$A$1:$ZZ$1, 0))</f>
        <v>#N/A</v>
      </c>
      <c r="C60" t="e">
        <f>INDEX(resultados!$A$2:$ZZ$2290, 54, MATCH($B$3, resultados!$A$1:$ZZ$1, 0))</f>
        <v>#N/A</v>
      </c>
    </row>
    <row r="61" spans="1:3" x14ac:dyDescent="0.3">
      <c r="A61" t="e">
        <f>INDEX(resultados!$A$2:$ZZ$2290, 55, MATCH($B$1, resultados!$A$1:$ZZ$1, 0))</f>
        <v>#N/A</v>
      </c>
      <c r="B61" t="e">
        <f>INDEX(resultados!$A$2:$ZZ$2290, 55, MATCH($B$2, resultados!$A$1:$ZZ$1, 0))</f>
        <v>#N/A</v>
      </c>
      <c r="C61" t="e">
        <f>INDEX(resultados!$A$2:$ZZ$2290, 55, MATCH($B$3, resultados!$A$1:$ZZ$1, 0))</f>
        <v>#N/A</v>
      </c>
    </row>
    <row r="62" spans="1:3" x14ac:dyDescent="0.3">
      <c r="A62" t="e">
        <f>INDEX(resultados!$A$2:$ZZ$2290, 56, MATCH($B$1, resultados!$A$1:$ZZ$1, 0))</f>
        <v>#N/A</v>
      </c>
      <c r="B62" t="e">
        <f>INDEX(resultados!$A$2:$ZZ$2290, 56, MATCH($B$2, resultados!$A$1:$ZZ$1, 0))</f>
        <v>#N/A</v>
      </c>
      <c r="C62" t="e">
        <f>INDEX(resultados!$A$2:$ZZ$2290, 56, MATCH($B$3, resultados!$A$1:$ZZ$1, 0))</f>
        <v>#N/A</v>
      </c>
    </row>
    <row r="63" spans="1:3" x14ac:dyDescent="0.3">
      <c r="A63" t="e">
        <f>INDEX(resultados!$A$2:$ZZ$2290, 57, MATCH($B$1, resultados!$A$1:$ZZ$1, 0))</f>
        <v>#N/A</v>
      </c>
      <c r="B63" t="e">
        <f>INDEX(resultados!$A$2:$ZZ$2290, 57, MATCH($B$2, resultados!$A$1:$ZZ$1, 0))</f>
        <v>#N/A</v>
      </c>
      <c r="C63" t="e">
        <f>INDEX(resultados!$A$2:$ZZ$2290, 57, MATCH($B$3, resultados!$A$1:$ZZ$1, 0))</f>
        <v>#N/A</v>
      </c>
    </row>
    <row r="64" spans="1:3" x14ac:dyDescent="0.3">
      <c r="A64" t="e">
        <f>INDEX(resultados!$A$2:$ZZ$2290, 58, MATCH($B$1, resultados!$A$1:$ZZ$1, 0))</f>
        <v>#N/A</v>
      </c>
      <c r="B64" t="e">
        <f>INDEX(resultados!$A$2:$ZZ$2290, 58, MATCH($B$2, resultados!$A$1:$ZZ$1, 0))</f>
        <v>#N/A</v>
      </c>
      <c r="C64" t="e">
        <f>INDEX(resultados!$A$2:$ZZ$2290, 58, MATCH($B$3, resultados!$A$1:$ZZ$1, 0))</f>
        <v>#N/A</v>
      </c>
    </row>
    <row r="65" spans="1:3" x14ac:dyDescent="0.3">
      <c r="A65" t="e">
        <f>INDEX(resultados!$A$2:$ZZ$2290, 59, MATCH($B$1, resultados!$A$1:$ZZ$1, 0))</f>
        <v>#N/A</v>
      </c>
      <c r="B65" t="e">
        <f>INDEX(resultados!$A$2:$ZZ$2290, 59, MATCH($B$2, resultados!$A$1:$ZZ$1, 0))</f>
        <v>#N/A</v>
      </c>
      <c r="C65" t="e">
        <f>INDEX(resultados!$A$2:$ZZ$2290, 59, MATCH($B$3, resultados!$A$1:$ZZ$1, 0))</f>
        <v>#N/A</v>
      </c>
    </row>
    <row r="66" spans="1:3" x14ac:dyDescent="0.3">
      <c r="A66" t="e">
        <f>INDEX(resultados!$A$2:$ZZ$2290, 60, MATCH($B$1, resultados!$A$1:$ZZ$1, 0))</f>
        <v>#N/A</v>
      </c>
      <c r="B66" t="e">
        <f>INDEX(resultados!$A$2:$ZZ$2290, 60, MATCH($B$2, resultados!$A$1:$ZZ$1, 0))</f>
        <v>#N/A</v>
      </c>
      <c r="C66" t="e">
        <f>INDEX(resultados!$A$2:$ZZ$2290, 60, MATCH($B$3, resultados!$A$1:$ZZ$1, 0))</f>
        <v>#N/A</v>
      </c>
    </row>
    <row r="67" spans="1:3" x14ac:dyDescent="0.3">
      <c r="A67" t="e">
        <f>INDEX(resultados!$A$2:$ZZ$2290, 61, MATCH($B$1, resultados!$A$1:$ZZ$1, 0))</f>
        <v>#N/A</v>
      </c>
      <c r="B67" t="e">
        <f>INDEX(resultados!$A$2:$ZZ$2290, 61, MATCH($B$2, resultados!$A$1:$ZZ$1, 0))</f>
        <v>#N/A</v>
      </c>
      <c r="C67" t="e">
        <f>INDEX(resultados!$A$2:$ZZ$2290, 61, MATCH($B$3, resultados!$A$1:$ZZ$1, 0))</f>
        <v>#N/A</v>
      </c>
    </row>
    <row r="68" spans="1:3" x14ac:dyDescent="0.3">
      <c r="A68" t="e">
        <f>INDEX(resultados!$A$2:$ZZ$2290, 62, MATCH($B$1, resultados!$A$1:$ZZ$1, 0))</f>
        <v>#N/A</v>
      </c>
      <c r="B68" t="e">
        <f>INDEX(resultados!$A$2:$ZZ$2290, 62, MATCH($B$2, resultados!$A$1:$ZZ$1, 0))</f>
        <v>#N/A</v>
      </c>
      <c r="C68" t="e">
        <f>INDEX(resultados!$A$2:$ZZ$2290, 62, MATCH($B$3, resultados!$A$1:$ZZ$1, 0))</f>
        <v>#N/A</v>
      </c>
    </row>
    <row r="69" spans="1:3" x14ac:dyDescent="0.3">
      <c r="A69" t="e">
        <f>INDEX(resultados!$A$2:$ZZ$2290, 63, MATCH($B$1, resultados!$A$1:$ZZ$1, 0))</f>
        <v>#N/A</v>
      </c>
      <c r="B69" t="e">
        <f>INDEX(resultados!$A$2:$ZZ$2290, 63, MATCH($B$2, resultados!$A$1:$ZZ$1, 0))</f>
        <v>#N/A</v>
      </c>
      <c r="C69" t="e">
        <f>INDEX(resultados!$A$2:$ZZ$2290, 63, MATCH($B$3, resultados!$A$1:$ZZ$1, 0))</f>
        <v>#N/A</v>
      </c>
    </row>
    <row r="70" spans="1:3" x14ac:dyDescent="0.3">
      <c r="A70" t="e">
        <f>INDEX(resultados!$A$2:$ZZ$2290, 64, MATCH($B$1, resultados!$A$1:$ZZ$1, 0))</f>
        <v>#N/A</v>
      </c>
      <c r="B70" t="e">
        <f>INDEX(resultados!$A$2:$ZZ$2290, 64, MATCH($B$2, resultados!$A$1:$ZZ$1, 0))</f>
        <v>#N/A</v>
      </c>
      <c r="C70" t="e">
        <f>INDEX(resultados!$A$2:$ZZ$2290, 64, MATCH($B$3, resultados!$A$1:$ZZ$1, 0))</f>
        <v>#N/A</v>
      </c>
    </row>
    <row r="71" spans="1:3" x14ac:dyDescent="0.3">
      <c r="A71" t="e">
        <f>INDEX(resultados!$A$2:$ZZ$2290, 65, MATCH($B$1, resultados!$A$1:$ZZ$1, 0))</f>
        <v>#N/A</v>
      </c>
      <c r="B71" t="e">
        <f>INDEX(resultados!$A$2:$ZZ$2290, 65, MATCH($B$2, resultados!$A$1:$ZZ$1, 0))</f>
        <v>#N/A</v>
      </c>
      <c r="C71" t="e">
        <f>INDEX(resultados!$A$2:$ZZ$2290, 65, MATCH($B$3, resultados!$A$1:$ZZ$1, 0))</f>
        <v>#N/A</v>
      </c>
    </row>
    <row r="72" spans="1:3" x14ac:dyDescent="0.3">
      <c r="A72" t="e">
        <f>INDEX(resultados!$A$2:$ZZ$2290, 66, MATCH($B$1, resultados!$A$1:$ZZ$1, 0))</f>
        <v>#N/A</v>
      </c>
      <c r="B72" t="e">
        <f>INDEX(resultados!$A$2:$ZZ$2290, 66, MATCH($B$2, resultados!$A$1:$ZZ$1, 0))</f>
        <v>#N/A</v>
      </c>
      <c r="C72" t="e">
        <f>INDEX(resultados!$A$2:$ZZ$2290, 66, MATCH($B$3, resultados!$A$1:$ZZ$1, 0))</f>
        <v>#N/A</v>
      </c>
    </row>
    <row r="73" spans="1:3" x14ac:dyDescent="0.3">
      <c r="A73" t="e">
        <f>INDEX(resultados!$A$2:$ZZ$2290, 67, MATCH($B$1, resultados!$A$1:$ZZ$1, 0))</f>
        <v>#N/A</v>
      </c>
      <c r="B73" t="e">
        <f>INDEX(resultados!$A$2:$ZZ$2290, 67, MATCH($B$2, resultados!$A$1:$ZZ$1, 0))</f>
        <v>#N/A</v>
      </c>
      <c r="C73" t="e">
        <f>INDEX(resultados!$A$2:$ZZ$2290, 67, MATCH($B$3, resultados!$A$1:$ZZ$1, 0))</f>
        <v>#N/A</v>
      </c>
    </row>
    <row r="74" spans="1:3" x14ac:dyDescent="0.3">
      <c r="A74" t="e">
        <f>INDEX(resultados!$A$2:$ZZ$2290, 68, MATCH($B$1, resultados!$A$1:$ZZ$1, 0))</f>
        <v>#N/A</v>
      </c>
      <c r="B74" t="e">
        <f>INDEX(resultados!$A$2:$ZZ$2290, 68, MATCH($B$2, resultados!$A$1:$ZZ$1, 0))</f>
        <v>#N/A</v>
      </c>
      <c r="C74" t="e">
        <f>INDEX(resultados!$A$2:$ZZ$2290, 68, MATCH($B$3, resultados!$A$1:$ZZ$1, 0))</f>
        <v>#N/A</v>
      </c>
    </row>
    <row r="75" spans="1:3" x14ac:dyDescent="0.3">
      <c r="A75" t="e">
        <f>INDEX(resultados!$A$2:$ZZ$2290, 69, MATCH($B$1, resultados!$A$1:$ZZ$1, 0))</f>
        <v>#N/A</v>
      </c>
      <c r="B75" t="e">
        <f>INDEX(resultados!$A$2:$ZZ$2290, 69, MATCH($B$2, resultados!$A$1:$ZZ$1, 0))</f>
        <v>#N/A</v>
      </c>
      <c r="C75" t="e">
        <f>INDEX(resultados!$A$2:$ZZ$2290, 69, MATCH($B$3, resultados!$A$1:$ZZ$1, 0))</f>
        <v>#N/A</v>
      </c>
    </row>
    <row r="76" spans="1:3" x14ac:dyDescent="0.3">
      <c r="A76" t="e">
        <f>INDEX(resultados!$A$2:$ZZ$2290, 70, MATCH($B$1, resultados!$A$1:$ZZ$1, 0))</f>
        <v>#N/A</v>
      </c>
      <c r="B76" t="e">
        <f>INDEX(resultados!$A$2:$ZZ$2290, 70, MATCH($B$2, resultados!$A$1:$ZZ$1, 0))</f>
        <v>#N/A</v>
      </c>
      <c r="C76" t="e">
        <f>INDEX(resultados!$A$2:$ZZ$2290, 70, MATCH($B$3, resultados!$A$1:$ZZ$1, 0))</f>
        <v>#N/A</v>
      </c>
    </row>
    <row r="77" spans="1:3" x14ac:dyDescent="0.3">
      <c r="A77" t="e">
        <f>INDEX(resultados!$A$2:$ZZ$2290, 71, MATCH($B$1, resultados!$A$1:$ZZ$1, 0))</f>
        <v>#N/A</v>
      </c>
      <c r="B77" t="e">
        <f>INDEX(resultados!$A$2:$ZZ$2290, 71, MATCH($B$2, resultados!$A$1:$ZZ$1, 0))</f>
        <v>#N/A</v>
      </c>
      <c r="C77" t="e">
        <f>INDEX(resultados!$A$2:$ZZ$2290, 71, MATCH($B$3, resultados!$A$1:$ZZ$1, 0))</f>
        <v>#N/A</v>
      </c>
    </row>
    <row r="78" spans="1:3" x14ac:dyDescent="0.3">
      <c r="A78" t="e">
        <f>INDEX(resultados!$A$2:$ZZ$2290, 72, MATCH($B$1, resultados!$A$1:$ZZ$1, 0))</f>
        <v>#N/A</v>
      </c>
      <c r="B78" t="e">
        <f>INDEX(resultados!$A$2:$ZZ$2290, 72, MATCH($B$2, resultados!$A$1:$ZZ$1, 0))</f>
        <v>#N/A</v>
      </c>
      <c r="C78" t="e">
        <f>INDEX(resultados!$A$2:$ZZ$2290, 72, MATCH($B$3, resultados!$A$1:$ZZ$1, 0))</f>
        <v>#N/A</v>
      </c>
    </row>
    <row r="79" spans="1:3" x14ac:dyDescent="0.3">
      <c r="A79" t="e">
        <f>INDEX(resultados!$A$2:$ZZ$2290, 73, MATCH($B$1, resultados!$A$1:$ZZ$1, 0))</f>
        <v>#N/A</v>
      </c>
      <c r="B79" t="e">
        <f>INDEX(resultados!$A$2:$ZZ$2290, 73, MATCH($B$2, resultados!$A$1:$ZZ$1, 0))</f>
        <v>#N/A</v>
      </c>
      <c r="C79" t="e">
        <f>INDEX(resultados!$A$2:$ZZ$2290, 73, MATCH($B$3, resultados!$A$1:$ZZ$1, 0))</f>
        <v>#N/A</v>
      </c>
    </row>
    <row r="80" spans="1:3" x14ac:dyDescent="0.3">
      <c r="A80" t="e">
        <f>INDEX(resultados!$A$2:$ZZ$2290, 74, MATCH($B$1, resultados!$A$1:$ZZ$1, 0))</f>
        <v>#N/A</v>
      </c>
      <c r="B80" t="e">
        <f>INDEX(resultados!$A$2:$ZZ$2290, 74, MATCH($B$2, resultados!$A$1:$ZZ$1, 0))</f>
        <v>#N/A</v>
      </c>
      <c r="C80" t="e">
        <f>INDEX(resultados!$A$2:$ZZ$2290, 74, MATCH($B$3, resultados!$A$1:$ZZ$1, 0))</f>
        <v>#N/A</v>
      </c>
    </row>
    <row r="81" spans="1:3" x14ac:dyDescent="0.3">
      <c r="A81" t="e">
        <f>INDEX(resultados!$A$2:$ZZ$2290, 75, MATCH($B$1, resultados!$A$1:$ZZ$1, 0))</f>
        <v>#N/A</v>
      </c>
      <c r="B81" t="e">
        <f>INDEX(resultados!$A$2:$ZZ$2290, 75, MATCH($B$2, resultados!$A$1:$ZZ$1, 0))</f>
        <v>#N/A</v>
      </c>
      <c r="C81" t="e">
        <f>INDEX(resultados!$A$2:$ZZ$2290, 75, MATCH($B$3, resultados!$A$1:$ZZ$1, 0))</f>
        <v>#N/A</v>
      </c>
    </row>
    <row r="82" spans="1:3" x14ac:dyDescent="0.3">
      <c r="A82" t="e">
        <f>INDEX(resultados!$A$2:$ZZ$2290, 76, MATCH($B$1, resultados!$A$1:$ZZ$1, 0))</f>
        <v>#N/A</v>
      </c>
      <c r="B82" t="e">
        <f>INDEX(resultados!$A$2:$ZZ$2290, 76, MATCH($B$2, resultados!$A$1:$ZZ$1, 0))</f>
        <v>#N/A</v>
      </c>
      <c r="C82" t="e">
        <f>INDEX(resultados!$A$2:$ZZ$2290, 76, MATCH($B$3, resultados!$A$1:$ZZ$1, 0))</f>
        <v>#N/A</v>
      </c>
    </row>
    <row r="83" spans="1:3" x14ac:dyDescent="0.3">
      <c r="A83" t="e">
        <f>INDEX(resultados!$A$2:$ZZ$2290, 77, MATCH($B$1, resultados!$A$1:$ZZ$1, 0))</f>
        <v>#N/A</v>
      </c>
      <c r="B83" t="e">
        <f>INDEX(resultados!$A$2:$ZZ$2290, 77, MATCH($B$2, resultados!$A$1:$ZZ$1, 0))</f>
        <v>#N/A</v>
      </c>
      <c r="C83" t="e">
        <f>INDEX(resultados!$A$2:$ZZ$2290, 77, MATCH($B$3, resultados!$A$1:$ZZ$1, 0))</f>
        <v>#N/A</v>
      </c>
    </row>
    <row r="84" spans="1:3" x14ac:dyDescent="0.3">
      <c r="A84" t="e">
        <f>INDEX(resultados!$A$2:$ZZ$2290, 78, MATCH($B$1, resultados!$A$1:$ZZ$1, 0))</f>
        <v>#N/A</v>
      </c>
      <c r="B84" t="e">
        <f>INDEX(resultados!$A$2:$ZZ$2290, 78, MATCH($B$2, resultados!$A$1:$ZZ$1, 0))</f>
        <v>#N/A</v>
      </c>
      <c r="C84" t="e">
        <f>INDEX(resultados!$A$2:$ZZ$2290, 78, MATCH($B$3, resultados!$A$1:$ZZ$1, 0))</f>
        <v>#N/A</v>
      </c>
    </row>
    <row r="85" spans="1:3" x14ac:dyDescent="0.3">
      <c r="A85" t="e">
        <f>INDEX(resultados!$A$2:$ZZ$2290, 79, MATCH($B$1, resultados!$A$1:$ZZ$1, 0))</f>
        <v>#N/A</v>
      </c>
      <c r="B85" t="e">
        <f>INDEX(resultados!$A$2:$ZZ$2290, 79, MATCH($B$2, resultados!$A$1:$ZZ$1, 0))</f>
        <v>#N/A</v>
      </c>
      <c r="C85" t="e">
        <f>INDEX(resultados!$A$2:$ZZ$2290, 79, MATCH($B$3, resultados!$A$1:$ZZ$1, 0))</f>
        <v>#N/A</v>
      </c>
    </row>
    <row r="86" spans="1:3" x14ac:dyDescent="0.3">
      <c r="A86" t="e">
        <f>INDEX(resultados!$A$2:$ZZ$2290, 80, MATCH($B$1, resultados!$A$1:$ZZ$1, 0))</f>
        <v>#N/A</v>
      </c>
      <c r="B86" t="e">
        <f>INDEX(resultados!$A$2:$ZZ$2290, 80, MATCH($B$2, resultados!$A$1:$ZZ$1, 0))</f>
        <v>#N/A</v>
      </c>
      <c r="C86" t="e">
        <f>INDEX(resultados!$A$2:$ZZ$2290, 80, MATCH($B$3, resultados!$A$1:$ZZ$1, 0))</f>
        <v>#N/A</v>
      </c>
    </row>
    <row r="87" spans="1:3" x14ac:dyDescent="0.3">
      <c r="A87" t="e">
        <f>INDEX(resultados!$A$2:$ZZ$2290, 81, MATCH($B$1, resultados!$A$1:$ZZ$1, 0))</f>
        <v>#N/A</v>
      </c>
      <c r="B87" t="e">
        <f>INDEX(resultados!$A$2:$ZZ$2290, 81, MATCH($B$2, resultados!$A$1:$ZZ$1, 0))</f>
        <v>#N/A</v>
      </c>
      <c r="C87" t="e">
        <f>INDEX(resultados!$A$2:$ZZ$2290, 81, MATCH($B$3, resultados!$A$1:$ZZ$1, 0))</f>
        <v>#N/A</v>
      </c>
    </row>
    <row r="88" spans="1:3" x14ac:dyDescent="0.3">
      <c r="A88" t="e">
        <f>INDEX(resultados!$A$2:$ZZ$2290, 82, MATCH($B$1, resultados!$A$1:$ZZ$1, 0))</f>
        <v>#N/A</v>
      </c>
      <c r="B88" t="e">
        <f>INDEX(resultados!$A$2:$ZZ$2290, 82, MATCH($B$2, resultados!$A$1:$ZZ$1, 0))</f>
        <v>#N/A</v>
      </c>
      <c r="C88" t="e">
        <f>INDEX(resultados!$A$2:$ZZ$2290, 82, MATCH($B$3, resultados!$A$1:$ZZ$1, 0))</f>
        <v>#N/A</v>
      </c>
    </row>
    <row r="89" spans="1:3" x14ac:dyDescent="0.3">
      <c r="A89" t="e">
        <f>INDEX(resultados!$A$2:$ZZ$2290, 83, MATCH($B$1, resultados!$A$1:$ZZ$1, 0))</f>
        <v>#N/A</v>
      </c>
      <c r="B89" t="e">
        <f>INDEX(resultados!$A$2:$ZZ$2290, 83, MATCH($B$2, resultados!$A$1:$ZZ$1, 0))</f>
        <v>#N/A</v>
      </c>
      <c r="C89" t="e">
        <f>INDEX(resultados!$A$2:$ZZ$2290, 83, MATCH($B$3, resultados!$A$1:$ZZ$1, 0))</f>
        <v>#N/A</v>
      </c>
    </row>
    <row r="90" spans="1:3" x14ac:dyDescent="0.3">
      <c r="A90" t="e">
        <f>INDEX(resultados!$A$2:$ZZ$2290, 84, MATCH($B$1, resultados!$A$1:$ZZ$1, 0))</f>
        <v>#N/A</v>
      </c>
      <c r="B90" t="e">
        <f>INDEX(resultados!$A$2:$ZZ$2290, 84, MATCH($B$2, resultados!$A$1:$ZZ$1, 0))</f>
        <v>#N/A</v>
      </c>
      <c r="C90" t="e">
        <f>INDEX(resultados!$A$2:$ZZ$2290, 84, MATCH($B$3, resultados!$A$1:$ZZ$1, 0))</f>
        <v>#N/A</v>
      </c>
    </row>
    <row r="91" spans="1:3" x14ac:dyDescent="0.3">
      <c r="A91" t="e">
        <f>INDEX(resultados!$A$2:$ZZ$2290, 85, MATCH($B$1, resultados!$A$1:$ZZ$1, 0))</f>
        <v>#N/A</v>
      </c>
      <c r="B91" t="e">
        <f>INDEX(resultados!$A$2:$ZZ$2290, 85, MATCH($B$2, resultados!$A$1:$ZZ$1, 0))</f>
        <v>#N/A</v>
      </c>
      <c r="C91" t="e">
        <f>INDEX(resultados!$A$2:$ZZ$2290, 85, MATCH($B$3, resultados!$A$1:$ZZ$1, 0))</f>
        <v>#N/A</v>
      </c>
    </row>
    <row r="92" spans="1:3" x14ac:dyDescent="0.3">
      <c r="A92" t="e">
        <f>INDEX(resultados!$A$2:$ZZ$2290, 86, MATCH($B$1, resultados!$A$1:$ZZ$1, 0))</f>
        <v>#N/A</v>
      </c>
      <c r="B92" t="e">
        <f>INDEX(resultados!$A$2:$ZZ$2290, 86, MATCH($B$2, resultados!$A$1:$ZZ$1, 0))</f>
        <v>#N/A</v>
      </c>
      <c r="C92" t="e">
        <f>INDEX(resultados!$A$2:$ZZ$2290, 86, MATCH($B$3, resultados!$A$1:$ZZ$1, 0))</f>
        <v>#N/A</v>
      </c>
    </row>
    <row r="93" spans="1:3" x14ac:dyDescent="0.3">
      <c r="A93" t="e">
        <f>INDEX(resultados!$A$2:$ZZ$2290, 87, MATCH($B$1, resultados!$A$1:$ZZ$1, 0))</f>
        <v>#N/A</v>
      </c>
      <c r="B93" t="e">
        <f>INDEX(resultados!$A$2:$ZZ$2290, 87, MATCH($B$2, resultados!$A$1:$ZZ$1, 0))</f>
        <v>#N/A</v>
      </c>
      <c r="C93" t="e">
        <f>INDEX(resultados!$A$2:$ZZ$2290, 87, MATCH($B$3, resultados!$A$1:$ZZ$1, 0))</f>
        <v>#N/A</v>
      </c>
    </row>
    <row r="94" spans="1:3" x14ac:dyDescent="0.3">
      <c r="A94" t="e">
        <f>INDEX(resultados!$A$2:$ZZ$2290, 88, MATCH($B$1, resultados!$A$1:$ZZ$1, 0))</f>
        <v>#N/A</v>
      </c>
      <c r="B94" t="e">
        <f>INDEX(resultados!$A$2:$ZZ$2290, 88, MATCH($B$2, resultados!$A$1:$ZZ$1, 0))</f>
        <v>#N/A</v>
      </c>
      <c r="C94" t="e">
        <f>INDEX(resultados!$A$2:$ZZ$2290, 88, MATCH($B$3, resultados!$A$1:$ZZ$1, 0))</f>
        <v>#N/A</v>
      </c>
    </row>
    <row r="95" spans="1:3" x14ac:dyDescent="0.3">
      <c r="A95" t="e">
        <f>INDEX(resultados!$A$2:$ZZ$2290, 89, MATCH($B$1, resultados!$A$1:$ZZ$1, 0))</f>
        <v>#N/A</v>
      </c>
      <c r="B95" t="e">
        <f>INDEX(resultados!$A$2:$ZZ$2290, 89, MATCH($B$2, resultados!$A$1:$ZZ$1, 0))</f>
        <v>#N/A</v>
      </c>
      <c r="C95" t="e">
        <f>INDEX(resultados!$A$2:$ZZ$2290, 89, MATCH($B$3, resultados!$A$1:$ZZ$1, 0))</f>
        <v>#N/A</v>
      </c>
    </row>
    <row r="96" spans="1:3" x14ac:dyDescent="0.3">
      <c r="A96" t="e">
        <f>INDEX(resultados!$A$2:$ZZ$2290, 90, MATCH($B$1, resultados!$A$1:$ZZ$1, 0))</f>
        <v>#N/A</v>
      </c>
      <c r="B96" t="e">
        <f>INDEX(resultados!$A$2:$ZZ$2290, 90, MATCH($B$2, resultados!$A$1:$ZZ$1, 0))</f>
        <v>#N/A</v>
      </c>
      <c r="C96" t="e">
        <f>INDEX(resultados!$A$2:$ZZ$2290, 90, MATCH($B$3, resultados!$A$1:$ZZ$1, 0))</f>
        <v>#N/A</v>
      </c>
    </row>
    <row r="97" spans="1:3" x14ac:dyDescent="0.3">
      <c r="A97" t="e">
        <f>INDEX(resultados!$A$2:$ZZ$2290, 91, MATCH($B$1, resultados!$A$1:$ZZ$1, 0))</f>
        <v>#N/A</v>
      </c>
      <c r="B97" t="e">
        <f>INDEX(resultados!$A$2:$ZZ$2290, 91, MATCH($B$2, resultados!$A$1:$ZZ$1, 0))</f>
        <v>#N/A</v>
      </c>
      <c r="C97" t="e">
        <f>INDEX(resultados!$A$2:$ZZ$2290, 91, MATCH($B$3, resultados!$A$1:$ZZ$1, 0))</f>
        <v>#N/A</v>
      </c>
    </row>
    <row r="98" spans="1:3" x14ac:dyDescent="0.3">
      <c r="A98" t="e">
        <f>INDEX(resultados!$A$2:$ZZ$2290, 92, MATCH($B$1, resultados!$A$1:$ZZ$1, 0))</f>
        <v>#N/A</v>
      </c>
      <c r="B98" t="e">
        <f>INDEX(resultados!$A$2:$ZZ$2290, 92, MATCH($B$2, resultados!$A$1:$ZZ$1, 0))</f>
        <v>#N/A</v>
      </c>
      <c r="C98" t="e">
        <f>INDEX(resultados!$A$2:$ZZ$2290, 92, MATCH($B$3, resultados!$A$1:$ZZ$1, 0))</f>
        <v>#N/A</v>
      </c>
    </row>
    <row r="99" spans="1:3" x14ac:dyDescent="0.3">
      <c r="A99" t="e">
        <f>INDEX(resultados!$A$2:$ZZ$2290, 93, MATCH($B$1, resultados!$A$1:$ZZ$1, 0))</f>
        <v>#N/A</v>
      </c>
      <c r="B99" t="e">
        <f>INDEX(resultados!$A$2:$ZZ$2290, 93, MATCH($B$2, resultados!$A$1:$ZZ$1, 0))</f>
        <v>#N/A</v>
      </c>
      <c r="C99" t="e">
        <f>INDEX(resultados!$A$2:$ZZ$2290, 93, MATCH($B$3, resultados!$A$1:$ZZ$1, 0))</f>
        <v>#N/A</v>
      </c>
    </row>
    <row r="100" spans="1:3" x14ac:dyDescent="0.3">
      <c r="A100" t="e">
        <f>INDEX(resultados!$A$2:$ZZ$2290, 94, MATCH($B$1, resultados!$A$1:$ZZ$1, 0))</f>
        <v>#N/A</v>
      </c>
      <c r="B100" t="e">
        <f>INDEX(resultados!$A$2:$ZZ$2290, 94, MATCH($B$2, resultados!$A$1:$ZZ$1, 0))</f>
        <v>#N/A</v>
      </c>
      <c r="C100" t="e">
        <f>INDEX(resultados!$A$2:$ZZ$2290, 94, MATCH($B$3, resultados!$A$1:$ZZ$1, 0))</f>
        <v>#N/A</v>
      </c>
    </row>
    <row r="101" spans="1:3" x14ac:dyDescent="0.3">
      <c r="A101" t="e">
        <f>INDEX(resultados!$A$2:$ZZ$2290, 95, MATCH($B$1, resultados!$A$1:$ZZ$1, 0))</f>
        <v>#N/A</v>
      </c>
      <c r="B101" t="e">
        <f>INDEX(resultados!$A$2:$ZZ$2290, 95, MATCH($B$2, resultados!$A$1:$ZZ$1, 0))</f>
        <v>#N/A</v>
      </c>
      <c r="C101" t="e">
        <f>INDEX(resultados!$A$2:$ZZ$2290, 95, MATCH($B$3, resultados!$A$1:$ZZ$1, 0))</f>
        <v>#N/A</v>
      </c>
    </row>
    <row r="102" spans="1:3" x14ac:dyDescent="0.3">
      <c r="A102" t="e">
        <f>INDEX(resultados!$A$2:$ZZ$2290, 96, MATCH($B$1, resultados!$A$1:$ZZ$1, 0))</f>
        <v>#N/A</v>
      </c>
      <c r="B102" t="e">
        <f>INDEX(resultados!$A$2:$ZZ$2290, 96, MATCH($B$2, resultados!$A$1:$ZZ$1, 0))</f>
        <v>#N/A</v>
      </c>
      <c r="C102" t="e">
        <f>INDEX(resultados!$A$2:$ZZ$2290, 96, MATCH($B$3, resultados!$A$1:$ZZ$1, 0))</f>
        <v>#N/A</v>
      </c>
    </row>
    <row r="103" spans="1:3" x14ac:dyDescent="0.3">
      <c r="A103" t="e">
        <f>INDEX(resultados!$A$2:$ZZ$2290, 97, MATCH($B$1, resultados!$A$1:$ZZ$1, 0))</f>
        <v>#N/A</v>
      </c>
      <c r="B103" t="e">
        <f>INDEX(resultados!$A$2:$ZZ$2290, 97, MATCH($B$2, resultados!$A$1:$ZZ$1, 0))</f>
        <v>#N/A</v>
      </c>
      <c r="C103" t="e">
        <f>INDEX(resultados!$A$2:$ZZ$2290, 97, MATCH($B$3, resultados!$A$1:$ZZ$1, 0))</f>
        <v>#N/A</v>
      </c>
    </row>
    <row r="104" spans="1:3" x14ac:dyDescent="0.3">
      <c r="A104" t="e">
        <f>INDEX(resultados!$A$2:$ZZ$2290, 98, MATCH($B$1, resultados!$A$1:$ZZ$1, 0))</f>
        <v>#N/A</v>
      </c>
      <c r="B104" t="e">
        <f>INDEX(resultados!$A$2:$ZZ$2290, 98, MATCH($B$2, resultados!$A$1:$ZZ$1, 0))</f>
        <v>#N/A</v>
      </c>
      <c r="C104" t="e">
        <f>INDEX(resultados!$A$2:$ZZ$2290, 98, MATCH($B$3, resultados!$A$1:$ZZ$1, 0))</f>
        <v>#N/A</v>
      </c>
    </row>
    <row r="105" spans="1:3" x14ac:dyDescent="0.3">
      <c r="A105" t="e">
        <f>INDEX(resultados!$A$2:$ZZ$2290, 99, MATCH($B$1, resultados!$A$1:$ZZ$1, 0))</f>
        <v>#N/A</v>
      </c>
      <c r="B105" t="e">
        <f>INDEX(resultados!$A$2:$ZZ$2290, 99, MATCH($B$2, resultados!$A$1:$ZZ$1, 0))</f>
        <v>#N/A</v>
      </c>
      <c r="C105" t="e">
        <f>INDEX(resultados!$A$2:$ZZ$2290, 99, MATCH($B$3, resultados!$A$1:$ZZ$1, 0))</f>
        <v>#N/A</v>
      </c>
    </row>
    <row r="106" spans="1:3" x14ac:dyDescent="0.3">
      <c r="A106" t="e">
        <f>INDEX(resultados!$A$2:$ZZ$2290, 100, MATCH($B$1, resultados!$A$1:$ZZ$1, 0))</f>
        <v>#N/A</v>
      </c>
      <c r="B106" t="e">
        <f>INDEX(resultados!$A$2:$ZZ$2290, 100, MATCH($B$2, resultados!$A$1:$ZZ$1, 0))</f>
        <v>#N/A</v>
      </c>
      <c r="C106" t="e">
        <f>INDEX(resultados!$A$2:$ZZ$2290, 100, MATCH($B$3, resultados!$A$1:$ZZ$1, 0))</f>
        <v>#N/A</v>
      </c>
    </row>
    <row r="107" spans="1:3" x14ac:dyDescent="0.3">
      <c r="A107" t="e">
        <f>INDEX(resultados!$A$2:$ZZ$2290, 101, MATCH($B$1, resultados!$A$1:$ZZ$1, 0))</f>
        <v>#N/A</v>
      </c>
      <c r="B107" t="e">
        <f>INDEX(resultados!$A$2:$ZZ$2290, 101, MATCH($B$2, resultados!$A$1:$ZZ$1, 0))</f>
        <v>#N/A</v>
      </c>
      <c r="C107" t="e">
        <f>INDEX(resultados!$A$2:$ZZ$2290, 101, MATCH($B$3, resultados!$A$1:$ZZ$1, 0))</f>
        <v>#N/A</v>
      </c>
    </row>
    <row r="108" spans="1:3" x14ac:dyDescent="0.3">
      <c r="A108" t="e">
        <f>INDEX(resultados!$A$2:$ZZ$2290, 102, MATCH($B$1, resultados!$A$1:$ZZ$1, 0))</f>
        <v>#N/A</v>
      </c>
      <c r="B108" t="e">
        <f>INDEX(resultados!$A$2:$ZZ$2290, 102, MATCH($B$2, resultados!$A$1:$ZZ$1, 0))</f>
        <v>#N/A</v>
      </c>
      <c r="C108" t="e">
        <f>INDEX(resultados!$A$2:$ZZ$2290, 102, MATCH($B$3, resultados!$A$1:$ZZ$1, 0))</f>
        <v>#N/A</v>
      </c>
    </row>
    <row r="109" spans="1:3" x14ac:dyDescent="0.3">
      <c r="A109" t="e">
        <f>INDEX(resultados!$A$2:$ZZ$2290, 103, MATCH($B$1, resultados!$A$1:$ZZ$1, 0))</f>
        <v>#N/A</v>
      </c>
      <c r="B109" t="e">
        <f>INDEX(resultados!$A$2:$ZZ$2290, 103, MATCH($B$2, resultados!$A$1:$ZZ$1, 0))</f>
        <v>#N/A</v>
      </c>
      <c r="C109" t="e">
        <f>INDEX(resultados!$A$2:$ZZ$2290, 103, MATCH($B$3, resultados!$A$1:$ZZ$1, 0))</f>
        <v>#N/A</v>
      </c>
    </row>
    <row r="110" spans="1:3" x14ac:dyDescent="0.3">
      <c r="A110" t="e">
        <f>INDEX(resultados!$A$2:$ZZ$2290, 104, MATCH($B$1, resultados!$A$1:$ZZ$1, 0))</f>
        <v>#N/A</v>
      </c>
      <c r="B110" t="e">
        <f>INDEX(resultados!$A$2:$ZZ$2290, 104, MATCH($B$2, resultados!$A$1:$ZZ$1, 0))</f>
        <v>#N/A</v>
      </c>
      <c r="C110" t="e">
        <f>INDEX(resultados!$A$2:$ZZ$2290, 104, MATCH($B$3, resultados!$A$1:$ZZ$1, 0))</f>
        <v>#N/A</v>
      </c>
    </row>
    <row r="111" spans="1:3" x14ac:dyDescent="0.3">
      <c r="A111" t="e">
        <f>INDEX(resultados!$A$2:$ZZ$2290, 105, MATCH($B$1, resultados!$A$1:$ZZ$1, 0))</f>
        <v>#N/A</v>
      </c>
      <c r="B111" t="e">
        <f>INDEX(resultados!$A$2:$ZZ$2290, 105, MATCH($B$2, resultados!$A$1:$ZZ$1, 0))</f>
        <v>#N/A</v>
      </c>
      <c r="C111" t="e">
        <f>INDEX(resultados!$A$2:$ZZ$2290, 105, MATCH($B$3, resultados!$A$1:$ZZ$1, 0))</f>
        <v>#N/A</v>
      </c>
    </row>
    <row r="112" spans="1:3" x14ac:dyDescent="0.3">
      <c r="A112" t="e">
        <f>INDEX(resultados!$A$2:$ZZ$2290, 106, MATCH($B$1, resultados!$A$1:$ZZ$1, 0))</f>
        <v>#N/A</v>
      </c>
      <c r="B112" t="e">
        <f>INDEX(resultados!$A$2:$ZZ$2290, 106, MATCH($B$2, resultados!$A$1:$ZZ$1, 0))</f>
        <v>#N/A</v>
      </c>
      <c r="C112" t="e">
        <f>INDEX(resultados!$A$2:$ZZ$2290, 106, MATCH($B$3, resultados!$A$1:$ZZ$1, 0))</f>
        <v>#N/A</v>
      </c>
    </row>
    <row r="113" spans="1:3" x14ac:dyDescent="0.3">
      <c r="A113" t="e">
        <f>INDEX(resultados!$A$2:$ZZ$2290, 107, MATCH($B$1, resultados!$A$1:$ZZ$1, 0))</f>
        <v>#N/A</v>
      </c>
      <c r="B113" t="e">
        <f>INDEX(resultados!$A$2:$ZZ$2290, 107, MATCH($B$2, resultados!$A$1:$ZZ$1, 0))</f>
        <v>#N/A</v>
      </c>
      <c r="C113" t="e">
        <f>INDEX(resultados!$A$2:$ZZ$2290, 107, MATCH($B$3, resultados!$A$1:$ZZ$1, 0))</f>
        <v>#N/A</v>
      </c>
    </row>
    <row r="114" spans="1:3" x14ac:dyDescent="0.3">
      <c r="A114" t="e">
        <f>INDEX(resultados!$A$2:$ZZ$2290, 108, MATCH($B$1, resultados!$A$1:$ZZ$1, 0))</f>
        <v>#N/A</v>
      </c>
      <c r="B114" t="e">
        <f>INDEX(resultados!$A$2:$ZZ$2290, 108, MATCH($B$2, resultados!$A$1:$ZZ$1, 0))</f>
        <v>#N/A</v>
      </c>
      <c r="C114" t="e">
        <f>INDEX(resultados!$A$2:$ZZ$2290, 108, MATCH($B$3, resultados!$A$1:$ZZ$1, 0))</f>
        <v>#N/A</v>
      </c>
    </row>
    <row r="115" spans="1:3" x14ac:dyDescent="0.3">
      <c r="A115" t="e">
        <f>INDEX(resultados!$A$2:$ZZ$2290, 109, MATCH($B$1, resultados!$A$1:$ZZ$1, 0))</f>
        <v>#N/A</v>
      </c>
      <c r="B115" t="e">
        <f>INDEX(resultados!$A$2:$ZZ$2290, 109, MATCH($B$2, resultados!$A$1:$ZZ$1, 0))</f>
        <v>#N/A</v>
      </c>
      <c r="C115" t="e">
        <f>INDEX(resultados!$A$2:$ZZ$2290, 109, MATCH($B$3, resultados!$A$1:$ZZ$1, 0))</f>
        <v>#N/A</v>
      </c>
    </row>
    <row r="116" spans="1:3" x14ac:dyDescent="0.3">
      <c r="A116" t="e">
        <f>INDEX(resultados!$A$2:$ZZ$2290, 110, MATCH($B$1, resultados!$A$1:$ZZ$1, 0))</f>
        <v>#N/A</v>
      </c>
      <c r="B116" t="e">
        <f>INDEX(resultados!$A$2:$ZZ$2290, 110, MATCH($B$2, resultados!$A$1:$ZZ$1, 0))</f>
        <v>#N/A</v>
      </c>
      <c r="C116" t="e">
        <f>INDEX(resultados!$A$2:$ZZ$2290, 110, MATCH($B$3, resultados!$A$1:$ZZ$1, 0))</f>
        <v>#N/A</v>
      </c>
    </row>
    <row r="117" spans="1:3" x14ac:dyDescent="0.3">
      <c r="A117" t="e">
        <f>INDEX(resultados!$A$2:$ZZ$2290, 111, MATCH($B$1, resultados!$A$1:$ZZ$1, 0))</f>
        <v>#N/A</v>
      </c>
      <c r="B117" t="e">
        <f>INDEX(resultados!$A$2:$ZZ$2290, 111, MATCH($B$2, resultados!$A$1:$ZZ$1, 0))</f>
        <v>#N/A</v>
      </c>
      <c r="C117" t="e">
        <f>INDEX(resultados!$A$2:$ZZ$2290, 111, MATCH($B$3, resultados!$A$1:$ZZ$1, 0))</f>
        <v>#N/A</v>
      </c>
    </row>
    <row r="118" spans="1:3" x14ac:dyDescent="0.3">
      <c r="A118" t="e">
        <f>INDEX(resultados!$A$2:$ZZ$2290, 112, MATCH($B$1, resultados!$A$1:$ZZ$1, 0))</f>
        <v>#N/A</v>
      </c>
      <c r="B118" t="e">
        <f>INDEX(resultados!$A$2:$ZZ$2290, 112, MATCH($B$2, resultados!$A$1:$ZZ$1, 0))</f>
        <v>#N/A</v>
      </c>
      <c r="C118" t="e">
        <f>INDEX(resultados!$A$2:$ZZ$2290, 112, MATCH($B$3, resultados!$A$1:$ZZ$1, 0))</f>
        <v>#N/A</v>
      </c>
    </row>
    <row r="119" spans="1:3" x14ac:dyDescent="0.3">
      <c r="A119" t="e">
        <f>INDEX(resultados!$A$2:$ZZ$2290, 113, MATCH($B$1, resultados!$A$1:$ZZ$1, 0))</f>
        <v>#N/A</v>
      </c>
      <c r="B119" t="e">
        <f>INDEX(resultados!$A$2:$ZZ$2290, 113, MATCH($B$2, resultados!$A$1:$ZZ$1, 0))</f>
        <v>#N/A</v>
      </c>
      <c r="C119" t="e">
        <f>INDEX(resultados!$A$2:$ZZ$2290, 113, MATCH($B$3, resultados!$A$1:$ZZ$1, 0))</f>
        <v>#N/A</v>
      </c>
    </row>
    <row r="120" spans="1:3" x14ac:dyDescent="0.3">
      <c r="A120" t="e">
        <f>INDEX(resultados!$A$2:$ZZ$2290, 114, MATCH($B$1, resultados!$A$1:$ZZ$1, 0))</f>
        <v>#N/A</v>
      </c>
      <c r="B120" t="e">
        <f>INDEX(resultados!$A$2:$ZZ$2290, 114, MATCH($B$2, resultados!$A$1:$ZZ$1, 0))</f>
        <v>#N/A</v>
      </c>
      <c r="C120" t="e">
        <f>INDEX(resultados!$A$2:$ZZ$2290, 114, MATCH($B$3, resultados!$A$1:$ZZ$1, 0))</f>
        <v>#N/A</v>
      </c>
    </row>
    <row r="121" spans="1:3" x14ac:dyDescent="0.3">
      <c r="A121" t="e">
        <f>INDEX(resultados!$A$2:$ZZ$2290, 115, MATCH($B$1, resultados!$A$1:$ZZ$1, 0))</f>
        <v>#N/A</v>
      </c>
      <c r="B121" t="e">
        <f>INDEX(resultados!$A$2:$ZZ$2290, 115, MATCH($B$2, resultados!$A$1:$ZZ$1, 0))</f>
        <v>#N/A</v>
      </c>
      <c r="C121" t="e">
        <f>INDEX(resultados!$A$2:$ZZ$2290, 115, MATCH($B$3, resultados!$A$1:$ZZ$1, 0))</f>
        <v>#N/A</v>
      </c>
    </row>
    <row r="122" spans="1:3" x14ac:dyDescent="0.3">
      <c r="A122" t="e">
        <f>INDEX(resultados!$A$2:$ZZ$2290, 116, MATCH($B$1, resultados!$A$1:$ZZ$1, 0))</f>
        <v>#N/A</v>
      </c>
      <c r="B122" t="e">
        <f>INDEX(resultados!$A$2:$ZZ$2290, 116, MATCH($B$2, resultados!$A$1:$ZZ$1, 0))</f>
        <v>#N/A</v>
      </c>
      <c r="C122" t="e">
        <f>INDEX(resultados!$A$2:$ZZ$2290, 116, MATCH($B$3, resultados!$A$1:$ZZ$1, 0))</f>
        <v>#N/A</v>
      </c>
    </row>
    <row r="123" spans="1:3" x14ac:dyDescent="0.3">
      <c r="A123" t="e">
        <f>INDEX(resultados!$A$2:$ZZ$2290, 117, MATCH($B$1, resultados!$A$1:$ZZ$1, 0))</f>
        <v>#N/A</v>
      </c>
      <c r="B123" t="e">
        <f>INDEX(resultados!$A$2:$ZZ$2290, 117, MATCH($B$2, resultados!$A$1:$ZZ$1, 0))</f>
        <v>#N/A</v>
      </c>
      <c r="C123" t="e">
        <f>INDEX(resultados!$A$2:$ZZ$2290, 117, MATCH($B$3, resultados!$A$1:$ZZ$1, 0))</f>
        <v>#N/A</v>
      </c>
    </row>
    <row r="124" spans="1:3" x14ac:dyDescent="0.3">
      <c r="A124" t="e">
        <f>INDEX(resultados!$A$2:$ZZ$2290, 118, MATCH($B$1, resultados!$A$1:$ZZ$1, 0))</f>
        <v>#N/A</v>
      </c>
      <c r="B124" t="e">
        <f>INDEX(resultados!$A$2:$ZZ$2290, 118, MATCH($B$2, resultados!$A$1:$ZZ$1, 0))</f>
        <v>#N/A</v>
      </c>
      <c r="C124" t="e">
        <f>INDEX(resultados!$A$2:$ZZ$2290, 118, MATCH($B$3, resultados!$A$1:$ZZ$1, 0))</f>
        <v>#N/A</v>
      </c>
    </row>
    <row r="125" spans="1:3" x14ac:dyDescent="0.3">
      <c r="A125" t="e">
        <f>INDEX(resultados!$A$2:$ZZ$2290, 119, MATCH($B$1, resultados!$A$1:$ZZ$1, 0))</f>
        <v>#N/A</v>
      </c>
      <c r="B125" t="e">
        <f>INDEX(resultados!$A$2:$ZZ$2290, 119, MATCH($B$2, resultados!$A$1:$ZZ$1, 0))</f>
        <v>#N/A</v>
      </c>
      <c r="C125" t="e">
        <f>INDEX(resultados!$A$2:$ZZ$2290, 119, MATCH($B$3, resultados!$A$1:$ZZ$1, 0))</f>
        <v>#N/A</v>
      </c>
    </row>
    <row r="126" spans="1:3" x14ac:dyDescent="0.3">
      <c r="A126" t="e">
        <f>INDEX(resultados!$A$2:$ZZ$2290, 120, MATCH($B$1, resultados!$A$1:$ZZ$1, 0))</f>
        <v>#N/A</v>
      </c>
      <c r="B126" t="e">
        <f>INDEX(resultados!$A$2:$ZZ$2290, 120, MATCH($B$2, resultados!$A$1:$ZZ$1, 0))</f>
        <v>#N/A</v>
      </c>
      <c r="C126" t="e">
        <f>INDEX(resultados!$A$2:$ZZ$2290, 120, MATCH($B$3, resultados!$A$1:$ZZ$1, 0))</f>
        <v>#N/A</v>
      </c>
    </row>
    <row r="127" spans="1:3" x14ac:dyDescent="0.3">
      <c r="A127" t="e">
        <f>INDEX(resultados!$A$2:$ZZ$2290, 121, MATCH($B$1, resultados!$A$1:$ZZ$1, 0))</f>
        <v>#N/A</v>
      </c>
      <c r="B127" t="e">
        <f>INDEX(resultados!$A$2:$ZZ$2290, 121, MATCH($B$2, resultados!$A$1:$ZZ$1, 0))</f>
        <v>#N/A</v>
      </c>
      <c r="C127" t="e">
        <f>INDEX(resultados!$A$2:$ZZ$2290, 121, MATCH($B$3, resultados!$A$1:$ZZ$1, 0))</f>
        <v>#N/A</v>
      </c>
    </row>
    <row r="128" spans="1:3" x14ac:dyDescent="0.3">
      <c r="A128" t="e">
        <f>INDEX(resultados!$A$2:$ZZ$2290, 122, MATCH($B$1, resultados!$A$1:$ZZ$1, 0))</f>
        <v>#N/A</v>
      </c>
      <c r="B128" t="e">
        <f>INDEX(resultados!$A$2:$ZZ$2290, 122, MATCH($B$2, resultados!$A$1:$ZZ$1, 0))</f>
        <v>#N/A</v>
      </c>
      <c r="C128" t="e">
        <f>INDEX(resultados!$A$2:$ZZ$2290, 122, MATCH($B$3, resultados!$A$1:$ZZ$1, 0))</f>
        <v>#N/A</v>
      </c>
    </row>
    <row r="129" spans="1:3" x14ac:dyDescent="0.3">
      <c r="A129" t="e">
        <f>INDEX(resultados!$A$2:$ZZ$2290, 123, MATCH($B$1, resultados!$A$1:$ZZ$1, 0))</f>
        <v>#N/A</v>
      </c>
      <c r="B129" t="e">
        <f>INDEX(resultados!$A$2:$ZZ$2290, 123, MATCH($B$2, resultados!$A$1:$ZZ$1, 0))</f>
        <v>#N/A</v>
      </c>
      <c r="C129" t="e">
        <f>INDEX(resultados!$A$2:$ZZ$2290, 123, MATCH($B$3, resultados!$A$1:$ZZ$1, 0))</f>
        <v>#N/A</v>
      </c>
    </row>
    <row r="130" spans="1:3" x14ac:dyDescent="0.3">
      <c r="A130" t="e">
        <f>INDEX(resultados!$A$2:$ZZ$2290, 124, MATCH($B$1, resultados!$A$1:$ZZ$1, 0))</f>
        <v>#N/A</v>
      </c>
      <c r="B130" t="e">
        <f>INDEX(resultados!$A$2:$ZZ$2290, 124, MATCH($B$2, resultados!$A$1:$ZZ$1, 0))</f>
        <v>#N/A</v>
      </c>
      <c r="C130" t="e">
        <f>INDEX(resultados!$A$2:$ZZ$2290, 124, MATCH($B$3, resultados!$A$1:$ZZ$1, 0))</f>
        <v>#N/A</v>
      </c>
    </row>
    <row r="131" spans="1:3" x14ac:dyDescent="0.3">
      <c r="A131" t="e">
        <f>INDEX(resultados!$A$2:$ZZ$2290, 125, MATCH($B$1, resultados!$A$1:$ZZ$1, 0))</f>
        <v>#N/A</v>
      </c>
      <c r="B131" t="e">
        <f>INDEX(resultados!$A$2:$ZZ$2290, 125, MATCH($B$2, resultados!$A$1:$ZZ$1, 0))</f>
        <v>#N/A</v>
      </c>
      <c r="C131" t="e">
        <f>INDEX(resultados!$A$2:$ZZ$2290, 125, MATCH($B$3, resultados!$A$1:$ZZ$1, 0))</f>
        <v>#N/A</v>
      </c>
    </row>
    <row r="132" spans="1:3" x14ac:dyDescent="0.3">
      <c r="A132" t="e">
        <f>INDEX(resultados!$A$2:$ZZ$2290, 126, MATCH($B$1, resultados!$A$1:$ZZ$1, 0))</f>
        <v>#N/A</v>
      </c>
      <c r="B132" t="e">
        <f>INDEX(resultados!$A$2:$ZZ$2290, 126, MATCH($B$2, resultados!$A$1:$ZZ$1, 0))</f>
        <v>#N/A</v>
      </c>
      <c r="C132" t="e">
        <f>INDEX(resultados!$A$2:$ZZ$2290, 126, MATCH($B$3, resultados!$A$1:$ZZ$1, 0))</f>
        <v>#N/A</v>
      </c>
    </row>
    <row r="133" spans="1:3" x14ac:dyDescent="0.3">
      <c r="A133" t="e">
        <f>INDEX(resultados!$A$2:$ZZ$2290, 127, MATCH($B$1, resultados!$A$1:$ZZ$1, 0))</f>
        <v>#N/A</v>
      </c>
      <c r="B133" t="e">
        <f>INDEX(resultados!$A$2:$ZZ$2290, 127, MATCH($B$2, resultados!$A$1:$ZZ$1, 0))</f>
        <v>#N/A</v>
      </c>
      <c r="C133" t="e">
        <f>INDEX(resultados!$A$2:$ZZ$2290, 127, MATCH($B$3, resultados!$A$1:$ZZ$1, 0))</f>
        <v>#N/A</v>
      </c>
    </row>
    <row r="134" spans="1:3" x14ac:dyDescent="0.3">
      <c r="A134" t="e">
        <f>INDEX(resultados!$A$2:$ZZ$2290, 128, MATCH($B$1, resultados!$A$1:$ZZ$1, 0))</f>
        <v>#N/A</v>
      </c>
      <c r="B134" t="e">
        <f>INDEX(resultados!$A$2:$ZZ$2290, 128, MATCH($B$2, resultados!$A$1:$ZZ$1, 0))</f>
        <v>#N/A</v>
      </c>
      <c r="C134" t="e">
        <f>INDEX(resultados!$A$2:$ZZ$2290, 128, MATCH($B$3, resultados!$A$1:$ZZ$1, 0))</f>
        <v>#N/A</v>
      </c>
    </row>
    <row r="135" spans="1:3" x14ac:dyDescent="0.3">
      <c r="A135" t="e">
        <f>INDEX(resultados!$A$2:$ZZ$2290, 129, MATCH($B$1, resultados!$A$1:$ZZ$1, 0))</f>
        <v>#N/A</v>
      </c>
      <c r="B135" t="e">
        <f>INDEX(resultados!$A$2:$ZZ$2290, 129, MATCH($B$2, resultados!$A$1:$ZZ$1, 0))</f>
        <v>#N/A</v>
      </c>
      <c r="C135" t="e">
        <f>INDEX(resultados!$A$2:$ZZ$2290, 129, MATCH($B$3, resultados!$A$1:$ZZ$1, 0))</f>
        <v>#N/A</v>
      </c>
    </row>
    <row r="136" spans="1:3" x14ac:dyDescent="0.3">
      <c r="A136" t="e">
        <f>INDEX(resultados!$A$2:$ZZ$2290, 130, MATCH($B$1, resultados!$A$1:$ZZ$1, 0))</f>
        <v>#N/A</v>
      </c>
      <c r="B136" t="e">
        <f>INDEX(resultados!$A$2:$ZZ$2290, 130, MATCH($B$2, resultados!$A$1:$ZZ$1, 0))</f>
        <v>#N/A</v>
      </c>
      <c r="C136" t="e">
        <f>INDEX(resultados!$A$2:$ZZ$2290, 130, MATCH($B$3, resultados!$A$1:$ZZ$1, 0))</f>
        <v>#N/A</v>
      </c>
    </row>
    <row r="137" spans="1:3" x14ac:dyDescent="0.3">
      <c r="A137" t="e">
        <f>INDEX(resultados!$A$2:$ZZ$2290, 131, MATCH($B$1, resultados!$A$1:$ZZ$1, 0))</f>
        <v>#N/A</v>
      </c>
      <c r="B137" t="e">
        <f>INDEX(resultados!$A$2:$ZZ$2290, 131, MATCH($B$2, resultados!$A$1:$ZZ$1, 0))</f>
        <v>#N/A</v>
      </c>
      <c r="C137" t="e">
        <f>INDEX(resultados!$A$2:$ZZ$2290, 131, MATCH($B$3, resultados!$A$1:$ZZ$1, 0))</f>
        <v>#N/A</v>
      </c>
    </row>
    <row r="138" spans="1:3" x14ac:dyDescent="0.3">
      <c r="A138" t="e">
        <f>INDEX(resultados!$A$2:$ZZ$2290, 132, MATCH($B$1, resultados!$A$1:$ZZ$1, 0))</f>
        <v>#N/A</v>
      </c>
      <c r="B138" t="e">
        <f>INDEX(resultados!$A$2:$ZZ$2290, 132, MATCH($B$2, resultados!$A$1:$ZZ$1, 0))</f>
        <v>#N/A</v>
      </c>
      <c r="C138" t="e">
        <f>INDEX(resultados!$A$2:$ZZ$2290, 132, MATCH($B$3, resultados!$A$1:$ZZ$1, 0))</f>
        <v>#N/A</v>
      </c>
    </row>
    <row r="139" spans="1:3" x14ac:dyDescent="0.3">
      <c r="A139" t="e">
        <f>INDEX(resultados!$A$2:$ZZ$2290, 133, MATCH($B$1, resultados!$A$1:$ZZ$1, 0))</f>
        <v>#N/A</v>
      </c>
      <c r="B139" t="e">
        <f>INDEX(resultados!$A$2:$ZZ$2290, 133, MATCH($B$2, resultados!$A$1:$ZZ$1, 0))</f>
        <v>#N/A</v>
      </c>
      <c r="C139" t="e">
        <f>INDEX(resultados!$A$2:$ZZ$2290, 133, MATCH($B$3, resultados!$A$1:$ZZ$1, 0))</f>
        <v>#N/A</v>
      </c>
    </row>
    <row r="140" spans="1:3" x14ac:dyDescent="0.3">
      <c r="A140" t="e">
        <f>INDEX(resultados!$A$2:$ZZ$2290, 134, MATCH($B$1, resultados!$A$1:$ZZ$1, 0))</f>
        <v>#N/A</v>
      </c>
      <c r="B140" t="e">
        <f>INDEX(resultados!$A$2:$ZZ$2290, 134, MATCH($B$2, resultados!$A$1:$ZZ$1, 0))</f>
        <v>#N/A</v>
      </c>
      <c r="C140" t="e">
        <f>INDEX(resultados!$A$2:$ZZ$2290, 134, MATCH($B$3, resultados!$A$1:$ZZ$1, 0))</f>
        <v>#N/A</v>
      </c>
    </row>
    <row r="141" spans="1:3" x14ac:dyDescent="0.3">
      <c r="A141" t="e">
        <f>INDEX(resultados!$A$2:$ZZ$2290, 135, MATCH($B$1, resultados!$A$1:$ZZ$1, 0))</f>
        <v>#N/A</v>
      </c>
      <c r="B141" t="e">
        <f>INDEX(resultados!$A$2:$ZZ$2290, 135, MATCH($B$2, resultados!$A$1:$ZZ$1, 0))</f>
        <v>#N/A</v>
      </c>
      <c r="C141" t="e">
        <f>INDEX(resultados!$A$2:$ZZ$2290, 135, MATCH($B$3, resultados!$A$1:$ZZ$1, 0))</f>
        <v>#N/A</v>
      </c>
    </row>
    <row r="142" spans="1:3" x14ac:dyDescent="0.3">
      <c r="A142" t="e">
        <f>INDEX(resultados!$A$2:$ZZ$2290, 136, MATCH($B$1, resultados!$A$1:$ZZ$1, 0))</f>
        <v>#N/A</v>
      </c>
      <c r="B142" t="e">
        <f>INDEX(resultados!$A$2:$ZZ$2290, 136, MATCH($B$2, resultados!$A$1:$ZZ$1, 0))</f>
        <v>#N/A</v>
      </c>
      <c r="C142" t="e">
        <f>INDEX(resultados!$A$2:$ZZ$2290, 136, MATCH($B$3, resultados!$A$1:$ZZ$1, 0))</f>
        <v>#N/A</v>
      </c>
    </row>
    <row r="143" spans="1:3" x14ac:dyDescent="0.3">
      <c r="A143" t="e">
        <f>INDEX(resultados!$A$2:$ZZ$2290, 137, MATCH($B$1, resultados!$A$1:$ZZ$1, 0))</f>
        <v>#N/A</v>
      </c>
      <c r="B143" t="e">
        <f>INDEX(resultados!$A$2:$ZZ$2290, 137, MATCH($B$2, resultados!$A$1:$ZZ$1, 0))</f>
        <v>#N/A</v>
      </c>
      <c r="C143" t="e">
        <f>INDEX(resultados!$A$2:$ZZ$2290, 137, MATCH($B$3, resultados!$A$1:$ZZ$1, 0))</f>
        <v>#N/A</v>
      </c>
    </row>
    <row r="144" spans="1:3" x14ac:dyDescent="0.3">
      <c r="A144" t="e">
        <f>INDEX(resultados!$A$2:$ZZ$2290, 138, MATCH($B$1, resultados!$A$1:$ZZ$1, 0))</f>
        <v>#N/A</v>
      </c>
      <c r="B144" t="e">
        <f>INDEX(resultados!$A$2:$ZZ$2290, 138, MATCH($B$2, resultados!$A$1:$ZZ$1, 0))</f>
        <v>#N/A</v>
      </c>
      <c r="C144" t="e">
        <f>INDEX(resultados!$A$2:$ZZ$2290, 138, MATCH($B$3, resultados!$A$1:$ZZ$1, 0))</f>
        <v>#N/A</v>
      </c>
    </row>
    <row r="145" spans="1:3" x14ac:dyDescent="0.3">
      <c r="A145" t="e">
        <f>INDEX(resultados!$A$2:$ZZ$2290, 139, MATCH($B$1, resultados!$A$1:$ZZ$1, 0))</f>
        <v>#N/A</v>
      </c>
      <c r="B145" t="e">
        <f>INDEX(resultados!$A$2:$ZZ$2290, 139, MATCH($B$2, resultados!$A$1:$ZZ$1, 0))</f>
        <v>#N/A</v>
      </c>
      <c r="C145" t="e">
        <f>INDEX(resultados!$A$2:$ZZ$2290, 139, MATCH($B$3, resultados!$A$1:$ZZ$1, 0))</f>
        <v>#N/A</v>
      </c>
    </row>
    <row r="146" spans="1:3" x14ac:dyDescent="0.3">
      <c r="A146" t="e">
        <f>INDEX(resultados!$A$2:$ZZ$2290, 140, MATCH($B$1, resultados!$A$1:$ZZ$1, 0))</f>
        <v>#N/A</v>
      </c>
      <c r="B146" t="e">
        <f>INDEX(resultados!$A$2:$ZZ$2290, 140, MATCH($B$2, resultados!$A$1:$ZZ$1, 0))</f>
        <v>#N/A</v>
      </c>
      <c r="C146" t="e">
        <f>INDEX(resultados!$A$2:$ZZ$2290, 140, MATCH($B$3, resultados!$A$1:$ZZ$1, 0))</f>
        <v>#N/A</v>
      </c>
    </row>
    <row r="147" spans="1:3" x14ac:dyDescent="0.3">
      <c r="A147" t="e">
        <f>INDEX(resultados!$A$2:$ZZ$2290, 141, MATCH($B$1, resultados!$A$1:$ZZ$1, 0))</f>
        <v>#N/A</v>
      </c>
      <c r="B147" t="e">
        <f>INDEX(resultados!$A$2:$ZZ$2290, 141, MATCH($B$2, resultados!$A$1:$ZZ$1, 0))</f>
        <v>#N/A</v>
      </c>
      <c r="C147" t="e">
        <f>INDEX(resultados!$A$2:$ZZ$2290, 141, MATCH($B$3, resultados!$A$1:$ZZ$1, 0))</f>
        <v>#N/A</v>
      </c>
    </row>
    <row r="148" spans="1:3" x14ac:dyDescent="0.3">
      <c r="A148" t="e">
        <f>INDEX(resultados!$A$2:$ZZ$2290, 142, MATCH($B$1, resultados!$A$1:$ZZ$1, 0))</f>
        <v>#N/A</v>
      </c>
      <c r="B148" t="e">
        <f>INDEX(resultados!$A$2:$ZZ$2290, 142, MATCH($B$2, resultados!$A$1:$ZZ$1, 0))</f>
        <v>#N/A</v>
      </c>
      <c r="C148" t="e">
        <f>INDEX(resultados!$A$2:$ZZ$2290, 142, MATCH($B$3, resultados!$A$1:$ZZ$1, 0))</f>
        <v>#N/A</v>
      </c>
    </row>
    <row r="149" spans="1:3" x14ac:dyDescent="0.3">
      <c r="A149" t="e">
        <f>INDEX(resultados!$A$2:$ZZ$2290, 143, MATCH($B$1, resultados!$A$1:$ZZ$1, 0))</f>
        <v>#N/A</v>
      </c>
      <c r="B149" t="e">
        <f>INDEX(resultados!$A$2:$ZZ$2290, 143, MATCH($B$2, resultados!$A$1:$ZZ$1, 0))</f>
        <v>#N/A</v>
      </c>
      <c r="C149" t="e">
        <f>INDEX(resultados!$A$2:$ZZ$2290, 143, MATCH($B$3, resultados!$A$1:$ZZ$1, 0))</f>
        <v>#N/A</v>
      </c>
    </row>
    <row r="150" spans="1:3" x14ac:dyDescent="0.3">
      <c r="A150" t="e">
        <f>INDEX(resultados!$A$2:$ZZ$2290, 144, MATCH($B$1, resultados!$A$1:$ZZ$1, 0))</f>
        <v>#N/A</v>
      </c>
      <c r="B150" t="e">
        <f>INDEX(resultados!$A$2:$ZZ$2290, 144, MATCH($B$2, resultados!$A$1:$ZZ$1, 0))</f>
        <v>#N/A</v>
      </c>
      <c r="C150" t="e">
        <f>INDEX(resultados!$A$2:$ZZ$2290, 144, MATCH($B$3, resultados!$A$1:$ZZ$1, 0))</f>
        <v>#N/A</v>
      </c>
    </row>
    <row r="151" spans="1:3" x14ac:dyDescent="0.3">
      <c r="A151" t="e">
        <f>INDEX(resultados!$A$2:$ZZ$2290, 145, MATCH($B$1, resultados!$A$1:$ZZ$1, 0))</f>
        <v>#N/A</v>
      </c>
      <c r="B151" t="e">
        <f>INDEX(resultados!$A$2:$ZZ$2290, 145, MATCH($B$2, resultados!$A$1:$ZZ$1, 0))</f>
        <v>#N/A</v>
      </c>
      <c r="C151" t="e">
        <f>INDEX(resultados!$A$2:$ZZ$2290, 145, MATCH($B$3, resultados!$A$1:$ZZ$1, 0))</f>
        <v>#N/A</v>
      </c>
    </row>
    <row r="152" spans="1:3" x14ac:dyDescent="0.3">
      <c r="A152" t="e">
        <f>INDEX(resultados!$A$2:$ZZ$2290, 146, MATCH($B$1, resultados!$A$1:$ZZ$1, 0))</f>
        <v>#N/A</v>
      </c>
      <c r="B152" t="e">
        <f>INDEX(resultados!$A$2:$ZZ$2290, 146, MATCH($B$2, resultados!$A$1:$ZZ$1, 0))</f>
        <v>#N/A</v>
      </c>
      <c r="C152" t="e">
        <f>INDEX(resultados!$A$2:$ZZ$2290, 146, MATCH($B$3, resultados!$A$1:$ZZ$1, 0))</f>
        <v>#N/A</v>
      </c>
    </row>
    <row r="153" spans="1:3" x14ac:dyDescent="0.3">
      <c r="A153" t="e">
        <f>INDEX(resultados!$A$2:$ZZ$2290, 147, MATCH($B$1, resultados!$A$1:$ZZ$1, 0))</f>
        <v>#N/A</v>
      </c>
      <c r="B153" t="e">
        <f>INDEX(resultados!$A$2:$ZZ$2290, 147, MATCH($B$2, resultados!$A$1:$ZZ$1, 0))</f>
        <v>#N/A</v>
      </c>
      <c r="C153" t="e">
        <f>INDEX(resultados!$A$2:$ZZ$2290, 147, MATCH($B$3, resultados!$A$1:$ZZ$1, 0))</f>
        <v>#N/A</v>
      </c>
    </row>
    <row r="154" spans="1:3" x14ac:dyDescent="0.3">
      <c r="A154" t="e">
        <f>INDEX(resultados!$A$2:$ZZ$2290, 148, MATCH($B$1, resultados!$A$1:$ZZ$1, 0))</f>
        <v>#N/A</v>
      </c>
      <c r="B154" t="e">
        <f>INDEX(resultados!$A$2:$ZZ$2290, 148, MATCH($B$2, resultados!$A$1:$ZZ$1, 0))</f>
        <v>#N/A</v>
      </c>
      <c r="C154" t="e">
        <f>INDEX(resultados!$A$2:$ZZ$2290, 148, MATCH($B$3, resultados!$A$1:$ZZ$1, 0))</f>
        <v>#N/A</v>
      </c>
    </row>
    <row r="155" spans="1:3" x14ac:dyDescent="0.3">
      <c r="A155" t="e">
        <f>INDEX(resultados!$A$2:$ZZ$2290, 149, MATCH($B$1, resultados!$A$1:$ZZ$1, 0))</f>
        <v>#N/A</v>
      </c>
      <c r="B155" t="e">
        <f>INDEX(resultados!$A$2:$ZZ$2290, 149, MATCH($B$2, resultados!$A$1:$ZZ$1, 0))</f>
        <v>#N/A</v>
      </c>
      <c r="C155" t="e">
        <f>INDEX(resultados!$A$2:$ZZ$2290, 149, MATCH($B$3, resultados!$A$1:$ZZ$1, 0))</f>
        <v>#N/A</v>
      </c>
    </row>
    <row r="156" spans="1:3" x14ac:dyDescent="0.3">
      <c r="A156" t="e">
        <f>INDEX(resultados!$A$2:$ZZ$2290, 150, MATCH($B$1, resultados!$A$1:$ZZ$1, 0))</f>
        <v>#N/A</v>
      </c>
      <c r="B156" t="e">
        <f>INDEX(resultados!$A$2:$ZZ$2290, 150, MATCH($B$2, resultados!$A$1:$ZZ$1, 0))</f>
        <v>#N/A</v>
      </c>
      <c r="C156" t="e">
        <f>INDEX(resultados!$A$2:$ZZ$2290, 150, MATCH($B$3, resultados!$A$1:$ZZ$1, 0))</f>
        <v>#N/A</v>
      </c>
    </row>
    <row r="157" spans="1:3" x14ac:dyDescent="0.3">
      <c r="A157" t="e">
        <f>INDEX(resultados!$A$2:$ZZ$2290, 151, MATCH($B$1, resultados!$A$1:$ZZ$1, 0))</f>
        <v>#N/A</v>
      </c>
      <c r="B157" t="e">
        <f>INDEX(resultados!$A$2:$ZZ$2290, 151, MATCH($B$2, resultados!$A$1:$ZZ$1, 0))</f>
        <v>#N/A</v>
      </c>
      <c r="C157" t="e">
        <f>INDEX(resultados!$A$2:$ZZ$2290, 151, MATCH($B$3, resultados!$A$1:$ZZ$1, 0))</f>
        <v>#N/A</v>
      </c>
    </row>
    <row r="158" spans="1:3" x14ac:dyDescent="0.3">
      <c r="A158" t="e">
        <f>INDEX(resultados!$A$2:$ZZ$2290, 152, MATCH($B$1, resultados!$A$1:$ZZ$1, 0))</f>
        <v>#N/A</v>
      </c>
      <c r="B158" t="e">
        <f>INDEX(resultados!$A$2:$ZZ$2290, 152, MATCH($B$2, resultados!$A$1:$ZZ$1, 0))</f>
        <v>#N/A</v>
      </c>
      <c r="C158" t="e">
        <f>INDEX(resultados!$A$2:$ZZ$2290, 152, MATCH($B$3, resultados!$A$1:$ZZ$1, 0))</f>
        <v>#N/A</v>
      </c>
    </row>
    <row r="159" spans="1:3" x14ac:dyDescent="0.3">
      <c r="A159" t="e">
        <f>INDEX(resultados!$A$2:$ZZ$2290, 153, MATCH($B$1, resultados!$A$1:$ZZ$1, 0))</f>
        <v>#N/A</v>
      </c>
      <c r="B159" t="e">
        <f>INDEX(resultados!$A$2:$ZZ$2290, 153, MATCH($B$2, resultados!$A$1:$ZZ$1, 0))</f>
        <v>#N/A</v>
      </c>
      <c r="C159" t="e">
        <f>INDEX(resultados!$A$2:$ZZ$2290, 153, MATCH($B$3, resultados!$A$1:$ZZ$1, 0))</f>
        <v>#N/A</v>
      </c>
    </row>
    <row r="160" spans="1:3" x14ac:dyDescent="0.3">
      <c r="A160" t="e">
        <f>INDEX(resultados!$A$2:$ZZ$2290, 154, MATCH($B$1, resultados!$A$1:$ZZ$1, 0))</f>
        <v>#N/A</v>
      </c>
      <c r="B160" t="e">
        <f>INDEX(resultados!$A$2:$ZZ$2290, 154, MATCH($B$2, resultados!$A$1:$ZZ$1, 0))</f>
        <v>#N/A</v>
      </c>
      <c r="C160" t="e">
        <f>INDEX(resultados!$A$2:$ZZ$2290, 154, MATCH($B$3, resultados!$A$1:$ZZ$1, 0))</f>
        <v>#N/A</v>
      </c>
    </row>
    <row r="161" spans="1:3" x14ac:dyDescent="0.3">
      <c r="A161" t="e">
        <f>INDEX(resultados!$A$2:$ZZ$2290, 155, MATCH($B$1, resultados!$A$1:$ZZ$1, 0))</f>
        <v>#N/A</v>
      </c>
      <c r="B161" t="e">
        <f>INDEX(resultados!$A$2:$ZZ$2290, 155, MATCH($B$2, resultados!$A$1:$ZZ$1, 0))</f>
        <v>#N/A</v>
      </c>
      <c r="C161" t="e">
        <f>INDEX(resultados!$A$2:$ZZ$2290, 155, MATCH($B$3, resultados!$A$1:$ZZ$1, 0))</f>
        <v>#N/A</v>
      </c>
    </row>
    <row r="162" spans="1:3" x14ac:dyDescent="0.3">
      <c r="A162" t="e">
        <f>INDEX(resultados!$A$2:$ZZ$2290, 156, MATCH($B$1, resultados!$A$1:$ZZ$1, 0))</f>
        <v>#N/A</v>
      </c>
      <c r="B162" t="e">
        <f>INDEX(resultados!$A$2:$ZZ$2290, 156, MATCH($B$2, resultados!$A$1:$ZZ$1, 0))</f>
        <v>#N/A</v>
      </c>
      <c r="C162" t="e">
        <f>INDEX(resultados!$A$2:$ZZ$2290, 156, MATCH($B$3, resultados!$A$1:$ZZ$1, 0))</f>
        <v>#N/A</v>
      </c>
    </row>
    <row r="163" spans="1:3" x14ac:dyDescent="0.3">
      <c r="A163" t="e">
        <f>INDEX(resultados!$A$2:$ZZ$2290, 157, MATCH($B$1, resultados!$A$1:$ZZ$1, 0))</f>
        <v>#N/A</v>
      </c>
      <c r="B163" t="e">
        <f>INDEX(resultados!$A$2:$ZZ$2290, 157, MATCH($B$2, resultados!$A$1:$ZZ$1, 0))</f>
        <v>#N/A</v>
      </c>
      <c r="C163" t="e">
        <f>INDEX(resultados!$A$2:$ZZ$2290, 157, MATCH($B$3, resultados!$A$1:$ZZ$1, 0))</f>
        <v>#N/A</v>
      </c>
    </row>
    <row r="164" spans="1:3" x14ac:dyDescent="0.3">
      <c r="A164" t="e">
        <f>INDEX(resultados!$A$2:$ZZ$2290, 158, MATCH($B$1, resultados!$A$1:$ZZ$1, 0))</f>
        <v>#N/A</v>
      </c>
      <c r="B164" t="e">
        <f>INDEX(resultados!$A$2:$ZZ$2290, 158, MATCH($B$2, resultados!$A$1:$ZZ$1, 0))</f>
        <v>#N/A</v>
      </c>
      <c r="C164" t="e">
        <f>INDEX(resultados!$A$2:$ZZ$2290, 158, MATCH($B$3, resultados!$A$1:$ZZ$1, 0))</f>
        <v>#N/A</v>
      </c>
    </row>
    <row r="165" spans="1:3" x14ac:dyDescent="0.3">
      <c r="A165" t="e">
        <f>INDEX(resultados!$A$2:$ZZ$2290, 159, MATCH($B$1, resultados!$A$1:$ZZ$1, 0))</f>
        <v>#N/A</v>
      </c>
      <c r="B165" t="e">
        <f>INDEX(resultados!$A$2:$ZZ$2290, 159, MATCH($B$2, resultados!$A$1:$ZZ$1, 0))</f>
        <v>#N/A</v>
      </c>
      <c r="C165" t="e">
        <f>INDEX(resultados!$A$2:$ZZ$2290, 159, MATCH($B$3, resultados!$A$1:$ZZ$1, 0))</f>
        <v>#N/A</v>
      </c>
    </row>
    <row r="166" spans="1:3" x14ac:dyDescent="0.3">
      <c r="A166" t="e">
        <f>INDEX(resultados!$A$2:$ZZ$2290, 160, MATCH($B$1, resultados!$A$1:$ZZ$1, 0))</f>
        <v>#N/A</v>
      </c>
      <c r="B166" t="e">
        <f>INDEX(resultados!$A$2:$ZZ$2290, 160, MATCH($B$2, resultados!$A$1:$ZZ$1, 0))</f>
        <v>#N/A</v>
      </c>
      <c r="C166" t="e">
        <f>INDEX(resultados!$A$2:$ZZ$2290, 160, MATCH($B$3, resultados!$A$1:$ZZ$1, 0))</f>
        <v>#N/A</v>
      </c>
    </row>
    <row r="167" spans="1:3" x14ac:dyDescent="0.3">
      <c r="A167" t="e">
        <f>INDEX(resultados!$A$2:$ZZ$2290, 161, MATCH($B$1, resultados!$A$1:$ZZ$1, 0))</f>
        <v>#N/A</v>
      </c>
      <c r="B167" t="e">
        <f>INDEX(resultados!$A$2:$ZZ$2290, 161, MATCH($B$2, resultados!$A$1:$ZZ$1, 0))</f>
        <v>#N/A</v>
      </c>
      <c r="C167" t="e">
        <f>INDEX(resultados!$A$2:$ZZ$2290, 161, MATCH($B$3, resultados!$A$1:$ZZ$1, 0))</f>
        <v>#N/A</v>
      </c>
    </row>
    <row r="168" spans="1:3" x14ac:dyDescent="0.3">
      <c r="A168" t="e">
        <f>INDEX(resultados!$A$2:$ZZ$2290, 162, MATCH($B$1, resultados!$A$1:$ZZ$1, 0))</f>
        <v>#N/A</v>
      </c>
      <c r="B168" t="e">
        <f>INDEX(resultados!$A$2:$ZZ$2290, 162, MATCH($B$2, resultados!$A$1:$ZZ$1, 0))</f>
        <v>#N/A</v>
      </c>
      <c r="C168" t="e">
        <f>INDEX(resultados!$A$2:$ZZ$2290, 162, MATCH($B$3, resultados!$A$1:$ZZ$1, 0))</f>
        <v>#N/A</v>
      </c>
    </row>
    <row r="169" spans="1:3" x14ac:dyDescent="0.3">
      <c r="A169" t="e">
        <f>INDEX(resultados!$A$2:$ZZ$2290, 163, MATCH($B$1, resultados!$A$1:$ZZ$1, 0))</f>
        <v>#N/A</v>
      </c>
      <c r="B169" t="e">
        <f>INDEX(resultados!$A$2:$ZZ$2290, 163, MATCH($B$2, resultados!$A$1:$ZZ$1, 0))</f>
        <v>#N/A</v>
      </c>
      <c r="C169" t="e">
        <f>INDEX(resultados!$A$2:$ZZ$2290, 163, MATCH($B$3, resultados!$A$1:$ZZ$1, 0))</f>
        <v>#N/A</v>
      </c>
    </row>
    <row r="170" spans="1:3" x14ac:dyDescent="0.3">
      <c r="A170" t="e">
        <f>INDEX(resultados!$A$2:$ZZ$2290, 164, MATCH($B$1, resultados!$A$1:$ZZ$1, 0))</f>
        <v>#N/A</v>
      </c>
      <c r="B170" t="e">
        <f>INDEX(resultados!$A$2:$ZZ$2290, 164, MATCH($B$2, resultados!$A$1:$ZZ$1, 0))</f>
        <v>#N/A</v>
      </c>
      <c r="C170" t="e">
        <f>INDEX(resultados!$A$2:$ZZ$2290, 164, MATCH($B$3, resultados!$A$1:$ZZ$1, 0))</f>
        <v>#N/A</v>
      </c>
    </row>
    <row r="171" spans="1:3" x14ac:dyDescent="0.3">
      <c r="A171" t="e">
        <f>INDEX(resultados!$A$2:$ZZ$2290, 165, MATCH($B$1, resultados!$A$1:$ZZ$1, 0))</f>
        <v>#N/A</v>
      </c>
      <c r="B171" t="e">
        <f>INDEX(resultados!$A$2:$ZZ$2290, 165, MATCH($B$2, resultados!$A$1:$ZZ$1, 0))</f>
        <v>#N/A</v>
      </c>
      <c r="C171" t="e">
        <f>INDEX(resultados!$A$2:$ZZ$2290, 165, MATCH($B$3, resultados!$A$1:$ZZ$1, 0))</f>
        <v>#N/A</v>
      </c>
    </row>
    <row r="172" spans="1:3" x14ac:dyDescent="0.3">
      <c r="A172" t="e">
        <f>INDEX(resultados!$A$2:$ZZ$2290, 166, MATCH($B$1, resultados!$A$1:$ZZ$1, 0))</f>
        <v>#N/A</v>
      </c>
      <c r="B172" t="e">
        <f>INDEX(resultados!$A$2:$ZZ$2290, 166, MATCH($B$2, resultados!$A$1:$ZZ$1, 0))</f>
        <v>#N/A</v>
      </c>
      <c r="C172" t="e">
        <f>INDEX(resultados!$A$2:$ZZ$2290, 166, MATCH($B$3, resultados!$A$1:$ZZ$1, 0))</f>
        <v>#N/A</v>
      </c>
    </row>
    <row r="173" spans="1:3" x14ac:dyDescent="0.3">
      <c r="A173" t="e">
        <f>INDEX(resultados!$A$2:$ZZ$2290, 167, MATCH($B$1, resultados!$A$1:$ZZ$1, 0))</f>
        <v>#N/A</v>
      </c>
      <c r="B173" t="e">
        <f>INDEX(resultados!$A$2:$ZZ$2290, 167, MATCH($B$2, resultados!$A$1:$ZZ$1, 0))</f>
        <v>#N/A</v>
      </c>
      <c r="C173" t="e">
        <f>INDEX(resultados!$A$2:$ZZ$2290, 167, MATCH($B$3, resultados!$A$1:$ZZ$1, 0))</f>
        <v>#N/A</v>
      </c>
    </row>
    <row r="174" spans="1:3" x14ac:dyDescent="0.3">
      <c r="A174" t="e">
        <f>INDEX(resultados!$A$2:$ZZ$2290, 168, MATCH($B$1, resultados!$A$1:$ZZ$1, 0))</f>
        <v>#N/A</v>
      </c>
      <c r="B174" t="e">
        <f>INDEX(resultados!$A$2:$ZZ$2290, 168, MATCH($B$2, resultados!$A$1:$ZZ$1, 0))</f>
        <v>#N/A</v>
      </c>
      <c r="C174" t="e">
        <f>INDEX(resultados!$A$2:$ZZ$2290, 168, MATCH($B$3, resultados!$A$1:$ZZ$1, 0))</f>
        <v>#N/A</v>
      </c>
    </row>
    <row r="175" spans="1:3" x14ac:dyDescent="0.3">
      <c r="A175" t="e">
        <f>INDEX(resultados!$A$2:$ZZ$2290, 169, MATCH($B$1, resultados!$A$1:$ZZ$1, 0))</f>
        <v>#N/A</v>
      </c>
      <c r="B175" t="e">
        <f>INDEX(resultados!$A$2:$ZZ$2290, 169, MATCH($B$2, resultados!$A$1:$ZZ$1, 0))</f>
        <v>#N/A</v>
      </c>
      <c r="C175" t="e">
        <f>INDEX(resultados!$A$2:$ZZ$2290, 169, MATCH($B$3, resultados!$A$1:$ZZ$1, 0))</f>
        <v>#N/A</v>
      </c>
    </row>
    <row r="176" spans="1:3" x14ac:dyDescent="0.3">
      <c r="A176" t="e">
        <f>INDEX(resultados!$A$2:$ZZ$2290, 170, MATCH($B$1, resultados!$A$1:$ZZ$1, 0))</f>
        <v>#N/A</v>
      </c>
      <c r="B176" t="e">
        <f>INDEX(resultados!$A$2:$ZZ$2290, 170, MATCH($B$2, resultados!$A$1:$ZZ$1, 0))</f>
        <v>#N/A</v>
      </c>
      <c r="C176" t="e">
        <f>INDEX(resultados!$A$2:$ZZ$2290, 170, MATCH($B$3, resultados!$A$1:$ZZ$1, 0))</f>
        <v>#N/A</v>
      </c>
    </row>
    <row r="177" spans="1:3" x14ac:dyDescent="0.3">
      <c r="A177" t="e">
        <f>INDEX(resultados!$A$2:$ZZ$2290, 171, MATCH($B$1, resultados!$A$1:$ZZ$1, 0))</f>
        <v>#N/A</v>
      </c>
      <c r="B177" t="e">
        <f>INDEX(resultados!$A$2:$ZZ$2290, 171, MATCH($B$2, resultados!$A$1:$ZZ$1, 0))</f>
        <v>#N/A</v>
      </c>
      <c r="C177" t="e">
        <f>INDEX(resultados!$A$2:$ZZ$2290, 171, MATCH($B$3, resultados!$A$1:$ZZ$1, 0))</f>
        <v>#N/A</v>
      </c>
    </row>
    <row r="178" spans="1:3" x14ac:dyDescent="0.3">
      <c r="A178" t="e">
        <f>INDEX(resultados!$A$2:$ZZ$2290, 172, MATCH($B$1, resultados!$A$1:$ZZ$1, 0))</f>
        <v>#N/A</v>
      </c>
      <c r="B178" t="e">
        <f>INDEX(resultados!$A$2:$ZZ$2290, 172, MATCH($B$2, resultados!$A$1:$ZZ$1, 0))</f>
        <v>#N/A</v>
      </c>
      <c r="C178" t="e">
        <f>INDEX(resultados!$A$2:$ZZ$2290, 172, MATCH($B$3, resultados!$A$1:$ZZ$1, 0))</f>
        <v>#N/A</v>
      </c>
    </row>
    <row r="179" spans="1:3" x14ac:dyDescent="0.3">
      <c r="A179" t="e">
        <f>INDEX(resultados!$A$2:$ZZ$2290, 173, MATCH($B$1, resultados!$A$1:$ZZ$1, 0))</f>
        <v>#N/A</v>
      </c>
      <c r="B179" t="e">
        <f>INDEX(resultados!$A$2:$ZZ$2290, 173, MATCH($B$2, resultados!$A$1:$ZZ$1, 0))</f>
        <v>#N/A</v>
      </c>
      <c r="C179" t="e">
        <f>INDEX(resultados!$A$2:$ZZ$2290, 173, MATCH($B$3, resultados!$A$1:$ZZ$1, 0))</f>
        <v>#N/A</v>
      </c>
    </row>
    <row r="180" spans="1:3" x14ac:dyDescent="0.3">
      <c r="A180" t="e">
        <f>INDEX(resultados!$A$2:$ZZ$2290, 174, MATCH($B$1, resultados!$A$1:$ZZ$1, 0))</f>
        <v>#N/A</v>
      </c>
      <c r="B180" t="e">
        <f>INDEX(resultados!$A$2:$ZZ$2290, 174, MATCH($B$2, resultados!$A$1:$ZZ$1, 0))</f>
        <v>#N/A</v>
      </c>
      <c r="C180" t="e">
        <f>INDEX(resultados!$A$2:$ZZ$2290, 174, MATCH($B$3, resultados!$A$1:$ZZ$1, 0))</f>
        <v>#N/A</v>
      </c>
    </row>
    <row r="181" spans="1:3" x14ac:dyDescent="0.3">
      <c r="A181" t="e">
        <f>INDEX(resultados!$A$2:$ZZ$2290, 175, MATCH($B$1, resultados!$A$1:$ZZ$1, 0))</f>
        <v>#N/A</v>
      </c>
      <c r="B181" t="e">
        <f>INDEX(resultados!$A$2:$ZZ$2290, 175, MATCH($B$2, resultados!$A$1:$ZZ$1, 0))</f>
        <v>#N/A</v>
      </c>
      <c r="C181" t="e">
        <f>INDEX(resultados!$A$2:$ZZ$2290, 175, MATCH($B$3, resultados!$A$1:$ZZ$1, 0))</f>
        <v>#N/A</v>
      </c>
    </row>
    <row r="182" spans="1:3" x14ac:dyDescent="0.3">
      <c r="A182" t="e">
        <f>INDEX(resultados!$A$2:$ZZ$2290, 176, MATCH($B$1, resultados!$A$1:$ZZ$1, 0))</f>
        <v>#N/A</v>
      </c>
      <c r="B182" t="e">
        <f>INDEX(resultados!$A$2:$ZZ$2290, 176, MATCH($B$2, resultados!$A$1:$ZZ$1, 0))</f>
        <v>#N/A</v>
      </c>
      <c r="C182" t="e">
        <f>INDEX(resultados!$A$2:$ZZ$2290, 176, MATCH($B$3, resultados!$A$1:$ZZ$1, 0))</f>
        <v>#N/A</v>
      </c>
    </row>
    <row r="183" spans="1:3" x14ac:dyDescent="0.3">
      <c r="A183" t="e">
        <f>INDEX(resultados!$A$2:$ZZ$2290, 177, MATCH($B$1, resultados!$A$1:$ZZ$1, 0))</f>
        <v>#N/A</v>
      </c>
      <c r="B183" t="e">
        <f>INDEX(resultados!$A$2:$ZZ$2290, 177, MATCH($B$2, resultados!$A$1:$ZZ$1, 0))</f>
        <v>#N/A</v>
      </c>
      <c r="C183" t="e">
        <f>INDEX(resultados!$A$2:$ZZ$2290, 177, MATCH($B$3, resultados!$A$1:$ZZ$1, 0))</f>
        <v>#N/A</v>
      </c>
    </row>
    <row r="184" spans="1:3" x14ac:dyDescent="0.3">
      <c r="A184" t="e">
        <f>INDEX(resultados!$A$2:$ZZ$2290, 178, MATCH($B$1, resultados!$A$1:$ZZ$1, 0))</f>
        <v>#N/A</v>
      </c>
      <c r="B184" t="e">
        <f>INDEX(resultados!$A$2:$ZZ$2290, 178, MATCH($B$2, resultados!$A$1:$ZZ$1, 0))</f>
        <v>#N/A</v>
      </c>
      <c r="C184" t="e">
        <f>INDEX(resultados!$A$2:$ZZ$2290, 178, MATCH($B$3, resultados!$A$1:$ZZ$1, 0))</f>
        <v>#N/A</v>
      </c>
    </row>
    <row r="185" spans="1:3" x14ac:dyDescent="0.3">
      <c r="A185" t="e">
        <f>INDEX(resultados!$A$2:$ZZ$2290, 179, MATCH($B$1, resultados!$A$1:$ZZ$1, 0))</f>
        <v>#N/A</v>
      </c>
      <c r="B185" t="e">
        <f>INDEX(resultados!$A$2:$ZZ$2290, 179, MATCH($B$2, resultados!$A$1:$ZZ$1, 0))</f>
        <v>#N/A</v>
      </c>
      <c r="C185" t="e">
        <f>INDEX(resultados!$A$2:$ZZ$2290, 179, MATCH($B$3, resultados!$A$1:$ZZ$1, 0))</f>
        <v>#N/A</v>
      </c>
    </row>
    <row r="186" spans="1:3" x14ac:dyDescent="0.3">
      <c r="A186" t="e">
        <f>INDEX(resultados!$A$2:$ZZ$2290, 180, MATCH($B$1, resultados!$A$1:$ZZ$1, 0))</f>
        <v>#N/A</v>
      </c>
      <c r="B186" t="e">
        <f>INDEX(resultados!$A$2:$ZZ$2290, 180, MATCH($B$2, resultados!$A$1:$ZZ$1, 0))</f>
        <v>#N/A</v>
      </c>
      <c r="C186" t="e">
        <f>INDEX(resultados!$A$2:$ZZ$2290, 180, MATCH($B$3, resultados!$A$1:$ZZ$1, 0))</f>
        <v>#N/A</v>
      </c>
    </row>
    <row r="187" spans="1:3" x14ac:dyDescent="0.3">
      <c r="A187" t="e">
        <f>INDEX(resultados!$A$2:$ZZ$2290, 181, MATCH($B$1, resultados!$A$1:$ZZ$1, 0))</f>
        <v>#N/A</v>
      </c>
      <c r="B187" t="e">
        <f>INDEX(resultados!$A$2:$ZZ$2290, 181, MATCH($B$2, resultados!$A$1:$ZZ$1, 0))</f>
        <v>#N/A</v>
      </c>
      <c r="C187" t="e">
        <f>INDEX(resultados!$A$2:$ZZ$2290, 181, MATCH($B$3, resultados!$A$1:$ZZ$1, 0))</f>
        <v>#N/A</v>
      </c>
    </row>
    <row r="188" spans="1:3" x14ac:dyDescent="0.3">
      <c r="A188" t="e">
        <f>INDEX(resultados!$A$2:$ZZ$2290, 182, MATCH($B$1, resultados!$A$1:$ZZ$1, 0))</f>
        <v>#N/A</v>
      </c>
      <c r="B188" t="e">
        <f>INDEX(resultados!$A$2:$ZZ$2290, 182, MATCH($B$2, resultados!$A$1:$ZZ$1, 0))</f>
        <v>#N/A</v>
      </c>
      <c r="C188" t="e">
        <f>INDEX(resultados!$A$2:$ZZ$2290, 182, MATCH($B$3, resultados!$A$1:$ZZ$1, 0))</f>
        <v>#N/A</v>
      </c>
    </row>
    <row r="189" spans="1:3" x14ac:dyDescent="0.3">
      <c r="A189" t="e">
        <f>INDEX(resultados!$A$2:$ZZ$2290, 183, MATCH($B$1, resultados!$A$1:$ZZ$1, 0))</f>
        <v>#N/A</v>
      </c>
      <c r="B189" t="e">
        <f>INDEX(resultados!$A$2:$ZZ$2290, 183, MATCH($B$2, resultados!$A$1:$ZZ$1, 0))</f>
        <v>#N/A</v>
      </c>
      <c r="C189" t="e">
        <f>INDEX(resultados!$A$2:$ZZ$2290, 183, MATCH($B$3, resultados!$A$1:$ZZ$1, 0))</f>
        <v>#N/A</v>
      </c>
    </row>
    <row r="190" spans="1:3" x14ac:dyDescent="0.3">
      <c r="A190" t="e">
        <f>INDEX(resultados!$A$2:$ZZ$2290, 184, MATCH($B$1, resultados!$A$1:$ZZ$1, 0))</f>
        <v>#N/A</v>
      </c>
      <c r="B190" t="e">
        <f>INDEX(resultados!$A$2:$ZZ$2290, 184, MATCH($B$2, resultados!$A$1:$ZZ$1, 0))</f>
        <v>#N/A</v>
      </c>
      <c r="C190" t="e">
        <f>INDEX(resultados!$A$2:$ZZ$2290, 184, MATCH($B$3, resultados!$A$1:$ZZ$1, 0))</f>
        <v>#N/A</v>
      </c>
    </row>
    <row r="191" spans="1:3" x14ac:dyDescent="0.3">
      <c r="A191" t="e">
        <f>INDEX(resultados!$A$2:$ZZ$2290, 185, MATCH($B$1, resultados!$A$1:$ZZ$1, 0))</f>
        <v>#N/A</v>
      </c>
      <c r="B191" t="e">
        <f>INDEX(resultados!$A$2:$ZZ$2290, 185, MATCH($B$2, resultados!$A$1:$ZZ$1, 0))</f>
        <v>#N/A</v>
      </c>
      <c r="C191" t="e">
        <f>INDEX(resultados!$A$2:$ZZ$2290, 185, MATCH($B$3, resultados!$A$1:$ZZ$1, 0))</f>
        <v>#N/A</v>
      </c>
    </row>
    <row r="192" spans="1:3" x14ac:dyDescent="0.3">
      <c r="A192" t="e">
        <f>INDEX(resultados!$A$2:$ZZ$2290, 186, MATCH($B$1, resultados!$A$1:$ZZ$1, 0))</f>
        <v>#N/A</v>
      </c>
      <c r="B192" t="e">
        <f>INDEX(resultados!$A$2:$ZZ$2290, 186, MATCH($B$2, resultados!$A$1:$ZZ$1, 0))</f>
        <v>#N/A</v>
      </c>
      <c r="C192" t="e">
        <f>INDEX(resultados!$A$2:$ZZ$2290, 186, MATCH($B$3, resultados!$A$1:$ZZ$1, 0))</f>
        <v>#N/A</v>
      </c>
    </row>
    <row r="193" spans="1:3" x14ac:dyDescent="0.3">
      <c r="A193" t="e">
        <f>INDEX(resultados!$A$2:$ZZ$2290, 187, MATCH($B$1, resultados!$A$1:$ZZ$1, 0))</f>
        <v>#N/A</v>
      </c>
      <c r="B193" t="e">
        <f>INDEX(resultados!$A$2:$ZZ$2290, 187, MATCH($B$2, resultados!$A$1:$ZZ$1, 0))</f>
        <v>#N/A</v>
      </c>
      <c r="C193" t="e">
        <f>INDEX(resultados!$A$2:$ZZ$2290, 187, MATCH($B$3, resultados!$A$1:$ZZ$1, 0))</f>
        <v>#N/A</v>
      </c>
    </row>
    <row r="194" spans="1:3" x14ac:dyDescent="0.3">
      <c r="A194" t="e">
        <f>INDEX(resultados!$A$2:$ZZ$2290, 188, MATCH($B$1, resultados!$A$1:$ZZ$1, 0))</f>
        <v>#N/A</v>
      </c>
      <c r="B194" t="e">
        <f>INDEX(resultados!$A$2:$ZZ$2290, 188, MATCH($B$2, resultados!$A$1:$ZZ$1, 0))</f>
        <v>#N/A</v>
      </c>
      <c r="C194" t="e">
        <f>INDEX(resultados!$A$2:$ZZ$2290, 188, MATCH($B$3, resultados!$A$1:$ZZ$1, 0))</f>
        <v>#N/A</v>
      </c>
    </row>
    <row r="195" spans="1:3" x14ac:dyDescent="0.3">
      <c r="A195" t="e">
        <f>INDEX(resultados!$A$2:$ZZ$2290, 189, MATCH($B$1, resultados!$A$1:$ZZ$1, 0))</f>
        <v>#N/A</v>
      </c>
      <c r="B195" t="e">
        <f>INDEX(resultados!$A$2:$ZZ$2290, 189, MATCH($B$2, resultados!$A$1:$ZZ$1, 0))</f>
        <v>#N/A</v>
      </c>
      <c r="C195" t="e">
        <f>INDEX(resultados!$A$2:$ZZ$2290, 189, MATCH($B$3, resultados!$A$1:$ZZ$1, 0))</f>
        <v>#N/A</v>
      </c>
    </row>
    <row r="196" spans="1:3" x14ac:dyDescent="0.3">
      <c r="A196" t="e">
        <f>INDEX(resultados!$A$2:$ZZ$2290, 190, MATCH($B$1, resultados!$A$1:$ZZ$1, 0))</f>
        <v>#N/A</v>
      </c>
      <c r="B196" t="e">
        <f>INDEX(resultados!$A$2:$ZZ$2290, 190, MATCH($B$2, resultados!$A$1:$ZZ$1, 0))</f>
        <v>#N/A</v>
      </c>
      <c r="C196" t="e">
        <f>INDEX(resultados!$A$2:$ZZ$2290, 190, MATCH($B$3, resultados!$A$1:$ZZ$1, 0))</f>
        <v>#N/A</v>
      </c>
    </row>
    <row r="197" spans="1:3" x14ac:dyDescent="0.3">
      <c r="A197" t="e">
        <f>INDEX(resultados!$A$2:$ZZ$2290, 191, MATCH($B$1, resultados!$A$1:$ZZ$1, 0))</f>
        <v>#N/A</v>
      </c>
      <c r="B197" t="e">
        <f>INDEX(resultados!$A$2:$ZZ$2290, 191, MATCH($B$2, resultados!$A$1:$ZZ$1, 0))</f>
        <v>#N/A</v>
      </c>
      <c r="C197" t="e">
        <f>INDEX(resultados!$A$2:$ZZ$2290, 191, MATCH($B$3, resultados!$A$1:$ZZ$1, 0))</f>
        <v>#N/A</v>
      </c>
    </row>
    <row r="198" spans="1:3" x14ac:dyDescent="0.3">
      <c r="A198" t="e">
        <f>INDEX(resultados!$A$2:$ZZ$2290, 192, MATCH($B$1, resultados!$A$1:$ZZ$1, 0))</f>
        <v>#N/A</v>
      </c>
      <c r="B198" t="e">
        <f>INDEX(resultados!$A$2:$ZZ$2290, 192, MATCH($B$2, resultados!$A$1:$ZZ$1, 0))</f>
        <v>#N/A</v>
      </c>
      <c r="C198" t="e">
        <f>INDEX(resultados!$A$2:$ZZ$2290, 192, MATCH($B$3, resultados!$A$1:$ZZ$1, 0))</f>
        <v>#N/A</v>
      </c>
    </row>
    <row r="199" spans="1:3" x14ac:dyDescent="0.3">
      <c r="A199" t="e">
        <f>INDEX(resultados!$A$2:$ZZ$2290, 193, MATCH($B$1, resultados!$A$1:$ZZ$1, 0))</f>
        <v>#N/A</v>
      </c>
      <c r="B199" t="e">
        <f>INDEX(resultados!$A$2:$ZZ$2290, 193, MATCH($B$2, resultados!$A$1:$ZZ$1, 0))</f>
        <v>#N/A</v>
      </c>
      <c r="C199" t="e">
        <f>INDEX(resultados!$A$2:$ZZ$2290, 193, MATCH($B$3, resultados!$A$1:$ZZ$1, 0))</f>
        <v>#N/A</v>
      </c>
    </row>
    <row r="200" spans="1:3" x14ac:dyDescent="0.3">
      <c r="A200" t="e">
        <f>INDEX(resultados!$A$2:$ZZ$2290, 194, MATCH($B$1, resultados!$A$1:$ZZ$1, 0))</f>
        <v>#N/A</v>
      </c>
      <c r="B200" t="e">
        <f>INDEX(resultados!$A$2:$ZZ$2290, 194, MATCH($B$2, resultados!$A$1:$ZZ$1, 0))</f>
        <v>#N/A</v>
      </c>
      <c r="C200" t="e">
        <f>INDEX(resultados!$A$2:$ZZ$2290, 194, MATCH($B$3, resultados!$A$1:$ZZ$1, 0))</f>
        <v>#N/A</v>
      </c>
    </row>
    <row r="201" spans="1:3" x14ac:dyDescent="0.3">
      <c r="A201" t="e">
        <f>INDEX(resultados!$A$2:$ZZ$2290, 195, MATCH($B$1, resultados!$A$1:$ZZ$1, 0))</f>
        <v>#N/A</v>
      </c>
      <c r="B201" t="e">
        <f>INDEX(resultados!$A$2:$ZZ$2290, 195, MATCH($B$2, resultados!$A$1:$ZZ$1, 0))</f>
        <v>#N/A</v>
      </c>
      <c r="C201" t="e">
        <f>INDEX(resultados!$A$2:$ZZ$2290, 195, MATCH($B$3, resultados!$A$1:$ZZ$1, 0))</f>
        <v>#N/A</v>
      </c>
    </row>
    <row r="202" spans="1:3" x14ac:dyDescent="0.3">
      <c r="A202" t="e">
        <f>INDEX(resultados!$A$2:$ZZ$2290, 196, MATCH($B$1, resultados!$A$1:$ZZ$1, 0))</f>
        <v>#N/A</v>
      </c>
      <c r="B202" t="e">
        <f>INDEX(resultados!$A$2:$ZZ$2290, 196, MATCH($B$2, resultados!$A$1:$ZZ$1, 0))</f>
        <v>#N/A</v>
      </c>
      <c r="C202" t="e">
        <f>INDEX(resultados!$A$2:$ZZ$2290, 196, MATCH($B$3, resultados!$A$1:$ZZ$1, 0))</f>
        <v>#N/A</v>
      </c>
    </row>
    <row r="203" spans="1:3" x14ac:dyDescent="0.3">
      <c r="A203" t="e">
        <f>INDEX(resultados!$A$2:$ZZ$2290, 197, MATCH($B$1, resultados!$A$1:$ZZ$1, 0))</f>
        <v>#N/A</v>
      </c>
      <c r="B203" t="e">
        <f>INDEX(resultados!$A$2:$ZZ$2290, 197, MATCH($B$2, resultados!$A$1:$ZZ$1, 0))</f>
        <v>#N/A</v>
      </c>
      <c r="C203" t="e">
        <f>INDEX(resultados!$A$2:$ZZ$2290, 197, MATCH($B$3, resultados!$A$1:$ZZ$1, 0))</f>
        <v>#N/A</v>
      </c>
    </row>
    <row r="204" spans="1:3" x14ac:dyDescent="0.3">
      <c r="A204" t="e">
        <f>INDEX(resultados!$A$2:$ZZ$2290, 198, MATCH($B$1, resultados!$A$1:$ZZ$1, 0))</f>
        <v>#N/A</v>
      </c>
      <c r="B204" t="e">
        <f>INDEX(resultados!$A$2:$ZZ$2290, 198, MATCH($B$2, resultados!$A$1:$ZZ$1, 0))</f>
        <v>#N/A</v>
      </c>
      <c r="C204" t="e">
        <f>INDEX(resultados!$A$2:$ZZ$2290, 198, MATCH($B$3, resultados!$A$1:$ZZ$1, 0))</f>
        <v>#N/A</v>
      </c>
    </row>
    <row r="205" spans="1:3" x14ac:dyDescent="0.3">
      <c r="A205" t="e">
        <f>INDEX(resultados!$A$2:$ZZ$2290, 199, MATCH($B$1, resultados!$A$1:$ZZ$1, 0))</f>
        <v>#N/A</v>
      </c>
      <c r="B205" t="e">
        <f>INDEX(resultados!$A$2:$ZZ$2290, 199, MATCH($B$2, resultados!$A$1:$ZZ$1, 0))</f>
        <v>#N/A</v>
      </c>
      <c r="C205" t="e">
        <f>INDEX(resultados!$A$2:$ZZ$2290, 199, MATCH($B$3, resultados!$A$1:$ZZ$1, 0))</f>
        <v>#N/A</v>
      </c>
    </row>
    <row r="206" spans="1:3" x14ac:dyDescent="0.3">
      <c r="A206" t="e">
        <f>INDEX(resultados!$A$2:$ZZ$2290, 200, MATCH($B$1, resultados!$A$1:$ZZ$1, 0))</f>
        <v>#N/A</v>
      </c>
      <c r="B206" t="e">
        <f>INDEX(resultados!$A$2:$ZZ$2290, 200, MATCH($B$2, resultados!$A$1:$ZZ$1, 0))</f>
        <v>#N/A</v>
      </c>
      <c r="C206" t="e">
        <f>INDEX(resultados!$A$2:$ZZ$2290, 200, MATCH($B$3, resultados!$A$1:$ZZ$1, 0))</f>
        <v>#N/A</v>
      </c>
    </row>
    <row r="207" spans="1:3" x14ac:dyDescent="0.3">
      <c r="A207" t="e">
        <f>INDEX(resultados!$A$2:$ZZ$2290, 201, MATCH($B$1, resultados!$A$1:$ZZ$1, 0))</f>
        <v>#N/A</v>
      </c>
      <c r="B207" t="e">
        <f>INDEX(resultados!$A$2:$ZZ$2290, 201, MATCH($B$2, resultados!$A$1:$ZZ$1, 0))</f>
        <v>#N/A</v>
      </c>
      <c r="C207" t="e">
        <f>INDEX(resultados!$A$2:$ZZ$2290, 201, MATCH($B$3, resultados!$A$1:$ZZ$1, 0))</f>
        <v>#N/A</v>
      </c>
    </row>
    <row r="208" spans="1:3" x14ac:dyDescent="0.3">
      <c r="A208" t="e">
        <f>INDEX(resultados!$A$2:$ZZ$2290, 202, MATCH($B$1, resultados!$A$1:$ZZ$1, 0))</f>
        <v>#N/A</v>
      </c>
      <c r="B208" t="e">
        <f>INDEX(resultados!$A$2:$ZZ$2290, 202, MATCH($B$2, resultados!$A$1:$ZZ$1, 0))</f>
        <v>#N/A</v>
      </c>
      <c r="C208" t="e">
        <f>INDEX(resultados!$A$2:$ZZ$2290, 202, MATCH($B$3, resultados!$A$1:$ZZ$1, 0))</f>
        <v>#N/A</v>
      </c>
    </row>
    <row r="209" spans="1:3" x14ac:dyDescent="0.3">
      <c r="A209" t="e">
        <f>INDEX(resultados!$A$2:$ZZ$2290, 203, MATCH($B$1, resultados!$A$1:$ZZ$1, 0))</f>
        <v>#N/A</v>
      </c>
      <c r="B209" t="e">
        <f>INDEX(resultados!$A$2:$ZZ$2290, 203, MATCH($B$2, resultados!$A$1:$ZZ$1, 0))</f>
        <v>#N/A</v>
      </c>
      <c r="C209" t="e">
        <f>INDEX(resultados!$A$2:$ZZ$2290, 203, MATCH($B$3, resultados!$A$1:$ZZ$1, 0))</f>
        <v>#N/A</v>
      </c>
    </row>
    <row r="210" spans="1:3" x14ac:dyDescent="0.3">
      <c r="A210" t="e">
        <f>INDEX(resultados!$A$2:$ZZ$2290, 204, MATCH($B$1, resultados!$A$1:$ZZ$1, 0))</f>
        <v>#N/A</v>
      </c>
      <c r="B210" t="e">
        <f>INDEX(resultados!$A$2:$ZZ$2290, 204, MATCH($B$2, resultados!$A$1:$ZZ$1, 0))</f>
        <v>#N/A</v>
      </c>
      <c r="C210" t="e">
        <f>INDEX(resultados!$A$2:$ZZ$2290, 204, MATCH($B$3, resultados!$A$1:$ZZ$1, 0))</f>
        <v>#N/A</v>
      </c>
    </row>
    <row r="211" spans="1:3" x14ac:dyDescent="0.3">
      <c r="A211" t="e">
        <f>INDEX(resultados!$A$2:$ZZ$2290, 205, MATCH($B$1, resultados!$A$1:$ZZ$1, 0))</f>
        <v>#N/A</v>
      </c>
      <c r="B211" t="e">
        <f>INDEX(resultados!$A$2:$ZZ$2290, 205, MATCH($B$2, resultados!$A$1:$ZZ$1, 0))</f>
        <v>#N/A</v>
      </c>
      <c r="C211" t="e">
        <f>INDEX(resultados!$A$2:$ZZ$2290, 205, MATCH($B$3, resultados!$A$1:$ZZ$1, 0))</f>
        <v>#N/A</v>
      </c>
    </row>
    <row r="212" spans="1:3" x14ac:dyDescent="0.3">
      <c r="A212" t="e">
        <f>INDEX(resultados!$A$2:$ZZ$2290, 206, MATCH($B$1, resultados!$A$1:$ZZ$1, 0))</f>
        <v>#N/A</v>
      </c>
      <c r="B212" t="e">
        <f>INDEX(resultados!$A$2:$ZZ$2290, 206, MATCH($B$2, resultados!$A$1:$ZZ$1, 0))</f>
        <v>#N/A</v>
      </c>
      <c r="C212" t="e">
        <f>INDEX(resultados!$A$2:$ZZ$2290, 206, MATCH($B$3, resultados!$A$1:$ZZ$1, 0))</f>
        <v>#N/A</v>
      </c>
    </row>
    <row r="213" spans="1:3" x14ac:dyDescent="0.3">
      <c r="A213" t="e">
        <f>INDEX(resultados!$A$2:$ZZ$2290, 207, MATCH($B$1, resultados!$A$1:$ZZ$1, 0))</f>
        <v>#N/A</v>
      </c>
      <c r="B213" t="e">
        <f>INDEX(resultados!$A$2:$ZZ$2290, 207, MATCH($B$2, resultados!$A$1:$ZZ$1, 0))</f>
        <v>#N/A</v>
      </c>
      <c r="C213" t="e">
        <f>INDEX(resultados!$A$2:$ZZ$2290, 207, MATCH($B$3, resultados!$A$1:$ZZ$1, 0))</f>
        <v>#N/A</v>
      </c>
    </row>
    <row r="214" spans="1:3" x14ac:dyDescent="0.3">
      <c r="A214" t="e">
        <f>INDEX(resultados!$A$2:$ZZ$2290, 208, MATCH($B$1, resultados!$A$1:$ZZ$1, 0))</f>
        <v>#N/A</v>
      </c>
      <c r="B214" t="e">
        <f>INDEX(resultados!$A$2:$ZZ$2290, 208, MATCH($B$2, resultados!$A$1:$ZZ$1, 0))</f>
        <v>#N/A</v>
      </c>
      <c r="C214" t="e">
        <f>INDEX(resultados!$A$2:$ZZ$2290, 208, MATCH($B$3, resultados!$A$1:$ZZ$1, 0))</f>
        <v>#N/A</v>
      </c>
    </row>
    <row r="215" spans="1:3" x14ac:dyDescent="0.3">
      <c r="A215" t="e">
        <f>INDEX(resultados!$A$2:$ZZ$2290, 209, MATCH($B$1, resultados!$A$1:$ZZ$1, 0))</f>
        <v>#N/A</v>
      </c>
      <c r="B215" t="e">
        <f>INDEX(resultados!$A$2:$ZZ$2290, 209, MATCH($B$2, resultados!$A$1:$ZZ$1, 0))</f>
        <v>#N/A</v>
      </c>
      <c r="C215" t="e">
        <f>INDEX(resultados!$A$2:$ZZ$2290, 209, MATCH($B$3, resultados!$A$1:$ZZ$1, 0))</f>
        <v>#N/A</v>
      </c>
    </row>
    <row r="216" spans="1:3" x14ac:dyDescent="0.3">
      <c r="A216" t="e">
        <f>INDEX(resultados!$A$2:$ZZ$2290, 210, MATCH($B$1, resultados!$A$1:$ZZ$1, 0))</f>
        <v>#N/A</v>
      </c>
      <c r="B216" t="e">
        <f>INDEX(resultados!$A$2:$ZZ$2290, 210, MATCH($B$2, resultados!$A$1:$ZZ$1, 0))</f>
        <v>#N/A</v>
      </c>
      <c r="C216" t="e">
        <f>INDEX(resultados!$A$2:$ZZ$2290, 210, MATCH($B$3, resultados!$A$1:$ZZ$1, 0))</f>
        <v>#N/A</v>
      </c>
    </row>
    <row r="217" spans="1:3" x14ac:dyDescent="0.3">
      <c r="A217" t="e">
        <f>INDEX(resultados!$A$2:$ZZ$2290, 211, MATCH($B$1, resultados!$A$1:$ZZ$1, 0))</f>
        <v>#N/A</v>
      </c>
      <c r="B217" t="e">
        <f>INDEX(resultados!$A$2:$ZZ$2290, 211, MATCH($B$2, resultados!$A$1:$ZZ$1, 0))</f>
        <v>#N/A</v>
      </c>
      <c r="C217" t="e">
        <f>INDEX(resultados!$A$2:$ZZ$2290, 211, MATCH($B$3, resultados!$A$1:$ZZ$1, 0))</f>
        <v>#N/A</v>
      </c>
    </row>
    <row r="218" spans="1:3" x14ac:dyDescent="0.3">
      <c r="A218" t="e">
        <f>INDEX(resultados!$A$2:$ZZ$2290, 212, MATCH($B$1, resultados!$A$1:$ZZ$1, 0))</f>
        <v>#N/A</v>
      </c>
      <c r="B218" t="e">
        <f>INDEX(resultados!$A$2:$ZZ$2290, 212, MATCH($B$2, resultados!$A$1:$ZZ$1, 0))</f>
        <v>#N/A</v>
      </c>
      <c r="C218" t="e">
        <f>INDEX(resultados!$A$2:$ZZ$2290, 212, MATCH($B$3, resultados!$A$1:$ZZ$1, 0))</f>
        <v>#N/A</v>
      </c>
    </row>
    <row r="219" spans="1:3" x14ac:dyDescent="0.3">
      <c r="A219" t="e">
        <f>INDEX(resultados!$A$2:$ZZ$2290, 213, MATCH($B$1, resultados!$A$1:$ZZ$1, 0))</f>
        <v>#N/A</v>
      </c>
      <c r="B219" t="e">
        <f>INDEX(resultados!$A$2:$ZZ$2290, 213, MATCH($B$2, resultados!$A$1:$ZZ$1, 0))</f>
        <v>#N/A</v>
      </c>
      <c r="C219" t="e">
        <f>INDEX(resultados!$A$2:$ZZ$2290, 213, MATCH($B$3, resultados!$A$1:$ZZ$1, 0))</f>
        <v>#N/A</v>
      </c>
    </row>
    <row r="220" spans="1:3" x14ac:dyDescent="0.3">
      <c r="A220" t="e">
        <f>INDEX(resultados!$A$2:$ZZ$2290, 214, MATCH($B$1, resultados!$A$1:$ZZ$1, 0))</f>
        <v>#N/A</v>
      </c>
      <c r="B220" t="e">
        <f>INDEX(resultados!$A$2:$ZZ$2290, 214, MATCH($B$2, resultados!$A$1:$ZZ$1, 0))</f>
        <v>#N/A</v>
      </c>
      <c r="C220" t="e">
        <f>INDEX(resultados!$A$2:$ZZ$2290, 214, MATCH($B$3, resultados!$A$1:$ZZ$1, 0))</f>
        <v>#N/A</v>
      </c>
    </row>
    <row r="221" spans="1:3" x14ac:dyDescent="0.3">
      <c r="A221" t="e">
        <f>INDEX(resultados!$A$2:$ZZ$2290, 215, MATCH($B$1, resultados!$A$1:$ZZ$1, 0))</f>
        <v>#N/A</v>
      </c>
      <c r="B221" t="e">
        <f>INDEX(resultados!$A$2:$ZZ$2290, 215, MATCH($B$2, resultados!$A$1:$ZZ$1, 0))</f>
        <v>#N/A</v>
      </c>
      <c r="C221" t="e">
        <f>INDEX(resultados!$A$2:$ZZ$2290, 215, MATCH($B$3, resultados!$A$1:$ZZ$1, 0))</f>
        <v>#N/A</v>
      </c>
    </row>
    <row r="222" spans="1:3" x14ac:dyDescent="0.3">
      <c r="A222" t="e">
        <f>INDEX(resultados!$A$2:$ZZ$2290, 216, MATCH($B$1, resultados!$A$1:$ZZ$1, 0))</f>
        <v>#N/A</v>
      </c>
      <c r="B222" t="e">
        <f>INDEX(resultados!$A$2:$ZZ$2290, 216, MATCH($B$2, resultados!$A$1:$ZZ$1, 0))</f>
        <v>#N/A</v>
      </c>
      <c r="C222" t="e">
        <f>INDEX(resultados!$A$2:$ZZ$2290, 216, MATCH($B$3, resultados!$A$1:$ZZ$1, 0))</f>
        <v>#N/A</v>
      </c>
    </row>
    <row r="223" spans="1:3" x14ac:dyDescent="0.3">
      <c r="A223" t="e">
        <f>INDEX(resultados!$A$2:$ZZ$2290, 217, MATCH($B$1, resultados!$A$1:$ZZ$1, 0))</f>
        <v>#N/A</v>
      </c>
      <c r="B223" t="e">
        <f>INDEX(resultados!$A$2:$ZZ$2290, 217, MATCH($B$2, resultados!$A$1:$ZZ$1, 0))</f>
        <v>#N/A</v>
      </c>
      <c r="C223" t="e">
        <f>INDEX(resultados!$A$2:$ZZ$2290, 217, MATCH($B$3, resultados!$A$1:$ZZ$1, 0))</f>
        <v>#N/A</v>
      </c>
    </row>
    <row r="224" spans="1:3" x14ac:dyDescent="0.3">
      <c r="A224" t="e">
        <f>INDEX(resultados!$A$2:$ZZ$2290, 218, MATCH($B$1, resultados!$A$1:$ZZ$1, 0))</f>
        <v>#N/A</v>
      </c>
      <c r="B224" t="e">
        <f>INDEX(resultados!$A$2:$ZZ$2290, 218, MATCH($B$2, resultados!$A$1:$ZZ$1, 0))</f>
        <v>#N/A</v>
      </c>
      <c r="C224" t="e">
        <f>INDEX(resultados!$A$2:$ZZ$2290, 218, MATCH($B$3, resultados!$A$1:$ZZ$1, 0))</f>
        <v>#N/A</v>
      </c>
    </row>
    <row r="225" spans="1:3" x14ac:dyDescent="0.3">
      <c r="A225" t="e">
        <f>INDEX(resultados!$A$2:$ZZ$2290, 219, MATCH($B$1, resultados!$A$1:$ZZ$1, 0))</f>
        <v>#N/A</v>
      </c>
      <c r="B225" t="e">
        <f>INDEX(resultados!$A$2:$ZZ$2290, 219, MATCH($B$2, resultados!$A$1:$ZZ$1, 0))</f>
        <v>#N/A</v>
      </c>
      <c r="C225" t="e">
        <f>INDEX(resultados!$A$2:$ZZ$2290, 219, MATCH($B$3, resultados!$A$1:$ZZ$1, 0))</f>
        <v>#N/A</v>
      </c>
    </row>
    <row r="226" spans="1:3" x14ac:dyDescent="0.3">
      <c r="A226" t="e">
        <f>INDEX(resultados!$A$2:$ZZ$2290, 220, MATCH($B$1, resultados!$A$1:$ZZ$1, 0))</f>
        <v>#N/A</v>
      </c>
      <c r="B226" t="e">
        <f>INDEX(resultados!$A$2:$ZZ$2290, 220, MATCH($B$2, resultados!$A$1:$ZZ$1, 0))</f>
        <v>#N/A</v>
      </c>
      <c r="C226" t="e">
        <f>INDEX(resultados!$A$2:$ZZ$2290, 220, MATCH($B$3, resultados!$A$1:$ZZ$1, 0))</f>
        <v>#N/A</v>
      </c>
    </row>
    <row r="227" spans="1:3" x14ac:dyDescent="0.3">
      <c r="A227" t="e">
        <f>INDEX(resultados!$A$2:$ZZ$2290, 221, MATCH($B$1, resultados!$A$1:$ZZ$1, 0))</f>
        <v>#N/A</v>
      </c>
      <c r="B227" t="e">
        <f>INDEX(resultados!$A$2:$ZZ$2290, 221, MATCH($B$2, resultados!$A$1:$ZZ$1, 0))</f>
        <v>#N/A</v>
      </c>
      <c r="C227" t="e">
        <f>INDEX(resultados!$A$2:$ZZ$2290, 221, MATCH($B$3, resultados!$A$1:$ZZ$1, 0))</f>
        <v>#N/A</v>
      </c>
    </row>
    <row r="228" spans="1:3" x14ac:dyDescent="0.3">
      <c r="A228" t="e">
        <f>INDEX(resultados!$A$2:$ZZ$2290, 222, MATCH($B$1, resultados!$A$1:$ZZ$1, 0))</f>
        <v>#N/A</v>
      </c>
      <c r="B228" t="e">
        <f>INDEX(resultados!$A$2:$ZZ$2290, 222, MATCH($B$2, resultados!$A$1:$ZZ$1, 0))</f>
        <v>#N/A</v>
      </c>
      <c r="C228" t="e">
        <f>INDEX(resultados!$A$2:$ZZ$2290, 222, MATCH($B$3, resultados!$A$1:$ZZ$1, 0))</f>
        <v>#N/A</v>
      </c>
    </row>
    <row r="229" spans="1:3" x14ac:dyDescent="0.3">
      <c r="A229" t="e">
        <f>INDEX(resultados!$A$2:$ZZ$2290, 223, MATCH($B$1, resultados!$A$1:$ZZ$1, 0))</f>
        <v>#N/A</v>
      </c>
      <c r="B229" t="e">
        <f>INDEX(resultados!$A$2:$ZZ$2290, 223, MATCH($B$2, resultados!$A$1:$ZZ$1, 0))</f>
        <v>#N/A</v>
      </c>
      <c r="C229" t="e">
        <f>INDEX(resultados!$A$2:$ZZ$2290, 223, MATCH($B$3, resultados!$A$1:$ZZ$1, 0))</f>
        <v>#N/A</v>
      </c>
    </row>
    <row r="230" spans="1:3" x14ac:dyDescent="0.3">
      <c r="A230" t="e">
        <f>INDEX(resultados!$A$2:$ZZ$2290, 224, MATCH($B$1, resultados!$A$1:$ZZ$1, 0))</f>
        <v>#N/A</v>
      </c>
      <c r="B230" t="e">
        <f>INDEX(resultados!$A$2:$ZZ$2290, 224, MATCH($B$2, resultados!$A$1:$ZZ$1, 0))</f>
        <v>#N/A</v>
      </c>
      <c r="C230" t="e">
        <f>INDEX(resultados!$A$2:$ZZ$2290, 224, MATCH($B$3, resultados!$A$1:$ZZ$1, 0))</f>
        <v>#N/A</v>
      </c>
    </row>
    <row r="231" spans="1:3" x14ac:dyDescent="0.3">
      <c r="A231" t="e">
        <f>INDEX(resultados!$A$2:$ZZ$2290, 225, MATCH($B$1, resultados!$A$1:$ZZ$1, 0))</f>
        <v>#N/A</v>
      </c>
      <c r="B231" t="e">
        <f>INDEX(resultados!$A$2:$ZZ$2290, 225, MATCH($B$2, resultados!$A$1:$ZZ$1, 0))</f>
        <v>#N/A</v>
      </c>
      <c r="C231" t="e">
        <f>INDEX(resultados!$A$2:$ZZ$2290, 225, MATCH($B$3, resultados!$A$1:$ZZ$1, 0))</f>
        <v>#N/A</v>
      </c>
    </row>
    <row r="232" spans="1:3" x14ac:dyDescent="0.3">
      <c r="A232" t="e">
        <f>INDEX(resultados!$A$2:$ZZ$2290, 226, MATCH($B$1, resultados!$A$1:$ZZ$1, 0))</f>
        <v>#N/A</v>
      </c>
      <c r="B232" t="e">
        <f>INDEX(resultados!$A$2:$ZZ$2290, 226, MATCH($B$2, resultados!$A$1:$ZZ$1, 0))</f>
        <v>#N/A</v>
      </c>
      <c r="C232" t="e">
        <f>INDEX(resultados!$A$2:$ZZ$2290, 226, MATCH($B$3, resultados!$A$1:$ZZ$1, 0))</f>
        <v>#N/A</v>
      </c>
    </row>
    <row r="233" spans="1:3" x14ac:dyDescent="0.3">
      <c r="A233" t="e">
        <f>INDEX(resultados!$A$2:$ZZ$2290, 227, MATCH($B$1, resultados!$A$1:$ZZ$1, 0))</f>
        <v>#N/A</v>
      </c>
      <c r="B233" t="e">
        <f>INDEX(resultados!$A$2:$ZZ$2290, 227, MATCH($B$2, resultados!$A$1:$ZZ$1, 0))</f>
        <v>#N/A</v>
      </c>
      <c r="C233" t="e">
        <f>INDEX(resultados!$A$2:$ZZ$2290, 227, MATCH($B$3, resultados!$A$1:$ZZ$1, 0))</f>
        <v>#N/A</v>
      </c>
    </row>
    <row r="234" spans="1:3" x14ac:dyDescent="0.3">
      <c r="A234" t="e">
        <f>INDEX(resultados!$A$2:$ZZ$2290, 228, MATCH($B$1, resultados!$A$1:$ZZ$1, 0))</f>
        <v>#N/A</v>
      </c>
      <c r="B234" t="e">
        <f>INDEX(resultados!$A$2:$ZZ$2290, 228, MATCH($B$2, resultados!$A$1:$ZZ$1, 0))</f>
        <v>#N/A</v>
      </c>
      <c r="C234" t="e">
        <f>INDEX(resultados!$A$2:$ZZ$2290, 228, MATCH($B$3, resultados!$A$1:$ZZ$1, 0))</f>
        <v>#N/A</v>
      </c>
    </row>
    <row r="235" spans="1:3" x14ac:dyDescent="0.3">
      <c r="A235" t="e">
        <f>INDEX(resultados!$A$2:$ZZ$2290, 229, MATCH($B$1, resultados!$A$1:$ZZ$1, 0))</f>
        <v>#N/A</v>
      </c>
      <c r="B235" t="e">
        <f>INDEX(resultados!$A$2:$ZZ$2290, 229, MATCH($B$2, resultados!$A$1:$ZZ$1, 0))</f>
        <v>#N/A</v>
      </c>
      <c r="C235" t="e">
        <f>INDEX(resultados!$A$2:$ZZ$2290, 229, MATCH($B$3, resultados!$A$1:$ZZ$1, 0))</f>
        <v>#N/A</v>
      </c>
    </row>
    <row r="236" spans="1:3" x14ac:dyDescent="0.3">
      <c r="A236" t="e">
        <f>INDEX(resultados!$A$2:$ZZ$2290, 230, MATCH($B$1, resultados!$A$1:$ZZ$1, 0))</f>
        <v>#N/A</v>
      </c>
      <c r="B236" t="e">
        <f>INDEX(resultados!$A$2:$ZZ$2290, 230, MATCH($B$2, resultados!$A$1:$ZZ$1, 0))</f>
        <v>#N/A</v>
      </c>
      <c r="C236" t="e">
        <f>INDEX(resultados!$A$2:$ZZ$2290, 230, MATCH($B$3, resultados!$A$1:$ZZ$1, 0))</f>
        <v>#N/A</v>
      </c>
    </row>
    <row r="237" spans="1:3" x14ac:dyDescent="0.3">
      <c r="A237" t="e">
        <f>INDEX(resultados!$A$2:$ZZ$2290, 231, MATCH($B$1, resultados!$A$1:$ZZ$1, 0))</f>
        <v>#N/A</v>
      </c>
      <c r="B237" t="e">
        <f>INDEX(resultados!$A$2:$ZZ$2290, 231, MATCH($B$2, resultados!$A$1:$ZZ$1, 0))</f>
        <v>#N/A</v>
      </c>
      <c r="C237" t="e">
        <f>INDEX(resultados!$A$2:$ZZ$2290, 231, MATCH($B$3, resultados!$A$1:$ZZ$1, 0))</f>
        <v>#N/A</v>
      </c>
    </row>
    <row r="238" spans="1:3" x14ac:dyDescent="0.3">
      <c r="A238" t="e">
        <f>INDEX(resultados!$A$2:$ZZ$2290, 232, MATCH($B$1, resultados!$A$1:$ZZ$1, 0))</f>
        <v>#N/A</v>
      </c>
      <c r="B238" t="e">
        <f>INDEX(resultados!$A$2:$ZZ$2290, 232, MATCH($B$2, resultados!$A$1:$ZZ$1, 0))</f>
        <v>#N/A</v>
      </c>
      <c r="C238" t="e">
        <f>INDEX(resultados!$A$2:$ZZ$2290, 232, MATCH($B$3, resultados!$A$1:$ZZ$1, 0))</f>
        <v>#N/A</v>
      </c>
    </row>
    <row r="239" spans="1:3" x14ac:dyDescent="0.3">
      <c r="A239" t="e">
        <f>INDEX(resultados!$A$2:$ZZ$2290, 233, MATCH($B$1, resultados!$A$1:$ZZ$1, 0))</f>
        <v>#N/A</v>
      </c>
      <c r="B239" t="e">
        <f>INDEX(resultados!$A$2:$ZZ$2290, 233, MATCH($B$2, resultados!$A$1:$ZZ$1, 0))</f>
        <v>#N/A</v>
      </c>
      <c r="C239" t="e">
        <f>INDEX(resultados!$A$2:$ZZ$2290, 233, MATCH($B$3, resultados!$A$1:$ZZ$1, 0))</f>
        <v>#N/A</v>
      </c>
    </row>
    <row r="240" spans="1:3" x14ac:dyDescent="0.3">
      <c r="A240" t="e">
        <f>INDEX(resultados!$A$2:$ZZ$2290, 234, MATCH($B$1, resultados!$A$1:$ZZ$1, 0))</f>
        <v>#N/A</v>
      </c>
      <c r="B240" t="e">
        <f>INDEX(resultados!$A$2:$ZZ$2290, 234, MATCH($B$2, resultados!$A$1:$ZZ$1, 0))</f>
        <v>#N/A</v>
      </c>
      <c r="C240" t="e">
        <f>INDEX(resultados!$A$2:$ZZ$2290, 234, MATCH($B$3, resultados!$A$1:$ZZ$1, 0))</f>
        <v>#N/A</v>
      </c>
    </row>
    <row r="241" spans="1:3" x14ac:dyDescent="0.3">
      <c r="A241" t="e">
        <f>INDEX(resultados!$A$2:$ZZ$2290, 235, MATCH($B$1, resultados!$A$1:$ZZ$1, 0))</f>
        <v>#N/A</v>
      </c>
      <c r="B241" t="e">
        <f>INDEX(resultados!$A$2:$ZZ$2290, 235, MATCH($B$2, resultados!$A$1:$ZZ$1, 0))</f>
        <v>#N/A</v>
      </c>
      <c r="C241" t="e">
        <f>INDEX(resultados!$A$2:$ZZ$2290, 235, MATCH($B$3, resultados!$A$1:$ZZ$1, 0))</f>
        <v>#N/A</v>
      </c>
    </row>
    <row r="242" spans="1:3" x14ac:dyDescent="0.3">
      <c r="A242" t="e">
        <f>INDEX(resultados!$A$2:$ZZ$2290, 236, MATCH($B$1, resultados!$A$1:$ZZ$1, 0))</f>
        <v>#N/A</v>
      </c>
      <c r="B242" t="e">
        <f>INDEX(resultados!$A$2:$ZZ$2290, 236, MATCH($B$2, resultados!$A$1:$ZZ$1, 0))</f>
        <v>#N/A</v>
      </c>
      <c r="C242" t="e">
        <f>INDEX(resultados!$A$2:$ZZ$2290, 236, MATCH($B$3, resultados!$A$1:$ZZ$1, 0))</f>
        <v>#N/A</v>
      </c>
    </row>
    <row r="243" spans="1:3" x14ac:dyDescent="0.3">
      <c r="A243" t="e">
        <f>INDEX(resultados!$A$2:$ZZ$2290, 237, MATCH($B$1, resultados!$A$1:$ZZ$1, 0))</f>
        <v>#N/A</v>
      </c>
      <c r="B243" t="e">
        <f>INDEX(resultados!$A$2:$ZZ$2290, 237, MATCH($B$2, resultados!$A$1:$ZZ$1, 0))</f>
        <v>#N/A</v>
      </c>
      <c r="C243" t="e">
        <f>INDEX(resultados!$A$2:$ZZ$2290, 237, MATCH($B$3, resultados!$A$1:$ZZ$1, 0))</f>
        <v>#N/A</v>
      </c>
    </row>
    <row r="244" spans="1:3" x14ac:dyDescent="0.3">
      <c r="A244" t="e">
        <f>INDEX(resultados!$A$2:$ZZ$2290, 238, MATCH($B$1, resultados!$A$1:$ZZ$1, 0))</f>
        <v>#N/A</v>
      </c>
      <c r="B244" t="e">
        <f>INDEX(resultados!$A$2:$ZZ$2290, 238, MATCH($B$2, resultados!$A$1:$ZZ$1, 0))</f>
        <v>#N/A</v>
      </c>
      <c r="C244" t="e">
        <f>INDEX(resultados!$A$2:$ZZ$2290, 238, MATCH($B$3, resultados!$A$1:$ZZ$1, 0))</f>
        <v>#N/A</v>
      </c>
    </row>
    <row r="245" spans="1:3" x14ac:dyDescent="0.3">
      <c r="A245" t="e">
        <f>INDEX(resultados!$A$2:$ZZ$2290, 239, MATCH($B$1, resultados!$A$1:$ZZ$1, 0))</f>
        <v>#N/A</v>
      </c>
      <c r="B245" t="e">
        <f>INDEX(resultados!$A$2:$ZZ$2290, 239, MATCH($B$2, resultados!$A$1:$ZZ$1, 0))</f>
        <v>#N/A</v>
      </c>
      <c r="C245" t="e">
        <f>INDEX(resultados!$A$2:$ZZ$2290, 239, MATCH($B$3, resultados!$A$1:$ZZ$1, 0))</f>
        <v>#N/A</v>
      </c>
    </row>
    <row r="246" spans="1:3" x14ac:dyDescent="0.3">
      <c r="A246" t="e">
        <f>INDEX(resultados!$A$2:$ZZ$2290, 240, MATCH($B$1, resultados!$A$1:$ZZ$1, 0))</f>
        <v>#N/A</v>
      </c>
      <c r="B246" t="e">
        <f>INDEX(resultados!$A$2:$ZZ$2290, 240, MATCH($B$2, resultados!$A$1:$ZZ$1, 0))</f>
        <v>#N/A</v>
      </c>
      <c r="C246" t="e">
        <f>INDEX(resultados!$A$2:$ZZ$2290, 240, MATCH($B$3, resultados!$A$1:$ZZ$1, 0))</f>
        <v>#N/A</v>
      </c>
    </row>
    <row r="247" spans="1:3" x14ac:dyDescent="0.3">
      <c r="A247" t="e">
        <f>INDEX(resultados!$A$2:$ZZ$2290, 241, MATCH($B$1, resultados!$A$1:$ZZ$1, 0))</f>
        <v>#N/A</v>
      </c>
      <c r="B247" t="e">
        <f>INDEX(resultados!$A$2:$ZZ$2290, 241, MATCH($B$2, resultados!$A$1:$ZZ$1, 0))</f>
        <v>#N/A</v>
      </c>
      <c r="C247" t="e">
        <f>INDEX(resultados!$A$2:$ZZ$2290, 241, MATCH($B$3, resultados!$A$1:$ZZ$1, 0))</f>
        <v>#N/A</v>
      </c>
    </row>
    <row r="248" spans="1:3" x14ac:dyDescent="0.3">
      <c r="A248" t="e">
        <f>INDEX(resultados!$A$2:$ZZ$2290, 242, MATCH($B$1, resultados!$A$1:$ZZ$1, 0))</f>
        <v>#N/A</v>
      </c>
      <c r="B248" t="e">
        <f>INDEX(resultados!$A$2:$ZZ$2290, 242, MATCH($B$2, resultados!$A$1:$ZZ$1, 0))</f>
        <v>#N/A</v>
      </c>
      <c r="C248" t="e">
        <f>INDEX(resultados!$A$2:$ZZ$2290, 242, MATCH($B$3, resultados!$A$1:$ZZ$1, 0))</f>
        <v>#N/A</v>
      </c>
    </row>
    <row r="249" spans="1:3" x14ac:dyDescent="0.3">
      <c r="A249" t="e">
        <f>INDEX(resultados!$A$2:$ZZ$2290, 243, MATCH($B$1, resultados!$A$1:$ZZ$1, 0))</f>
        <v>#N/A</v>
      </c>
      <c r="B249" t="e">
        <f>INDEX(resultados!$A$2:$ZZ$2290, 243, MATCH($B$2, resultados!$A$1:$ZZ$1, 0))</f>
        <v>#N/A</v>
      </c>
      <c r="C249" t="e">
        <f>INDEX(resultados!$A$2:$ZZ$2290, 243, MATCH($B$3, resultados!$A$1:$ZZ$1, 0))</f>
        <v>#N/A</v>
      </c>
    </row>
    <row r="250" spans="1:3" x14ac:dyDescent="0.3">
      <c r="A250" t="e">
        <f>INDEX(resultados!$A$2:$ZZ$2290, 244, MATCH($B$1, resultados!$A$1:$ZZ$1, 0))</f>
        <v>#N/A</v>
      </c>
      <c r="B250" t="e">
        <f>INDEX(resultados!$A$2:$ZZ$2290, 244, MATCH($B$2, resultados!$A$1:$ZZ$1, 0))</f>
        <v>#N/A</v>
      </c>
      <c r="C250" t="e">
        <f>INDEX(resultados!$A$2:$ZZ$2290, 244, MATCH($B$3, resultados!$A$1:$ZZ$1, 0))</f>
        <v>#N/A</v>
      </c>
    </row>
    <row r="251" spans="1:3" x14ac:dyDescent="0.3">
      <c r="A251" t="e">
        <f>INDEX(resultados!$A$2:$ZZ$2290, 245, MATCH($B$1, resultados!$A$1:$ZZ$1, 0))</f>
        <v>#N/A</v>
      </c>
      <c r="B251" t="e">
        <f>INDEX(resultados!$A$2:$ZZ$2290, 245, MATCH($B$2, resultados!$A$1:$ZZ$1, 0))</f>
        <v>#N/A</v>
      </c>
      <c r="C251" t="e">
        <f>INDEX(resultados!$A$2:$ZZ$2290, 245, MATCH($B$3, resultados!$A$1:$ZZ$1, 0))</f>
        <v>#N/A</v>
      </c>
    </row>
    <row r="252" spans="1:3" x14ac:dyDescent="0.3">
      <c r="A252" t="e">
        <f>INDEX(resultados!$A$2:$ZZ$2290, 246, MATCH($B$1, resultados!$A$1:$ZZ$1, 0))</f>
        <v>#N/A</v>
      </c>
      <c r="B252" t="e">
        <f>INDEX(resultados!$A$2:$ZZ$2290, 246, MATCH($B$2, resultados!$A$1:$ZZ$1, 0))</f>
        <v>#N/A</v>
      </c>
      <c r="C252" t="e">
        <f>INDEX(resultados!$A$2:$ZZ$2290, 246, MATCH($B$3, resultados!$A$1:$ZZ$1, 0))</f>
        <v>#N/A</v>
      </c>
    </row>
    <row r="253" spans="1:3" x14ac:dyDescent="0.3">
      <c r="A253" t="e">
        <f>INDEX(resultados!$A$2:$ZZ$2290, 247, MATCH($B$1, resultados!$A$1:$ZZ$1, 0))</f>
        <v>#N/A</v>
      </c>
      <c r="B253" t="e">
        <f>INDEX(resultados!$A$2:$ZZ$2290, 247, MATCH($B$2, resultados!$A$1:$ZZ$1, 0))</f>
        <v>#N/A</v>
      </c>
      <c r="C253" t="e">
        <f>INDEX(resultados!$A$2:$ZZ$2290, 247, MATCH($B$3, resultados!$A$1:$ZZ$1, 0))</f>
        <v>#N/A</v>
      </c>
    </row>
    <row r="254" spans="1:3" x14ac:dyDescent="0.3">
      <c r="A254" t="e">
        <f>INDEX(resultados!$A$2:$ZZ$2290, 248, MATCH($B$1, resultados!$A$1:$ZZ$1, 0))</f>
        <v>#N/A</v>
      </c>
      <c r="B254" t="e">
        <f>INDEX(resultados!$A$2:$ZZ$2290, 248, MATCH($B$2, resultados!$A$1:$ZZ$1, 0))</f>
        <v>#N/A</v>
      </c>
      <c r="C254" t="e">
        <f>INDEX(resultados!$A$2:$ZZ$2290, 248, MATCH($B$3, resultados!$A$1:$ZZ$1, 0))</f>
        <v>#N/A</v>
      </c>
    </row>
    <row r="255" spans="1:3" x14ac:dyDescent="0.3">
      <c r="A255" t="e">
        <f>INDEX(resultados!$A$2:$ZZ$2290, 249, MATCH($B$1, resultados!$A$1:$ZZ$1, 0))</f>
        <v>#N/A</v>
      </c>
      <c r="B255" t="e">
        <f>INDEX(resultados!$A$2:$ZZ$2290, 249, MATCH($B$2, resultados!$A$1:$ZZ$1, 0))</f>
        <v>#N/A</v>
      </c>
      <c r="C255" t="e">
        <f>INDEX(resultados!$A$2:$ZZ$2290, 249, MATCH($B$3, resultados!$A$1:$ZZ$1, 0))</f>
        <v>#N/A</v>
      </c>
    </row>
    <row r="256" spans="1:3" x14ac:dyDescent="0.3">
      <c r="A256" t="e">
        <f>INDEX(resultados!$A$2:$ZZ$2290, 250, MATCH($B$1, resultados!$A$1:$ZZ$1, 0))</f>
        <v>#N/A</v>
      </c>
      <c r="B256" t="e">
        <f>INDEX(resultados!$A$2:$ZZ$2290, 250, MATCH($B$2, resultados!$A$1:$ZZ$1, 0))</f>
        <v>#N/A</v>
      </c>
      <c r="C256" t="e">
        <f>INDEX(resultados!$A$2:$ZZ$2290, 250, MATCH($B$3, resultados!$A$1:$ZZ$1, 0))</f>
        <v>#N/A</v>
      </c>
    </row>
    <row r="257" spans="1:3" x14ac:dyDescent="0.3">
      <c r="A257" t="e">
        <f>INDEX(resultados!$A$2:$ZZ$2290, 251, MATCH($B$1, resultados!$A$1:$ZZ$1, 0))</f>
        <v>#N/A</v>
      </c>
      <c r="B257" t="e">
        <f>INDEX(resultados!$A$2:$ZZ$2290, 251, MATCH($B$2, resultados!$A$1:$ZZ$1, 0))</f>
        <v>#N/A</v>
      </c>
      <c r="C257" t="e">
        <f>INDEX(resultados!$A$2:$ZZ$2290, 251, MATCH($B$3, resultados!$A$1:$ZZ$1, 0))</f>
        <v>#N/A</v>
      </c>
    </row>
    <row r="258" spans="1:3" x14ac:dyDescent="0.3">
      <c r="A258" t="e">
        <f>INDEX(resultados!$A$2:$ZZ$2290, 252, MATCH($B$1, resultados!$A$1:$ZZ$1, 0))</f>
        <v>#N/A</v>
      </c>
      <c r="B258" t="e">
        <f>INDEX(resultados!$A$2:$ZZ$2290, 252, MATCH($B$2, resultados!$A$1:$ZZ$1, 0))</f>
        <v>#N/A</v>
      </c>
      <c r="C258" t="e">
        <f>INDEX(resultados!$A$2:$ZZ$2290, 252, MATCH($B$3, resultados!$A$1:$ZZ$1, 0))</f>
        <v>#N/A</v>
      </c>
    </row>
    <row r="259" spans="1:3" x14ac:dyDescent="0.3">
      <c r="A259" t="e">
        <f>INDEX(resultados!$A$2:$ZZ$2290, 253, MATCH($B$1, resultados!$A$1:$ZZ$1, 0))</f>
        <v>#N/A</v>
      </c>
      <c r="B259" t="e">
        <f>INDEX(resultados!$A$2:$ZZ$2290, 253, MATCH($B$2, resultados!$A$1:$ZZ$1, 0))</f>
        <v>#N/A</v>
      </c>
      <c r="C259" t="e">
        <f>INDEX(resultados!$A$2:$ZZ$2290, 253, MATCH($B$3, resultados!$A$1:$ZZ$1, 0))</f>
        <v>#N/A</v>
      </c>
    </row>
    <row r="260" spans="1:3" x14ac:dyDescent="0.3">
      <c r="A260" t="e">
        <f>INDEX(resultados!$A$2:$ZZ$2290, 254, MATCH($B$1, resultados!$A$1:$ZZ$1, 0))</f>
        <v>#N/A</v>
      </c>
      <c r="B260" t="e">
        <f>INDEX(resultados!$A$2:$ZZ$2290, 254, MATCH($B$2, resultados!$A$1:$ZZ$1, 0))</f>
        <v>#N/A</v>
      </c>
      <c r="C260" t="e">
        <f>INDEX(resultados!$A$2:$ZZ$2290, 254, MATCH($B$3, resultados!$A$1:$ZZ$1, 0))</f>
        <v>#N/A</v>
      </c>
    </row>
    <row r="261" spans="1:3" x14ac:dyDescent="0.3">
      <c r="A261" t="e">
        <f>INDEX(resultados!$A$2:$ZZ$2290, 255, MATCH($B$1, resultados!$A$1:$ZZ$1, 0))</f>
        <v>#N/A</v>
      </c>
      <c r="B261" t="e">
        <f>INDEX(resultados!$A$2:$ZZ$2290, 255, MATCH($B$2, resultados!$A$1:$ZZ$1, 0))</f>
        <v>#N/A</v>
      </c>
      <c r="C261" t="e">
        <f>INDEX(resultados!$A$2:$ZZ$2290, 255, MATCH($B$3, resultados!$A$1:$ZZ$1, 0))</f>
        <v>#N/A</v>
      </c>
    </row>
    <row r="262" spans="1:3" x14ac:dyDescent="0.3">
      <c r="A262" t="e">
        <f>INDEX(resultados!$A$2:$ZZ$2290, 256, MATCH($B$1, resultados!$A$1:$ZZ$1, 0))</f>
        <v>#N/A</v>
      </c>
      <c r="B262" t="e">
        <f>INDEX(resultados!$A$2:$ZZ$2290, 256, MATCH($B$2, resultados!$A$1:$ZZ$1, 0))</f>
        <v>#N/A</v>
      </c>
      <c r="C262" t="e">
        <f>INDEX(resultados!$A$2:$ZZ$2290, 256, MATCH($B$3, resultados!$A$1:$ZZ$1, 0))</f>
        <v>#N/A</v>
      </c>
    </row>
    <row r="263" spans="1:3" x14ac:dyDescent="0.3">
      <c r="A263" t="e">
        <f>INDEX(resultados!$A$2:$ZZ$2290, 257, MATCH($B$1, resultados!$A$1:$ZZ$1, 0))</f>
        <v>#N/A</v>
      </c>
      <c r="B263" t="e">
        <f>INDEX(resultados!$A$2:$ZZ$2290, 257, MATCH($B$2, resultados!$A$1:$ZZ$1, 0))</f>
        <v>#N/A</v>
      </c>
      <c r="C263" t="e">
        <f>INDEX(resultados!$A$2:$ZZ$2290, 257, MATCH($B$3, resultados!$A$1:$ZZ$1, 0))</f>
        <v>#N/A</v>
      </c>
    </row>
    <row r="264" spans="1:3" x14ac:dyDescent="0.3">
      <c r="A264" t="e">
        <f>INDEX(resultados!$A$2:$ZZ$2290, 258, MATCH($B$1, resultados!$A$1:$ZZ$1, 0))</f>
        <v>#N/A</v>
      </c>
      <c r="B264" t="e">
        <f>INDEX(resultados!$A$2:$ZZ$2290, 258, MATCH($B$2, resultados!$A$1:$ZZ$1, 0))</f>
        <v>#N/A</v>
      </c>
      <c r="C264" t="e">
        <f>INDEX(resultados!$A$2:$ZZ$2290, 258, MATCH($B$3, resultados!$A$1:$ZZ$1, 0))</f>
        <v>#N/A</v>
      </c>
    </row>
    <row r="265" spans="1:3" x14ac:dyDescent="0.3">
      <c r="A265" t="e">
        <f>INDEX(resultados!$A$2:$ZZ$2290, 259, MATCH($B$1, resultados!$A$1:$ZZ$1, 0))</f>
        <v>#N/A</v>
      </c>
      <c r="B265" t="e">
        <f>INDEX(resultados!$A$2:$ZZ$2290, 259, MATCH($B$2, resultados!$A$1:$ZZ$1, 0))</f>
        <v>#N/A</v>
      </c>
      <c r="C265" t="e">
        <f>INDEX(resultados!$A$2:$ZZ$2290, 259, MATCH($B$3, resultados!$A$1:$ZZ$1, 0))</f>
        <v>#N/A</v>
      </c>
    </row>
    <row r="266" spans="1:3" x14ac:dyDescent="0.3">
      <c r="A266" t="e">
        <f>INDEX(resultados!$A$2:$ZZ$2290, 260, MATCH($B$1, resultados!$A$1:$ZZ$1, 0))</f>
        <v>#N/A</v>
      </c>
      <c r="B266" t="e">
        <f>INDEX(resultados!$A$2:$ZZ$2290, 260, MATCH($B$2, resultados!$A$1:$ZZ$1, 0))</f>
        <v>#N/A</v>
      </c>
      <c r="C266" t="e">
        <f>INDEX(resultados!$A$2:$ZZ$2290, 260, MATCH($B$3, resultados!$A$1:$ZZ$1, 0))</f>
        <v>#N/A</v>
      </c>
    </row>
    <row r="267" spans="1:3" x14ac:dyDescent="0.3">
      <c r="A267" t="e">
        <f>INDEX(resultados!$A$2:$ZZ$2290, 261, MATCH($B$1, resultados!$A$1:$ZZ$1, 0))</f>
        <v>#N/A</v>
      </c>
      <c r="B267" t="e">
        <f>INDEX(resultados!$A$2:$ZZ$2290, 261, MATCH($B$2, resultados!$A$1:$ZZ$1, 0))</f>
        <v>#N/A</v>
      </c>
      <c r="C267" t="e">
        <f>INDEX(resultados!$A$2:$ZZ$2290, 261, MATCH($B$3, resultados!$A$1:$ZZ$1, 0))</f>
        <v>#N/A</v>
      </c>
    </row>
    <row r="268" spans="1:3" x14ac:dyDescent="0.3">
      <c r="A268" t="e">
        <f>INDEX(resultados!$A$2:$ZZ$2290, 262, MATCH($B$1, resultados!$A$1:$ZZ$1, 0))</f>
        <v>#N/A</v>
      </c>
      <c r="B268" t="e">
        <f>INDEX(resultados!$A$2:$ZZ$2290, 262, MATCH($B$2, resultados!$A$1:$ZZ$1, 0))</f>
        <v>#N/A</v>
      </c>
      <c r="C268" t="e">
        <f>INDEX(resultados!$A$2:$ZZ$2290, 262, MATCH($B$3, resultados!$A$1:$ZZ$1, 0))</f>
        <v>#N/A</v>
      </c>
    </row>
    <row r="269" spans="1:3" x14ac:dyDescent="0.3">
      <c r="A269" t="e">
        <f>INDEX(resultados!$A$2:$ZZ$2290, 263, MATCH($B$1, resultados!$A$1:$ZZ$1, 0))</f>
        <v>#N/A</v>
      </c>
      <c r="B269" t="e">
        <f>INDEX(resultados!$A$2:$ZZ$2290, 263, MATCH($B$2, resultados!$A$1:$ZZ$1, 0))</f>
        <v>#N/A</v>
      </c>
      <c r="C269" t="e">
        <f>INDEX(resultados!$A$2:$ZZ$2290, 263, MATCH($B$3, resultados!$A$1:$ZZ$1, 0))</f>
        <v>#N/A</v>
      </c>
    </row>
    <row r="270" spans="1:3" x14ac:dyDescent="0.3">
      <c r="A270" t="e">
        <f>INDEX(resultados!$A$2:$ZZ$2290, 264, MATCH($B$1, resultados!$A$1:$ZZ$1, 0))</f>
        <v>#N/A</v>
      </c>
      <c r="B270" t="e">
        <f>INDEX(resultados!$A$2:$ZZ$2290, 264, MATCH($B$2, resultados!$A$1:$ZZ$1, 0))</f>
        <v>#N/A</v>
      </c>
      <c r="C270" t="e">
        <f>INDEX(resultados!$A$2:$ZZ$2290, 264, MATCH($B$3, resultados!$A$1:$ZZ$1, 0))</f>
        <v>#N/A</v>
      </c>
    </row>
    <row r="271" spans="1:3" x14ac:dyDescent="0.3">
      <c r="A271" t="e">
        <f>INDEX(resultados!$A$2:$ZZ$2290, 265, MATCH($B$1, resultados!$A$1:$ZZ$1, 0))</f>
        <v>#N/A</v>
      </c>
      <c r="B271" t="e">
        <f>INDEX(resultados!$A$2:$ZZ$2290, 265, MATCH($B$2, resultados!$A$1:$ZZ$1, 0))</f>
        <v>#N/A</v>
      </c>
      <c r="C271" t="e">
        <f>INDEX(resultados!$A$2:$ZZ$2290, 265, MATCH($B$3, resultados!$A$1:$ZZ$1, 0))</f>
        <v>#N/A</v>
      </c>
    </row>
    <row r="272" spans="1:3" x14ac:dyDescent="0.3">
      <c r="A272" t="e">
        <f>INDEX(resultados!$A$2:$ZZ$2290, 266, MATCH($B$1, resultados!$A$1:$ZZ$1, 0))</f>
        <v>#N/A</v>
      </c>
      <c r="B272" t="e">
        <f>INDEX(resultados!$A$2:$ZZ$2290, 266, MATCH($B$2, resultados!$A$1:$ZZ$1, 0))</f>
        <v>#N/A</v>
      </c>
      <c r="C272" t="e">
        <f>INDEX(resultados!$A$2:$ZZ$2290, 266, MATCH($B$3, resultados!$A$1:$ZZ$1, 0))</f>
        <v>#N/A</v>
      </c>
    </row>
    <row r="273" spans="1:3" x14ac:dyDescent="0.3">
      <c r="A273" t="e">
        <f>INDEX(resultados!$A$2:$ZZ$2290, 267, MATCH($B$1, resultados!$A$1:$ZZ$1, 0))</f>
        <v>#N/A</v>
      </c>
      <c r="B273" t="e">
        <f>INDEX(resultados!$A$2:$ZZ$2290, 267, MATCH($B$2, resultados!$A$1:$ZZ$1, 0))</f>
        <v>#N/A</v>
      </c>
      <c r="C273" t="e">
        <f>INDEX(resultados!$A$2:$ZZ$2290, 267, MATCH($B$3, resultados!$A$1:$ZZ$1, 0))</f>
        <v>#N/A</v>
      </c>
    </row>
    <row r="274" spans="1:3" x14ac:dyDescent="0.3">
      <c r="A274" t="e">
        <f>INDEX(resultados!$A$2:$ZZ$2290, 268, MATCH($B$1, resultados!$A$1:$ZZ$1, 0))</f>
        <v>#N/A</v>
      </c>
      <c r="B274" t="e">
        <f>INDEX(resultados!$A$2:$ZZ$2290, 268, MATCH($B$2, resultados!$A$1:$ZZ$1, 0))</f>
        <v>#N/A</v>
      </c>
      <c r="C274" t="e">
        <f>INDEX(resultados!$A$2:$ZZ$2290, 268, MATCH($B$3, resultados!$A$1:$ZZ$1, 0))</f>
        <v>#N/A</v>
      </c>
    </row>
    <row r="275" spans="1:3" x14ac:dyDescent="0.3">
      <c r="A275" t="e">
        <f>INDEX(resultados!$A$2:$ZZ$2290, 269, MATCH($B$1, resultados!$A$1:$ZZ$1, 0))</f>
        <v>#N/A</v>
      </c>
      <c r="B275" t="e">
        <f>INDEX(resultados!$A$2:$ZZ$2290, 269, MATCH($B$2, resultados!$A$1:$ZZ$1, 0))</f>
        <v>#N/A</v>
      </c>
      <c r="C275" t="e">
        <f>INDEX(resultados!$A$2:$ZZ$2290, 269, MATCH($B$3, resultados!$A$1:$ZZ$1, 0))</f>
        <v>#N/A</v>
      </c>
    </row>
    <row r="276" spans="1:3" x14ac:dyDescent="0.3">
      <c r="A276" t="e">
        <f>INDEX(resultados!$A$2:$ZZ$2290, 270, MATCH($B$1, resultados!$A$1:$ZZ$1, 0))</f>
        <v>#N/A</v>
      </c>
      <c r="B276" t="e">
        <f>INDEX(resultados!$A$2:$ZZ$2290, 270, MATCH($B$2, resultados!$A$1:$ZZ$1, 0))</f>
        <v>#N/A</v>
      </c>
      <c r="C276" t="e">
        <f>INDEX(resultados!$A$2:$ZZ$2290, 270, MATCH($B$3, resultados!$A$1:$ZZ$1, 0))</f>
        <v>#N/A</v>
      </c>
    </row>
    <row r="277" spans="1:3" x14ac:dyDescent="0.3">
      <c r="A277" t="e">
        <f>INDEX(resultados!$A$2:$ZZ$2290, 271, MATCH($B$1, resultados!$A$1:$ZZ$1, 0))</f>
        <v>#N/A</v>
      </c>
      <c r="B277" t="e">
        <f>INDEX(resultados!$A$2:$ZZ$2290, 271, MATCH($B$2, resultados!$A$1:$ZZ$1, 0))</f>
        <v>#N/A</v>
      </c>
      <c r="C277" t="e">
        <f>INDEX(resultados!$A$2:$ZZ$2290, 271, MATCH($B$3, resultados!$A$1:$ZZ$1, 0))</f>
        <v>#N/A</v>
      </c>
    </row>
    <row r="278" spans="1:3" x14ac:dyDescent="0.3">
      <c r="A278" t="e">
        <f>INDEX(resultados!$A$2:$ZZ$2290, 272, MATCH($B$1, resultados!$A$1:$ZZ$1, 0))</f>
        <v>#N/A</v>
      </c>
      <c r="B278" t="e">
        <f>INDEX(resultados!$A$2:$ZZ$2290, 272, MATCH($B$2, resultados!$A$1:$ZZ$1, 0))</f>
        <v>#N/A</v>
      </c>
      <c r="C278" t="e">
        <f>INDEX(resultados!$A$2:$ZZ$2290, 272, MATCH($B$3, resultados!$A$1:$ZZ$1, 0))</f>
        <v>#N/A</v>
      </c>
    </row>
    <row r="279" spans="1:3" x14ac:dyDescent="0.3">
      <c r="A279" t="e">
        <f>INDEX(resultados!$A$2:$ZZ$2290, 273, MATCH($B$1, resultados!$A$1:$ZZ$1, 0))</f>
        <v>#N/A</v>
      </c>
      <c r="B279" t="e">
        <f>INDEX(resultados!$A$2:$ZZ$2290, 273, MATCH($B$2, resultados!$A$1:$ZZ$1, 0))</f>
        <v>#N/A</v>
      </c>
      <c r="C279" t="e">
        <f>INDEX(resultados!$A$2:$ZZ$2290, 273, MATCH($B$3, resultados!$A$1:$ZZ$1, 0))</f>
        <v>#N/A</v>
      </c>
    </row>
    <row r="280" spans="1:3" x14ac:dyDescent="0.3">
      <c r="A280" t="e">
        <f>INDEX(resultados!$A$2:$ZZ$2290, 274, MATCH($B$1, resultados!$A$1:$ZZ$1, 0))</f>
        <v>#N/A</v>
      </c>
      <c r="B280" t="e">
        <f>INDEX(resultados!$A$2:$ZZ$2290, 274, MATCH($B$2, resultados!$A$1:$ZZ$1, 0))</f>
        <v>#N/A</v>
      </c>
      <c r="C280" t="e">
        <f>INDEX(resultados!$A$2:$ZZ$2290, 274, MATCH($B$3, resultados!$A$1:$ZZ$1, 0))</f>
        <v>#N/A</v>
      </c>
    </row>
    <row r="281" spans="1:3" x14ac:dyDescent="0.3">
      <c r="A281" t="e">
        <f>INDEX(resultados!$A$2:$ZZ$2290, 275, MATCH($B$1, resultados!$A$1:$ZZ$1, 0))</f>
        <v>#N/A</v>
      </c>
      <c r="B281" t="e">
        <f>INDEX(resultados!$A$2:$ZZ$2290, 275, MATCH($B$2, resultados!$A$1:$ZZ$1, 0))</f>
        <v>#N/A</v>
      </c>
      <c r="C281" t="e">
        <f>INDEX(resultados!$A$2:$ZZ$2290, 275, MATCH($B$3, resultados!$A$1:$ZZ$1, 0))</f>
        <v>#N/A</v>
      </c>
    </row>
    <row r="282" spans="1:3" x14ac:dyDescent="0.3">
      <c r="A282" t="e">
        <f>INDEX(resultados!$A$2:$ZZ$2290, 276, MATCH($B$1, resultados!$A$1:$ZZ$1, 0))</f>
        <v>#N/A</v>
      </c>
      <c r="B282" t="e">
        <f>INDEX(resultados!$A$2:$ZZ$2290, 276, MATCH($B$2, resultados!$A$1:$ZZ$1, 0))</f>
        <v>#N/A</v>
      </c>
      <c r="C282" t="e">
        <f>INDEX(resultados!$A$2:$ZZ$2290, 276, MATCH($B$3, resultados!$A$1:$ZZ$1, 0))</f>
        <v>#N/A</v>
      </c>
    </row>
    <row r="283" spans="1:3" x14ac:dyDescent="0.3">
      <c r="A283" t="e">
        <f>INDEX(resultados!$A$2:$ZZ$2290, 277, MATCH($B$1, resultados!$A$1:$ZZ$1, 0))</f>
        <v>#N/A</v>
      </c>
      <c r="B283" t="e">
        <f>INDEX(resultados!$A$2:$ZZ$2290, 277, MATCH($B$2, resultados!$A$1:$ZZ$1, 0))</f>
        <v>#N/A</v>
      </c>
      <c r="C283" t="e">
        <f>INDEX(resultados!$A$2:$ZZ$2290, 277, MATCH($B$3, resultados!$A$1:$ZZ$1, 0))</f>
        <v>#N/A</v>
      </c>
    </row>
    <row r="284" spans="1:3" x14ac:dyDescent="0.3">
      <c r="A284" t="e">
        <f>INDEX(resultados!$A$2:$ZZ$2290, 278, MATCH($B$1, resultados!$A$1:$ZZ$1, 0))</f>
        <v>#N/A</v>
      </c>
      <c r="B284" t="e">
        <f>INDEX(resultados!$A$2:$ZZ$2290, 278, MATCH($B$2, resultados!$A$1:$ZZ$1, 0))</f>
        <v>#N/A</v>
      </c>
      <c r="C284" t="e">
        <f>INDEX(resultados!$A$2:$ZZ$2290, 278, MATCH($B$3, resultados!$A$1:$ZZ$1, 0))</f>
        <v>#N/A</v>
      </c>
    </row>
    <row r="285" spans="1:3" x14ac:dyDescent="0.3">
      <c r="A285" t="e">
        <f>INDEX(resultados!$A$2:$ZZ$2290, 279, MATCH($B$1, resultados!$A$1:$ZZ$1, 0))</f>
        <v>#N/A</v>
      </c>
      <c r="B285" t="e">
        <f>INDEX(resultados!$A$2:$ZZ$2290, 279, MATCH($B$2, resultados!$A$1:$ZZ$1, 0))</f>
        <v>#N/A</v>
      </c>
      <c r="C285" t="e">
        <f>INDEX(resultados!$A$2:$ZZ$2290, 279, MATCH($B$3, resultados!$A$1:$ZZ$1, 0))</f>
        <v>#N/A</v>
      </c>
    </row>
    <row r="286" spans="1:3" x14ac:dyDescent="0.3">
      <c r="A286" t="e">
        <f>INDEX(resultados!$A$2:$ZZ$2290, 280, MATCH($B$1, resultados!$A$1:$ZZ$1, 0))</f>
        <v>#N/A</v>
      </c>
      <c r="B286" t="e">
        <f>INDEX(resultados!$A$2:$ZZ$2290, 280, MATCH($B$2, resultados!$A$1:$ZZ$1, 0))</f>
        <v>#N/A</v>
      </c>
      <c r="C286" t="e">
        <f>INDEX(resultados!$A$2:$ZZ$2290, 280, MATCH($B$3, resultados!$A$1:$ZZ$1, 0))</f>
        <v>#N/A</v>
      </c>
    </row>
    <row r="287" spans="1:3" x14ac:dyDescent="0.3">
      <c r="A287" t="e">
        <f>INDEX(resultados!$A$2:$ZZ$2290, 281, MATCH($B$1, resultados!$A$1:$ZZ$1, 0))</f>
        <v>#N/A</v>
      </c>
      <c r="B287" t="e">
        <f>INDEX(resultados!$A$2:$ZZ$2290, 281, MATCH($B$2, resultados!$A$1:$ZZ$1, 0))</f>
        <v>#N/A</v>
      </c>
      <c r="C287" t="e">
        <f>INDEX(resultados!$A$2:$ZZ$2290, 281, MATCH($B$3, resultados!$A$1:$ZZ$1, 0))</f>
        <v>#N/A</v>
      </c>
    </row>
    <row r="288" spans="1:3" x14ac:dyDescent="0.3">
      <c r="A288" t="e">
        <f>INDEX(resultados!$A$2:$ZZ$2290, 282, MATCH($B$1, resultados!$A$1:$ZZ$1, 0))</f>
        <v>#N/A</v>
      </c>
      <c r="B288" t="e">
        <f>INDEX(resultados!$A$2:$ZZ$2290, 282, MATCH($B$2, resultados!$A$1:$ZZ$1, 0))</f>
        <v>#N/A</v>
      </c>
      <c r="C288" t="e">
        <f>INDEX(resultados!$A$2:$ZZ$2290, 282, MATCH($B$3, resultados!$A$1:$ZZ$1, 0))</f>
        <v>#N/A</v>
      </c>
    </row>
    <row r="289" spans="1:3" x14ac:dyDescent="0.3">
      <c r="A289" t="e">
        <f>INDEX(resultados!$A$2:$ZZ$2290, 283, MATCH($B$1, resultados!$A$1:$ZZ$1, 0))</f>
        <v>#N/A</v>
      </c>
      <c r="B289" t="e">
        <f>INDEX(resultados!$A$2:$ZZ$2290, 283, MATCH($B$2, resultados!$A$1:$ZZ$1, 0))</f>
        <v>#N/A</v>
      </c>
      <c r="C289" t="e">
        <f>INDEX(resultados!$A$2:$ZZ$2290, 283, MATCH($B$3, resultados!$A$1:$ZZ$1, 0))</f>
        <v>#N/A</v>
      </c>
    </row>
    <row r="290" spans="1:3" x14ac:dyDescent="0.3">
      <c r="A290" t="e">
        <f>INDEX(resultados!$A$2:$ZZ$2290, 284, MATCH($B$1, resultados!$A$1:$ZZ$1, 0))</f>
        <v>#N/A</v>
      </c>
      <c r="B290" t="e">
        <f>INDEX(resultados!$A$2:$ZZ$2290, 284, MATCH($B$2, resultados!$A$1:$ZZ$1, 0))</f>
        <v>#N/A</v>
      </c>
      <c r="C290" t="e">
        <f>INDEX(resultados!$A$2:$ZZ$2290, 284, MATCH($B$3, resultados!$A$1:$ZZ$1, 0))</f>
        <v>#N/A</v>
      </c>
    </row>
    <row r="291" spans="1:3" x14ac:dyDescent="0.3">
      <c r="A291" t="e">
        <f>INDEX(resultados!$A$2:$ZZ$2290, 285, MATCH($B$1, resultados!$A$1:$ZZ$1, 0))</f>
        <v>#N/A</v>
      </c>
      <c r="B291" t="e">
        <f>INDEX(resultados!$A$2:$ZZ$2290, 285, MATCH($B$2, resultados!$A$1:$ZZ$1, 0))</f>
        <v>#N/A</v>
      </c>
      <c r="C291" t="e">
        <f>INDEX(resultados!$A$2:$ZZ$2290, 285, MATCH($B$3, resultados!$A$1:$ZZ$1, 0))</f>
        <v>#N/A</v>
      </c>
    </row>
    <row r="292" spans="1:3" x14ac:dyDescent="0.3">
      <c r="A292" t="e">
        <f>INDEX(resultados!$A$2:$ZZ$2290, 286, MATCH($B$1, resultados!$A$1:$ZZ$1, 0))</f>
        <v>#N/A</v>
      </c>
      <c r="B292" t="e">
        <f>INDEX(resultados!$A$2:$ZZ$2290, 286, MATCH($B$2, resultados!$A$1:$ZZ$1, 0))</f>
        <v>#N/A</v>
      </c>
      <c r="C292" t="e">
        <f>INDEX(resultados!$A$2:$ZZ$2290, 286, MATCH($B$3, resultados!$A$1:$ZZ$1, 0))</f>
        <v>#N/A</v>
      </c>
    </row>
    <row r="293" spans="1:3" x14ac:dyDescent="0.3">
      <c r="A293" t="e">
        <f>INDEX(resultados!$A$2:$ZZ$2290, 287, MATCH($B$1, resultados!$A$1:$ZZ$1, 0))</f>
        <v>#N/A</v>
      </c>
      <c r="B293" t="e">
        <f>INDEX(resultados!$A$2:$ZZ$2290, 287, MATCH($B$2, resultados!$A$1:$ZZ$1, 0))</f>
        <v>#N/A</v>
      </c>
      <c r="C293" t="e">
        <f>INDEX(resultados!$A$2:$ZZ$2290, 287, MATCH($B$3, resultados!$A$1:$ZZ$1, 0))</f>
        <v>#N/A</v>
      </c>
    </row>
    <row r="294" spans="1:3" x14ac:dyDescent="0.3">
      <c r="A294" t="e">
        <f>INDEX(resultados!$A$2:$ZZ$2290, 288, MATCH($B$1, resultados!$A$1:$ZZ$1, 0))</f>
        <v>#N/A</v>
      </c>
      <c r="B294" t="e">
        <f>INDEX(resultados!$A$2:$ZZ$2290, 288, MATCH($B$2, resultados!$A$1:$ZZ$1, 0))</f>
        <v>#N/A</v>
      </c>
      <c r="C294" t="e">
        <f>INDEX(resultados!$A$2:$ZZ$2290, 288, MATCH($B$3, resultados!$A$1:$ZZ$1, 0))</f>
        <v>#N/A</v>
      </c>
    </row>
    <row r="295" spans="1:3" x14ac:dyDescent="0.3">
      <c r="A295" t="e">
        <f>INDEX(resultados!$A$2:$ZZ$2290, 289, MATCH($B$1, resultados!$A$1:$ZZ$1, 0))</f>
        <v>#N/A</v>
      </c>
      <c r="B295" t="e">
        <f>INDEX(resultados!$A$2:$ZZ$2290, 289, MATCH($B$2, resultados!$A$1:$ZZ$1, 0))</f>
        <v>#N/A</v>
      </c>
      <c r="C295" t="e">
        <f>INDEX(resultados!$A$2:$ZZ$2290, 289, MATCH($B$3, resultados!$A$1:$ZZ$1, 0))</f>
        <v>#N/A</v>
      </c>
    </row>
    <row r="296" spans="1:3" x14ac:dyDescent="0.3">
      <c r="A296" t="e">
        <f>INDEX(resultados!$A$2:$ZZ$2290, 290, MATCH($B$1, resultados!$A$1:$ZZ$1, 0))</f>
        <v>#N/A</v>
      </c>
      <c r="B296" t="e">
        <f>INDEX(resultados!$A$2:$ZZ$2290, 290, MATCH($B$2, resultados!$A$1:$ZZ$1, 0))</f>
        <v>#N/A</v>
      </c>
      <c r="C296" t="e">
        <f>INDEX(resultados!$A$2:$ZZ$2290, 290, MATCH($B$3, resultados!$A$1:$ZZ$1, 0))</f>
        <v>#N/A</v>
      </c>
    </row>
    <row r="297" spans="1:3" x14ac:dyDescent="0.3">
      <c r="A297" t="e">
        <f>INDEX(resultados!$A$2:$ZZ$2290, 291, MATCH($B$1, resultados!$A$1:$ZZ$1, 0))</f>
        <v>#N/A</v>
      </c>
      <c r="B297" t="e">
        <f>INDEX(resultados!$A$2:$ZZ$2290, 291, MATCH($B$2, resultados!$A$1:$ZZ$1, 0))</f>
        <v>#N/A</v>
      </c>
      <c r="C297" t="e">
        <f>INDEX(resultados!$A$2:$ZZ$2290, 291, MATCH($B$3, resultados!$A$1:$ZZ$1, 0))</f>
        <v>#N/A</v>
      </c>
    </row>
    <row r="298" spans="1:3" x14ac:dyDescent="0.3">
      <c r="A298" t="e">
        <f>INDEX(resultados!$A$2:$ZZ$2290, 292, MATCH($B$1, resultados!$A$1:$ZZ$1, 0))</f>
        <v>#N/A</v>
      </c>
      <c r="B298" t="e">
        <f>INDEX(resultados!$A$2:$ZZ$2290, 292, MATCH($B$2, resultados!$A$1:$ZZ$1, 0))</f>
        <v>#N/A</v>
      </c>
      <c r="C298" t="e">
        <f>INDEX(resultados!$A$2:$ZZ$2290, 292, MATCH($B$3, resultados!$A$1:$ZZ$1, 0))</f>
        <v>#N/A</v>
      </c>
    </row>
    <row r="299" spans="1:3" x14ac:dyDescent="0.3">
      <c r="A299" t="e">
        <f>INDEX(resultados!$A$2:$ZZ$2290, 293, MATCH($B$1, resultados!$A$1:$ZZ$1, 0))</f>
        <v>#N/A</v>
      </c>
      <c r="B299" t="e">
        <f>INDEX(resultados!$A$2:$ZZ$2290, 293, MATCH($B$2, resultados!$A$1:$ZZ$1, 0))</f>
        <v>#N/A</v>
      </c>
      <c r="C299" t="e">
        <f>INDEX(resultados!$A$2:$ZZ$2290, 293, MATCH($B$3, resultados!$A$1:$ZZ$1, 0))</f>
        <v>#N/A</v>
      </c>
    </row>
    <row r="300" spans="1:3" x14ac:dyDescent="0.3">
      <c r="A300" t="e">
        <f>INDEX(resultados!$A$2:$ZZ$2290, 294, MATCH($B$1, resultados!$A$1:$ZZ$1, 0))</f>
        <v>#N/A</v>
      </c>
      <c r="B300" t="e">
        <f>INDEX(resultados!$A$2:$ZZ$2290, 294, MATCH($B$2, resultados!$A$1:$ZZ$1, 0))</f>
        <v>#N/A</v>
      </c>
      <c r="C300" t="e">
        <f>INDEX(resultados!$A$2:$ZZ$2290, 294, MATCH($B$3, resultados!$A$1:$ZZ$1, 0))</f>
        <v>#N/A</v>
      </c>
    </row>
    <row r="301" spans="1:3" x14ac:dyDescent="0.3">
      <c r="A301" t="e">
        <f>INDEX(resultados!$A$2:$ZZ$2290, 295, MATCH($B$1, resultados!$A$1:$ZZ$1, 0))</f>
        <v>#N/A</v>
      </c>
      <c r="B301" t="e">
        <f>INDEX(resultados!$A$2:$ZZ$2290, 295, MATCH($B$2, resultados!$A$1:$ZZ$1, 0))</f>
        <v>#N/A</v>
      </c>
      <c r="C301" t="e">
        <f>INDEX(resultados!$A$2:$ZZ$2290, 295, MATCH($B$3, resultados!$A$1:$ZZ$1, 0))</f>
        <v>#N/A</v>
      </c>
    </row>
    <row r="302" spans="1:3" x14ac:dyDescent="0.3">
      <c r="A302" t="e">
        <f>INDEX(resultados!$A$2:$ZZ$2290, 296, MATCH($B$1, resultados!$A$1:$ZZ$1, 0))</f>
        <v>#N/A</v>
      </c>
      <c r="B302" t="e">
        <f>INDEX(resultados!$A$2:$ZZ$2290, 296, MATCH($B$2, resultados!$A$1:$ZZ$1, 0))</f>
        <v>#N/A</v>
      </c>
      <c r="C302" t="e">
        <f>INDEX(resultados!$A$2:$ZZ$2290, 296, MATCH($B$3, resultados!$A$1:$ZZ$1, 0))</f>
        <v>#N/A</v>
      </c>
    </row>
    <row r="303" spans="1:3" x14ac:dyDescent="0.3">
      <c r="A303" t="e">
        <f>INDEX(resultados!$A$2:$ZZ$2290, 297, MATCH($B$1, resultados!$A$1:$ZZ$1, 0))</f>
        <v>#N/A</v>
      </c>
      <c r="B303" t="e">
        <f>INDEX(resultados!$A$2:$ZZ$2290, 297, MATCH($B$2, resultados!$A$1:$ZZ$1, 0))</f>
        <v>#N/A</v>
      </c>
      <c r="C303" t="e">
        <f>INDEX(resultados!$A$2:$ZZ$2290, 297, MATCH($B$3, resultados!$A$1:$ZZ$1, 0))</f>
        <v>#N/A</v>
      </c>
    </row>
    <row r="304" spans="1:3" x14ac:dyDescent="0.3">
      <c r="A304" t="e">
        <f>INDEX(resultados!$A$2:$ZZ$2290, 298, MATCH($B$1, resultados!$A$1:$ZZ$1, 0))</f>
        <v>#N/A</v>
      </c>
      <c r="B304" t="e">
        <f>INDEX(resultados!$A$2:$ZZ$2290, 298, MATCH($B$2, resultados!$A$1:$ZZ$1, 0))</f>
        <v>#N/A</v>
      </c>
      <c r="C304" t="e">
        <f>INDEX(resultados!$A$2:$ZZ$2290, 298, MATCH($B$3, resultados!$A$1:$ZZ$1, 0))</f>
        <v>#N/A</v>
      </c>
    </row>
    <row r="305" spans="1:3" x14ac:dyDescent="0.3">
      <c r="A305" t="e">
        <f>INDEX(resultados!$A$2:$ZZ$2290, 299, MATCH($B$1, resultados!$A$1:$ZZ$1, 0))</f>
        <v>#N/A</v>
      </c>
      <c r="B305" t="e">
        <f>INDEX(resultados!$A$2:$ZZ$2290, 299, MATCH($B$2, resultados!$A$1:$ZZ$1, 0))</f>
        <v>#N/A</v>
      </c>
      <c r="C305" t="e">
        <f>INDEX(resultados!$A$2:$ZZ$2290, 299, MATCH($B$3, resultados!$A$1:$ZZ$1, 0))</f>
        <v>#N/A</v>
      </c>
    </row>
    <row r="306" spans="1:3" x14ac:dyDescent="0.3">
      <c r="A306" t="e">
        <f>INDEX(resultados!$A$2:$ZZ$2290, 300, MATCH($B$1, resultados!$A$1:$ZZ$1, 0))</f>
        <v>#N/A</v>
      </c>
      <c r="B306" t="e">
        <f>INDEX(resultados!$A$2:$ZZ$2290, 300, MATCH($B$2, resultados!$A$1:$ZZ$1, 0))</f>
        <v>#N/A</v>
      </c>
      <c r="C306" t="e">
        <f>INDEX(resultados!$A$2:$ZZ$2290, 300, MATCH($B$3, resultados!$A$1:$ZZ$1, 0))</f>
        <v>#N/A</v>
      </c>
    </row>
    <row r="307" spans="1:3" x14ac:dyDescent="0.3">
      <c r="A307" t="e">
        <f>INDEX(resultados!$A$2:$ZZ$2290, 301, MATCH($B$1, resultados!$A$1:$ZZ$1, 0))</f>
        <v>#N/A</v>
      </c>
      <c r="B307" t="e">
        <f>INDEX(resultados!$A$2:$ZZ$2290, 301, MATCH($B$2, resultados!$A$1:$ZZ$1, 0))</f>
        <v>#N/A</v>
      </c>
      <c r="C307" t="e">
        <f>INDEX(resultados!$A$2:$ZZ$2290, 301, MATCH($B$3, resultados!$A$1:$ZZ$1, 0))</f>
        <v>#N/A</v>
      </c>
    </row>
    <row r="308" spans="1:3" x14ac:dyDescent="0.3">
      <c r="A308" t="e">
        <f>INDEX(resultados!$A$2:$ZZ$2290, 302, MATCH($B$1, resultados!$A$1:$ZZ$1, 0))</f>
        <v>#N/A</v>
      </c>
      <c r="B308" t="e">
        <f>INDEX(resultados!$A$2:$ZZ$2290, 302, MATCH($B$2, resultados!$A$1:$ZZ$1, 0))</f>
        <v>#N/A</v>
      </c>
      <c r="C308" t="e">
        <f>INDEX(resultados!$A$2:$ZZ$2290, 302, MATCH($B$3, resultados!$A$1:$ZZ$1, 0))</f>
        <v>#N/A</v>
      </c>
    </row>
    <row r="309" spans="1:3" x14ac:dyDescent="0.3">
      <c r="A309" t="e">
        <f>INDEX(resultados!$A$2:$ZZ$2290, 303, MATCH($B$1, resultados!$A$1:$ZZ$1, 0))</f>
        <v>#N/A</v>
      </c>
      <c r="B309" t="e">
        <f>INDEX(resultados!$A$2:$ZZ$2290, 303, MATCH($B$2, resultados!$A$1:$ZZ$1, 0))</f>
        <v>#N/A</v>
      </c>
      <c r="C309" t="e">
        <f>INDEX(resultados!$A$2:$ZZ$2290, 303, MATCH($B$3, resultados!$A$1:$ZZ$1, 0))</f>
        <v>#N/A</v>
      </c>
    </row>
    <row r="310" spans="1:3" x14ac:dyDescent="0.3">
      <c r="A310" t="e">
        <f>INDEX(resultados!$A$2:$ZZ$2290, 304, MATCH($B$1, resultados!$A$1:$ZZ$1, 0))</f>
        <v>#N/A</v>
      </c>
      <c r="B310" t="e">
        <f>INDEX(resultados!$A$2:$ZZ$2290, 304, MATCH($B$2, resultados!$A$1:$ZZ$1, 0))</f>
        <v>#N/A</v>
      </c>
      <c r="C310" t="e">
        <f>INDEX(resultados!$A$2:$ZZ$2290, 304, MATCH($B$3, resultados!$A$1:$ZZ$1, 0))</f>
        <v>#N/A</v>
      </c>
    </row>
    <row r="311" spans="1:3" x14ac:dyDescent="0.3">
      <c r="A311" t="e">
        <f>INDEX(resultados!$A$2:$ZZ$2290, 305, MATCH($B$1, resultados!$A$1:$ZZ$1, 0))</f>
        <v>#N/A</v>
      </c>
      <c r="B311" t="e">
        <f>INDEX(resultados!$A$2:$ZZ$2290, 305, MATCH($B$2, resultados!$A$1:$ZZ$1, 0))</f>
        <v>#N/A</v>
      </c>
      <c r="C311" t="e">
        <f>INDEX(resultados!$A$2:$ZZ$2290, 305, MATCH($B$3, resultados!$A$1:$ZZ$1, 0))</f>
        <v>#N/A</v>
      </c>
    </row>
    <row r="312" spans="1:3" x14ac:dyDescent="0.3">
      <c r="A312" t="e">
        <f>INDEX(resultados!$A$2:$ZZ$2290, 306, MATCH($B$1, resultados!$A$1:$ZZ$1, 0))</f>
        <v>#N/A</v>
      </c>
      <c r="B312" t="e">
        <f>INDEX(resultados!$A$2:$ZZ$2290, 306, MATCH($B$2, resultados!$A$1:$ZZ$1, 0))</f>
        <v>#N/A</v>
      </c>
      <c r="C312" t="e">
        <f>INDEX(resultados!$A$2:$ZZ$2290, 306, MATCH($B$3, resultados!$A$1:$ZZ$1, 0))</f>
        <v>#N/A</v>
      </c>
    </row>
    <row r="313" spans="1:3" x14ac:dyDescent="0.3">
      <c r="A313" t="e">
        <f>INDEX(resultados!$A$2:$ZZ$2290, 307, MATCH($B$1, resultados!$A$1:$ZZ$1, 0))</f>
        <v>#N/A</v>
      </c>
      <c r="B313" t="e">
        <f>INDEX(resultados!$A$2:$ZZ$2290, 307, MATCH($B$2, resultados!$A$1:$ZZ$1, 0))</f>
        <v>#N/A</v>
      </c>
      <c r="C313" t="e">
        <f>INDEX(resultados!$A$2:$ZZ$2290, 307, MATCH($B$3, resultados!$A$1:$ZZ$1, 0))</f>
        <v>#N/A</v>
      </c>
    </row>
    <row r="314" spans="1:3" x14ac:dyDescent="0.3">
      <c r="A314" t="e">
        <f>INDEX(resultados!$A$2:$ZZ$2290, 308, MATCH($B$1, resultados!$A$1:$ZZ$1, 0))</f>
        <v>#N/A</v>
      </c>
      <c r="B314" t="e">
        <f>INDEX(resultados!$A$2:$ZZ$2290, 308, MATCH($B$2, resultados!$A$1:$ZZ$1, 0))</f>
        <v>#N/A</v>
      </c>
      <c r="C314" t="e">
        <f>INDEX(resultados!$A$2:$ZZ$2290, 308, MATCH($B$3, resultados!$A$1:$ZZ$1, 0))</f>
        <v>#N/A</v>
      </c>
    </row>
    <row r="315" spans="1:3" x14ac:dyDescent="0.3">
      <c r="A315" t="e">
        <f>INDEX(resultados!$A$2:$ZZ$2290, 309, MATCH($B$1, resultados!$A$1:$ZZ$1, 0))</f>
        <v>#N/A</v>
      </c>
      <c r="B315" t="e">
        <f>INDEX(resultados!$A$2:$ZZ$2290, 309, MATCH($B$2, resultados!$A$1:$ZZ$1, 0))</f>
        <v>#N/A</v>
      </c>
      <c r="C315" t="e">
        <f>INDEX(resultados!$A$2:$ZZ$2290, 309, MATCH($B$3, resultados!$A$1:$ZZ$1, 0))</f>
        <v>#N/A</v>
      </c>
    </row>
    <row r="316" spans="1:3" x14ac:dyDescent="0.3">
      <c r="A316" t="e">
        <f>INDEX(resultados!$A$2:$ZZ$2290, 310, MATCH($B$1, resultados!$A$1:$ZZ$1, 0))</f>
        <v>#N/A</v>
      </c>
      <c r="B316" t="e">
        <f>INDEX(resultados!$A$2:$ZZ$2290, 310, MATCH($B$2, resultados!$A$1:$ZZ$1, 0))</f>
        <v>#N/A</v>
      </c>
      <c r="C316" t="e">
        <f>INDEX(resultados!$A$2:$ZZ$2290, 310, MATCH($B$3, resultados!$A$1:$ZZ$1, 0))</f>
        <v>#N/A</v>
      </c>
    </row>
    <row r="317" spans="1:3" x14ac:dyDescent="0.3">
      <c r="A317" t="e">
        <f>INDEX(resultados!$A$2:$ZZ$2290, 311, MATCH($B$1, resultados!$A$1:$ZZ$1, 0))</f>
        <v>#N/A</v>
      </c>
      <c r="B317" t="e">
        <f>INDEX(resultados!$A$2:$ZZ$2290, 311, MATCH($B$2, resultados!$A$1:$ZZ$1, 0))</f>
        <v>#N/A</v>
      </c>
      <c r="C317" t="e">
        <f>INDEX(resultados!$A$2:$ZZ$2290, 311, MATCH($B$3, resultados!$A$1:$ZZ$1, 0))</f>
        <v>#N/A</v>
      </c>
    </row>
    <row r="318" spans="1:3" x14ac:dyDescent="0.3">
      <c r="A318" t="e">
        <f>INDEX(resultados!$A$2:$ZZ$2290, 312, MATCH($B$1, resultados!$A$1:$ZZ$1, 0))</f>
        <v>#N/A</v>
      </c>
      <c r="B318" t="e">
        <f>INDEX(resultados!$A$2:$ZZ$2290, 312, MATCH($B$2, resultados!$A$1:$ZZ$1, 0))</f>
        <v>#N/A</v>
      </c>
      <c r="C318" t="e">
        <f>INDEX(resultados!$A$2:$ZZ$2290, 312, MATCH($B$3, resultados!$A$1:$ZZ$1, 0))</f>
        <v>#N/A</v>
      </c>
    </row>
    <row r="319" spans="1:3" x14ac:dyDescent="0.3">
      <c r="A319" t="e">
        <f>INDEX(resultados!$A$2:$ZZ$2290, 313, MATCH($B$1, resultados!$A$1:$ZZ$1, 0))</f>
        <v>#N/A</v>
      </c>
      <c r="B319" t="e">
        <f>INDEX(resultados!$A$2:$ZZ$2290, 313, MATCH($B$2, resultados!$A$1:$ZZ$1, 0))</f>
        <v>#N/A</v>
      </c>
      <c r="C319" t="e">
        <f>INDEX(resultados!$A$2:$ZZ$2290, 313, MATCH($B$3, resultados!$A$1:$ZZ$1, 0))</f>
        <v>#N/A</v>
      </c>
    </row>
    <row r="320" spans="1:3" x14ac:dyDescent="0.3">
      <c r="A320" t="e">
        <f>INDEX(resultados!$A$2:$ZZ$2290, 314, MATCH($B$1, resultados!$A$1:$ZZ$1, 0))</f>
        <v>#N/A</v>
      </c>
      <c r="B320" t="e">
        <f>INDEX(resultados!$A$2:$ZZ$2290, 314, MATCH($B$2, resultados!$A$1:$ZZ$1, 0))</f>
        <v>#N/A</v>
      </c>
      <c r="C320" t="e">
        <f>INDEX(resultados!$A$2:$ZZ$2290, 314, MATCH($B$3, resultados!$A$1:$ZZ$1, 0))</f>
        <v>#N/A</v>
      </c>
    </row>
    <row r="321" spans="1:3" x14ac:dyDescent="0.3">
      <c r="A321" t="e">
        <f>INDEX(resultados!$A$2:$ZZ$2290, 315, MATCH($B$1, resultados!$A$1:$ZZ$1, 0))</f>
        <v>#N/A</v>
      </c>
      <c r="B321" t="e">
        <f>INDEX(resultados!$A$2:$ZZ$2290, 315, MATCH($B$2, resultados!$A$1:$ZZ$1, 0))</f>
        <v>#N/A</v>
      </c>
      <c r="C321" t="e">
        <f>INDEX(resultados!$A$2:$ZZ$2290, 315, MATCH($B$3, resultados!$A$1:$ZZ$1, 0))</f>
        <v>#N/A</v>
      </c>
    </row>
    <row r="322" spans="1:3" x14ac:dyDescent="0.3">
      <c r="A322" t="e">
        <f>INDEX(resultados!$A$2:$ZZ$2290, 316, MATCH($B$1, resultados!$A$1:$ZZ$1, 0))</f>
        <v>#N/A</v>
      </c>
      <c r="B322" t="e">
        <f>INDEX(resultados!$A$2:$ZZ$2290, 316, MATCH($B$2, resultados!$A$1:$ZZ$1, 0))</f>
        <v>#N/A</v>
      </c>
      <c r="C322" t="e">
        <f>INDEX(resultados!$A$2:$ZZ$2290, 316, MATCH($B$3, resultados!$A$1:$ZZ$1, 0))</f>
        <v>#N/A</v>
      </c>
    </row>
    <row r="323" spans="1:3" x14ac:dyDescent="0.3">
      <c r="A323" t="e">
        <f>INDEX(resultados!$A$2:$ZZ$2290, 317, MATCH($B$1, resultados!$A$1:$ZZ$1, 0))</f>
        <v>#N/A</v>
      </c>
      <c r="B323" t="e">
        <f>INDEX(resultados!$A$2:$ZZ$2290, 317, MATCH($B$2, resultados!$A$1:$ZZ$1, 0))</f>
        <v>#N/A</v>
      </c>
      <c r="C323" t="e">
        <f>INDEX(resultados!$A$2:$ZZ$2290, 317, MATCH($B$3, resultados!$A$1:$ZZ$1, 0))</f>
        <v>#N/A</v>
      </c>
    </row>
    <row r="324" spans="1:3" x14ac:dyDescent="0.3">
      <c r="A324" t="e">
        <f>INDEX(resultados!$A$2:$ZZ$2290, 318, MATCH($B$1, resultados!$A$1:$ZZ$1, 0))</f>
        <v>#N/A</v>
      </c>
      <c r="B324" t="e">
        <f>INDEX(resultados!$A$2:$ZZ$2290, 318, MATCH($B$2, resultados!$A$1:$ZZ$1, 0))</f>
        <v>#N/A</v>
      </c>
      <c r="C324" t="e">
        <f>INDEX(resultados!$A$2:$ZZ$2290, 318, MATCH($B$3, resultados!$A$1:$ZZ$1, 0))</f>
        <v>#N/A</v>
      </c>
    </row>
    <row r="325" spans="1:3" x14ac:dyDescent="0.3">
      <c r="A325" t="e">
        <f>INDEX(resultados!$A$2:$ZZ$2290, 319, MATCH($B$1, resultados!$A$1:$ZZ$1, 0))</f>
        <v>#N/A</v>
      </c>
      <c r="B325" t="e">
        <f>INDEX(resultados!$A$2:$ZZ$2290, 319, MATCH($B$2, resultados!$A$1:$ZZ$1, 0))</f>
        <v>#N/A</v>
      </c>
      <c r="C325" t="e">
        <f>INDEX(resultados!$A$2:$ZZ$2290, 319, MATCH($B$3, resultados!$A$1:$ZZ$1, 0))</f>
        <v>#N/A</v>
      </c>
    </row>
    <row r="326" spans="1:3" x14ac:dyDescent="0.3">
      <c r="A326" t="e">
        <f>INDEX(resultados!$A$2:$ZZ$2290, 320, MATCH($B$1, resultados!$A$1:$ZZ$1, 0))</f>
        <v>#N/A</v>
      </c>
      <c r="B326" t="e">
        <f>INDEX(resultados!$A$2:$ZZ$2290, 320, MATCH($B$2, resultados!$A$1:$ZZ$1, 0))</f>
        <v>#N/A</v>
      </c>
      <c r="C326" t="e">
        <f>INDEX(resultados!$A$2:$ZZ$2290, 320, MATCH($B$3, resultados!$A$1:$ZZ$1, 0))</f>
        <v>#N/A</v>
      </c>
    </row>
    <row r="327" spans="1:3" x14ac:dyDescent="0.3">
      <c r="A327" t="e">
        <f>INDEX(resultados!$A$2:$ZZ$2290, 321, MATCH($B$1, resultados!$A$1:$ZZ$1, 0))</f>
        <v>#N/A</v>
      </c>
      <c r="B327" t="e">
        <f>INDEX(resultados!$A$2:$ZZ$2290, 321, MATCH($B$2, resultados!$A$1:$ZZ$1, 0))</f>
        <v>#N/A</v>
      </c>
      <c r="C327" t="e">
        <f>INDEX(resultados!$A$2:$ZZ$2290, 321, MATCH($B$3, resultados!$A$1:$ZZ$1, 0))</f>
        <v>#N/A</v>
      </c>
    </row>
    <row r="328" spans="1:3" x14ac:dyDescent="0.3">
      <c r="A328" t="e">
        <f>INDEX(resultados!$A$2:$ZZ$2290, 322, MATCH($B$1, resultados!$A$1:$ZZ$1, 0))</f>
        <v>#N/A</v>
      </c>
      <c r="B328" t="e">
        <f>INDEX(resultados!$A$2:$ZZ$2290, 322, MATCH($B$2, resultados!$A$1:$ZZ$1, 0))</f>
        <v>#N/A</v>
      </c>
      <c r="C328" t="e">
        <f>INDEX(resultados!$A$2:$ZZ$2290, 322, MATCH($B$3, resultados!$A$1:$ZZ$1, 0))</f>
        <v>#N/A</v>
      </c>
    </row>
    <row r="329" spans="1:3" x14ac:dyDescent="0.3">
      <c r="A329" t="e">
        <f>INDEX(resultados!$A$2:$ZZ$2290, 323, MATCH($B$1, resultados!$A$1:$ZZ$1, 0))</f>
        <v>#N/A</v>
      </c>
      <c r="B329" t="e">
        <f>INDEX(resultados!$A$2:$ZZ$2290, 323, MATCH($B$2, resultados!$A$1:$ZZ$1, 0))</f>
        <v>#N/A</v>
      </c>
      <c r="C329" t="e">
        <f>INDEX(resultados!$A$2:$ZZ$2290, 323, MATCH($B$3, resultados!$A$1:$ZZ$1, 0))</f>
        <v>#N/A</v>
      </c>
    </row>
    <row r="330" spans="1:3" x14ac:dyDescent="0.3">
      <c r="A330" t="e">
        <f>INDEX(resultados!$A$2:$ZZ$2290, 324, MATCH($B$1, resultados!$A$1:$ZZ$1, 0))</f>
        <v>#N/A</v>
      </c>
      <c r="B330" t="e">
        <f>INDEX(resultados!$A$2:$ZZ$2290, 324, MATCH($B$2, resultados!$A$1:$ZZ$1, 0))</f>
        <v>#N/A</v>
      </c>
      <c r="C330" t="e">
        <f>INDEX(resultados!$A$2:$ZZ$2290, 324, MATCH($B$3, resultados!$A$1:$ZZ$1, 0))</f>
        <v>#N/A</v>
      </c>
    </row>
    <row r="331" spans="1:3" x14ac:dyDescent="0.3">
      <c r="A331" t="e">
        <f>INDEX(resultados!$A$2:$ZZ$2290, 325, MATCH($B$1, resultados!$A$1:$ZZ$1, 0))</f>
        <v>#N/A</v>
      </c>
      <c r="B331" t="e">
        <f>INDEX(resultados!$A$2:$ZZ$2290, 325, MATCH($B$2, resultados!$A$1:$ZZ$1, 0))</f>
        <v>#N/A</v>
      </c>
      <c r="C331" t="e">
        <f>INDEX(resultados!$A$2:$ZZ$2290, 325, MATCH($B$3, resultados!$A$1:$ZZ$1, 0))</f>
        <v>#N/A</v>
      </c>
    </row>
    <row r="332" spans="1:3" x14ac:dyDescent="0.3">
      <c r="A332" t="e">
        <f>INDEX(resultados!$A$2:$ZZ$2290, 326, MATCH($B$1, resultados!$A$1:$ZZ$1, 0))</f>
        <v>#N/A</v>
      </c>
      <c r="B332" t="e">
        <f>INDEX(resultados!$A$2:$ZZ$2290, 326, MATCH($B$2, resultados!$A$1:$ZZ$1, 0))</f>
        <v>#N/A</v>
      </c>
      <c r="C332" t="e">
        <f>INDEX(resultados!$A$2:$ZZ$2290, 326, MATCH($B$3, resultados!$A$1:$ZZ$1, 0))</f>
        <v>#N/A</v>
      </c>
    </row>
    <row r="333" spans="1:3" x14ac:dyDescent="0.3">
      <c r="A333" t="e">
        <f>INDEX(resultados!$A$2:$ZZ$2290, 327, MATCH($B$1, resultados!$A$1:$ZZ$1, 0))</f>
        <v>#N/A</v>
      </c>
      <c r="B333" t="e">
        <f>INDEX(resultados!$A$2:$ZZ$2290, 327, MATCH($B$2, resultados!$A$1:$ZZ$1, 0))</f>
        <v>#N/A</v>
      </c>
      <c r="C333" t="e">
        <f>INDEX(resultados!$A$2:$ZZ$2290, 327, MATCH($B$3, resultados!$A$1:$ZZ$1, 0))</f>
        <v>#N/A</v>
      </c>
    </row>
    <row r="334" spans="1:3" x14ac:dyDescent="0.3">
      <c r="A334" t="e">
        <f>INDEX(resultados!$A$2:$ZZ$2290, 328, MATCH($B$1, resultados!$A$1:$ZZ$1, 0))</f>
        <v>#N/A</v>
      </c>
      <c r="B334" t="e">
        <f>INDEX(resultados!$A$2:$ZZ$2290, 328, MATCH($B$2, resultados!$A$1:$ZZ$1, 0))</f>
        <v>#N/A</v>
      </c>
      <c r="C334" t="e">
        <f>INDEX(resultados!$A$2:$ZZ$2290, 328, MATCH($B$3, resultados!$A$1:$ZZ$1, 0))</f>
        <v>#N/A</v>
      </c>
    </row>
    <row r="335" spans="1:3" x14ac:dyDescent="0.3">
      <c r="A335" t="e">
        <f>INDEX(resultados!$A$2:$ZZ$2290, 329, MATCH($B$1, resultados!$A$1:$ZZ$1, 0))</f>
        <v>#N/A</v>
      </c>
      <c r="B335" t="e">
        <f>INDEX(resultados!$A$2:$ZZ$2290, 329, MATCH($B$2, resultados!$A$1:$ZZ$1, 0))</f>
        <v>#N/A</v>
      </c>
      <c r="C335" t="e">
        <f>INDEX(resultados!$A$2:$ZZ$2290, 329, MATCH($B$3, resultados!$A$1:$ZZ$1, 0))</f>
        <v>#N/A</v>
      </c>
    </row>
    <row r="336" spans="1:3" x14ac:dyDescent="0.3">
      <c r="A336" t="e">
        <f>INDEX(resultados!$A$2:$ZZ$2290, 330, MATCH($B$1, resultados!$A$1:$ZZ$1, 0))</f>
        <v>#N/A</v>
      </c>
      <c r="B336" t="e">
        <f>INDEX(resultados!$A$2:$ZZ$2290, 330, MATCH($B$2, resultados!$A$1:$ZZ$1, 0))</f>
        <v>#N/A</v>
      </c>
      <c r="C336" t="e">
        <f>INDEX(resultados!$A$2:$ZZ$2290, 330, MATCH($B$3, resultados!$A$1:$ZZ$1, 0))</f>
        <v>#N/A</v>
      </c>
    </row>
    <row r="337" spans="1:3" x14ac:dyDescent="0.3">
      <c r="A337" t="e">
        <f>INDEX(resultados!$A$2:$ZZ$2290, 331, MATCH($B$1, resultados!$A$1:$ZZ$1, 0))</f>
        <v>#N/A</v>
      </c>
      <c r="B337" t="e">
        <f>INDEX(resultados!$A$2:$ZZ$2290, 331, MATCH($B$2, resultados!$A$1:$ZZ$1, 0))</f>
        <v>#N/A</v>
      </c>
      <c r="C337" t="e">
        <f>INDEX(resultados!$A$2:$ZZ$2290, 331, MATCH($B$3, resultados!$A$1:$ZZ$1, 0))</f>
        <v>#N/A</v>
      </c>
    </row>
    <row r="338" spans="1:3" x14ac:dyDescent="0.3">
      <c r="A338" t="e">
        <f>INDEX(resultados!$A$2:$ZZ$2290, 332, MATCH($B$1, resultados!$A$1:$ZZ$1, 0))</f>
        <v>#N/A</v>
      </c>
      <c r="B338" t="e">
        <f>INDEX(resultados!$A$2:$ZZ$2290, 332, MATCH($B$2, resultados!$A$1:$ZZ$1, 0))</f>
        <v>#N/A</v>
      </c>
      <c r="C338" t="e">
        <f>INDEX(resultados!$A$2:$ZZ$2290, 332, MATCH($B$3, resultados!$A$1:$ZZ$1, 0))</f>
        <v>#N/A</v>
      </c>
    </row>
    <row r="339" spans="1:3" x14ac:dyDescent="0.3">
      <c r="A339" t="e">
        <f>INDEX(resultados!$A$2:$ZZ$2290, 333, MATCH($B$1, resultados!$A$1:$ZZ$1, 0))</f>
        <v>#N/A</v>
      </c>
      <c r="B339" t="e">
        <f>INDEX(resultados!$A$2:$ZZ$2290, 333, MATCH($B$2, resultados!$A$1:$ZZ$1, 0))</f>
        <v>#N/A</v>
      </c>
      <c r="C339" t="e">
        <f>INDEX(resultados!$A$2:$ZZ$2290, 333, MATCH($B$3, resultados!$A$1:$ZZ$1, 0))</f>
        <v>#N/A</v>
      </c>
    </row>
    <row r="340" spans="1:3" x14ac:dyDescent="0.3">
      <c r="A340" t="e">
        <f>INDEX(resultados!$A$2:$ZZ$2290, 334, MATCH($B$1, resultados!$A$1:$ZZ$1, 0))</f>
        <v>#N/A</v>
      </c>
      <c r="B340" t="e">
        <f>INDEX(resultados!$A$2:$ZZ$2290, 334, MATCH($B$2, resultados!$A$1:$ZZ$1, 0))</f>
        <v>#N/A</v>
      </c>
      <c r="C340" t="e">
        <f>INDEX(resultados!$A$2:$ZZ$2290, 334, MATCH($B$3, resultados!$A$1:$ZZ$1, 0))</f>
        <v>#N/A</v>
      </c>
    </row>
    <row r="341" spans="1:3" x14ac:dyDescent="0.3">
      <c r="A341" t="e">
        <f>INDEX(resultados!$A$2:$ZZ$2290, 335, MATCH($B$1, resultados!$A$1:$ZZ$1, 0))</f>
        <v>#N/A</v>
      </c>
      <c r="B341" t="e">
        <f>INDEX(resultados!$A$2:$ZZ$2290, 335, MATCH($B$2, resultados!$A$1:$ZZ$1, 0))</f>
        <v>#N/A</v>
      </c>
      <c r="C341" t="e">
        <f>INDEX(resultados!$A$2:$ZZ$2290, 335, MATCH($B$3, resultados!$A$1:$ZZ$1, 0))</f>
        <v>#N/A</v>
      </c>
    </row>
    <row r="342" spans="1:3" x14ac:dyDescent="0.3">
      <c r="A342" t="e">
        <f>INDEX(resultados!$A$2:$ZZ$2290, 336, MATCH($B$1, resultados!$A$1:$ZZ$1, 0))</f>
        <v>#N/A</v>
      </c>
      <c r="B342" t="e">
        <f>INDEX(resultados!$A$2:$ZZ$2290, 336, MATCH($B$2, resultados!$A$1:$ZZ$1, 0))</f>
        <v>#N/A</v>
      </c>
      <c r="C342" t="e">
        <f>INDEX(resultados!$A$2:$ZZ$2290, 336, MATCH($B$3, resultados!$A$1:$ZZ$1, 0))</f>
        <v>#N/A</v>
      </c>
    </row>
    <row r="343" spans="1:3" x14ac:dyDescent="0.3">
      <c r="A343" t="e">
        <f>INDEX(resultados!$A$2:$ZZ$2290, 337, MATCH($B$1, resultados!$A$1:$ZZ$1, 0))</f>
        <v>#N/A</v>
      </c>
      <c r="B343" t="e">
        <f>INDEX(resultados!$A$2:$ZZ$2290, 337, MATCH($B$2, resultados!$A$1:$ZZ$1, 0))</f>
        <v>#N/A</v>
      </c>
      <c r="C343" t="e">
        <f>INDEX(resultados!$A$2:$ZZ$2290, 337, MATCH($B$3, resultados!$A$1:$ZZ$1, 0))</f>
        <v>#N/A</v>
      </c>
    </row>
    <row r="344" spans="1:3" x14ac:dyDescent="0.3">
      <c r="A344" t="e">
        <f>INDEX(resultados!$A$2:$ZZ$2290, 338, MATCH($B$1, resultados!$A$1:$ZZ$1, 0))</f>
        <v>#N/A</v>
      </c>
      <c r="B344" t="e">
        <f>INDEX(resultados!$A$2:$ZZ$2290, 338, MATCH($B$2, resultados!$A$1:$ZZ$1, 0))</f>
        <v>#N/A</v>
      </c>
      <c r="C344" t="e">
        <f>INDEX(resultados!$A$2:$ZZ$2290, 338, MATCH($B$3, resultados!$A$1:$ZZ$1, 0))</f>
        <v>#N/A</v>
      </c>
    </row>
    <row r="345" spans="1:3" x14ac:dyDescent="0.3">
      <c r="A345" t="e">
        <f>INDEX(resultados!$A$2:$ZZ$2290, 339, MATCH($B$1, resultados!$A$1:$ZZ$1, 0))</f>
        <v>#N/A</v>
      </c>
      <c r="B345" t="e">
        <f>INDEX(resultados!$A$2:$ZZ$2290, 339, MATCH($B$2, resultados!$A$1:$ZZ$1, 0))</f>
        <v>#N/A</v>
      </c>
      <c r="C345" t="e">
        <f>INDEX(resultados!$A$2:$ZZ$2290, 339, MATCH($B$3, resultados!$A$1:$ZZ$1, 0))</f>
        <v>#N/A</v>
      </c>
    </row>
    <row r="346" spans="1:3" x14ac:dyDescent="0.3">
      <c r="A346" t="e">
        <f>INDEX(resultados!$A$2:$ZZ$2290, 340, MATCH($B$1, resultados!$A$1:$ZZ$1, 0))</f>
        <v>#N/A</v>
      </c>
      <c r="B346" t="e">
        <f>INDEX(resultados!$A$2:$ZZ$2290, 340, MATCH($B$2, resultados!$A$1:$ZZ$1, 0))</f>
        <v>#N/A</v>
      </c>
      <c r="C346" t="e">
        <f>INDEX(resultados!$A$2:$ZZ$2290, 340, MATCH($B$3, resultados!$A$1:$ZZ$1, 0))</f>
        <v>#N/A</v>
      </c>
    </row>
    <row r="347" spans="1:3" x14ac:dyDescent="0.3">
      <c r="A347" t="e">
        <f>INDEX(resultados!$A$2:$ZZ$2290, 341, MATCH($B$1, resultados!$A$1:$ZZ$1, 0))</f>
        <v>#N/A</v>
      </c>
      <c r="B347" t="e">
        <f>INDEX(resultados!$A$2:$ZZ$2290, 341, MATCH($B$2, resultados!$A$1:$ZZ$1, 0))</f>
        <v>#N/A</v>
      </c>
      <c r="C347" t="e">
        <f>INDEX(resultados!$A$2:$ZZ$2290, 341, MATCH($B$3, resultados!$A$1:$ZZ$1, 0))</f>
        <v>#N/A</v>
      </c>
    </row>
    <row r="348" spans="1:3" x14ac:dyDescent="0.3">
      <c r="A348" t="e">
        <f>INDEX(resultados!$A$2:$ZZ$2290, 342, MATCH($B$1, resultados!$A$1:$ZZ$1, 0))</f>
        <v>#N/A</v>
      </c>
      <c r="B348" t="e">
        <f>INDEX(resultados!$A$2:$ZZ$2290, 342, MATCH($B$2, resultados!$A$1:$ZZ$1, 0))</f>
        <v>#N/A</v>
      </c>
      <c r="C348" t="e">
        <f>INDEX(resultados!$A$2:$ZZ$2290, 342, MATCH($B$3, resultados!$A$1:$ZZ$1, 0))</f>
        <v>#N/A</v>
      </c>
    </row>
    <row r="349" spans="1:3" x14ac:dyDescent="0.3">
      <c r="A349" t="e">
        <f>INDEX(resultados!$A$2:$ZZ$2290, 343, MATCH($B$1, resultados!$A$1:$ZZ$1, 0))</f>
        <v>#N/A</v>
      </c>
      <c r="B349" t="e">
        <f>INDEX(resultados!$A$2:$ZZ$2290, 343, MATCH($B$2, resultados!$A$1:$ZZ$1, 0))</f>
        <v>#N/A</v>
      </c>
      <c r="C349" t="e">
        <f>INDEX(resultados!$A$2:$ZZ$2290, 343, MATCH($B$3, resultados!$A$1:$ZZ$1, 0))</f>
        <v>#N/A</v>
      </c>
    </row>
    <row r="350" spans="1:3" x14ac:dyDescent="0.3">
      <c r="A350" t="e">
        <f>INDEX(resultados!$A$2:$ZZ$2290, 344, MATCH($B$1, resultados!$A$1:$ZZ$1, 0))</f>
        <v>#N/A</v>
      </c>
      <c r="B350" t="e">
        <f>INDEX(resultados!$A$2:$ZZ$2290, 344, MATCH($B$2, resultados!$A$1:$ZZ$1, 0))</f>
        <v>#N/A</v>
      </c>
      <c r="C350" t="e">
        <f>INDEX(resultados!$A$2:$ZZ$2290, 344, MATCH($B$3, resultados!$A$1:$ZZ$1, 0))</f>
        <v>#N/A</v>
      </c>
    </row>
    <row r="351" spans="1:3" x14ac:dyDescent="0.3">
      <c r="A351" t="e">
        <f>INDEX(resultados!$A$2:$ZZ$2290, 345, MATCH($B$1, resultados!$A$1:$ZZ$1, 0))</f>
        <v>#N/A</v>
      </c>
      <c r="B351" t="e">
        <f>INDEX(resultados!$A$2:$ZZ$2290, 345, MATCH($B$2, resultados!$A$1:$ZZ$1, 0))</f>
        <v>#N/A</v>
      </c>
      <c r="C351" t="e">
        <f>INDEX(resultados!$A$2:$ZZ$2290, 345, MATCH($B$3, resultados!$A$1:$ZZ$1, 0))</f>
        <v>#N/A</v>
      </c>
    </row>
    <row r="352" spans="1:3" x14ac:dyDescent="0.3">
      <c r="A352" t="e">
        <f>INDEX(resultados!$A$2:$ZZ$2290, 346, MATCH($B$1, resultados!$A$1:$ZZ$1, 0))</f>
        <v>#N/A</v>
      </c>
      <c r="B352" t="e">
        <f>INDEX(resultados!$A$2:$ZZ$2290, 346, MATCH($B$2, resultados!$A$1:$ZZ$1, 0))</f>
        <v>#N/A</v>
      </c>
      <c r="C352" t="e">
        <f>INDEX(resultados!$A$2:$ZZ$2290, 346, MATCH($B$3, resultados!$A$1:$ZZ$1, 0))</f>
        <v>#N/A</v>
      </c>
    </row>
    <row r="353" spans="1:3" x14ac:dyDescent="0.3">
      <c r="A353" t="e">
        <f>INDEX(resultados!$A$2:$ZZ$2290, 347, MATCH($B$1, resultados!$A$1:$ZZ$1, 0))</f>
        <v>#N/A</v>
      </c>
      <c r="B353" t="e">
        <f>INDEX(resultados!$A$2:$ZZ$2290, 347, MATCH($B$2, resultados!$A$1:$ZZ$1, 0))</f>
        <v>#N/A</v>
      </c>
      <c r="C353" t="e">
        <f>INDEX(resultados!$A$2:$ZZ$2290, 347, MATCH($B$3, resultados!$A$1:$ZZ$1, 0))</f>
        <v>#N/A</v>
      </c>
    </row>
    <row r="354" spans="1:3" x14ac:dyDescent="0.3">
      <c r="A354" t="e">
        <f>INDEX(resultados!$A$2:$ZZ$2290, 348, MATCH($B$1, resultados!$A$1:$ZZ$1, 0))</f>
        <v>#N/A</v>
      </c>
      <c r="B354" t="e">
        <f>INDEX(resultados!$A$2:$ZZ$2290, 348, MATCH($B$2, resultados!$A$1:$ZZ$1, 0))</f>
        <v>#N/A</v>
      </c>
      <c r="C354" t="e">
        <f>INDEX(resultados!$A$2:$ZZ$2290, 348, MATCH($B$3, resultados!$A$1:$ZZ$1, 0))</f>
        <v>#N/A</v>
      </c>
    </row>
    <row r="355" spans="1:3" x14ac:dyDescent="0.3">
      <c r="A355" t="e">
        <f>INDEX(resultados!$A$2:$ZZ$2290, 349, MATCH($B$1, resultados!$A$1:$ZZ$1, 0))</f>
        <v>#N/A</v>
      </c>
      <c r="B355" t="e">
        <f>INDEX(resultados!$A$2:$ZZ$2290, 349, MATCH($B$2, resultados!$A$1:$ZZ$1, 0))</f>
        <v>#N/A</v>
      </c>
      <c r="C355" t="e">
        <f>INDEX(resultados!$A$2:$ZZ$2290, 349, MATCH($B$3, resultados!$A$1:$ZZ$1, 0))</f>
        <v>#N/A</v>
      </c>
    </row>
    <row r="356" spans="1:3" x14ac:dyDescent="0.3">
      <c r="A356" t="e">
        <f>INDEX(resultados!$A$2:$ZZ$2290, 350, MATCH($B$1, resultados!$A$1:$ZZ$1, 0))</f>
        <v>#N/A</v>
      </c>
      <c r="B356" t="e">
        <f>INDEX(resultados!$A$2:$ZZ$2290, 350, MATCH($B$2, resultados!$A$1:$ZZ$1, 0))</f>
        <v>#N/A</v>
      </c>
      <c r="C356" t="e">
        <f>INDEX(resultados!$A$2:$ZZ$2290, 350, MATCH($B$3, resultados!$A$1:$ZZ$1, 0))</f>
        <v>#N/A</v>
      </c>
    </row>
    <row r="357" spans="1:3" x14ac:dyDescent="0.3">
      <c r="A357" t="e">
        <f>INDEX(resultados!$A$2:$ZZ$2290, 351, MATCH($B$1, resultados!$A$1:$ZZ$1, 0))</f>
        <v>#N/A</v>
      </c>
      <c r="B357" t="e">
        <f>INDEX(resultados!$A$2:$ZZ$2290, 351, MATCH($B$2, resultados!$A$1:$ZZ$1, 0))</f>
        <v>#N/A</v>
      </c>
      <c r="C357" t="e">
        <f>INDEX(resultados!$A$2:$ZZ$2290, 351, MATCH($B$3, resultados!$A$1:$ZZ$1, 0))</f>
        <v>#N/A</v>
      </c>
    </row>
    <row r="358" spans="1:3" x14ac:dyDescent="0.3">
      <c r="A358" t="e">
        <f>INDEX(resultados!$A$2:$ZZ$2290, 352, MATCH($B$1, resultados!$A$1:$ZZ$1, 0))</f>
        <v>#N/A</v>
      </c>
      <c r="B358" t="e">
        <f>INDEX(resultados!$A$2:$ZZ$2290, 352, MATCH($B$2, resultados!$A$1:$ZZ$1, 0))</f>
        <v>#N/A</v>
      </c>
      <c r="C358" t="e">
        <f>INDEX(resultados!$A$2:$ZZ$2290, 352, MATCH($B$3, resultados!$A$1:$ZZ$1, 0))</f>
        <v>#N/A</v>
      </c>
    </row>
    <row r="359" spans="1:3" x14ac:dyDescent="0.3">
      <c r="A359" t="e">
        <f>INDEX(resultados!$A$2:$ZZ$2290, 353, MATCH($B$1, resultados!$A$1:$ZZ$1, 0))</f>
        <v>#N/A</v>
      </c>
      <c r="B359" t="e">
        <f>INDEX(resultados!$A$2:$ZZ$2290, 353, MATCH($B$2, resultados!$A$1:$ZZ$1, 0))</f>
        <v>#N/A</v>
      </c>
      <c r="C359" t="e">
        <f>INDEX(resultados!$A$2:$ZZ$2290, 353, MATCH($B$3, resultados!$A$1:$ZZ$1, 0))</f>
        <v>#N/A</v>
      </c>
    </row>
    <row r="360" spans="1:3" x14ac:dyDescent="0.3">
      <c r="A360" t="e">
        <f>INDEX(resultados!$A$2:$ZZ$2290, 354, MATCH($B$1, resultados!$A$1:$ZZ$1, 0))</f>
        <v>#N/A</v>
      </c>
      <c r="B360" t="e">
        <f>INDEX(resultados!$A$2:$ZZ$2290, 354, MATCH($B$2, resultados!$A$1:$ZZ$1, 0))</f>
        <v>#N/A</v>
      </c>
      <c r="C360" t="e">
        <f>INDEX(resultados!$A$2:$ZZ$2290, 354, MATCH($B$3, resultados!$A$1:$ZZ$1, 0))</f>
        <v>#N/A</v>
      </c>
    </row>
    <row r="361" spans="1:3" x14ac:dyDescent="0.3">
      <c r="A361" t="e">
        <f>INDEX(resultados!$A$2:$ZZ$2290, 355, MATCH($B$1, resultados!$A$1:$ZZ$1, 0))</f>
        <v>#N/A</v>
      </c>
      <c r="B361" t="e">
        <f>INDEX(resultados!$A$2:$ZZ$2290, 355, MATCH($B$2, resultados!$A$1:$ZZ$1, 0))</f>
        <v>#N/A</v>
      </c>
      <c r="C361" t="e">
        <f>INDEX(resultados!$A$2:$ZZ$2290, 355, MATCH($B$3, resultados!$A$1:$ZZ$1, 0))</f>
        <v>#N/A</v>
      </c>
    </row>
    <row r="362" spans="1:3" x14ac:dyDescent="0.3">
      <c r="A362" t="e">
        <f>INDEX(resultados!$A$2:$ZZ$2290, 356, MATCH($B$1, resultados!$A$1:$ZZ$1, 0))</f>
        <v>#N/A</v>
      </c>
      <c r="B362" t="e">
        <f>INDEX(resultados!$A$2:$ZZ$2290, 356, MATCH($B$2, resultados!$A$1:$ZZ$1, 0))</f>
        <v>#N/A</v>
      </c>
      <c r="C362" t="e">
        <f>INDEX(resultados!$A$2:$ZZ$2290, 356, MATCH($B$3, resultados!$A$1:$ZZ$1, 0))</f>
        <v>#N/A</v>
      </c>
    </row>
    <row r="363" spans="1:3" x14ac:dyDescent="0.3">
      <c r="A363" t="e">
        <f>INDEX(resultados!$A$2:$ZZ$2290, 357, MATCH($B$1, resultados!$A$1:$ZZ$1, 0))</f>
        <v>#N/A</v>
      </c>
      <c r="B363" t="e">
        <f>INDEX(resultados!$A$2:$ZZ$2290, 357, MATCH($B$2, resultados!$A$1:$ZZ$1, 0))</f>
        <v>#N/A</v>
      </c>
      <c r="C363" t="e">
        <f>INDEX(resultados!$A$2:$ZZ$2290, 357, MATCH($B$3, resultados!$A$1:$ZZ$1, 0))</f>
        <v>#N/A</v>
      </c>
    </row>
    <row r="364" spans="1:3" x14ac:dyDescent="0.3">
      <c r="A364" t="e">
        <f>INDEX(resultados!$A$2:$ZZ$2290, 358, MATCH($B$1, resultados!$A$1:$ZZ$1, 0))</f>
        <v>#N/A</v>
      </c>
      <c r="B364" t="e">
        <f>INDEX(resultados!$A$2:$ZZ$2290, 358, MATCH($B$2, resultados!$A$1:$ZZ$1, 0))</f>
        <v>#N/A</v>
      </c>
      <c r="C364" t="e">
        <f>INDEX(resultados!$A$2:$ZZ$2290, 358, MATCH($B$3, resultados!$A$1:$ZZ$1, 0))</f>
        <v>#N/A</v>
      </c>
    </row>
    <row r="365" spans="1:3" x14ac:dyDescent="0.3">
      <c r="A365" t="e">
        <f>INDEX(resultados!$A$2:$ZZ$2290, 359, MATCH($B$1, resultados!$A$1:$ZZ$1, 0))</f>
        <v>#N/A</v>
      </c>
      <c r="B365" t="e">
        <f>INDEX(resultados!$A$2:$ZZ$2290, 359, MATCH($B$2, resultados!$A$1:$ZZ$1, 0))</f>
        <v>#N/A</v>
      </c>
      <c r="C365" t="e">
        <f>INDEX(resultados!$A$2:$ZZ$2290, 359, MATCH($B$3, resultados!$A$1:$ZZ$1, 0))</f>
        <v>#N/A</v>
      </c>
    </row>
    <row r="366" spans="1:3" x14ac:dyDescent="0.3">
      <c r="A366" t="e">
        <f>INDEX(resultados!$A$2:$ZZ$2290, 360, MATCH($B$1, resultados!$A$1:$ZZ$1, 0))</f>
        <v>#N/A</v>
      </c>
      <c r="B366" t="e">
        <f>INDEX(resultados!$A$2:$ZZ$2290, 360, MATCH($B$2, resultados!$A$1:$ZZ$1, 0))</f>
        <v>#N/A</v>
      </c>
      <c r="C366" t="e">
        <f>INDEX(resultados!$A$2:$ZZ$2290, 360, MATCH($B$3, resultados!$A$1:$ZZ$1, 0))</f>
        <v>#N/A</v>
      </c>
    </row>
    <row r="367" spans="1:3" x14ac:dyDescent="0.3">
      <c r="A367" t="e">
        <f>INDEX(resultados!$A$2:$ZZ$2290, 361, MATCH($B$1, resultados!$A$1:$ZZ$1, 0))</f>
        <v>#N/A</v>
      </c>
      <c r="B367" t="e">
        <f>INDEX(resultados!$A$2:$ZZ$2290, 361, MATCH($B$2, resultados!$A$1:$ZZ$1, 0))</f>
        <v>#N/A</v>
      </c>
      <c r="C367" t="e">
        <f>INDEX(resultados!$A$2:$ZZ$2290, 361, MATCH($B$3, resultados!$A$1:$ZZ$1, 0))</f>
        <v>#N/A</v>
      </c>
    </row>
    <row r="368" spans="1:3" x14ac:dyDescent="0.3">
      <c r="A368" t="e">
        <f>INDEX(resultados!$A$2:$ZZ$2290, 362, MATCH($B$1, resultados!$A$1:$ZZ$1, 0))</f>
        <v>#N/A</v>
      </c>
      <c r="B368" t="e">
        <f>INDEX(resultados!$A$2:$ZZ$2290, 362, MATCH($B$2, resultados!$A$1:$ZZ$1, 0))</f>
        <v>#N/A</v>
      </c>
      <c r="C368" t="e">
        <f>INDEX(resultados!$A$2:$ZZ$2290, 362, MATCH($B$3, resultados!$A$1:$ZZ$1, 0))</f>
        <v>#N/A</v>
      </c>
    </row>
    <row r="369" spans="1:3" x14ac:dyDescent="0.3">
      <c r="A369" t="e">
        <f>INDEX(resultados!$A$2:$ZZ$2290, 363, MATCH($B$1, resultados!$A$1:$ZZ$1, 0))</f>
        <v>#N/A</v>
      </c>
      <c r="B369" t="e">
        <f>INDEX(resultados!$A$2:$ZZ$2290, 363, MATCH($B$2, resultados!$A$1:$ZZ$1, 0))</f>
        <v>#N/A</v>
      </c>
      <c r="C369" t="e">
        <f>INDEX(resultados!$A$2:$ZZ$2290, 363, MATCH($B$3, resultados!$A$1:$ZZ$1, 0))</f>
        <v>#N/A</v>
      </c>
    </row>
    <row r="370" spans="1:3" x14ac:dyDescent="0.3">
      <c r="A370" t="e">
        <f>INDEX(resultados!$A$2:$ZZ$2290, 364, MATCH($B$1, resultados!$A$1:$ZZ$1, 0))</f>
        <v>#N/A</v>
      </c>
      <c r="B370" t="e">
        <f>INDEX(resultados!$A$2:$ZZ$2290, 364, MATCH($B$2, resultados!$A$1:$ZZ$1, 0))</f>
        <v>#N/A</v>
      </c>
      <c r="C370" t="e">
        <f>INDEX(resultados!$A$2:$ZZ$2290, 364, MATCH($B$3, resultados!$A$1:$ZZ$1, 0))</f>
        <v>#N/A</v>
      </c>
    </row>
    <row r="371" spans="1:3" x14ac:dyDescent="0.3">
      <c r="A371" t="e">
        <f>INDEX(resultados!$A$2:$ZZ$2290, 365, MATCH($B$1, resultados!$A$1:$ZZ$1, 0))</f>
        <v>#N/A</v>
      </c>
      <c r="B371" t="e">
        <f>INDEX(resultados!$A$2:$ZZ$2290, 365, MATCH($B$2, resultados!$A$1:$ZZ$1, 0))</f>
        <v>#N/A</v>
      </c>
      <c r="C371" t="e">
        <f>INDEX(resultados!$A$2:$ZZ$2290, 365, MATCH($B$3, resultados!$A$1:$ZZ$1, 0))</f>
        <v>#N/A</v>
      </c>
    </row>
    <row r="372" spans="1:3" x14ac:dyDescent="0.3">
      <c r="A372" t="e">
        <f>INDEX(resultados!$A$2:$ZZ$2290, 366, MATCH($B$1, resultados!$A$1:$ZZ$1, 0))</f>
        <v>#N/A</v>
      </c>
      <c r="B372" t="e">
        <f>INDEX(resultados!$A$2:$ZZ$2290, 366, MATCH($B$2, resultados!$A$1:$ZZ$1, 0))</f>
        <v>#N/A</v>
      </c>
      <c r="C372" t="e">
        <f>INDEX(resultados!$A$2:$ZZ$2290, 366, MATCH($B$3, resultados!$A$1:$ZZ$1, 0))</f>
        <v>#N/A</v>
      </c>
    </row>
    <row r="373" spans="1:3" x14ac:dyDescent="0.3">
      <c r="A373" t="e">
        <f>INDEX(resultados!$A$2:$ZZ$2290, 367, MATCH($B$1, resultados!$A$1:$ZZ$1, 0))</f>
        <v>#N/A</v>
      </c>
      <c r="B373" t="e">
        <f>INDEX(resultados!$A$2:$ZZ$2290, 367, MATCH($B$2, resultados!$A$1:$ZZ$1, 0))</f>
        <v>#N/A</v>
      </c>
      <c r="C373" t="e">
        <f>INDEX(resultados!$A$2:$ZZ$2290, 367, MATCH($B$3, resultados!$A$1:$ZZ$1, 0))</f>
        <v>#N/A</v>
      </c>
    </row>
    <row r="374" spans="1:3" x14ac:dyDescent="0.3">
      <c r="A374" t="e">
        <f>INDEX(resultados!$A$2:$ZZ$2290, 368, MATCH($B$1, resultados!$A$1:$ZZ$1, 0))</f>
        <v>#N/A</v>
      </c>
      <c r="B374" t="e">
        <f>INDEX(resultados!$A$2:$ZZ$2290, 368, MATCH($B$2, resultados!$A$1:$ZZ$1, 0))</f>
        <v>#N/A</v>
      </c>
      <c r="C374" t="e">
        <f>INDEX(resultados!$A$2:$ZZ$2290, 368, MATCH($B$3, resultados!$A$1:$ZZ$1, 0))</f>
        <v>#N/A</v>
      </c>
    </row>
    <row r="375" spans="1:3" x14ac:dyDescent="0.3">
      <c r="A375" t="e">
        <f>INDEX(resultados!$A$2:$ZZ$2290, 369, MATCH($B$1, resultados!$A$1:$ZZ$1, 0))</f>
        <v>#N/A</v>
      </c>
      <c r="B375" t="e">
        <f>INDEX(resultados!$A$2:$ZZ$2290, 369, MATCH($B$2, resultados!$A$1:$ZZ$1, 0))</f>
        <v>#N/A</v>
      </c>
      <c r="C375" t="e">
        <f>INDEX(resultados!$A$2:$ZZ$2290, 369, MATCH($B$3, resultados!$A$1:$ZZ$1, 0))</f>
        <v>#N/A</v>
      </c>
    </row>
    <row r="376" spans="1:3" x14ac:dyDescent="0.3">
      <c r="A376" t="e">
        <f>INDEX(resultados!$A$2:$ZZ$2290, 370, MATCH($B$1, resultados!$A$1:$ZZ$1, 0))</f>
        <v>#N/A</v>
      </c>
      <c r="B376" t="e">
        <f>INDEX(resultados!$A$2:$ZZ$2290, 370, MATCH($B$2, resultados!$A$1:$ZZ$1, 0))</f>
        <v>#N/A</v>
      </c>
      <c r="C376" t="e">
        <f>INDEX(resultados!$A$2:$ZZ$2290, 370, MATCH($B$3, resultados!$A$1:$ZZ$1, 0))</f>
        <v>#N/A</v>
      </c>
    </row>
    <row r="377" spans="1:3" x14ac:dyDescent="0.3">
      <c r="A377" t="e">
        <f>INDEX(resultados!$A$2:$ZZ$2290, 371, MATCH($B$1, resultados!$A$1:$ZZ$1, 0))</f>
        <v>#N/A</v>
      </c>
      <c r="B377" t="e">
        <f>INDEX(resultados!$A$2:$ZZ$2290, 371, MATCH($B$2, resultados!$A$1:$ZZ$1, 0))</f>
        <v>#N/A</v>
      </c>
      <c r="C377" t="e">
        <f>INDEX(resultados!$A$2:$ZZ$2290, 371, MATCH($B$3, resultados!$A$1:$ZZ$1, 0))</f>
        <v>#N/A</v>
      </c>
    </row>
    <row r="378" spans="1:3" x14ac:dyDescent="0.3">
      <c r="A378" t="e">
        <f>INDEX(resultados!$A$2:$ZZ$2290, 372, MATCH($B$1, resultados!$A$1:$ZZ$1, 0))</f>
        <v>#N/A</v>
      </c>
      <c r="B378" t="e">
        <f>INDEX(resultados!$A$2:$ZZ$2290, 372, MATCH($B$2, resultados!$A$1:$ZZ$1, 0))</f>
        <v>#N/A</v>
      </c>
      <c r="C378" t="e">
        <f>INDEX(resultados!$A$2:$ZZ$2290, 372, MATCH($B$3, resultados!$A$1:$ZZ$1, 0))</f>
        <v>#N/A</v>
      </c>
    </row>
    <row r="379" spans="1:3" x14ac:dyDescent="0.3">
      <c r="A379" t="e">
        <f>INDEX(resultados!$A$2:$ZZ$2290, 373, MATCH($B$1, resultados!$A$1:$ZZ$1, 0))</f>
        <v>#N/A</v>
      </c>
      <c r="B379" t="e">
        <f>INDEX(resultados!$A$2:$ZZ$2290, 373, MATCH($B$2, resultados!$A$1:$ZZ$1, 0))</f>
        <v>#N/A</v>
      </c>
      <c r="C379" t="e">
        <f>INDEX(resultados!$A$2:$ZZ$2290, 373, MATCH($B$3, resultados!$A$1:$ZZ$1, 0))</f>
        <v>#N/A</v>
      </c>
    </row>
    <row r="380" spans="1:3" x14ac:dyDescent="0.3">
      <c r="A380" t="e">
        <f>INDEX(resultados!$A$2:$ZZ$2290, 374, MATCH($B$1, resultados!$A$1:$ZZ$1, 0))</f>
        <v>#N/A</v>
      </c>
      <c r="B380" t="e">
        <f>INDEX(resultados!$A$2:$ZZ$2290, 374, MATCH($B$2, resultados!$A$1:$ZZ$1, 0))</f>
        <v>#N/A</v>
      </c>
      <c r="C380" t="e">
        <f>INDEX(resultados!$A$2:$ZZ$2290, 374, MATCH($B$3, resultados!$A$1:$ZZ$1, 0))</f>
        <v>#N/A</v>
      </c>
    </row>
    <row r="381" spans="1:3" x14ac:dyDescent="0.3">
      <c r="A381" t="e">
        <f>INDEX(resultados!$A$2:$ZZ$2290, 375, MATCH($B$1, resultados!$A$1:$ZZ$1, 0))</f>
        <v>#N/A</v>
      </c>
      <c r="B381" t="e">
        <f>INDEX(resultados!$A$2:$ZZ$2290, 375, MATCH($B$2, resultados!$A$1:$ZZ$1, 0))</f>
        <v>#N/A</v>
      </c>
      <c r="C381" t="e">
        <f>INDEX(resultados!$A$2:$ZZ$2290, 375, MATCH($B$3, resultados!$A$1:$ZZ$1, 0))</f>
        <v>#N/A</v>
      </c>
    </row>
    <row r="382" spans="1:3" x14ac:dyDescent="0.3">
      <c r="A382" t="e">
        <f>INDEX(resultados!$A$2:$ZZ$2290, 376, MATCH($B$1, resultados!$A$1:$ZZ$1, 0))</f>
        <v>#N/A</v>
      </c>
      <c r="B382" t="e">
        <f>INDEX(resultados!$A$2:$ZZ$2290, 376, MATCH($B$2, resultados!$A$1:$ZZ$1, 0))</f>
        <v>#N/A</v>
      </c>
      <c r="C382" t="e">
        <f>INDEX(resultados!$A$2:$ZZ$2290, 376, MATCH($B$3, resultados!$A$1:$ZZ$1, 0))</f>
        <v>#N/A</v>
      </c>
    </row>
    <row r="383" spans="1:3" x14ac:dyDescent="0.3">
      <c r="A383" t="e">
        <f>INDEX(resultados!$A$2:$ZZ$2290, 377, MATCH($B$1, resultados!$A$1:$ZZ$1, 0))</f>
        <v>#N/A</v>
      </c>
      <c r="B383" t="e">
        <f>INDEX(resultados!$A$2:$ZZ$2290, 377, MATCH($B$2, resultados!$A$1:$ZZ$1, 0))</f>
        <v>#N/A</v>
      </c>
      <c r="C383" t="e">
        <f>INDEX(resultados!$A$2:$ZZ$2290, 377, MATCH($B$3, resultados!$A$1:$ZZ$1, 0))</f>
        <v>#N/A</v>
      </c>
    </row>
    <row r="384" spans="1:3" x14ac:dyDescent="0.3">
      <c r="A384" t="e">
        <f>INDEX(resultados!$A$2:$ZZ$2290, 378, MATCH($B$1, resultados!$A$1:$ZZ$1, 0))</f>
        <v>#N/A</v>
      </c>
      <c r="B384" t="e">
        <f>INDEX(resultados!$A$2:$ZZ$2290, 378, MATCH($B$2, resultados!$A$1:$ZZ$1, 0))</f>
        <v>#N/A</v>
      </c>
      <c r="C384" t="e">
        <f>INDEX(resultados!$A$2:$ZZ$2290, 378, MATCH($B$3, resultados!$A$1:$ZZ$1, 0))</f>
        <v>#N/A</v>
      </c>
    </row>
    <row r="385" spans="1:3" x14ac:dyDescent="0.3">
      <c r="A385" t="e">
        <f>INDEX(resultados!$A$2:$ZZ$2290, 379, MATCH($B$1, resultados!$A$1:$ZZ$1, 0))</f>
        <v>#N/A</v>
      </c>
      <c r="B385" t="e">
        <f>INDEX(resultados!$A$2:$ZZ$2290, 379, MATCH($B$2, resultados!$A$1:$ZZ$1, 0))</f>
        <v>#N/A</v>
      </c>
      <c r="C385" t="e">
        <f>INDEX(resultados!$A$2:$ZZ$2290, 379, MATCH($B$3, resultados!$A$1:$ZZ$1, 0))</f>
        <v>#N/A</v>
      </c>
    </row>
    <row r="386" spans="1:3" x14ac:dyDescent="0.3">
      <c r="A386" t="e">
        <f>INDEX(resultados!$A$2:$ZZ$2290, 380, MATCH($B$1, resultados!$A$1:$ZZ$1, 0))</f>
        <v>#N/A</v>
      </c>
      <c r="B386" t="e">
        <f>INDEX(resultados!$A$2:$ZZ$2290, 380, MATCH($B$2, resultados!$A$1:$ZZ$1, 0))</f>
        <v>#N/A</v>
      </c>
      <c r="C386" t="e">
        <f>INDEX(resultados!$A$2:$ZZ$2290, 380, MATCH($B$3, resultados!$A$1:$ZZ$1, 0))</f>
        <v>#N/A</v>
      </c>
    </row>
    <row r="387" spans="1:3" x14ac:dyDescent="0.3">
      <c r="A387" t="e">
        <f>INDEX(resultados!$A$2:$ZZ$2290, 381, MATCH($B$1, resultados!$A$1:$ZZ$1, 0))</f>
        <v>#N/A</v>
      </c>
      <c r="B387" t="e">
        <f>INDEX(resultados!$A$2:$ZZ$2290, 381, MATCH($B$2, resultados!$A$1:$ZZ$1, 0))</f>
        <v>#N/A</v>
      </c>
      <c r="C387" t="e">
        <f>INDEX(resultados!$A$2:$ZZ$2290, 381, MATCH($B$3, resultados!$A$1:$ZZ$1, 0))</f>
        <v>#N/A</v>
      </c>
    </row>
    <row r="388" spans="1:3" x14ac:dyDescent="0.3">
      <c r="A388" t="e">
        <f>INDEX(resultados!$A$2:$ZZ$2290, 382, MATCH($B$1, resultados!$A$1:$ZZ$1, 0))</f>
        <v>#N/A</v>
      </c>
      <c r="B388" t="e">
        <f>INDEX(resultados!$A$2:$ZZ$2290, 382, MATCH($B$2, resultados!$A$1:$ZZ$1, 0))</f>
        <v>#N/A</v>
      </c>
      <c r="C388" t="e">
        <f>INDEX(resultados!$A$2:$ZZ$2290, 382, MATCH($B$3, resultados!$A$1:$ZZ$1, 0))</f>
        <v>#N/A</v>
      </c>
    </row>
    <row r="389" spans="1:3" x14ac:dyDescent="0.3">
      <c r="A389" t="e">
        <f>INDEX(resultados!$A$2:$ZZ$2290, 383, MATCH($B$1, resultados!$A$1:$ZZ$1, 0))</f>
        <v>#N/A</v>
      </c>
      <c r="B389" t="e">
        <f>INDEX(resultados!$A$2:$ZZ$2290, 383, MATCH($B$2, resultados!$A$1:$ZZ$1, 0))</f>
        <v>#N/A</v>
      </c>
      <c r="C389" t="e">
        <f>INDEX(resultados!$A$2:$ZZ$2290, 383, MATCH($B$3, resultados!$A$1:$ZZ$1, 0))</f>
        <v>#N/A</v>
      </c>
    </row>
    <row r="390" spans="1:3" x14ac:dyDescent="0.3">
      <c r="A390" t="e">
        <f>INDEX(resultados!$A$2:$ZZ$2290, 384, MATCH($B$1, resultados!$A$1:$ZZ$1, 0))</f>
        <v>#N/A</v>
      </c>
      <c r="B390" t="e">
        <f>INDEX(resultados!$A$2:$ZZ$2290, 384, MATCH($B$2, resultados!$A$1:$ZZ$1, 0))</f>
        <v>#N/A</v>
      </c>
      <c r="C390" t="e">
        <f>INDEX(resultados!$A$2:$ZZ$2290, 384, MATCH($B$3, resultados!$A$1:$ZZ$1, 0))</f>
        <v>#N/A</v>
      </c>
    </row>
    <row r="391" spans="1:3" x14ac:dyDescent="0.3">
      <c r="A391" t="e">
        <f>INDEX(resultados!$A$2:$ZZ$2290, 385, MATCH($B$1, resultados!$A$1:$ZZ$1, 0))</f>
        <v>#N/A</v>
      </c>
      <c r="B391" t="e">
        <f>INDEX(resultados!$A$2:$ZZ$2290, 385, MATCH($B$2, resultados!$A$1:$ZZ$1, 0))</f>
        <v>#N/A</v>
      </c>
      <c r="C391" t="e">
        <f>INDEX(resultados!$A$2:$ZZ$2290, 385, MATCH($B$3, resultados!$A$1:$ZZ$1, 0))</f>
        <v>#N/A</v>
      </c>
    </row>
    <row r="392" spans="1:3" x14ac:dyDescent="0.3">
      <c r="A392" t="e">
        <f>INDEX(resultados!$A$2:$ZZ$2290, 386, MATCH($B$1, resultados!$A$1:$ZZ$1, 0))</f>
        <v>#N/A</v>
      </c>
      <c r="B392" t="e">
        <f>INDEX(resultados!$A$2:$ZZ$2290, 386, MATCH($B$2, resultados!$A$1:$ZZ$1, 0))</f>
        <v>#N/A</v>
      </c>
      <c r="C392" t="e">
        <f>INDEX(resultados!$A$2:$ZZ$2290, 386, MATCH($B$3, resultados!$A$1:$ZZ$1, 0))</f>
        <v>#N/A</v>
      </c>
    </row>
    <row r="393" spans="1:3" x14ac:dyDescent="0.3">
      <c r="A393" t="e">
        <f>INDEX(resultados!$A$2:$ZZ$2290, 387, MATCH($B$1, resultados!$A$1:$ZZ$1, 0))</f>
        <v>#N/A</v>
      </c>
      <c r="B393" t="e">
        <f>INDEX(resultados!$A$2:$ZZ$2290, 387, MATCH($B$2, resultados!$A$1:$ZZ$1, 0))</f>
        <v>#N/A</v>
      </c>
      <c r="C393" t="e">
        <f>INDEX(resultados!$A$2:$ZZ$2290, 387, MATCH($B$3, resultados!$A$1:$ZZ$1, 0))</f>
        <v>#N/A</v>
      </c>
    </row>
    <row r="394" spans="1:3" x14ac:dyDescent="0.3">
      <c r="A394" t="e">
        <f>INDEX(resultados!$A$2:$ZZ$2290, 388, MATCH($B$1, resultados!$A$1:$ZZ$1, 0))</f>
        <v>#N/A</v>
      </c>
      <c r="B394" t="e">
        <f>INDEX(resultados!$A$2:$ZZ$2290, 388, MATCH($B$2, resultados!$A$1:$ZZ$1, 0))</f>
        <v>#N/A</v>
      </c>
      <c r="C394" t="e">
        <f>INDEX(resultados!$A$2:$ZZ$2290, 388, MATCH($B$3, resultados!$A$1:$ZZ$1, 0))</f>
        <v>#N/A</v>
      </c>
    </row>
    <row r="395" spans="1:3" x14ac:dyDescent="0.3">
      <c r="A395" t="e">
        <f>INDEX(resultados!$A$2:$ZZ$2290, 389, MATCH($B$1, resultados!$A$1:$ZZ$1, 0))</f>
        <v>#N/A</v>
      </c>
      <c r="B395" t="e">
        <f>INDEX(resultados!$A$2:$ZZ$2290, 389, MATCH($B$2, resultados!$A$1:$ZZ$1, 0))</f>
        <v>#N/A</v>
      </c>
      <c r="C395" t="e">
        <f>INDEX(resultados!$A$2:$ZZ$2290, 389, MATCH($B$3, resultados!$A$1:$ZZ$1, 0))</f>
        <v>#N/A</v>
      </c>
    </row>
    <row r="396" spans="1:3" x14ac:dyDescent="0.3">
      <c r="A396" t="e">
        <f>INDEX(resultados!$A$2:$ZZ$2290, 390, MATCH($B$1, resultados!$A$1:$ZZ$1, 0))</f>
        <v>#N/A</v>
      </c>
      <c r="B396" t="e">
        <f>INDEX(resultados!$A$2:$ZZ$2290, 390, MATCH($B$2, resultados!$A$1:$ZZ$1, 0))</f>
        <v>#N/A</v>
      </c>
      <c r="C396" t="e">
        <f>INDEX(resultados!$A$2:$ZZ$2290, 390, MATCH($B$3, resultados!$A$1:$ZZ$1, 0))</f>
        <v>#N/A</v>
      </c>
    </row>
    <row r="397" spans="1:3" x14ac:dyDescent="0.3">
      <c r="A397" t="e">
        <f>INDEX(resultados!$A$2:$ZZ$2290, 391, MATCH($B$1, resultados!$A$1:$ZZ$1, 0))</f>
        <v>#N/A</v>
      </c>
      <c r="B397" t="e">
        <f>INDEX(resultados!$A$2:$ZZ$2290, 391, MATCH($B$2, resultados!$A$1:$ZZ$1, 0))</f>
        <v>#N/A</v>
      </c>
      <c r="C397" t="e">
        <f>INDEX(resultados!$A$2:$ZZ$2290, 391, MATCH($B$3, resultados!$A$1:$ZZ$1, 0))</f>
        <v>#N/A</v>
      </c>
    </row>
    <row r="398" spans="1:3" x14ac:dyDescent="0.3">
      <c r="A398" t="e">
        <f>INDEX(resultados!$A$2:$ZZ$2290, 392, MATCH($B$1, resultados!$A$1:$ZZ$1, 0))</f>
        <v>#N/A</v>
      </c>
      <c r="B398" t="e">
        <f>INDEX(resultados!$A$2:$ZZ$2290, 392, MATCH($B$2, resultados!$A$1:$ZZ$1, 0))</f>
        <v>#N/A</v>
      </c>
      <c r="C398" t="e">
        <f>INDEX(resultados!$A$2:$ZZ$2290, 392, MATCH($B$3, resultados!$A$1:$ZZ$1, 0))</f>
        <v>#N/A</v>
      </c>
    </row>
    <row r="399" spans="1:3" x14ac:dyDescent="0.3">
      <c r="A399" t="e">
        <f>INDEX(resultados!$A$2:$ZZ$2290, 393, MATCH($B$1, resultados!$A$1:$ZZ$1, 0))</f>
        <v>#N/A</v>
      </c>
      <c r="B399" t="e">
        <f>INDEX(resultados!$A$2:$ZZ$2290, 393, MATCH($B$2, resultados!$A$1:$ZZ$1, 0))</f>
        <v>#N/A</v>
      </c>
      <c r="C399" t="e">
        <f>INDEX(resultados!$A$2:$ZZ$2290, 393, MATCH($B$3, resultados!$A$1:$ZZ$1, 0))</f>
        <v>#N/A</v>
      </c>
    </row>
    <row r="400" spans="1:3" x14ac:dyDescent="0.3">
      <c r="A400" t="e">
        <f>INDEX(resultados!$A$2:$ZZ$2290, 394, MATCH($B$1, resultados!$A$1:$ZZ$1, 0))</f>
        <v>#N/A</v>
      </c>
      <c r="B400" t="e">
        <f>INDEX(resultados!$A$2:$ZZ$2290, 394, MATCH($B$2, resultados!$A$1:$ZZ$1, 0))</f>
        <v>#N/A</v>
      </c>
      <c r="C400" t="e">
        <f>INDEX(resultados!$A$2:$ZZ$2290, 394, MATCH($B$3, resultados!$A$1:$ZZ$1, 0))</f>
        <v>#N/A</v>
      </c>
    </row>
    <row r="401" spans="1:3" x14ac:dyDescent="0.3">
      <c r="A401" t="e">
        <f>INDEX(resultados!$A$2:$ZZ$2290, 395, MATCH($B$1, resultados!$A$1:$ZZ$1, 0))</f>
        <v>#N/A</v>
      </c>
      <c r="B401" t="e">
        <f>INDEX(resultados!$A$2:$ZZ$2290, 395, MATCH($B$2, resultados!$A$1:$ZZ$1, 0))</f>
        <v>#N/A</v>
      </c>
      <c r="C401" t="e">
        <f>INDEX(resultados!$A$2:$ZZ$2290, 395, MATCH($B$3, resultados!$A$1:$ZZ$1, 0))</f>
        <v>#N/A</v>
      </c>
    </row>
    <row r="402" spans="1:3" x14ac:dyDescent="0.3">
      <c r="A402" t="e">
        <f>INDEX(resultados!$A$2:$ZZ$2290, 396, MATCH($B$1, resultados!$A$1:$ZZ$1, 0))</f>
        <v>#N/A</v>
      </c>
      <c r="B402" t="e">
        <f>INDEX(resultados!$A$2:$ZZ$2290, 396, MATCH($B$2, resultados!$A$1:$ZZ$1, 0))</f>
        <v>#N/A</v>
      </c>
      <c r="C402" t="e">
        <f>INDEX(resultados!$A$2:$ZZ$2290, 396, MATCH($B$3, resultados!$A$1:$ZZ$1, 0))</f>
        <v>#N/A</v>
      </c>
    </row>
    <row r="403" spans="1:3" x14ac:dyDescent="0.3">
      <c r="A403" t="e">
        <f>INDEX(resultados!$A$2:$ZZ$2290, 397, MATCH($B$1, resultados!$A$1:$ZZ$1, 0))</f>
        <v>#N/A</v>
      </c>
      <c r="B403" t="e">
        <f>INDEX(resultados!$A$2:$ZZ$2290, 397, MATCH($B$2, resultados!$A$1:$ZZ$1, 0))</f>
        <v>#N/A</v>
      </c>
      <c r="C403" t="e">
        <f>INDEX(resultados!$A$2:$ZZ$2290, 397, MATCH($B$3, resultados!$A$1:$ZZ$1, 0))</f>
        <v>#N/A</v>
      </c>
    </row>
    <row r="404" spans="1:3" x14ac:dyDescent="0.3">
      <c r="A404" t="e">
        <f>INDEX(resultados!$A$2:$ZZ$2290, 398, MATCH($B$1, resultados!$A$1:$ZZ$1, 0))</f>
        <v>#N/A</v>
      </c>
      <c r="B404" t="e">
        <f>INDEX(resultados!$A$2:$ZZ$2290, 398, MATCH($B$2, resultados!$A$1:$ZZ$1, 0))</f>
        <v>#N/A</v>
      </c>
      <c r="C404" t="e">
        <f>INDEX(resultados!$A$2:$ZZ$2290, 398, MATCH($B$3, resultados!$A$1:$ZZ$1, 0))</f>
        <v>#N/A</v>
      </c>
    </row>
    <row r="405" spans="1:3" x14ac:dyDescent="0.3">
      <c r="A405" t="e">
        <f>INDEX(resultados!$A$2:$ZZ$2290, 399, MATCH($B$1, resultados!$A$1:$ZZ$1, 0))</f>
        <v>#N/A</v>
      </c>
      <c r="B405" t="e">
        <f>INDEX(resultados!$A$2:$ZZ$2290, 399, MATCH($B$2, resultados!$A$1:$ZZ$1, 0))</f>
        <v>#N/A</v>
      </c>
      <c r="C405" t="e">
        <f>INDEX(resultados!$A$2:$ZZ$2290, 399, MATCH($B$3, resultados!$A$1:$ZZ$1, 0))</f>
        <v>#N/A</v>
      </c>
    </row>
    <row r="406" spans="1:3" x14ac:dyDescent="0.3">
      <c r="A406" t="e">
        <f>INDEX(resultados!$A$2:$ZZ$2290, 400, MATCH($B$1, resultados!$A$1:$ZZ$1, 0))</f>
        <v>#N/A</v>
      </c>
      <c r="B406" t="e">
        <f>INDEX(resultados!$A$2:$ZZ$2290, 400, MATCH($B$2, resultados!$A$1:$ZZ$1, 0))</f>
        <v>#N/A</v>
      </c>
      <c r="C406" t="e">
        <f>INDEX(resultados!$A$2:$ZZ$2290, 400, MATCH($B$3, resultados!$A$1:$ZZ$1, 0))</f>
        <v>#N/A</v>
      </c>
    </row>
    <row r="407" spans="1:3" x14ac:dyDescent="0.3">
      <c r="A407" t="e">
        <f>INDEX(resultados!$A$2:$ZZ$2290, 401, MATCH($B$1, resultados!$A$1:$ZZ$1, 0))</f>
        <v>#N/A</v>
      </c>
      <c r="B407" t="e">
        <f>INDEX(resultados!$A$2:$ZZ$2290, 401, MATCH($B$2, resultados!$A$1:$ZZ$1, 0))</f>
        <v>#N/A</v>
      </c>
      <c r="C407" t="e">
        <f>INDEX(resultados!$A$2:$ZZ$2290, 401, MATCH($B$3, resultados!$A$1:$ZZ$1, 0))</f>
        <v>#N/A</v>
      </c>
    </row>
    <row r="408" spans="1:3" x14ac:dyDescent="0.3">
      <c r="A408" t="e">
        <f>INDEX(resultados!$A$2:$ZZ$2290, 402, MATCH($B$1, resultados!$A$1:$ZZ$1, 0))</f>
        <v>#N/A</v>
      </c>
      <c r="B408" t="e">
        <f>INDEX(resultados!$A$2:$ZZ$2290, 402, MATCH($B$2, resultados!$A$1:$ZZ$1, 0))</f>
        <v>#N/A</v>
      </c>
      <c r="C408" t="e">
        <f>INDEX(resultados!$A$2:$ZZ$2290, 402, MATCH($B$3, resultados!$A$1:$ZZ$1, 0))</f>
        <v>#N/A</v>
      </c>
    </row>
    <row r="409" spans="1:3" x14ac:dyDescent="0.3">
      <c r="A409" t="e">
        <f>INDEX(resultados!$A$2:$ZZ$2290, 403, MATCH($B$1, resultados!$A$1:$ZZ$1, 0))</f>
        <v>#N/A</v>
      </c>
      <c r="B409" t="e">
        <f>INDEX(resultados!$A$2:$ZZ$2290, 403, MATCH($B$2, resultados!$A$1:$ZZ$1, 0))</f>
        <v>#N/A</v>
      </c>
      <c r="C409" t="e">
        <f>INDEX(resultados!$A$2:$ZZ$2290, 403, MATCH($B$3, resultados!$A$1:$ZZ$1, 0))</f>
        <v>#N/A</v>
      </c>
    </row>
    <row r="410" spans="1:3" x14ac:dyDescent="0.3">
      <c r="A410" t="e">
        <f>INDEX(resultados!$A$2:$ZZ$2290, 404, MATCH($B$1, resultados!$A$1:$ZZ$1, 0))</f>
        <v>#N/A</v>
      </c>
      <c r="B410" t="e">
        <f>INDEX(resultados!$A$2:$ZZ$2290, 404, MATCH($B$2, resultados!$A$1:$ZZ$1, 0))</f>
        <v>#N/A</v>
      </c>
      <c r="C410" t="e">
        <f>INDEX(resultados!$A$2:$ZZ$2290, 404, MATCH($B$3, resultados!$A$1:$ZZ$1, 0))</f>
        <v>#N/A</v>
      </c>
    </row>
    <row r="411" spans="1:3" x14ac:dyDescent="0.3">
      <c r="A411" t="e">
        <f>INDEX(resultados!$A$2:$ZZ$2290, 405, MATCH($B$1, resultados!$A$1:$ZZ$1, 0))</f>
        <v>#N/A</v>
      </c>
      <c r="B411" t="e">
        <f>INDEX(resultados!$A$2:$ZZ$2290, 405, MATCH($B$2, resultados!$A$1:$ZZ$1, 0))</f>
        <v>#N/A</v>
      </c>
      <c r="C411" t="e">
        <f>INDEX(resultados!$A$2:$ZZ$2290, 405, MATCH($B$3, resultados!$A$1:$ZZ$1, 0))</f>
        <v>#N/A</v>
      </c>
    </row>
    <row r="412" spans="1:3" x14ac:dyDescent="0.3">
      <c r="A412" t="e">
        <f>INDEX(resultados!$A$2:$ZZ$2290, 406, MATCH($B$1, resultados!$A$1:$ZZ$1, 0))</f>
        <v>#N/A</v>
      </c>
      <c r="B412" t="e">
        <f>INDEX(resultados!$A$2:$ZZ$2290, 406, MATCH($B$2, resultados!$A$1:$ZZ$1, 0))</f>
        <v>#N/A</v>
      </c>
      <c r="C412" t="e">
        <f>INDEX(resultados!$A$2:$ZZ$2290, 406, MATCH($B$3, resultados!$A$1:$ZZ$1, 0))</f>
        <v>#N/A</v>
      </c>
    </row>
    <row r="413" spans="1:3" x14ac:dyDescent="0.3">
      <c r="A413" t="e">
        <f>INDEX(resultados!$A$2:$ZZ$2290, 407, MATCH($B$1, resultados!$A$1:$ZZ$1, 0))</f>
        <v>#N/A</v>
      </c>
      <c r="B413" t="e">
        <f>INDEX(resultados!$A$2:$ZZ$2290, 407, MATCH($B$2, resultados!$A$1:$ZZ$1, 0))</f>
        <v>#N/A</v>
      </c>
      <c r="C413" t="e">
        <f>INDEX(resultados!$A$2:$ZZ$2290, 407, MATCH($B$3, resultados!$A$1:$ZZ$1, 0))</f>
        <v>#N/A</v>
      </c>
    </row>
    <row r="414" spans="1:3" x14ac:dyDescent="0.3">
      <c r="A414" t="e">
        <f>INDEX(resultados!$A$2:$ZZ$2290, 408, MATCH($B$1, resultados!$A$1:$ZZ$1, 0))</f>
        <v>#N/A</v>
      </c>
      <c r="B414" t="e">
        <f>INDEX(resultados!$A$2:$ZZ$2290, 408, MATCH($B$2, resultados!$A$1:$ZZ$1, 0))</f>
        <v>#N/A</v>
      </c>
      <c r="C414" t="e">
        <f>INDEX(resultados!$A$2:$ZZ$2290, 408, MATCH($B$3, resultados!$A$1:$ZZ$1, 0))</f>
        <v>#N/A</v>
      </c>
    </row>
    <row r="415" spans="1:3" x14ac:dyDescent="0.3">
      <c r="A415" t="e">
        <f>INDEX(resultados!$A$2:$ZZ$2290, 409, MATCH($B$1, resultados!$A$1:$ZZ$1, 0))</f>
        <v>#N/A</v>
      </c>
      <c r="B415" t="e">
        <f>INDEX(resultados!$A$2:$ZZ$2290, 409, MATCH($B$2, resultados!$A$1:$ZZ$1, 0))</f>
        <v>#N/A</v>
      </c>
      <c r="C415" t="e">
        <f>INDEX(resultados!$A$2:$ZZ$2290, 409, MATCH($B$3, resultados!$A$1:$ZZ$1, 0))</f>
        <v>#N/A</v>
      </c>
    </row>
    <row r="416" spans="1:3" x14ac:dyDescent="0.3">
      <c r="A416" t="e">
        <f>INDEX(resultados!$A$2:$ZZ$2290, 410, MATCH($B$1, resultados!$A$1:$ZZ$1, 0))</f>
        <v>#N/A</v>
      </c>
      <c r="B416" t="e">
        <f>INDEX(resultados!$A$2:$ZZ$2290, 410, MATCH($B$2, resultados!$A$1:$ZZ$1, 0))</f>
        <v>#N/A</v>
      </c>
      <c r="C416" t="e">
        <f>INDEX(resultados!$A$2:$ZZ$2290, 410, MATCH($B$3, resultados!$A$1:$ZZ$1, 0))</f>
        <v>#N/A</v>
      </c>
    </row>
    <row r="417" spans="1:3" x14ac:dyDescent="0.3">
      <c r="A417" t="e">
        <f>INDEX(resultados!$A$2:$ZZ$2290, 411, MATCH($B$1, resultados!$A$1:$ZZ$1, 0))</f>
        <v>#N/A</v>
      </c>
      <c r="B417" t="e">
        <f>INDEX(resultados!$A$2:$ZZ$2290, 411, MATCH($B$2, resultados!$A$1:$ZZ$1, 0))</f>
        <v>#N/A</v>
      </c>
      <c r="C417" t="e">
        <f>INDEX(resultados!$A$2:$ZZ$2290, 411, MATCH($B$3, resultados!$A$1:$ZZ$1, 0))</f>
        <v>#N/A</v>
      </c>
    </row>
    <row r="418" spans="1:3" x14ac:dyDescent="0.3">
      <c r="A418" t="e">
        <f>INDEX(resultados!$A$2:$ZZ$2290, 412, MATCH($B$1, resultados!$A$1:$ZZ$1, 0))</f>
        <v>#N/A</v>
      </c>
      <c r="B418" t="e">
        <f>INDEX(resultados!$A$2:$ZZ$2290, 412, MATCH($B$2, resultados!$A$1:$ZZ$1, 0))</f>
        <v>#N/A</v>
      </c>
      <c r="C418" t="e">
        <f>INDEX(resultados!$A$2:$ZZ$2290, 412, MATCH($B$3, resultados!$A$1:$ZZ$1, 0))</f>
        <v>#N/A</v>
      </c>
    </row>
    <row r="419" spans="1:3" x14ac:dyDescent="0.3">
      <c r="A419" t="e">
        <f>INDEX(resultados!$A$2:$ZZ$2290, 413, MATCH($B$1, resultados!$A$1:$ZZ$1, 0))</f>
        <v>#N/A</v>
      </c>
      <c r="B419" t="e">
        <f>INDEX(resultados!$A$2:$ZZ$2290, 413, MATCH($B$2, resultados!$A$1:$ZZ$1, 0))</f>
        <v>#N/A</v>
      </c>
      <c r="C419" t="e">
        <f>INDEX(resultados!$A$2:$ZZ$2290, 413, MATCH($B$3, resultados!$A$1:$ZZ$1, 0))</f>
        <v>#N/A</v>
      </c>
    </row>
    <row r="420" spans="1:3" x14ac:dyDescent="0.3">
      <c r="A420" t="e">
        <f>INDEX(resultados!$A$2:$ZZ$2290, 414, MATCH($B$1, resultados!$A$1:$ZZ$1, 0))</f>
        <v>#N/A</v>
      </c>
      <c r="B420" t="e">
        <f>INDEX(resultados!$A$2:$ZZ$2290, 414, MATCH($B$2, resultados!$A$1:$ZZ$1, 0))</f>
        <v>#N/A</v>
      </c>
      <c r="C420" t="e">
        <f>INDEX(resultados!$A$2:$ZZ$2290, 414, MATCH($B$3, resultados!$A$1:$ZZ$1, 0))</f>
        <v>#N/A</v>
      </c>
    </row>
    <row r="421" spans="1:3" x14ac:dyDescent="0.3">
      <c r="A421" t="e">
        <f>INDEX(resultados!$A$2:$ZZ$2290, 415, MATCH($B$1, resultados!$A$1:$ZZ$1, 0))</f>
        <v>#N/A</v>
      </c>
      <c r="B421" t="e">
        <f>INDEX(resultados!$A$2:$ZZ$2290, 415, MATCH($B$2, resultados!$A$1:$ZZ$1, 0))</f>
        <v>#N/A</v>
      </c>
      <c r="C421" t="e">
        <f>INDEX(resultados!$A$2:$ZZ$2290, 415, MATCH($B$3, resultados!$A$1:$ZZ$1, 0))</f>
        <v>#N/A</v>
      </c>
    </row>
    <row r="422" spans="1:3" x14ac:dyDescent="0.3">
      <c r="A422" t="e">
        <f>INDEX(resultados!$A$2:$ZZ$2290, 416, MATCH($B$1, resultados!$A$1:$ZZ$1, 0))</f>
        <v>#N/A</v>
      </c>
      <c r="B422" t="e">
        <f>INDEX(resultados!$A$2:$ZZ$2290, 416, MATCH($B$2, resultados!$A$1:$ZZ$1, 0))</f>
        <v>#N/A</v>
      </c>
      <c r="C422" t="e">
        <f>INDEX(resultados!$A$2:$ZZ$2290, 416, MATCH($B$3, resultados!$A$1:$ZZ$1, 0))</f>
        <v>#N/A</v>
      </c>
    </row>
    <row r="423" spans="1:3" x14ac:dyDescent="0.3">
      <c r="A423" t="e">
        <f>INDEX(resultados!$A$2:$ZZ$2290, 417, MATCH($B$1, resultados!$A$1:$ZZ$1, 0))</f>
        <v>#N/A</v>
      </c>
      <c r="B423" t="e">
        <f>INDEX(resultados!$A$2:$ZZ$2290, 417, MATCH($B$2, resultados!$A$1:$ZZ$1, 0))</f>
        <v>#N/A</v>
      </c>
      <c r="C423" t="e">
        <f>INDEX(resultados!$A$2:$ZZ$2290, 417, MATCH($B$3, resultados!$A$1:$ZZ$1, 0))</f>
        <v>#N/A</v>
      </c>
    </row>
    <row r="424" spans="1:3" x14ac:dyDescent="0.3">
      <c r="A424" t="e">
        <f>INDEX(resultados!$A$2:$ZZ$2290, 418, MATCH($B$1, resultados!$A$1:$ZZ$1, 0))</f>
        <v>#N/A</v>
      </c>
      <c r="B424" t="e">
        <f>INDEX(resultados!$A$2:$ZZ$2290, 418, MATCH($B$2, resultados!$A$1:$ZZ$1, 0))</f>
        <v>#N/A</v>
      </c>
      <c r="C424" t="e">
        <f>INDEX(resultados!$A$2:$ZZ$2290, 418, MATCH($B$3, resultados!$A$1:$ZZ$1, 0))</f>
        <v>#N/A</v>
      </c>
    </row>
    <row r="425" spans="1:3" x14ac:dyDescent="0.3">
      <c r="A425" t="e">
        <f>INDEX(resultados!$A$2:$ZZ$2290, 419, MATCH($B$1, resultados!$A$1:$ZZ$1, 0))</f>
        <v>#N/A</v>
      </c>
      <c r="B425" t="e">
        <f>INDEX(resultados!$A$2:$ZZ$2290, 419, MATCH($B$2, resultados!$A$1:$ZZ$1, 0))</f>
        <v>#N/A</v>
      </c>
      <c r="C425" t="e">
        <f>INDEX(resultados!$A$2:$ZZ$2290, 419, MATCH($B$3, resultados!$A$1:$ZZ$1, 0))</f>
        <v>#N/A</v>
      </c>
    </row>
    <row r="426" spans="1:3" x14ac:dyDescent="0.3">
      <c r="A426" t="e">
        <f>INDEX(resultados!$A$2:$ZZ$2290, 420, MATCH($B$1, resultados!$A$1:$ZZ$1, 0))</f>
        <v>#N/A</v>
      </c>
      <c r="B426" t="e">
        <f>INDEX(resultados!$A$2:$ZZ$2290, 420, MATCH($B$2, resultados!$A$1:$ZZ$1, 0))</f>
        <v>#N/A</v>
      </c>
      <c r="C426" t="e">
        <f>INDEX(resultados!$A$2:$ZZ$2290, 420, MATCH($B$3, resultados!$A$1:$ZZ$1, 0))</f>
        <v>#N/A</v>
      </c>
    </row>
    <row r="427" spans="1:3" x14ac:dyDescent="0.3">
      <c r="A427" t="e">
        <f>INDEX(resultados!$A$2:$ZZ$2290, 421, MATCH($B$1, resultados!$A$1:$ZZ$1, 0))</f>
        <v>#N/A</v>
      </c>
      <c r="B427" t="e">
        <f>INDEX(resultados!$A$2:$ZZ$2290, 421, MATCH($B$2, resultados!$A$1:$ZZ$1, 0))</f>
        <v>#N/A</v>
      </c>
      <c r="C427" t="e">
        <f>INDEX(resultados!$A$2:$ZZ$2290, 421, MATCH($B$3, resultados!$A$1:$ZZ$1, 0))</f>
        <v>#N/A</v>
      </c>
    </row>
    <row r="428" spans="1:3" x14ac:dyDescent="0.3">
      <c r="A428" t="e">
        <f>INDEX(resultados!$A$2:$ZZ$2290, 422, MATCH($B$1, resultados!$A$1:$ZZ$1, 0))</f>
        <v>#N/A</v>
      </c>
      <c r="B428" t="e">
        <f>INDEX(resultados!$A$2:$ZZ$2290, 422, MATCH($B$2, resultados!$A$1:$ZZ$1, 0))</f>
        <v>#N/A</v>
      </c>
      <c r="C428" t="e">
        <f>INDEX(resultados!$A$2:$ZZ$2290, 422, MATCH($B$3, resultados!$A$1:$ZZ$1, 0))</f>
        <v>#N/A</v>
      </c>
    </row>
    <row r="429" spans="1:3" x14ac:dyDescent="0.3">
      <c r="A429" t="e">
        <f>INDEX(resultados!$A$2:$ZZ$2290, 423, MATCH($B$1, resultados!$A$1:$ZZ$1, 0))</f>
        <v>#N/A</v>
      </c>
      <c r="B429" t="e">
        <f>INDEX(resultados!$A$2:$ZZ$2290, 423, MATCH($B$2, resultados!$A$1:$ZZ$1, 0))</f>
        <v>#N/A</v>
      </c>
      <c r="C429" t="e">
        <f>INDEX(resultados!$A$2:$ZZ$2290, 423, MATCH($B$3, resultados!$A$1:$ZZ$1, 0))</f>
        <v>#N/A</v>
      </c>
    </row>
    <row r="430" spans="1:3" x14ac:dyDescent="0.3">
      <c r="A430" t="e">
        <f>INDEX(resultados!$A$2:$ZZ$2290, 424, MATCH($B$1, resultados!$A$1:$ZZ$1, 0))</f>
        <v>#N/A</v>
      </c>
      <c r="B430" t="e">
        <f>INDEX(resultados!$A$2:$ZZ$2290, 424, MATCH($B$2, resultados!$A$1:$ZZ$1, 0))</f>
        <v>#N/A</v>
      </c>
      <c r="C430" t="e">
        <f>INDEX(resultados!$A$2:$ZZ$2290, 424, MATCH($B$3, resultados!$A$1:$ZZ$1, 0))</f>
        <v>#N/A</v>
      </c>
    </row>
    <row r="431" spans="1:3" x14ac:dyDescent="0.3">
      <c r="A431" t="e">
        <f>INDEX(resultados!$A$2:$ZZ$2290, 425, MATCH($B$1, resultados!$A$1:$ZZ$1, 0))</f>
        <v>#N/A</v>
      </c>
      <c r="B431" t="e">
        <f>INDEX(resultados!$A$2:$ZZ$2290, 425, MATCH($B$2, resultados!$A$1:$ZZ$1, 0))</f>
        <v>#N/A</v>
      </c>
      <c r="C431" t="e">
        <f>INDEX(resultados!$A$2:$ZZ$2290, 425, MATCH($B$3, resultados!$A$1:$ZZ$1, 0))</f>
        <v>#N/A</v>
      </c>
    </row>
    <row r="432" spans="1:3" x14ac:dyDescent="0.3">
      <c r="A432" t="e">
        <f>INDEX(resultados!$A$2:$ZZ$2290, 426, MATCH($B$1, resultados!$A$1:$ZZ$1, 0))</f>
        <v>#N/A</v>
      </c>
      <c r="B432" t="e">
        <f>INDEX(resultados!$A$2:$ZZ$2290, 426, MATCH($B$2, resultados!$A$1:$ZZ$1, 0))</f>
        <v>#N/A</v>
      </c>
      <c r="C432" t="e">
        <f>INDEX(resultados!$A$2:$ZZ$2290, 426, MATCH($B$3, resultados!$A$1:$ZZ$1, 0))</f>
        <v>#N/A</v>
      </c>
    </row>
    <row r="433" spans="1:3" x14ac:dyDescent="0.3">
      <c r="A433" t="e">
        <f>INDEX(resultados!$A$2:$ZZ$2290, 427, MATCH($B$1, resultados!$A$1:$ZZ$1, 0))</f>
        <v>#N/A</v>
      </c>
      <c r="B433" t="e">
        <f>INDEX(resultados!$A$2:$ZZ$2290, 427, MATCH($B$2, resultados!$A$1:$ZZ$1, 0))</f>
        <v>#N/A</v>
      </c>
      <c r="C433" t="e">
        <f>INDEX(resultados!$A$2:$ZZ$2290, 427, MATCH($B$3, resultados!$A$1:$ZZ$1, 0))</f>
        <v>#N/A</v>
      </c>
    </row>
    <row r="434" spans="1:3" x14ac:dyDescent="0.3">
      <c r="A434" t="e">
        <f>INDEX(resultados!$A$2:$ZZ$2290, 428, MATCH($B$1, resultados!$A$1:$ZZ$1, 0))</f>
        <v>#N/A</v>
      </c>
      <c r="B434" t="e">
        <f>INDEX(resultados!$A$2:$ZZ$2290, 428, MATCH($B$2, resultados!$A$1:$ZZ$1, 0))</f>
        <v>#N/A</v>
      </c>
      <c r="C434" t="e">
        <f>INDEX(resultados!$A$2:$ZZ$2290, 428, MATCH($B$3, resultados!$A$1:$ZZ$1, 0))</f>
        <v>#N/A</v>
      </c>
    </row>
    <row r="435" spans="1:3" x14ac:dyDescent="0.3">
      <c r="A435" t="e">
        <f>INDEX(resultados!$A$2:$ZZ$2290, 429, MATCH($B$1, resultados!$A$1:$ZZ$1, 0))</f>
        <v>#N/A</v>
      </c>
      <c r="B435" t="e">
        <f>INDEX(resultados!$A$2:$ZZ$2290, 429, MATCH($B$2, resultados!$A$1:$ZZ$1, 0))</f>
        <v>#N/A</v>
      </c>
      <c r="C435" t="e">
        <f>INDEX(resultados!$A$2:$ZZ$2290, 429, MATCH($B$3, resultados!$A$1:$ZZ$1, 0))</f>
        <v>#N/A</v>
      </c>
    </row>
    <row r="436" spans="1:3" x14ac:dyDescent="0.3">
      <c r="A436" t="e">
        <f>INDEX(resultados!$A$2:$ZZ$2290, 430, MATCH($B$1, resultados!$A$1:$ZZ$1, 0))</f>
        <v>#N/A</v>
      </c>
      <c r="B436" t="e">
        <f>INDEX(resultados!$A$2:$ZZ$2290, 430, MATCH($B$2, resultados!$A$1:$ZZ$1, 0))</f>
        <v>#N/A</v>
      </c>
      <c r="C436" t="e">
        <f>INDEX(resultados!$A$2:$ZZ$2290, 430, MATCH($B$3, resultados!$A$1:$ZZ$1, 0))</f>
        <v>#N/A</v>
      </c>
    </row>
    <row r="437" spans="1:3" x14ac:dyDescent="0.3">
      <c r="A437" t="e">
        <f>INDEX(resultados!$A$2:$ZZ$2290, 431, MATCH($B$1, resultados!$A$1:$ZZ$1, 0))</f>
        <v>#N/A</v>
      </c>
      <c r="B437" t="e">
        <f>INDEX(resultados!$A$2:$ZZ$2290, 431, MATCH($B$2, resultados!$A$1:$ZZ$1, 0))</f>
        <v>#N/A</v>
      </c>
      <c r="C437" t="e">
        <f>INDEX(resultados!$A$2:$ZZ$2290, 431, MATCH($B$3, resultados!$A$1:$ZZ$1, 0))</f>
        <v>#N/A</v>
      </c>
    </row>
    <row r="438" spans="1:3" x14ac:dyDescent="0.3">
      <c r="A438" t="e">
        <f>INDEX(resultados!$A$2:$ZZ$2290, 432, MATCH($B$1, resultados!$A$1:$ZZ$1, 0))</f>
        <v>#N/A</v>
      </c>
      <c r="B438" t="e">
        <f>INDEX(resultados!$A$2:$ZZ$2290, 432, MATCH($B$2, resultados!$A$1:$ZZ$1, 0))</f>
        <v>#N/A</v>
      </c>
      <c r="C438" t="e">
        <f>INDEX(resultados!$A$2:$ZZ$2290, 432, MATCH($B$3, resultados!$A$1:$ZZ$1, 0))</f>
        <v>#N/A</v>
      </c>
    </row>
    <row r="439" spans="1:3" x14ac:dyDescent="0.3">
      <c r="A439" t="e">
        <f>INDEX(resultados!$A$2:$ZZ$2290, 433, MATCH($B$1, resultados!$A$1:$ZZ$1, 0))</f>
        <v>#N/A</v>
      </c>
      <c r="B439" t="e">
        <f>INDEX(resultados!$A$2:$ZZ$2290, 433, MATCH($B$2, resultados!$A$1:$ZZ$1, 0))</f>
        <v>#N/A</v>
      </c>
      <c r="C439" t="e">
        <f>INDEX(resultados!$A$2:$ZZ$2290, 433, MATCH($B$3, resultados!$A$1:$ZZ$1, 0))</f>
        <v>#N/A</v>
      </c>
    </row>
    <row r="440" spans="1:3" x14ac:dyDescent="0.3">
      <c r="A440" t="e">
        <f>INDEX(resultados!$A$2:$ZZ$2290, 434, MATCH($B$1, resultados!$A$1:$ZZ$1, 0))</f>
        <v>#N/A</v>
      </c>
      <c r="B440" t="e">
        <f>INDEX(resultados!$A$2:$ZZ$2290, 434, MATCH($B$2, resultados!$A$1:$ZZ$1, 0))</f>
        <v>#N/A</v>
      </c>
      <c r="C440" t="e">
        <f>INDEX(resultados!$A$2:$ZZ$2290, 434, MATCH($B$3, resultados!$A$1:$ZZ$1, 0))</f>
        <v>#N/A</v>
      </c>
    </row>
    <row r="441" spans="1:3" x14ac:dyDescent="0.3">
      <c r="A441" t="e">
        <f>INDEX(resultados!$A$2:$ZZ$2290, 435, MATCH($B$1, resultados!$A$1:$ZZ$1, 0))</f>
        <v>#N/A</v>
      </c>
      <c r="B441" t="e">
        <f>INDEX(resultados!$A$2:$ZZ$2290, 435, MATCH($B$2, resultados!$A$1:$ZZ$1, 0))</f>
        <v>#N/A</v>
      </c>
      <c r="C441" t="e">
        <f>INDEX(resultados!$A$2:$ZZ$2290, 435, MATCH($B$3, resultados!$A$1:$ZZ$1, 0))</f>
        <v>#N/A</v>
      </c>
    </row>
    <row r="442" spans="1:3" x14ac:dyDescent="0.3">
      <c r="A442" t="e">
        <f>INDEX(resultados!$A$2:$ZZ$2290, 436, MATCH($B$1, resultados!$A$1:$ZZ$1, 0))</f>
        <v>#N/A</v>
      </c>
      <c r="B442" t="e">
        <f>INDEX(resultados!$A$2:$ZZ$2290, 436, MATCH($B$2, resultados!$A$1:$ZZ$1, 0))</f>
        <v>#N/A</v>
      </c>
      <c r="C442" t="e">
        <f>INDEX(resultados!$A$2:$ZZ$2290, 436, MATCH($B$3, resultados!$A$1:$ZZ$1, 0))</f>
        <v>#N/A</v>
      </c>
    </row>
    <row r="443" spans="1:3" x14ac:dyDescent="0.3">
      <c r="A443" t="e">
        <f>INDEX(resultados!$A$2:$ZZ$2290, 437, MATCH($B$1, resultados!$A$1:$ZZ$1, 0))</f>
        <v>#N/A</v>
      </c>
      <c r="B443" t="e">
        <f>INDEX(resultados!$A$2:$ZZ$2290, 437, MATCH($B$2, resultados!$A$1:$ZZ$1, 0))</f>
        <v>#N/A</v>
      </c>
      <c r="C443" t="e">
        <f>INDEX(resultados!$A$2:$ZZ$2290, 437, MATCH($B$3, resultados!$A$1:$ZZ$1, 0))</f>
        <v>#N/A</v>
      </c>
    </row>
    <row r="444" spans="1:3" x14ac:dyDescent="0.3">
      <c r="A444" t="e">
        <f>INDEX(resultados!$A$2:$ZZ$2290, 438, MATCH($B$1, resultados!$A$1:$ZZ$1, 0))</f>
        <v>#N/A</v>
      </c>
      <c r="B444" t="e">
        <f>INDEX(resultados!$A$2:$ZZ$2290, 438, MATCH($B$2, resultados!$A$1:$ZZ$1, 0))</f>
        <v>#N/A</v>
      </c>
      <c r="C444" t="e">
        <f>INDEX(resultados!$A$2:$ZZ$2290, 438, MATCH($B$3, resultados!$A$1:$ZZ$1, 0))</f>
        <v>#N/A</v>
      </c>
    </row>
    <row r="445" spans="1:3" x14ac:dyDescent="0.3">
      <c r="A445" t="e">
        <f>INDEX(resultados!$A$2:$ZZ$2290, 439, MATCH($B$1, resultados!$A$1:$ZZ$1, 0))</f>
        <v>#N/A</v>
      </c>
      <c r="B445" t="e">
        <f>INDEX(resultados!$A$2:$ZZ$2290, 439, MATCH($B$2, resultados!$A$1:$ZZ$1, 0))</f>
        <v>#N/A</v>
      </c>
      <c r="C445" t="e">
        <f>INDEX(resultados!$A$2:$ZZ$2290, 439, MATCH($B$3, resultados!$A$1:$ZZ$1, 0))</f>
        <v>#N/A</v>
      </c>
    </row>
    <row r="446" spans="1:3" x14ac:dyDescent="0.3">
      <c r="A446" t="e">
        <f>INDEX(resultados!$A$2:$ZZ$2290, 440, MATCH($B$1, resultados!$A$1:$ZZ$1, 0))</f>
        <v>#N/A</v>
      </c>
      <c r="B446" t="e">
        <f>INDEX(resultados!$A$2:$ZZ$2290, 440, MATCH($B$2, resultados!$A$1:$ZZ$1, 0))</f>
        <v>#N/A</v>
      </c>
      <c r="C446" t="e">
        <f>INDEX(resultados!$A$2:$ZZ$2290, 440, MATCH($B$3, resultados!$A$1:$ZZ$1, 0))</f>
        <v>#N/A</v>
      </c>
    </row>
    <row r="447" spans="1:3" x14ac:dyDescent="0.3">
      <c r="A447" t="e">
        <f>INDEX(resultados!$A$2:$ZZ$2290, 441, MATCH($B$1, resultados!$A$1:$ZZ$1, 0))</f>
        <v>#N/A</v>
      </c>
      <c r="B447" t="e">
        <f>INDEX(resultados!$A$2:$ZZ$2290, 441, MATCH($B$2, resultados!$A$1:$ZZ$1, 0))</f>
        <v>#N/A</v>
      </c>
      <c r="C447" t="e">
        <f>INDEX(resultados!$A$2:$ZZ$2290, 441, MATCH($B$3, resultados!$A$1:$ZZ$1, 0))</f>
        <v>#N/A</v>
      </c>
    </row>
    <row r="448" spans="1:3" x14ac:dyDescent="0.3">
      <c r="A448" t="e">
        <f>INDEX(resultados!$A$2:$ZZ$2290, 442, MATCH($B$1, resultados!$A$1:$ZZ$1, 0))</f>
        <v>#N/A</v>
      </c>
      <c r="B448" t="e">
        <f>INDEX(resultados!$A$2:$ZZ$2290, 442, MATCH($B$2, resultados!$A$1:$ZZ$1, 0))</f>
        <v>#N/A</v>
      </c>
      <c r="C448" t="e">
        <f>INDEX(resultados!$A$2:$ZZ$2290, 442, MATCH($B$3, resultados!$A$1:$ZZ$1, 0))</f>
        <v>#N/A</v>
      </c>
    </row>
    <row r="449" spans="1:3" x14ac:dyDescent="0.3">
      <c r="A449" t="e">
        <f>INDEX(resultados!$A$2:$ZZ$2290, 443, MATCH($B$1, resultados!$A$1:$ZZ$1, 0))</f>
        <v>#N/A</v>
      </c>
      <c r="B449" t="e">
        <f>INDEX(resultados!$A$2:$ZZ$2290, 443, MATCH($B$2, resultados!$A$1:$ZZ$1, 0))</f>
        <v>#N/A</v>
      </c>
      <c r="C449" t="e">
        <f>INDEX(resultados!$A$2:$ZZ$2290, 443, MATCH($B$3, resultados!$A$1:$ZZ$1, 0))</f>
        <v>#N/A</v>
      </c>
    </row>
    <row r="450" spans="1:3" x14ac:dyDescent="0.3">
      <c r="A450" t="e">
        <f>INDEX(resultados!$A$2:$ZZ$2290, 444, MATCH($B$1, resultados!$A$1:$ZZ$1, 0))</f>
        <v>#N/A</v>
      </c>
      <c r="B450" t="e">
        <f>INDEX(resultados!$A$2:$ZZ$2290, 444, MATCH($B$2, resultados!$A$1:$ZZ$1, 0))</f>
        <v>#N/A</v>
      </c>
      <c r="C450" t="e">
        <f>INDEX(resultados!$A$2:$ZZ$2290, 444, MATCH($B$3, resultados!$A$1:$ZZ$1, 0))</f>
        <v>#N/A</v>
      </c>
    </row>
    <row r="451" spans="1:3" x14ac:dyDescent="0.3">
      <c r="A451" t="e">
        <f>INDEX(resultados!$A$2:$ZZ$2290, 445, MATCH($B$1, resultados!$A$1:$ZZ$1, 0))</f>
        <v>#N/A</v>
      </c>
      <c r="B451" t="e">
        <f>INDEX(resultados!$A$2:$ZZ$2290, 445, MATCH($B$2, resultados!$A$1:$ZZ$1, 0))</f>
        <v>#N/A</v>
      </c>
      <c r="C451" t="e">
        <f>INDEX(resultados!$A$2:$ZZ$2290, 445, MATCH($B$3, resultados!$A$1:$ZZ$1, 0))</f>
        <v>#N/A</v>
      </c>
    </row>
    <row r="452" spans="1:3" x14ac:dyDescent="0.3">
      <c r="A452" t="e">
        <f>INDEX(resultados!$A$2:$ZZ$2290, 446, MATCH($B$1, resultados!$A$1:$ZZ$1, 0))</f>
        <v>#N/A</v>
      </c>
      <c r="B452" t="e">
        <f>INDEX(resultados!$A$2:$ZZ$2290, 446, MATCH($B$2, resultados!$A$1:$ZZ$1, 0))</f>
        <v>#N/A</v>
      </c>
      <c r="C452" t="e">
        <f>INDEX(resultados!$A$2:$ZZ$2290, 446, MATCH($B$3, resultados!$A$1:$ZZ$1, 0))</f>
        <v>#N/A</v>
      </c>
    </row>
    <row r="453" spans="1:3" x14ac:dyDescent="0.3">
      <c r="A453" t="e">
        <f>INDEX(resultados!$A$2:$ZZ$2290, 447, MATCH($B$1, resultados!$A$1:$ZZ$1, 0))</f>
        <v>#N/A</v>
      </c>
      <c r="B453" t="e">
        <f>INDEX(resultados!$A$2:$ZZ$2290, 447, MATCH($B$2, resultados!$A$1:$ZZ$1, 0))</f>
        <v>#N/A</v>
      </c>
      <c r="C453" t="e">
        <f>INDEX(resultados!$A$2:$ZZ$2290, 447, MATCH($B$3, resultados!$A$1:$ZZ$1, 0))</f>
        <v>#N/A</v>
      </c>
    </row>
    <row r="454" spans="1:3" x14ac:dyDescent="0.3">
      <c r="A454" t="e">
        <f>INDEX(resultados!$A$2:$ZZ$2290, 448, MATCH($B$1, resultados!$A$1:$ZZ$1, 0))</f>
        <v>#N/A</v>
      </c>
      <c r="B454" t="e">
        <f>INDEX(resultados!$A$2:$ZZ$2290, 448, MATCH($B$2, resultados!$A$1:$ZZ$1, 0))</f>
        <v>#N/A</v>
      </c>
      <c r="C454" t="e">
        <f>INDEX(resultados!$A$2:$ZZ$2290, 448, MATCH($B$3, resultados!$A$1:$ZZ$1, 0))</f>
        <v>#N/A</v>
      </c>
    </row>
    <row r="455" spans="1:3" x14ac:dyDescent="0.3">
      <c r="A455" t="e">
        <f>INDEX(resultados!$A$2:$ZZ$2290, 449, MATCH($B$1, resultados!$A$1:$ZZ$1, 0))</f>
        <v>#N/A</v>
      </c>
      <c r="B455" t="e">
        <f>INDEX(resultados!$A$2:$ZZ$2290, 449, MATCH($B$2, resultados!$A$1:$ZZ$1, 0))</f>
        <v>#N/A</v>
      </c>
      <c r="C455" t="e">
        <f>INDEX(resultados!$A$2:$ZZ$2290, 449, MATCH($B$3, resultados!$A$1:$ZZ$1, 0))</f>
        <v>#N/A</v>
      </c>
    </row>
    <row r="456" spans="1:3" x14ac:dyDescent="0.3">
      <c r="A456" t="e">
        <f>INDEX(resultados!$A$2:$ZZ$2290, 450, MATCH($B$1, resultados!$A$1:$ZZ$1, 0))</f>
        <v>#N/A</v>
      </c>
      <c r="B456" t="e">
        <f>INDEX(resultados!$A$2:$ZZ$2290, 450, MATCH($B$2, resultados!$A$1:$ZZ$1, 0))</f>
        <v>#N/A</v>
      </c>
      <c r="C456" t="e">
        <f>INDEX(resultados!$A$2:$ZZ$2290, 450, MATCH($B$3, resultados!$A$1:$ZZ$1, 0))</f>
        <v>#N/A</v>
      </c>
    </row>
    <row r="457" spans="1:3" x14ac:dyDescent="0.3">
      <c r="A457" t="e">
        <f>INDEX(resultados!$A$2:$ZZ$2290, 451, MATCH($B$1, resultados!$A$1:$ZZ$1, 0))</f>
        <v>#N/A</v>
      </c>
      <c r="B457" t="e">
        <f>INDEX(resultados!$A$2:$ZZ$2290, 451, MATCH($B$2, resultados!$A$1:$ZZ$1, 0))</f>
        <v>#N/A</v>
      </c>
      <c r="C457" t="e">
        <f>INDEX(resultados!$A$2:$ZZ$2290, 451, MATCH($B$3, resultados!$A$1:$ZZ$1, 0))</f>
        <v>#N/A</v>
      </c>
    </row>
    <row r="458" spans="1:3" x14ac:dyDescent="0.3">
      <c r="A458" t="e">
        <f>INDEX(resultados!$A$2:$ZZ$2290, 452, MATCH($B$1, resultados!$A$1:$ZZ$1, 0))</f>
        <v>#N/A</v>
      </c>
      <c r="B458" t="e">
        <f>INDEX(resultados!$A$2:$ZZ$2290, 452, MATCH($B$2, resultados!$A$1:$ZZ$1, 0))</f>
        <v>#N/A</v>
      </c>
      <c r="C458" t="e">
        <f>INDEX(resultados!$A$2:$ZZ$2290, 452, MATCH($B$3, resultados!$A$1:$ZZ$1, 0))</f>
        <v>#N/A</v>
      </c>
    </row>
    <row r="459" spans="1:3" x14ac:dyDescent="0.3">
      <c r="A459" t="e">
        <f>INDEX(resultados!$A$2:$ZZ$2290, 453, MATCH($B$1, resultados!$A$1:$ZZ$1, 0))</f>
        <v>#N/A</v>
      </c>
      <c r="B459" t="e">
        <f>INDEX(resultados!$A$2:$ZZ$2290, 453, MATCH($B$2, resultados!$A$1:$ZZ$1, 0))</f>
        <v>#N/A</v>
      </c>
      <c r="C459" t="e">
        <f>INDEX(resultados!$A$2:$ZZ$2290, 453, MATCH($B$3, resultados!$A$1:$ZZ$1, 0))</f>
        <v>#N/A</v>
      </c>
    </row>
    <row r="460" spans="1:3" x14ac:dyDescent="0.3">
      <c r="A460" t="e">
        <f>INDEX(resultados!$A$2:$ZZ$2290, 454, MATCH($B$1, resultados!$A$1:$ZZ$1, 0))</f>
        <v>#N/A</v>
      </c>
      <c r="B460" t="e">
        <f>INDEX(resultados!$A$2:$ZZ$2290, 454, MATCH($B$2, resultados!$A$1:$ZZ$1, 0))</f>
        <v>#N/A</v>
      </c>
      <c r="C460" t="e">
        <f>INDEX(resultados!$A$2:$ZZ$2290, 454, MATCH($B$3, resultados!$A$1:$ZZ$1, 0))</f>
        <v>#N/A</v>
      </c>
    </row>
    <row r="461" spans="1:3" x14ac:dyDescent="0.3">
      <c r="A461" t="e">
        <f>INDEX(resultados!$A$2:$ZZ$2290, 455, MATCH($B$1, resultados!$A$1:$ZZ$1, 0))</f>
        <v>#N/A</v>
      </c>
      <c r="B461" t="e">
        <f>INDEX(resultados!$A$2:$ZZ$2290, 455, MATCH($B$2, resultados!$A$1:$ZZ$1, 0))</f>
        <v>#N/A</v>
      </c>
      <c r="C461" t="e">
        <f>INDEX(resultados!$A$2:$ZZ$2290, 455, MATCH($B$3, resultados!$A$1:$ZZ$1, 0))</f>
        <v>#N/A</v>
      </c>
    </row>
    <row r="462" spans="1:3" x14ac:dyDescent="0.3">
      <c r="A462" t="e">
        <f>INDEX(resultados!$A$2:$ZZ$2290, 456, MATCH($B$1, resultados!$A$1:$ZZ$1, 0))</f>
        <v>#N/A</v>
      </c>
      <c r="B462" t="e">
        <f>INDEX(resultados!$A$2:$ZZ$2290, 456, MATCH($B$2, resultados!$A$1:$ZZ$1, 0))</f>
        <v>#N/A</v>
      </c>
      <c r="C462" t="e">
        <f>INDEX(resultados!$A$2:$ZZ$2290, 456, MATCH($B$3, resultados!$A$1:$ZZ$1, 0))</f>
        <v>#N/A</v>
      </c>
    </row>
    <row r="463" spans="1:3" x14ac:dyDescent="0.3">
      <c r="A463" t="e">
        <f>INDEX(resultados!$A$2:$ZZ$2290, 457, MATCH($B$1, resultados!$A$1:$ZZ$1, 0))</f>
        <v>#N/A</v>
      </c>
      <c r="B463" t="e">
        <f>INDEX(resultados!$A$2:$ZZ$2290, 457, MATCH($B$2, resultados!$A$1:$ZZ$1, 0))</f>
        <v>#N/A</v>
      </c>
      <c r="C463" t="e">
        <f>INDEX(resultados!$A$2:$ZZ$2290, 457, MATCH($B$3, resultados!$A$1:$ZZ$1, 0))</f>
        <v>#N/A</v>
      </c>
    </row>
    <row r="464" spans="1:3" x14ac:dyDescent="0.3">
      <c r="A464" t="e">
        <f>INDEX(resultados!$A$2:$ZZ$2290, 458, MATCH($B$1, resultados!$A$1:$ZZ$1, 0))</f>
        <v>#N/A</v>
      </c>
      <c r="B464" t="e">
        <f>INDEX(resultados!$A$2:$ZZ$2290, 458, MATCH($B$2, resultados!$A$1:$ZZ$1, 0))</f>
        <v>#N/A</v>
      </c>
      <c r="C464" t="e">
        <f>INDEX(resultados!$A$2:$ZZ$2290, 458, MATCH($B$3, resultados!$A$1:$ZZ$1, 0))</f>
        <v>#N/A</v>
      </c>
    </row>
    <row r="465" spans="1:3" x14ac:dyDescent="0.3">
      <c r="A465" t="e">
        <f>INDEX(resultados!$A$2:$ZZ$2290, 459, MATCH($B$1, resultados!$A$1:$ZZ$1, 0))</f>
        <v>#N/A</v>
      </c>
      <c r="B465" t="e">
        <f>INDEX(resultados!$A$2:$ZZ$2290, 459, MATCH($B$2, resultados!$A$1:$ZZ$1, 0))</f>
        <v>#N/A</v>
      </c>
      <c r="C465" t="e">
        <f>INDEX(resultados!$A$2:$ZZ$2290, 459, MATCH($B$3, resultados!$A$1:$ZZ$1, 0))</f>
        <v>#N/A</v>
      </c>
    </row>
    <row r="466" spans="1:3" x14ac:dyDescent="0.3">
      <c r="A466" t="e">
        <f>INDEX(resultados!$A$2:$ZZ$2290, 460, MATCH($B$1, resultados!$A$1:$ZZ$1, 0))</f>
        <v>#N/A</v>
      </c>
      <c r="B466" t="e">
        <f>INDEX(resultados!$A$2:$ZZ$2290, 460, MATCH($B$2, resultados!$A$1:$ZZ$1, 0))</f>
        <v>#N/A</v>
      </c>
      <c r="C466" t="e">
        <f>INDEX(resultados!$A$2:$ZZ$2290, 460, MATCH($B$3, resultados!$A$1:$ZZ$1, 0))</f>
        <v>#N/A</v>
      </c>
    </row>
    <row r="467" spans="1:3" x14ac:dyDescent="0.3">
      <c r="A467" t="e">
        <f>INDEX(resultados!$A$2:$ZZ$2290, 461, MATCH($B$1, resultados!$A$1:$ZZ$1, 0))</f>
        <v>#N/A</v>
      </c>
      <c r="B467" t="e">
        <f>INDEX(resultados!$A$2:$ZZ$2290, 461, MATCH($B$2, resultados!$A$1:$ZZ$1, 0))</f>
        <v>#N/A</v>
      </c>
      <c r="C467" t="e">
        <f>INDEX(resultados!$A$2:$ZZ$2290, 461, MATCH($B$3, resultados!$A$1:$ZZ$1, 0))</f>
        <v>#N/A</v>
      </c>
    </row>
    <row r="468" spans="1:3" x14ac:dyDescent="0.3">
      <c r="A468" t="e">
        <f>INDEX(resultados!$A$2:$ZZ$2290, 462, MATCH($B$1, resultados!$A$1:$ZZ$1, 0))</f>
        <v>#N/A</v>
      </c>
      <c r="B468" t="e">
        <f>INDEX(resultados!$A$2:$ZZ$2290, 462, MATCH($B$2, resultados!$A$1:$ZZ$1, 0))</f>
        <v>#N/A</v>
      </c>
      <c r="C468" t="e">
        <f>INDEX(resultados!$A$2:$ZZ$2290, 462, MATCH($B$3, resultados!$A$1:$ZZ$1, 0))</f>
        <v>#N/A</v>
      </c>
    </row>
    <row r="469" spans="1:3" x14ac:dyDescent="0.3">
      <c r="A469" t="e">
        <f>INDEX(resultados!$A$2:$ZZ$2290, 463, MATCH($B$1, resultados!$A$1:$ZZ$1, 0))</f>
        <v>#N/A</v>
      </c>
      <c r="B469" t="e">
        <f>INDEX(resultados!$A$2:$ZZ$2290, 463, MATCH($B$2, resultados!$A$1:$ZZ$1, 0))</f>
        <v>#N/A</v>
      </c>
      <c r="C469" t="e">
        <f>INDEX(resultados!$A$2:$ZZ$2290, 463, MATCH($B$3, resultados!$A$1:$ZZ$1, 0))</f>
        <v>#N/A</v>
      </c>
    </row>
    <row r="470" spans="1:3" x14ac:dyDescent="0.3">
      <c r="A470" t="e">
        <f>INDEX(resultados!$A$2:$ZZ$2290, 464, MATCH($B$1, resultados!$A$1:$ZZ$1, 0))</f>
        <v>#N/A</v>
      </c>
      <c r="B470" t="e">
        <f>INDEX(resultados!$A$2:$ZZ$2290, 464, MATCH($B$2, resultados!$A$1:$ZZ$1, 0))</f>
        <v>#N/A</v>
      </c>
      <c r="C470" t="e">
        <f>INDEX(resultados!$A$2:$ZZ$2290, 464, MATCH($B$3, resultados!$A$1:$ZZ$1, 0))</f>
        <v>#N/A</v>
      </c>
    </row>
    <row r="471" spans="1:3" x14ac:dyDescent="0.3">
      <c r="A471" t="e">
        <f>INDEX(resultados!$A$2:$ZZ$2290, 465, MATCH($B$1, resultados!$A$1:$ZZ$1, 0))</f>
        <v>#N/A</v>
      </c>
      <c r="B471" t="e">
        <f>INDEX(resultados!$A$2:$ZZ$2290, 465, MATCH($B$2, resultados!$A$1:$ZZ$1, 0))</f>
        <v>#N/A</v>
      </c>
      <c r="C471" t="e">
        <f>INDEX(resultados!$A$2:$ZZ$2290, 465, MATCH($B$3, resultados!$A$1:$ZZ$1, 0))</f>
        <v>#N/A</v>
      </c>
    </row>
    <row r="472" spans="1:3" x14ac:dyDescent="0.3">
      <c r="A472" t="e">
        <f>INDEX(resultados!$A$2:$ZZ$2290, 466, MATCH($B$1, resultados!$A$1:$ZZ$1, 0))</f>
        <v>#N/A</v>
      </c>
      <c r="B472" t="e">
        <f>INDEX(resultados!$A$2:$ZZ$2290, 466, MATCH($B$2, resultados!$A$1:$ZZ$1, 0))</f>
        <v>#N/A</v>
      </c>
      <c r="C472" t="e">
        <f>INDEX(resultados!$A$2:$ZZ$2290, 466, MATCH($B$3, resultados!$A$1:$ZZ$1, 0))</f>
        <v>#N/A</v>
      </c>
    </row>
    <row r="473" spans="1:3" x14ac:dyDescent="0.3">
      <c r="A473" t="e">
        <f>INDEX(resultados!$A$2:$ZZ$2290, 467, MATCH($B$1, resultados!$A$1:$ZZ$1, 0))</f>
        <v>#N/A</v>
      </c>
      <c r="B473" t="e">
        <f>INDEX(resultados!$A$2:$ZZ$2290, 467, MATCH($B$2, resultados!$A$1:$ZZ$1, 0))</f>
        <v>#N/A</v>
      </c>
      <c r="C473" t="e">
        <f>INDEX(resultados!$A$2:$ZZ$2290, 467, MATCH($B$3, resultados!$A$1:$ZZ$1, 0))</f>
        <v>#N/A</v>
      </c>
    </row>
    <row r="474" spans="1:3" x14ac:dyDescent="0.3">
      <c r="A474" t="e">
        <f>INDEX(resultados!$A$2:$ZZ$2290, 468, MATCH($B$1, resultados!$A$1:$ZZ$1, 0))</f>
        <v>#N/A</v>
      </c>
      <c r="B474" t="e">
        <f>INDEX(resultados!$A$2:$ZZ$2290, 468, MATCH($B$2, resultados!$A$1:$ZZ$1, 0))</f>
        <v>#N/A</v>
      </c>
      <c r="C474" t="e">
        <f>INDEX(resultados!$A$2:$ZZ$2290, 468, MATCH($B$3, resultados!$A$1:$ZZ$1, 0))</f>
        <v>#N/A</v>
      </c>
    </row>
    <row r="475" spans="1:3" x14ac:dyDescent="0.3">
      <c r="A475" t="e">
        <f>INDEX(resultados!$A$2:$ZZ$2290, 469, MATCH($B$1, resultados!$A$1:$ZZ$1, 0))</f>
        <v>#N/A</v>
      </c>
      <c r="B475" t="e">
        <f>INDEX(resultados!$A$2:$ZZ$2290, 469, MATCH($B$2, resultados!$A$1:$ZZ$1, 0))</f>
        <v>#N/A</v>
      </c>
      <c r="C475" t="e">
        <f>INDEX(resultados!$A$2:$ZZ$2290, 469, MATCH($B$3, resultados!$A$1:$ZZ$1, 0))</f>
        <v>#N/A</v>
      </c>
    </row>
    <row r="476" spans="1:3" x14ac:dyDescent="0.3">
      <c r="A476" t="e">
        <f>INDEX(resultados!$A$2:$ZZ$2290, 470, MATCH($B$1, resultados!$A$1:$ZZ$1, 0))</f>
        <v>#N/A</v>
      </c>
      <c r="B476" t="e">
        <f>INDEX(resultados!$A$2:$ZZ$2290, 470, MATCH($B$2, resultados!$A$1:$ZZ$1, 0))</f>
        <v>#N/A</v>
      </c>
      <c r="C476" t="e">
        <f>INDEX(resultados!$A$2:$ZZ$2290, 470, MATCH($B$3, resultados!$A$1:$ZZ$1, 0))</f>
        <v>#N/A</v>
      </c>
    </row>
    <row r="477" spans="1:3" x14ac:dyDescent="0.3">
      <c r="A477" t="e">
        <f>INDEX(resultados!$A$2:$ZZ$2290, 471, MATCH($B$1, resultados!$A$1:$ZZ$1, 0))</f>
        <v>#N/A</v>
      </c>
      <c r="B477" t="e">
        <f>INDEX(resultados!$A$2:$ZZ$2290, 471, MATCH($B$2, resultados!$A$1:$ZZ$1, 0))</f>
        <v>#N/A</v>
      </c>
      <c r="C477" t="e">
        <f>INDEX(resultados!$A$2:$ZZ$2290, 471, MATCH($B$3, resultados!$A$1:$ZZ$1, 0))</f>
        <v>#N/A</v>
      </c>
    </row>
    <row r="478" spans="1:3" x14ac:dyDescent="0.3">
      <c r="A478" t="e">
        <f>INDEX(resultados!$A$2:$ZZ$2290, 472, MATCH($B$1, resultados!$A$1:$ZZ$1, 0))</f>
        <v>#N/A</v>
      </c>
      <c r="B478" t="e">
        <f>INDEX(resultados!$A$2:$ZZ$2290, 472, MATCH($B$2, resultados!$A$1:$ZZ$1, 0))</f>
        <v>#N/A</v>
      </c>
      <c r="C478" t="e">
        <f>INDEX(resultados!$A$2:$ZZ$2290, 472, MATCH($B$3, resultados!$A$1:$ZZ$1, 0))</f>
        <v>#N/A</v>
      </c>
    </row>
    <row r="479" spans="1:3" x14ac:dyDescent="0.3">
      <c r="A479" t="e">
        <f>INDEX(resultados!$A$2:$ZZ$2290, 473, MATCH($B$1, resultados!$A$1:$ZZ$1, 0))</f>
        <v>#N/A</v>
      </c>
      <c r="B479" t="e">
        <f>INDEX(resultados!$A$2:$ZZ$2290, 473, MATCH($B$2, resultados!$A$1:$ZZ$1, 0))</f>
        <v>#N/A</v>
      </c>
      <c r="C479" t="e">
        <f>INDEX(resultados!$A$2:$ZZ$2290, 473, MATCH($B$3, resultados!$A$1:$ZZ$1, 0))</f>
        <v>#N/A</v>
      </c>
    </row>
    <row r="480" spans="1:3" x14ac:dyDescent="0.3">
      <c r="A480" t="e">
        <f>INDEX(resultados!$A$2:$ZZ$2290, 474, MATCH($B$1, resultados!$A$1:$ZZ$1, 0))</f>
        <v>#N/A</v>
      </c>
      <c r="B480" t="e">
        <f>INDEX(resultados!$A$2:$ZZ$2290, 474, MATCH($B$2, resultados!$A$1:$ZZ$1, 0))</f>
        <v>#N/A</v>
      </c>
      <c r="C480" t="e">
        <f>INDEX(resultados!$A$2:$ZZ$2290, 474, MATCH($B$3, resultados!$A$1:$ZZ$1, 0))</f>
        <v>#N/A</v>
      </c>
    </row>
    <row r="481" spans="1:3" x14ac:dyDescent="0.3">
      <c r="A481" t="e">
        <f>INDEX(resultados!$A$2:$ZZ$2290, 475, MATCH($B$1, resultados!$A$1:$ZZ$1, 0))</f>
        <v>#N/A</v>
      </c>
      <c r="B481" t="e">
        <f>INDEX(resultados!$A$2:$ZZ$2290, 475, MATCH($B$2, resultados!$A$1:$ZZ$1, 0))</f>
        <v>#N/A</v>
      </c>
      <c r="C481" t="e">
        <f>INDEX(resultados!$A$2:$ZZ$2290, 475, MATCH($B$3, resultados!$A$1:$ZZ$1, 0))</f>
        <v>#N/A</v>
      </c>
    </row>
    <row r="482" spans="1:3" x14ac:dyDescent="0.3">
      <c r="A482" t="e">
        <f>INDEX(resultados!$A$2:$ZZ$2290, 476, MATCH($B$1, resultados!$A$1:$ZZ$1, 0))</f>
        <v>#N/A</v>
      </c>
      <c r="B482" t="e">
        <f>INDEX(resultados!$A$2:$ZZ$2290, 476, MATCH($B$2, resultados!$A$1:$ZZ$1, 0))</f>
        <v>#N/A</v>
      </c>
      <c r="C482" t="e">
        <f>INDEX(resultados!$A$2:$ZZ$2290, 476, MATCH($B$3, resultados!$A$1:$ZZ$1, 0))</f>
        <v>#N/A</v>
      </c>
    </row>
    <row r="483" spans="1:3" x14ac:dyDescent="0.3">
      <c r="A483" t="e">
        <f>INDEX(resultados!$A$2:$ZZ$2290, 477, MATCH($B$1, resultados!$A$1:$ZZ$1, 0))</f>
        <v>#N/A</v>
      </c>
      <c r="B483" t="e">
        <f>INDEX(resultados!$A$2:$ZZ$2290, 477, MATCH($B$2, resultados!$A$1:$ZZ$1, 0))</f>
        <v>#N/A</v>
      </c>
      <c r="C483" t="e">
        <f>INDEX(resultados!$A$2:$ZZ$2290, 477, MATCH($B$3, resultados!$A$1:$ZZ$1, 0))</f>
        <v>#N/A</v>
      </c>
    </row>
    <row r="484" spans="1:3" x14ac:dyDescent="0.3">
      <c r="A484" t="e">
        <f>INDEX(resultados!$A$2:$ZZ$2290, 478, MATCH($B$1, resultados!$A$1:$ZZ$1, 0))</f>
        <v>#N/A</v>
      </c>
      <c r="B484" t="e">
        <f>INDEX(resultados!$A$2:$ZZ$2290, 478, MATCH($B$2, resultados!$A$1:$ZZ$1, 0))</f>
        <v>#N/A</v>
      </c>
      <c r="C484" t="e">
        <f>INDEX(resultados!$A$2:$ZZ$2290, 478, MATCH($B$3, resultados!$A$1:$ZZ$1, 0))</f>
        <v>#N/A</v>
      </c>
    </row>
    <row r="485" spans="1:3" x14ac:dyDescent="0.3">
      <c r="A485" t="e">
        <f>INDEX(resultados!$A$2:$ZZ$2290, 479, MATCH($B$1, resultados!$A$1:$ZZ$1, 0))</f>
        <v>#N/A</v>
      </c>
      <c r="B485" t="e">
        <f>INDEX(resultados!$A$2:$ZZ$2290, 479, MATCH($B$2, resultados!$A$1:$ZZ$1, 0))</f>
        <v>#N/A</v>
      </c>
      <c r="C485" t="e">
        <f>INDEX(resultados!$A$2:$ZZ$2290, 479, MATCH($B$3, resultados!$A$1:$ZZ$1, 0))</f>
        <v>#N/A</v>
      </c>
    </row>
    <row r="486" spans="1:3" x14ac:dyDescent="0.3">
      <c r="A486" t="e">
        <f>INDEX(resultados!$A$2:$ZZ$2290, 480, MATCH($B$1, resultados!$A$1:$ZZ$1, 0))</f>
        <v>#N/A</v>
      </c>
      <c r="B486" t="e">
        <f>INDEX(resultados!$A$2:$ZZ$2290, 480, MATCH($B$2, resultados!$A$1:$ZZ$1, 0))</f>
        <v>#N/A</v>
      </c>
      <c r="C486" t="e">
        <f>INDEX(resultados!$A$2:$ZZ$2290, 480, MATCH($B$3, resultados!$A$1:$ZZ$1, 0))</f>
        <v>#N/A</v>
      </c>
    </row>
    <row r="487" spans="1:3" x14ac:dyDescent="0.3">
      <c r="A487" t="e">
        <f>INDEX(resultados!$A$2:$ZZ$2290, 481, MATCH($B$1, resultados!$A$1:$ZZ$1, 0))</f>
        <v>#N/A</v>
      </c>
      <c r="B487" t="e">
        <f>INDEX(resultados!$A$2:$ZZ$2290, 481, MATCH($B$2, resultados!$A$1:$ZZ$1, 0))</f>
        <v>#N/A</v>
      </c>
      <c r="C487" t="e">
        <f>INDEX(resultados!$A$2:$ZZ$2290, 481, MATCH($B$3, resultados!$A$1:$ZZ$1, 0))</f>
        <v>#N/A</v>
      </c>
    </row>
    <row r="488" spans="1:3" x14ac:dyDescent="0.3">
      <c r="A488" t="e">
        <f>INDEX(resultados!$A$2:$ZZ$2290, 482, MATCH($B$1, resultados!$A$1:$ZZ$1, 0))</f>
        <v>#N/A</v>
      </c>
      <c r="B488" t="e">
        <f>INDEX(resultados!$A$2:$ZZ$2290, 482, MATCH($B$2, resultados!$A$1:$ZZ$1, 0))</f>
        <v>#N/A</v>
      </c>
      <c r="C488" t="e">
        <f>INDEX(resultados!$A$2:$ZZ$2290, 482, MATCH($B$3, resultados!$A$1:$ZZ$1, 0))</f>
        <v>#N/A</v>
      </c>
    </row>
    <row r="489" spans="1:3" x14ac:dyDescent="0.3">
      <c r="A489" t="e">
        <f>INDEX(resultados!$A$2:$ZZ$2290, 483, MATCH($B$1, resultados!$A$1:$ZZ$1, 0))</f>
        <v>#N/A</v>
      </c>
      <c r="B489" t="e">
        <f>INDEX(resultados!$A$2:$ZZ$2290, 483, MATCH($B$2, resultados!$A$1:$ZZ$1, 0))</f>
        <v>#N/A</v>
      </c>
      <c r="C489" t="e">
        <f>INDEX(resultados!$A$2:$ZZ$2290, 483, MATCH($B$3, resultados!$A$1:$ZZ$1, 0))</f>
        <v>#N/A</v>
      </c>
    </row>
    <row r="490" spans="1:3" x14ac:dyDescent="0.3">
      <c r="A490" t="e">
        <f>INDEX(resultados!$A$2:$ZZ$2290, 484, MATCH($B$1, resultados!$A$1:$ZZ$1, 0))</f>
        <v>#N/A</v>
      </c>
      <c r="B490" t="e">
        <f>INDEX(resultados!$A$2:$ZZ$2290, 484, MATCH($B$2, resultados!$A$1:$ZZ$1, 0))</f>
        <v>#N/A</v>
      </c>
      <c r="C490" t="e">
        <f>INDEX(resultados!$A$2:$ZZ$2290, 484, MATCH($B$3, resultados!$A$1:$ZZ$1, 0))</f>
        <v>#N/A</v>
      </c>
    </row>
    <row r="491" spans="1:3" x14ac:dyDescent="0.3">
      <c r="A491" t="e">
        <f>INDEX(resultados!$A$2:$ZZ$2290, 485, MATCH($B$1, resultados!$A$1:$ZZ$1, 0))</f>
        <v>#N/A</v>
      </c>
      <c r="B491" t="e">
        <f>INDEX(resultados!$A$2:$ZZ$2290, 485, MATCH($B$2, resultados!$A$1:$ZZ$1, 0))</f>
        <v>#N/A</v>
      </c>
      <c r="C491" t="e">
        <f>INDEX(resultados!$A$2:$ZZ$2290, 485, MATCH($B$3, resultados!$A$1:$ZZ$1, 0))</f>
        <v>#N/A</v>
      </c>
    </row>
    <row r="492" spans="1:3" x14ac:dyDescent="0.3">
      <c r="A492" t="e">
        <f>INDEX(resultados!$A$2:$ZZ$2290, 486, MATCH($B$1, resultados!$A$1:$ZZ$1, 0))</f>
        <v>#N/A</v>
      </c>
      <c r="B492" t="e">
        <f>INDEX(resultados!$A$2:$ZZ$2290, 486, MATCH($B$2, resultados!$A$1:$ZZ$1, 0))</f>
        <v>#N/A</v>
      </c>
      <c r="C492" t="e">
        <f>INDEX(resultados!$A$2:$ZZ$2290, 486, MATCH($B$3, resultados!$A$1:$ZZ$1, 0))</f>
        <v>#N/A</v>
      </c>
    </row>
    <row r="493" spans="1:3" x14ac:dyDescent="0.3">
      <c r="A493" t="e">
        <f>INDEX(resultados!$A$2:$ZZ$2290, 487, MATCH($B$1, resultados!$A$1:$ZZ$1, 0))</f>
        <v>#N/A</v>
      </c>
      <c r="B493" t="e">
        <f>INDEX(resultados!$A$2:$ZZ$2290, 487, MATCH($B$2, resultados!$A$1:$ZZ$1, 0))</f>
        <v>#N/A</v>
      </c>
      <c r="C493" t="e">
        <f>INDEX(resultados!$A$2:$ZZ$2290, 487, MATCH($B$3, resultados!$A$1:$ZZ$1, 0))</f>
        <v>#N/A</v>
      </c>
    </row>
    <row r="494" spans="1:3" x14ac:dyDescent="0.3">
      <c r="A494" t="e">
        <f>INDEX(resultados!$A$2:$ZZ$2290, 488, MATCH($B$1, resultados!$A$1:$ZZ$1, 0))</f>
        <v>#N/A</v>
      </c>
      <c r="B494" t="e">
        <f>INDEX(resultados!$A$2:$ZZ$2290, 488, MATCH($B$2, resultados!$A$1:$ZZ$1, 0))</f>
        <v>#N/A</v>
      </c>
      <c r="C494" t="e">
        <f>INDEX(resultados!$A$2:$ZZ$2290, 488, MATCH($B$3, resultados!$A$1:$ZZ$1, 0))</f>
        <v>#N/A</v>
      </c>
    </row>
    <row r="495" spans="1:3" x14ac:dyDescent="0.3">
      <c r="A495" t="e">
        <f>INDEX(resultados!$A$2:$ZZ$2290, 489, MATCH($B$1, resultados!$A$1:$ZZ$1, 0))</f>
        <v>#N/A</v>
      </c>
      <c r="B495" t="e">
        <f>INDEX(resultados!$A$2:$ZZ$2290, 489, MATCH($B$2, resultados!$A$1:$ZZ$1, 0))</f>
        <v>#N/A</v>
      </c>
      <c r="C495" t="e">
        <f>INDEX(resultados!$A$2:$ZZ$2290, 489, MATCH($B$3, resultados!$A$1:$ZZ$1, 0))</f>
        <v>#N/A</v>
      </c>
    </row>
    <row r="496" spans="1:3" x14ac:dyDescent="0.3">
      <c r="A496" t="e">
        <f>INDEX(resultados!$A$2:$ZZ$2290, 490, MATCH($B$1, resultados!$A$1:$ZZ$1, 0))</f>
        <v>#N/A</v>
      </c>
      <c r="B496" t="e">
        <f>INDEX(resultados!$A$2:$ZZ$2290, 490, MATCH($B$2, resultados!$A$1:$ZZ$1, 0))</f>
        <v>#N/A</v>
      </c>
      <c r="C496" t="e">
        <f>INDEX(resultados!$A$2:$ZZ$2290, 490, MATCH($B$3, resultados!$A$1:$ZZ$1, 0))</f>
        <v>#N/A</v>
      </c>
    </row>
    <row r="497" spans="1:3" x14ac:dyDescent="0.3">
      <c r="A497" t="e">
        <f>INDEX(resultados!$A$2:$ZZ$2290, 491, MATCH($B$1, resultados!$A$1:$ZZ$1, 0))</f>
        <v>#N/A</v>
      </c>
      <c r="B497" t="e">
        <f>INDEX(resultados!$A$2:$ZZ$2290, 491, MATCH($B$2, resultados!$A$1:$ZZ$1, 0))</f>
        <v>#N/A</v>
      </c>
      <c r="C497" t="e">
        <f>INDEX(resultados!$A$2:$ZZ$2290, 491, MATCH($B$3, resultados!$A$1:$ZZ$1, 0))</f>
        <v>#N/A</v>
      </c>
    </row>
    <row r="498" spans="1:3" x14ac:dyDescent="0.3">
      <c r="A498" t="e">
        <f>INDEX(resultados!$A$2:$ZZ$2290, 492, MATCH($B$1, resultados!$A$1:$ZZ$1, 0))</f>
        <v>#N/A</v>
      </c>
      <c r="B498" t="e">
        <f>INDEX(resultados!$A$2:$ZZ$2290, 492, MATCH($B$2, resultados!$A$1:$ZZ$1, 0))</f>
        <v>#N/A</v>
      </c>
      <c r="C498" t="e">
        <f>INDEX(resultados!$A$2:$ZZ$2290, 492, MATCH($B$3, resultados!$A$1:$ZZ$1, 0))</f>
        <v>#N/A</v>
      </c>
    </row>
    <row r="499" spans="1:3" x14ac:dyDescent="0.3">
      <c r="A499" t="e">
        <f>INDEX(resultados!$A$2:$ZZ$2290, 493, MATCH($B$1, resultados!$A$1:$ZZ$1, 0))</f>
        <v>#N/A</v>
      </c>
      <c r="B499" t="e">
        <f>INDEX(resultados!$A$2:$ZZ$2290, 493, MATCH($B$2, resultados!$A$1:$ZZ$1, 0))</f>
        <v>#N/A</v>
      </c>
      <c r="C499" t="e">
        <f>INDEX(resultados!$A$2:$ZZ$2290, 493, MATCH($B$3, resultados!$A$1:$ZZ$1, 0))</f>
        <v>#N/A</v>
      </c>
    </row>
    <row r="500" spans="1:3" x14ac:dyDescent="0.3">
      <c r="A500" t="e">
        <f>INDEX(resultados!$A$2:$ZZ$2290, 494, MATCH($B$1, resultados!$A$1:$ZZ$1, 0))</f>
        <v>#N/A</v>
      </c>
      <c r="B500" t="e">
        <f>INDEX(resultados!$A$2:$ZZ$2290, 494, MATCH($B$2, resultados!$A$1:$ZZ$1, 0))</f>
        <v>#N/A</v>
      </c>
      <c r="C500" t="e">
        <f>INDEX(resultados!$A$2:$ZZ$2290, 494, MATCH($B$3, resultados!$A$1:$ZZ$1, 0))</f>
        <v>#N/A</v>
      </c>
    </row>
    <row r="501" spans="1:3" x14ac:dyDescent="0.3">
      <c r="A501" t="e">
        <f>INDEX(resultados!$A$2:$ZZ$2290, 495, MATCH($B$1, resultados!$A$1:$ZZ$1, 0))</f>
        <v>#N/A</v>
      </c>
      <c r="B501" t="e">
        <f>INDEX(resultados!$A$2:$ZZ$2290, 495, MATCH($B$2, resultados!$A$1:$ZZ$1, 0))</f>
        <v>#N/A</v>
      </c>
      <c r="C501" t="e">
        <f>INDEX(resultados!$A$2:$ZZ$2290, 495, MATCH($B$3, resultados!$A$1:$ZZ$1, 0))</f>
        <v>#N/A</v>
      </c>
    </row>
    <row r="502" spans="1:3" x14ac:dyDescent="0.3">
      <c r="A502" t="e">
        <f>INDEX(resultados!$A$2:$ZZ$2290, 496, MATCH($B$1, resultados!$A$1:$ZZ$1, 0))</f>
        <v>#N/A</v>
      </c>
      <c r="B502" t="e">
        <f>INDEX(resultados!$A$2:$ZZ$2290, 496, MATCH($B$2, resultados!$A$1:$ZZ$1, 0))</f>
        <v>#N/A</v>
      </c>
      <c r="C502" t="e">
        <f>INDEX(resultados!$A$2:$ZZ$2290, 496, MATCH($B$3, resultados!$A$1:$ZZ$1, 0))</f>
        <v>#N/A</v>
      </c>
    </row>
    <row r="503" spans="1:3" x14ac:dyDescent="0.3">
      <c r="A503" t="e">
        <f>INDEX(resultados!$A$2:$ZZ$2290, 497, MATCH($B$1, resultados!$A$1:$ZZ$1, 0))</f>
        <v>#N/A</v>
      </c>
      <c r="B503" t="e">
        <f>INDEX(resultados!$A$2:$ZZ$2290, 497, MATCH($B$2, resultados!$A$1:$ZZ$1, 0))</f>
        <v>#N/A</v>
      </c>
      <c r="C503" t="e">
        <f>INDEX(resultados!$A$2:$ZZ$2290, 497, MATCH($B$3, resultados!$A$1:$ZZ$1, 0))</f>
        <v>#N/A</v>
      </c>
    </row>
    <row r="504" spans="1:3" x14ac:dyDescent="0.3">
      <c r="A504" t="e">
        <f>INDEX(resultados!$A$2:$ZZ$2290, 498, MATCH($B$1, resultados!$A$1:$ZZ$1, 0))</f>
        <v>#N/A</v>
      </c>
      <c r="B504" t="e">
        <f>INDEX(resultados!$A$2:$ZZ$2290, 498, MATCH($B$2, resultados!$A$1:$ZZ$1, 0))</f>
        <v>#N/A</v>
      </c>
      <c r="C504" t="e">
        <f>INDEX(resultados!$A$2:$ZZ$2290, 498, MATCH($B$3, resultados!$A$1:$ZZ$1, 0))</f>
        <v>#N/A</v>
      </c>
    </row>
    <row r="505" spans="1:3" x14ac:dyDescent="0.3">
      <c r="A505" t="e">
        <f>INDEX(resultados!$A$2:$ZZ$2290, 499, MATCH($B$1, resultados!$A$1:$ZZ$1, 0))</f>
        <v>#N/A</v>
      </c>
      <c r="B505" t="e">
        <f>INDEX(resultados!$A$2:$ZZ$2290, 499, MATCH($B$2, resultados!$A$1:$ZZ$1, 0))</f>
        <v>#N/A</v>
      </c>
      <c r="C505" t="e">
        <f>INDEX(resultados!$A$2:$ZZ$2290, 499, MATCH($B$3, resultados!$A$1:$ZZ$1, 0))</f>
        <v>#N/A</v>
      </c>
    </row>
    <row r="506" spans="1:3" x14ac:dyDescent="0.3">
      <c r="A506" t="e">
        <f>INDEX(resultados!$A$2:$ZZ$2290, 500, MATCH($B$1, resultados!$A$1:$ZZ$1, 0))</f>
        <v>#N/A</v>
      </c>
      <c r="B506" t="e">
        <f>INDEX(resultados!$A$2:$ZZ$2290, 500, MATCH($B$2, resultados!$A$1:$ZZ$1, 0))</f>
        <v>#N/A</v>
      </c>
      <c r="C506" t="e">
        <f>INDEX(resultados!$A$2:$ZZ$2290, 500, MATCH($B$3, resultados!$A$1:$ZZ$1, 0))</f>
        <v>#N/A</v>
      </c>
    </row>
    <row r="507" spans="1:3" x14ac:dyDescent="0.3">
      <c r="A507" t="e">
        <f>INDEX(resultados!$A$2:$ZZ$2290, 501, MATCH($B$1, resultados!$A$1:$ZZ$1, 0))</f>
        <v>#N/A</v>
      </c>
      <c r="B507" t="e">
        <f>INDEX(resultados!$A$2:$ZZ$2290, 501, MATCH($B$2, resultados!$A$1:$ZZ$1, 0))</f>
        <v>#N/A</v>
      </c>
      <c r="C507" t="e">
        <f>INDEX(resultados!$A$2:$ZZ$2290, 501, MATCH($B$3, resultados!$A$1:$ZZ$1, 0))</f>
        <v>#N/A</v>
      </c>
    </row>
    <row r="508" spans="1:3" x14ac:dyDescent="0.3">
      <c r="A508" t="e">
        <f>INDEX(resultados!$A$2:$ZZ$2290, 502, MATCH($B$1, resultados!$A$1:$ZZ$1, 0))</f>
        <v>#N/A</v>
      </c>
      <c r="B508" t="e">
        <f>INDEX(resultados!$A$2:$ZZ$2290, 502, MATCH($B$2, resultados!$A$1:$ZZ$1, 0))</f>
        <v>#N/A</v>
      </c>
      <c r="C508" t="e">
        <f>INDEX(resultados!$A$2:$ZZ$2290, 502, MATCH($B$3, resultados!$A$1:$ZZ$1, 0))</f>
        <v>#N/A</v>
      </c>
    </row>
    <row r="509" spans="1:3" x14ac:dyDescent="0.3">
      <c r="A509" t="e">
        <f>INDEX(resultados!$A$2:$ZZ$2290, 503, MATCH($B$1, resultados!$A$1:$ZZ$1, 0))</f>
        <v>#N/A</v>
      </c>
      <c r="B509" t="e">
        <f>INDEX(resultados!$A$2:$ZZ$2290, 503, MATCH($B$2, resultados!$A$1:$ZZ$1, 0))</f>
        <v>#N/A</v>
      </c>
      <c r="C509" t="e">
        <f>INDEX(resultados!$A$2:$ZZ$2290, 503, MATCH($B$3, resultados!$A$1:$ZZ$1, 0))</f>
        <v>#N/A</v>
      </c>
    </row>
    <row r="510" spans="1:3" x14ac:dyDescent="0.3">
      <c r="A510" t="e">
        <f>INDEX(resultados!$A$2:$ZZ$2290, 504, MATCH($B$1, resultados!$A$1:$ZZ$1, 0))</f>
        <v>#N/A</v>
      </c>
      <c r="B510" t="e">
        <f>INDEX(resultados!$A$2:$ZZ$2290, 504, MATCH($B$2, resultados!$A$1:$ZZ$1, 0))</f>
        <v>#N/A</v>
      </c>
      <c r="C510" t="e">
        <f>INDEX(resultados!$A$2:$ZZ$2290, 504, MATCH($B$3, resultados!$A$1:$ZZ$1, 0))</f>
        <v>#N/A</v>
      </c>
    </row>
    <row r="511" spans="1:3" x14ac:dyDescent="0.3">
      <c r="A511" t="e">
        <f>INDEX(resultados!$A$2:$ZZ$2290, 505, MATCH($B$1, resultados!$A$1:$ZZ$1, 0))</f>
        <v>#N/A</v>
      </c>
      <c r="B511" t="e">
        <f>INDEX(resultados!$A$2:$ZZ$2290, 505, MATCH($B$2, resultados!$A$1:$ZZ$1, 0))</f>
        <v>#N/A</v>
      </c>
      <c r="C511" t="e">
        <f>INDEX(resultados!$A$2:$ZZ$2290, 505, MATCH($B$3, resultados!$A$1:$ZZ$1, 0))</f>
        <v>#N/A</v>
      </c>
    </row>
    <row r="512" spans="1:3" x14ac:dyDescent="0.3">
      <c r="A512" t="e">
        <f>INDEX(resultados!$A$2:$ZZ$2290, 506, MATCH($B$1, resultados!$A$1:$ZZ$1, 0))</f>
        <v>#N/A</v>
      </c>
      <c r="B512" t="e">
        <f>INDEX(resultados!$A$2:$ZZ$2290, 506, MATCH($B$2, resultados!$A$1:$ZZ$1, 0))</f>
        <v>#N/A</v>
      </c>
      <c r="C512" t="e">
        <f>INDEX(resultados!$A$2:$ZZ$2290, 506, MATCH($B$3, resultados!$A$1:$ZZ$1, 0))</f>
        <v>#N/A</v>
      </c>
    </row>
    <row r="513" spans="1:3" x14ac:dyDescent="0.3">
      <c r="A513" t="e">
        <f>INDEX(resultados!$A$2:$ZZ$2290, 507, MATCH($B$1, resultados!$A$1:$ZZ$1, 0))</f>
        <v>#N/A</v>
      </c>
      <c r="B513" t="e">
        <f>INDEX(resultados!$A$2:$ZZ$2290, 507, MATCH($B$2, resultados!$A$1:$ZZ$1, 0))</f>
        <v>#N/A</v>
      </c>
      <c r="C513" t="e">
        <f>INDEX(resultados!$A$2:$ZZ$2290, 507, MATCH($B$3, resultados!$A$1:$ZZ$1, 0))</f>
        <v>#N/A</v>
      </c>
    </row>
    <row r="514" spans="1:3" x14ac:dyDescent="0.3">
      <c r="A514" t="e">
        <f>INDEX(resultados!$A$2:$ZZ$2290, 508, MATCH($B$1, resultados!$A$1:$ZZ$1, 0))</f>
        <v>#N/A</v>
      </c>
      <c r="B514" t="e">
        <f>INDEX(resultados!$A$2:$ZZ$2290, 508, MATCH($B$2, resultados!$A$1:$ZZ$1, 0))</f>
        <v>#N/A</v>
      </c>
      <c r="C514" t="e">
        <f>INDEX(resultados!$A$2:$ZZ$2290, 508, MATCH($B$3, resultados!$A$1:$ZZ$1, 0))</f>
        <v>#N/A</v>
      </c>
    </row>
    <row r="515" spans="1:3" x14ac:dyDescent="0.3">
      <c r="A515" t="e">
        <f>INDEX(resultados!$A$2:$ZZ$2290, 509, MATCH($B$1, resultados!$A$1:$ZZ$1, 0))</f>
        <v>#N/A</v>
      </c>
      <c r="B515" t="e">
        <f>INDEX(resultados!$A$2:$ZZ$2290, 509, MATCH($B$2, resultados!$A$1:$ZZ$1, 0))</f>
        <v>#N/A</v>
      </c>
      <c r="C515" t="e">
        <f>INDEX(resultados!$A$2:$ZZ$2290, 509, MATCH($B$3, resultados!$A$1:$ZZ$1, 0))</f>
        <v>#N/A</v>
      </c>
    </row>
    <row r="516" spans="1:3" x14ac:dyDescent="0.3">
      <c r="A516" t="e">
        <f>INDEX(resultados!$A$2:$ZZ$2290, 510, MATCH($B$1, resultados!$A$1:$ZZ$1, 0))</f>
        <v>#N/A</v>
      </c>
      <c r="B516" t="e">
        <f>INDEX(resultados!$A$2:$ZZ$2290, 510, MATCH($B$2, resultados!$A$1:$ZZ$1, 0))</f>
        <v>#N/A</v>
      </c>
      <c r="C516" t="e">
        <f>INDEX(resultados!$A$2:$ZZ$2290, 510, MATCH($B$3, resultados!$A$1:$ZZ$1, 0))</f>
        <v>#N/A</v>
      </c>
    </row>
    <row r="517" spans="1:3" x14ac:dyDescent="0.3">
      <c r="A517" t="e">
        <f>INDEX(resultados!$A$2:$ZZ$2290, 511, MATCH($B$1, resultados!$A$1:$ZZ$1, 0))</f>
        <v>#N/A</v>
      </c>
      <c r="B517" t="e">
        <f>INDEX(resultados!$A$2:$ZZ$2290, 511, MATCH($B$2, resultados!$A$1:$ZZ$1, 0))</f>
        <v>#N/A</v>
      </c>
      <c r="C517" t="e">
        <f>INDEX(resultados!$A$2:$ZZ$2290, 511, MATCH($B$3, resultados!$A$1:$ZZ$1, 0))</f>
        <v>#N/A</v>
      </c>
    </row>
    <row r="518" spans="1:3" x14ac:dyDescent="0.3">
      <c r="A518" t="e">
        <f>INDEX(resultados!$A$2:$ZZ$2290, 512, MATCH($B$1, resultados!$A$1:$ZZ$1, 0))</f>
        <v>#N/A</v>
      </c>
      <c r="B518" t="e">
        <f>INDEX(resultados!$A$2:$ZZ$2290, 512, MATCH($B$2, resultados!$A$1:$ZZ$1, 0))</f>
        <v>#N/A</v>
      </c>
      <c r="C518" t="e">
        <f>INDEX(resultados!$A$2:$ZZ$2290, 512, MATCH($B$3, resultados!$A$1:$ZZ$1, 0))</f>
        <v>#N/A</v>
      </c>
    </row>
    <row r="519" spans="1:3" x14ac:dyDescent="0.3">
      <c r="A519" t="e">
        <f>INDEX(resultados!$A$2:$ZZ$2290, 513, MATCH($B$1, resultados!$A$1:$ZZ$1, 0))</f>
        <v>#N/A</v>
      </c>
      <c r="B519" t="e">
        <f>INDEX(resultados!$A$2:$ZZ$2290, 513, MATCH($B$2, resultados!$A$1:$ZZ$1, 0))</f>
        <v>#N/A</v>
      </c>
      <c r="C519" t="e">
        <f>INDEX(resultados!$A$2:$ZZ$2290, 513, MATCH($B$3, resultados!$A$1:$ZZ$1, 0))</f>
        <v>#N/A</v>
      </c>
    </row>
    <row r="520" spans="1:3" x14ac:dyDescent="0.3">
      <c r="A520" t="e">
        <f>INDEX(resultados!$A$2:$ZZ$2290, 514, MATCH($B$1, resultados!$A$1:$ZZ$1, 0))</f>
        <v>#N/A</v>
      </c>
      <c r="B520" t="e">
        <f>INDEX(resultados!$A$2:$ZZ$2290, 514, MATCH($B$2, resultados!$A$1:$ZZ$1, 0))</f>
        <v>#N/A</v>
      </c>
      <c r="C520" t="e">
        <f>INDEX(resultados!$A$2:$ZZ$2290, 514, MATCH($B$3, resultados!$A$1:$ZZ$1, 0))</f>
        <v>#N/A</v>
      </c>
    </row>
    <row r="521" spans="1:3" x14ac:dyDescent="0.3">
      <c r="A521" t="e">
        <f>INDEX(resultados!$A$2:$ZZ$2290, 515, MATCH($B$1, resultados!$A$1:$ZZ$1, 0))</f>
        <v>#N/A</v>
      </c>
      <c r="B521" t="e">
        <f>INDEX(resultados!$A$2:$ZZ$2290, 515, MATCH($B$2, resultados!$A$1:$ZZ$1, 0))</f>
        <v>#N/A</v>
      </c>
      <c r="C521" t="e">
        <f>INDEX(resultados!$A$2:$ZZ$2290, 515, MATCH($B$3, resultados!$A$1:$ZZ$1, 0))</f>
        <v>#N/A</v>
      </c>
    </row>
    <row r="522" spans="1:3" x14ac:dyDescent="0.3">
      <c r="A522" t="e">
        <f>INDEX(resultados!$A$2:$ZZ$2290, 516, MATCH($B$1, resultados!$A$1:$ZZ$1, 0))</f>
        <v>#N/A</v>
      </c>
      <c r="B522" t="e">
        <f>INDEX(resultados!$A$2:$ZZ$2290, 516, MATCH($B$2, resultados!$A$1:$ZZ$1, 0))</f>
        <v>#N/A</v>
      </c>
      <c r="C522" t="e">
        <f>INDEX(resultados!$A$2:$ZZ$2290, 516, MATCH($B$3, resultados!$A$1:$ZZ$1, 0))</f>
        <v>#N/A</v>
      </c>
    </row>
    <row r="523" spans="1:3" x14ac:dyDescent="0.3">
      <c r="A523" t="e">
        <f>INDEX(resultados!$A$2:$ZZ$2290, 517, MATCH($B$1, resultados!$A$1:$ZZ$1, 0))</f>
        <v>#N/A</v>
      </c>
      <c r="B523" t="e">
        <f>INDEX(resultados!$A$2:$ZZ$2290, 517, MATCH($B$2, resultados!$A$1:$ZZ$1, 0))</f>
        <v>#N/A</v>
      </c>
      <c r="C523" t="e">
        <f>INDEX(resultados!$A$2:$ZZ$2290, 517, MATCH($B$3, resultados!$A$1:$ZZ$1, 0))</f>
        <v>#N/A</v>
      </c>
    </row>
    <row r="524" spans="1:3" x14ac:dyDescent="0.3">
      <c r="A524" t="e">
        <f>INDEX(resultados!$A$2:$ZZ$2290, 518, MATCH($B$1, resultados!$A$1:$ZZ$1, 0))</f>
        <v>#N/A</v>
      </c>
      <c r="B524" t="e">
        <f>INDEX(resultados!$A$2:$ZZ$2290, 518, MATCH($B$2, resultados!$A$1:$ZZ$1, 0))</f>
        <v>#N/A</v>
      </c>
      <c r="C524" t="e">
        <f>INDEX(resultados!$A$2:$ZZ$2290, 518, MATCH($B$3, resultados!$A$1:$ZZ$1, 0))</f>
        <v>#N/A</v>
      </c>
    </row>
    <row r="525" spans="1:3" x14ac:dyDescent="0.3">
      <c r="A525" t="e">
        <f>INDEX(resultados!$A$2:$ZZ$2290, 519, MATCH($B$1, resultados!$A$1:$ZZ$1, 0))</f>
        <v>#N/A</v>
      </c>
      <c r="B525" t="e">
        <f>INDEX(resultados!$A$2:$ZZ$2290, 519, MATCH($B$2, resultados!$A$1:$ZZ$1, 0))</f>
        <v>#N/A</v>
      </c>
      <c r="C525" t="e">
        <f>INDEX(resultados!$A$2:$ZZ$2290, 519, MATCH($B$3, resultados!$A$1:$ZZ$1, 0))</f>
        <v>#N/A</v>
      </c>
    </row>
    <row r="526" spans="1:3" x14ac:dyDescent="0.3">
      <c r="A526" t="e">
        <f>INDEX(resultados!$A$2:$ZZ$2290, 520, MATCH($B$1, resultados!$A$1:$ZZ$1, 0))</f>
        <v>#N/A</v>
      </c>
      <c r="B526" t="e">
        <f>INDEX(resultados!$A$2:$ZZ$2290, 520, MATCH($B$2, resultados!$A$1:$ZZ$1, 0))</f>
        <v>#N/A</v>
      </c>
      <c r="C526" t="e">
        <f>INDEX(resultados!$A$2:$ZZ$2290, 520, MATCH($B$3, resultados!$A$1:$ZZ$1, 0))</f>
        <v>#N/A</v>
      </c>
    </row>
    <row r="527" spans="1:3" x14ac:dyDescent="0.3">
      <c r="A527" t="e">
        <f>INDEX(resultados!$A$2:$ZZ$2290, 521, MATCH($B$1, resultados!$A$1:$ZZ$1, 0))</f>
        <v>#N/A</v>
      </c>
      <c r="B527" t="e">
        <f>INDEX(resultados!$A$2:$ZZ$2290, 521, MATCH($B$2, resultados!$A$1:$ZZ$1, 0))</f>
        <v>#N/A</v>
      </c>
      <c r="C527" t="e">
        <f>INDEX(resultados!$A$2:$ZZ$2290, 521, MATCH($B$3, resultados!$A$1:$ZZ$1, 0))</f>
        <v>#N/A</v>
      </c>
    </row>
    <row r="528" spans="1:3" x14ac:dyDescent="0.3">
      <c r="A528" t="e">
        <f>INDEX(resultados!$A$2:$ZZ$2290, 522, MATCH($B$1, resultados!$A$1:$ZZ$1, 0))</f>
        <v>#N/A</v>
      </c>
      <c r="B528" t="e">
        <f>INDEX(resultados!$A$2:$ZZ$2290, 522, MATCH($B$2, resultados!$A$1:$ZZ$1, 0))</f>
        <v>#N/A</v>
      </c>
      <c r="C528" t="e">
        <f>INDEX(resultados!$A$2:$ZZ$2290, 522, MATCH($B$3, resultados!$A$1:$ZZ$1, 0))</f>
        <v>#N/A</v>
      </c>
    </row>
    <row r="529" spans="1:3" x14ac:dyDescent="0.3">
      <c r="A529" t="e">
        <f>INDEX(resultados!$A$2:$ZZ$2290, 523, MATCH($B$1, resultados!$A$1:$ZZ$1, 0))</f>
        <v>#N/A</v>
      </c>
      <c r="B529" t="e">
        <f>INDEX(resultados!$A$2:$ZZ$2290, 523, MATCH($B$2, resultados!$A$1:$ZZ$1, 0))</f>
        <v>#N/A</v>
      </c>
      <c r="C529" t="e">
        <f>INDEX(resultados!$A$2:$ZZ$2290, 523, MATCH($B$3, resultados!$A$1:$ZZ$1, 0))</f>
        <v>#N/A</v>
      </c>
    </row>
    <row r="530" spans="1:3" x14ac:dyDescent="0.3">
      <c r="A530" t="e">
        <f>INDEX(resultados!$A$2:$ZZ$2290, 524, MATCH($B$1, resultados!$A$1:$ZZ$1, 0))</f>
        <v>#N/A</v>
      </c>
      <c r="B530" t="e">
        <f>INDEX(resultados!$A$2:$ZZ$2290, 524, MATCH($B$2, resultados!$A$1:$ZZ$1, 0))</f>
        <v>#N/A</v>
      </c>
      <c r="C530" t="e">
        <f>INDEX(resultados!$A$2:$ZZ$2290, 524, MATCH($B$3, resultados!$A$1:$ZZ$1, 0))</f>
        <v>#N/A</v>
      </c>
    </row>
    <row r="531" spans="1:3" x14ac:dyDescent="0.3">
      <c r="A531" t="e">
        <f>INDEX(resultados!$A$2:$ZZ$2290, 525, MATCH($B$1, resultados!$A$1:$ZZ$1, 0))</f>
        <v>#N/A</v>
      </c>
      <c r="B531" t="e">
        <f>INDEX(resultados!$A$2:$ZZ$2290, 525, MATCH($B$2, resultados!$A$1:$ZZ$1, 0))</f>
        <v>#N/A</v>
      </c>
      <c r="C531" t="e">
        <f>INDEX(resultados!$A$2:$ZZ$2290, 525, MATCH($B$3, resultados!$A$1:$ZZ$1, 0))</f>
        <v>#N/A</v>
      </c>
    </row>
    <row r="532" spans="1:3" x14ac:dyDescent="0.3">
      <c r="A532" t="e">
        <f>INDEX(resultados!$A$2:$ZZ$2290, 526, MATCH($B$1, resultados!$A$1:$ZZ$1, 0))</f>
        <v>#N/A</v>
      </c>
      <c r="B532" t="e">
        <f>INDEX(resultados!$A$2:$ZZ$2290, 526, MATCH($B$2, resultados!$A$1:$ZZ$1, 0))</f>
        <v>#N/A</v>
      </c>
      <c r="C532" t="e">
        <f>INDEX(resultados!$A$2:$ZZ$2290, 526, MATCH($B$3, resultados!$A$1:$ZZ$1, 0))</f>
        <v>#N/A</v>
      </c>
    </row>
    <row r="533" spans="1:3" x14ac:dyDescent="0.3">
      <c r="A533" t="e">
        <f>INDEX(resultados!$A$2:$ZZ$2290, 527, MATCH($B$1, resultados!$A$1:$ZZ$1, 0))</f>
        <v>#N/A</v>
      </c>
      <c r="B533" t="e">
        <f>INDEX(resultados!$A$2:$ZZ$2290, 527, MATCH($B$2, resultados!$A$1:$ZZ$1, 0))</f>
        <v>#N/A</v>
      </c>
      <c r="C533" t="e">
        <f>INDEX(resultados!$A$2:$ZZ$2290, 527, MATCH($B$3, resultados!$A$1:$ZZ$1, 0))</f>
        <v>#N/A</v>
      </c>
    </row>
    <row r="534" spans="1:3" x14ac:dyDescent="0.3">
      <c r="A534" t="e">
        <f>INDEX(resultados!$A$2:$ZZ$2290, 528, MATCH($B$1, resultados!$A$1:$ZZ$1, 0))</f>
        <v>#N/A</v>
      </c>
      <c r="B534" t="e">
        <f>INDEX(resultados!$A$2:$ZZ$2290, 528, MATCH($B$2, resultados!$A$1:$ZZ$1, 0))</f>
        <v>#N/A</v>
      </c>
      <c r="C534" t="e">
        <f>INDEX(resultados!$A$2:$ZZ$2290, 528, MATCH($B$3, resultados!$A$1:$ZZ$1, 0))</f>
        <v>#N/A</v>
      </c>
    </row>
    <row r="535" spans="1:3" x14ac:dyDescent="0.3">
      <c r="A535" t="e">
        <f>INDEX(resultados!$A$2:$ZZ$2290, 529, MATCH($B$1, resultados!$A$1:$ZZ$1, 0))</f>
        <v>#N/A</v>
      </c>
      <c r="B535" t="e">
        <f>INDEX(resultados!$A$2:$ZZ$2290, 529, MATCH($B$2, resultados!$A$1:$ZZ$1, 0))</f>
        <v>#N/A</v>
      </c>
      <c r="C535" t="e">
        <f>INDEX(resultados!$A$2:$ZZ$2290, 529, MATCH($B$3, resultados!$A$1:$ZZ$1, 0))</f>
        <v>#N/A</v>
      </c>
    </row>
    <row r="536" spans="1:3" x14ac:dyDescent="0.3">
      <c r="A536" t="e">
        <f>INDEX(resultados!$A$2:$ZZ$2290, 530, MATCH($B$1, resultados!$A$1:$ZZ$1, 0))</f>
        <v>#N/A</v>
      </c>
      <c r="B536" t="e">
        <f>INDEX(resultados!$A$2:$ZZ$2290, 530, MATCH($B$2, resultados!$A$1:$ZZ$1, 0))</f>
        <v>#N/A</v>
      </c>
      <c r="C536" t="e">
        <f>INDEX(resultados!$A$2:$ZZ$2290, 530, MATCH($B$3, resultados!$A$1:$ZZ$1, 0))</f>
        <v>#N/A</v>
      </c>
    </row>
    <row r="537" spans="1:3" x14ac:dyDescent="0.3">
      <c r="A537" t="e">
        <f>INDEX(resultados!$A$2:$ZZ$2290, 531, MATCH($B$1, resultados!$A$1:$ZZ$1, 0))</f>
        <v>#N/A</v>
      </c>
      <c r="B537" t="e">
        <f>INDEX(resultados!$A$2:$ZZ$2290, 531, MATCH($B$2, resultados!$A$1:$ZZ$1, 0))</f>
        <v>#N/A</v>
      </c>
      <c r="C537" t="e">
        <f>INDEX(resultados!$A$2:$ZZ$2290, 531, MATCH($B$3, resultados!$A$1:$ZZ$1, 0))</f>
        <v>#N/A</v>
      </c>
    </row>
    <row r="538" spans="1:3" x14ac:dyDescent="0.3">
      <c r="A538" t="e">
        <f>INDEX(resultados!$A$2:$ZZ$2290, 532, MATCH($B$1, resultados!$A$1:$ZZ$1, 0))</f>
        <v>#N/A</v>
      </c>
      <c r="B538" t="e">
        <f>INDEX(resultados!$A$2:$ZZ$2290, 532, MATCH($B$2, resultados!$A$1:$ZZ$1, 0))</f>
        <v>#N/A</v>
      </c>
      <c r="C538" t="e">
        <f>INDEX(resultados!$A$2:$ZZ$2290, 532, MATCH($B$3, resultados!$A$1:$ZZ$1, 0))</f>
        <v>#N/A</v>
      </c>
    </row>
    <row r="539" spans="1:3" x14ac:dyDescent="0.3">
      <c r="A539" t="e">
        <f>INDEX(resultados!$A$2:$ZZ$2290, 533, MATCH($B$1, resultados!$A$1:$ZZ$1, 0))</f>
        <v>#N/A</v>
      </c>
      <c r="B539" t="e">
        <f>INDEX(resultados!$A$2:$ZZ$2290, 533, MATCH($B$2, resultados!$A$1:$ZZ$1, 0))</f>
        <v>#N/A</v>
      </c>
      <c r="C539" t="e">
        <f>INDEX(resultados!$A$2:$ZZ$2290, 533, MATCH($B$3, resultados!$A$1:$ZZ$1, 0))</f>
        <v>#N/A</v>
      </c>
    </row>
    <row r="540" spans="1:3" x14ac:dyDescent="0.3">
      <c r="A540" t="e">
        <f>INDEX(resultados!$A$2:$ZZ$2290, 534, MATCH($B$1, resultados!$A$1:$ZZ$1, 0))</f>
        <v>#N/A</v>
      </c>
      <c r="B540" t="e">
        <f>INDEX(resultados!$A$2:$ZZ$2290, 534, MATCH($B$2, resultados!$A$1:$ZZ$1, 0))</f>
        <v>#N/A</v>
      </c>
      <c r="C540" t="e">
        <f>INDEX(resultados!$A$2:$ZZ$2290, 534, MATCH($B$3, resultados!$A$1:$ZZ$1, 0))</f>
        <v>#N/A</v>
      </c>
    </row>
    <row r="541" spans="1:3" x14ac:dyDescent="0.3">
      <c r="A541" t="e">
        <f>INDEX(resultados!$A$2:$ZZ$2290, 535, MATCH($B$1, resultados!$A$1:$ZZ$1, 0))</f>
        <v>#N/A</v>
      </c>
      <c r="B541" t="e">
        <f>INDEX(resultados!$A$2:$ZZ$2290, 535, MATCH($B$2, resultados!$A$1:$ZZ$1, 0))</f>
        <v>#N/A</v>
      </c>
      <c r="C541" t="e">
        <f>INDEX(resultados!$A$2:$ZZ$2290, 535, MATCH($B$3, resultados!$A$1:$ZZ$1, 0))</f>
        <v>#N/A</v>
      </c>
    </row>
    <row r="542" spans="1:3" x14ac:dyDescent="0.3">
      <c r="A542" t="e">
        <f>INDEX(resultados!$A$2:$ZZ$2290, 536, MATCH($B$1, resultados!$A$1:$ZZ$1, 0))</f>
        <v>#N/A</v>
      </c>
      <c r="B542" t="e">
        <f>INDEX(resultados!$A$2:$ZZ$2290, 536, MATCH($B$2, resultados!$A$1:$ZZ$1, 0))</f>
        <v>#N/A</v>
      </c>
      <c r="C542" t="e">
        <f>INDEX(resultados!$A$2:$ZZ$2290, 536, MATCH($B$3, resultados!$A$1:$ZZ$1, 0))</f>
        <v>#N/A</v>
      </c>
    </row>
    <row r="543" spans="1:3" x14ac:dyDescent="0.3">
      <c r="A543" t="e">
        <f>INDEX(resultados!$A$2:$ZZ$2290, 537, MATCH($B$1, resultados!$A$1:$ZZ$1, 0))</f>
        <v>#N/A</v>
      </c>
      <c r="B543" t="e">
        <f>INDEX(resultados!$A$2:$ZZ$2290, 537, MATCH($B$2, resultados!$A$1:$ZZ$1, 0))</f>
        <v>#N/A</v>
      </c>
      <c r="C543" t="e">
        <f>INDEX(resultados!$A$2:$ZZ$2290, 537, MATCH($B$3, resultados!$A$1:$ZZ$1, 0))</f>
        <v>#N/A</v>
      </c>
    </row>
    <row r="544" spans="1:3" x14ac:dyDescent="0.3">
      <c r="A544" t="e">
        <f>INDEX(resultados!$A$2:$ZZ$2290, 538, MATCH($B$1, resultados!$A$1:$ZZ$1, 0))</f>
        <v>#N/A</v>
      </c>
      <c r="B544" t="e">
        <f>INDEX(resultados!$A$2:$ZZ$2290, 538, MATCH($B$2, resultados!$A$1:$ZZ$1, 0))</f>
        <v>#N/A</v>
      </c>
      <c r="C544" t="e">
        <f>INDEX(resultados!$A$2:$ZZ$2290, 538, MATCH($B$3, resultados!$A$1:$ZZ$1, 0))</f>
        <v>#N/A</v>
      </c>
    </row>
    <row r="545" spans="1:3" x14ac:dyDescent="0.3">
      <c r="A545" t="e">
        <f>INDEX(resultados!$A$2:$ZZ$2290, 539, MATCH($B$1, resultados!$A$1:$ZZ$1, 0))</f>
        <v>#N/A</v>
      </c>
      <c r="B545" t="e">
        <f>INDEX(resultados!$A$2:$ZZ$2290, 539, MATCH($B$2, resultados!$A$1:$ZZ$1, 0))</f>
        <v>#N/A</v>
      </c>
      <c r="C545" t="e">
        <f>INDEX(resultados!$A$2:$ZZ$2290, 539, MATCH($B$3, resultados!$A$1:$ZZ$1, 0))</f>
        <v>#N/A</v>
      </c>
    </row>
    <row r="546" spans="1:3" x14ac:dyDescent="0.3">
      <c r="A546" t="e">
        <f>INDEX(resultados!$A$2:$ZZ$2290, 540, MATCH($B$1, resultados!$A$1:$ZZ$1, 0))</f>
        <v>#N/A</v>
      </c>
      <c r="B546" t="e">
        <f>INDEX(resultados!$A$2:$ZZ$2290, 540, MATCH($B$2, resultados!$A$1:$ZZ$1, 0))</f>
        <v>#N/A</v>
      </c>
      <c r="C546" t="e">
        <f>INDEX(resultados!$A$2:$ZZ$2290, 540, MATCH($B$3, resultados!$A$1:$ZZ$1, 0))</f>
        <v>#N/A</v>
      </c>
    </row>
    <row r="547" spans="1:3" x14ac:dyDescent="0.3">
      <c r="A547" t="e">
        <f>INDEX(resultados!$A$2:$ZZ$2290, 541, MATCH($B$1, resultados!$A$1:$ZZ$1, 0))</f>
        <v>#N/A</v>
      </c>
      <c r="B547" t="e">
        <f>INDEX(resultados!$A$2:$ZZ$2290, 541, MATCH($B$2, resultados!$A$1:$ZZ$1, 0))</f>
        <v>#N/A</v>
      </c>
      <c r="C547" t="e">
        <f>INDEX(resultados!$A$2:$ZZ$2290, 541, MATCH($B$3, resultados!$A$1:$ZZ$1, 0))</f>
        <v>#N/A</v>
      </c>
    </row>
    <row r="548" spans="1:3" x14ac:dyDescent="0.3">
      <c r="A548" t="e">
        <f>INDEX(resultados!$A$2:$ZZ$2290, 542, MATCH($B$1, resultados!$A$1:$ZZ$1, 0))</f>
        <v>#N/A</v>
      </c>
      <c r="B548" t="e">
        <f>INDEX(resultados!$A$2:$ZZ$2290, 542, MATCH($B$2, resultados!$A$1:$ZZ$1, 0))</f>
        <v>#N/A</v>
      </c>
      <c r="C548" t="e">
        <f>INDEX(resultados!$A$2:$ZZ$2290, 542, MATCH($B$3, resultados!$A$1:$ZZ$1, 0))</f>
        <v>#N/A</v>
      </c>
    </row>
    <row r="549" spans="1:3" x14ac:dyDescent="0.3">
      <c r="A549" t="e">
        <f>INDEX(resultados!$A$2:$ZZ$2290, 543, MATCH($B$1, resultados!$A$1:$ZZ$1, 0))</f>
        <v>#N/A</v>
      </c>
      <c r="B549" t="e">
        <f>INDEX(resultados!$A$2:$ZZ$2290, 543, MATCH($B$2, resultados!$A$1:$ZZ$1, 0))</f>
        <v>#N/A</v>
      </c>
      <c r="C549" t="e">
        <f>INDEX(resultados!$A$2:$ZZ$2290, 543, MATCH($B$3, resultados!$A$1:$ZZ$1, 0))</f>
        <v>#N/A</v>
      </c>
    </row>
    <row r="550" spans="1:3" x14ac:dyDescent="0.3">
      <c r="A550" t="e">
        <f>INDEX(resultados!$A$2:$ZZ$2290, 544, MATCH($B$1, resultados!$A$1:$ZZ$1, 0))</f>
        <v>#N/A</v>
      </c>
      <c r="B550" t="e">
        <f>INDEX(resultados!$A$2:$ZZ$2290, 544, MATCH($B$2, resultados!$A$1:$ZZ$1, 0))</f>
        <v>#N/A</v>
      </c>
      <c r="C550" t="e">
        <f>INDEX(resultados!$A$2:$ZZ$2290, 544, MATCH($B$3, resultados!$A$1:$ZZ$1, 0))</f>
        <v>#N/A</v>
      </c>
    </row>
    <row r="551" spans="1:3" x14ac:dyDescent="0.3">
      <c r="A551" t="e">
        <f>INDEX(resultados!$A$2:$ZZ$2290, 545, MATCH($B$1, resultados!$A$1:$ZZ$1, 0))</f>
        <v>#N/A</v>
      </c>
      <c r="B551" t="e">
        <f>INDEX(resultados!$A$2:$ZZ$2290, 545, MATCH($B$2, resultados!$A$1:$ZZ$1, 0))</f>
        <v>#N/A</v>
      </c>
      <c r="C551" t="e">
        <f>INDEX(resultados!$A$2:$ZZ$2290, 545, MATCH($B$3, resultados!$A$1:$ZZ$1, 0))</f>
        <v>#N/A</v>
      </c>
    </row>
    <row r="552" spans="1:3" x14ac:dyDescent="0.3">
      <c r="A552" t="e">
        <f>INDEX(resultados!$A$2:$ZZ$2290, 546, MATCH($B$1, resultados!$A$1:$ZZ$1, 0))</f>
        <v>#N/A</v>
      </c>
      <c r="B552" t="e">
        <f>INDEX(resultados!$A$2:$ZZ$2290, 546, MATCH($B$2, resultados!$A$1:$ZZ$1, 0))</f>
        <v>#N/A</v>
      </c>
      <c r="C552" t="e">
        <f>INDEX(resultados!$A$2:$ZZ$2290, 546, MATCH($B$3, resultados!$A$1:$ZZ$1, 0))</f>
        <v>#N/A</v>
      </c>
    </row>
    <row r="553" spans="1:3" x14ac:dyDescent="0.3">
      <c r="A553" t="e">
        <f>INDEX(resultados!$A$2:$ZZ$2290, 547, MATCH($B$1, resultados!$A$1:$ZZ$1, 0))</f>
        <v>#N/A</v>
      </c>
      <c r="B553" t="e">
        <f>INDEX(resultados!$A$2:$ZZ$2290, 547, MATCH($B$2, resultados!$A$1:$ZZ$1, 0))</f>
        <v>#N/A</v>
      </c>
      <c r="C553" t="e">
        <f>INDEX(resultados!$A$2:$ZZ$2290, 547, MATCH($B$3, resultados!$A$1:$ZZ$1, 0))</f>
        <v>#N/A</v>
      </c>
    </row>
    <row r="554" spans="1:3" x14ac:dyDescent="0.3">
      <c r="A554" t="e">
        <f>INDEX(resultados!$A$2:$ZZ$2290, 548, MATCH($B$1, resultados!$A$1:$ZZ$1, 0))</f>
        <v>#N/A</v>
      </c>
      <c r="B554" t="e">
        <f>INDEX(resultados!$A$2:$ZZ$2290, 548, MATCH($B$2, resultados!$A$1:$ZZ$1, 0))</f>
        <v>#N/A</v>
      </c>
      <c r="C554" t="e">
        <f>INDEX(resultados!$A$2:$ZZ$2290, 548, MATCH($B$3, resultados!$A$1:$ZZ$1, 0))</f>
        <v>#N/A</v>
      </c>
    </row>
    <row r="555" spans="1:3" x14ac:dyDescent="0.3">
      <c r="A555" t="e">
        <f>INDEX(resultados!$A$2:$ZZ$2290, 549, MATCH($B$1, resultados!$A$1:$ZZ$1, 0))</f>
        <v>#N/A</v>
      </c>
      <c r="B555" t="e">
        <f>INDEX(resultados!$A$2:$ZZ$2290, 549, MATCH($B$2, resultados!$A$1:$ZZ$1, 0))</f>
        <v>#N/A</v>
      </c>
      <c r="C555" t="e">
        <f>INDEX(resultados!$A$2:$ZZ$2290, 549, MATCH($B$3, resultados!$A$1:$ZZ$1, 0))</f>
        <v>#N/A</v>
      </c>
    </row>
    <row r="556" spans="1:3" x14ac:dyDescent="0.3">
      <c r="A556" t="e">
        <f>INDEX(resultados!$A$2:$ZZ$2290, 550, MATCH($B$1, resultados!$A$1:$ZZ$1, 0))</f>
        <v>#N/A</v>
      </c>
      <c r="B556" t="e">
        <f>INDEX(resultados!$A$2:$ZZ$2290, 550, MATCH($B$2, resultados!$A$1:$ZZ$1, 0))</f>
        <v>#N/A</v>
      </c>
      <c r="C556" t="e">
        <f>INDEX(resultados!$A$2:$ZZ$2290, 550, MATCH($B$3, resultados!$A$1:$ZZ$1, 0))</f>
        <v>#N/A</v>
      </c>
    </row>
    <row r="557" spans="1:3" x14ac:dyDescent="0.3">
      <c r="A557" t="e">
        <f>INDEX(resultados!$A$2:$ZZ$2290, 551, MATCH($B$1, resultados!$A$1:$ZZ$1, 0))</f>
        <v>#N/A</v>
      </c>
      <c r="B557" t="e">
        <f>INDEX(resultados!$A$2:$ZZ$2290, 551, MATCH($B$2, resultados!$A$1:$ZZ$1, 0))</f>
        <v>#N/A</v>
      </c>
      <c r="C557" t="e">
        <f>INDEX(resultados!$A$2:$ZZ$2290, 551, MATCH($B$3, resultados!$A$1:$ZZ$1, 0))</f>
        <v>#N/A</v>
      </c>
    </row>
    <row r="558" spans="1:3" x14ac:dyDescent="0.3">
      <c r="A558" t="e">
        <f>INDEX(resultados!$A$2:$ZZ$2290, 552, MATCH($B$1, resultados!$A$1:$ZZ$1, 0))</f>
        <v>#N/A</v>
      </c>
      <c r="B558" t="e">
        <f>INDEX(resultados!$A$2:$ZZ$2290, 552, MATCH($B$2, resultados!$A$1:$ZZ$1, 0))</f>
        <v>#N/A</v>
      </c>
      <c r="C558" t="e">
        <f>INDEX(resultados!$A$2:$ZZ$2290, 552, MATCH($B$3, resultados!$A$1:$ZZ$1, 0))</f>
        <v>#N/A</v>
      </c>
    </row>
    <row r="559" spans="1:3" x14ac:dyDescent="0.3">
      <c r="A559" t="e">
        <f>INDEX(resultados!$A$2:$ZZ$2290, 553, MATCH($B$1, resultados!$A$1:$ZZ$1, 0))</f>
        <v>#N/A</v>
      </c>
      <c r="B559" t="e">
        <f>INDEX(resultados!$A$2:$ZZ$2290, 553, MATCH($B$2, resultados!$A$1:$ZZ$1, 0))</f>
        <v>#N/A</v>
      </c>
      <c r="C559" t="e">
        <f>INDEX(resultados!$A$2:$ZZ$2290, 553, MATCH($B$3, resultados!$A$1:$ZZ$1, 0))</f>
        <v>#N/A</v>
      </c>
    </row>
    <row r="560" spans="1:3" x14ac:dyDescent="0.3">
      <c r="A560" t="e">
        <f>INDEX(resultados!$A$2:$ZZ$2290, 554, MATCH($B$1, resultados!$A$1:$ZZ$1, 0))</f>
        <v>#N/A</v>
      </c>
      <c r="B560" t="e">
        <f>INDEX(resultados!$A$2:$ZZ$2290, 554, MATCH($B$2, resultados!$A$1:$ZZ$1, 0))</f>
        <v>#N/A</v>
      </c>
      <c r="C560" t="e">
        <f>INDEX(resultados!$A$2:$ZZ$2290, 554, MATCH($B$3, resultados!$A$1:$ZZ$1, 0))</f>
        <v>#N/A</v>
      </c>
    </row>
    <row r="561" spans="1:3" x14ac:dyDescent="0.3">
      <c r="A561" t="e">
        <f>INDEX(resultados!$A$2:$ZZ$2290, 555, MATCH($B$1, resultados!$A$1:$ZZ$1, 0))</f>
        <v>#N/A</v>
      </c>
      <c r="B561" t="e">
        <f>INDEX(resultados!$A$2:$ZZ$2290, 555, MATCH($B$2, resultados!$A$1:$ZZ$1, 0))</f>
        <v>#N/A</v>
      </c>
      <c r="C561" t="e">
        <f>INDEX(resultados!$A$2:$ZZ$2290, 555, MATCH($B$3, resultados!$A$1:$ZZ$1, 0))</f>
        <v>#N/A</v>
      </c>
    </row>
    <row r="562" spans="1:3" x14ac:dyDescent="0.3">
      <c r="A562" t="e">
        <f>INDEX(resultados!$A$2:$ZZ$2290, 556, MATCH($B$1, resultados!$A$1:$ZZ$1, 0))</f>
        <v>#N/A</v>
      </c>
      <c r="B562" t="e">
        <f>INDEX(resultados!$A$2:$ZZ$2290, 556, MATCH($B$2, resultados!$A$1:$ZZ$1, 0))</f>
        <v>#N/A</v>
      </c>
      <c r="C562" t="e">
        <f>INDEX(resultados!$A$2:$ZZ$2290, 556, MATCH($B$3, resultados!$A$1:$ZZ$1, 0))</f>
        <v>#N/A</v>
      </c>
    </row>
    <row r="563" spans="1:3" x14ac:dyDescent="0.3">
      <c r="A563" t="e">
        <f>INDEX(resultados!$A$2:$ZZ$2290, 557, MATCH($B$1, resultados!$A$1:$ZZ$1, 0))</f>
        <v>#N/A</v>
      </c>
      <c r="B563" t="e">
        <f>INDEX(resultados!$A$2:$ZZ$2290, 557, MATCH($B$2, resultados!$A$1:$ZZ$1, 0))</f>
        <v>#N/A</v>
      </c>
      <c r="C563" t="e">
        <f>INDEX(resultados!$A$2:$ZZ$2290, 557, MATCH($B$3, resultados!$A$1:$ZZ$1, 0))</f>
        <v>#N/A</v>
      </c>
    </row>
    <row r="564" spans="1:3" x14ac:dyDescent="0.3">
      <c r="A564" t="e">
        <f>INDEX(resultados!$A$2:$ZZ$2290, 558, MATCH($B$1, resultados!$A$1:$ZZ$1, 0))</f>
        <v>#N/A</v>
      </c>
      <c r="B564" t="e">
        <f>INDEX(resultados!$A$2:$ZZ$2290, 558, MATCH($B$2, resultados!$A$1:$ZZ$1, 0))</f>
        <v>#N/A</v>
      </c>
      <c r="C564" t="e">
        <f>INDEX(resultados!$A$2:$ZZ$2290, 558, MATCH($B$3, resultados!$A$1:$ZZ$1, 0))</f>
        <v>#N/A</v>
      </c>
    </row>
    <row r="565" spans="1:3" x14ac:dyDescent="0.3">
      <c r="A565" t="e">
        <f>INDEX(resultados!$A$2:$ZZ$2290, 559, MATCH($B$1, resultados!$A$1:$ZZ$1, 0))</f>
        <v>#N/A</v>
      </c>
      <c r="B565" t="e">
        <f>INDEX(resultados!$A$2:$ZZ$2290, 559, MATCH($B$2, resultados!$A$1:$ZZ$1, 0))</f>
        <v>#N/A</v>
      </c>
      <c r="C565" t="e">
        <f>INDEX(resultados!$A$2:$ZZ$2290, 559, MATCH($B$3, resultados!$A$1:$ZZ$1, 0))</f>
        <v>#N/A</v>
      </c>
    </row>
    <row r="566" spans="1:3" x14ac:dyDescent="0.3">
      <c r="A566" t="e">
        <f>INDEX(resultados!$A$2:$ZZ$2290, 560, MATCH($B$1, resultados!$A$1:$ZZ$1, 0))</f>
        <v>#N/A</v>
      </c>
      <c r="B566" t="e">
        <f>INDEX(resultados!$A$2:$ZZ$2290, 560, MATCH($B$2, resultados!$A$1:$ZZ$1, 0))</f>
        <v>#N/A</v>
      </c>
      <c r="C566" t="e">
        <f>INDEX(resultados!$A$2:$ZZ$2290, 560, MATCH($B$3, resultados!$A$1:$ZZ$1, 0))</f>
        <v>#N/A</v>
      </c>
    </row>
    <row r="567" spans="1:3" x14ac:dyDescent="0.3">
      <c r="A567" t="e">
        <f>INDEX(resultados!$A$2:$ZZ$2290, 561, MATCH($B$1, resultados!$A$1:$ZZ$1, 0))</f>
        <v>#N/A</v>
      </c>
      <c r="B567" t="e">
        <f>INDEX(resultados!$A$2:$ZZ$2290, 561, MATCH($B$2, resultados!$A$1:$ZZ$1, 0))</f>
        <v>#N/A</v>
      </c>
      <c r="C567" t="e">
        <f>INDEX(resultados!$A$2:$ZZ$2290, 561, MATCH($B$3, resultados!$A$1:$ZZ$1, 0))</f>
        <v>#N/A</v>
      </c>
    </row>
    <row r="568" spans="1:3" x14ac:dyDescent="0.3">
      <c r="A568" t="e">
        <f>INDEX(resultados!$A$2:$ZZ$2290, 562, MATCH($B$1, resultados!$A$1:$ZZ$1, 0))</f>
        <v>#N/A</v>
      </c>
      <c r="B568" t="e">
        <f>INDEX(resultados!$A$2:$ZZ$2290, 562, MATCH($B$2, resultados!$A$1:$ZZ$1, 0))</f>
        <v>#N/A</v>
      </c>
      <c r="C568" t="e">
        <f>INDEX(resultados!$A$2:$ZZ$2290, 562, MATCH($B$3, resultados!$A$1:$ZZ$1, 0))</f>
        <v>#N/A</v>
      </c>
    </row>
    <row r="569" spans="1:3" x14ac:dyDescent="0.3">
      <c r="A569" t="e">
        <f>INDEX(resultados!$A$2:$ZZ$2290, 563, MATCH($B$1, resultados!$A$1:$ZZ$1, 0))</f>
        <v>#N/A</v>
      </c>
      <c r="B569" t="e">
        <f>INDEX(resultados!$A$2:$ZZ$2290, 563, MATCH($B$2, resultados!$A$1:$ZZ$1, 0))</f>
        <v>#N/A</v>
      </c>
      <c r="C569" t="e">
        <f>INDEX(resultados!$A$2:$ZZ$2290, 563, MATCH($B$3, resultados!$A$1:$ZZ$1, 0))</f>
        <v>#N/A</v>
      </c>
    </row>
    <row r="570" spans="1:3" x14ac:dyDescent="0.3">
      <c r="A570" t="e">
        <f>INDEX(resultados!$A$2:$ZZ$2290, 564, MATCH($B$1, resultados!$A$1:$ZZ$1, 0))</f>
        <v>#N/A</v>
      </c>
      <c r="B570" t="e">
        <f>INDEX(resultados!$A$2:$ZZ$2290, 564, MATCH($B$2, resultados!$A$1:$ZZ$1, 0))</f>
        <v>#N/A</v>
      </c>
      <c r="C570" t="e">
        <f>INDEX(resultados!$A$2:$ZZ$2290, 564, MATCH($B$3, resultados!$A$1:$ZZ$1, 0))</f>
        <v>#N/A</v>
      </c>
    </row>
    <row r="571" spans="1:3" x14ac:dyDescent="0.3">
      <c r="A571" t="e">
        <f>INDEX(resultados!$A$2:$ZZ$2290, 565, MATCH($B$1, resultados!$A$1:$ZZ$1, 0))</f>
        <v>#N/A</v>
      </c>
      <c r="B571" t="e">
        <f>INDEX(resultados!$A$2:$ZZ$2290, 565, MATCH($B$2, resultados!$A$1:$ZZ$1, 0))</f>
        <v>#N/A</v>
      </c>
      <c r="C571" t="e">
        <f>INDEX(resultados!$A$2:$ZZ$2290, 565, MATCH($B$3, resultados!$A$1:$ZZ$1, 0))</f>
        <v>#N/A</v>
      </c>
    </row>
    <row r="572" spans="1:3" x14ac:dyDescent="0.3">
      <c r="A572" t="e">
        <f>INDEX(resultados!$A$2:$ZZ$2290, 566, MATCH($B$1, resultados!$A$1:$ZZ$1, 0))</f>
        <v>#N/A</v>
      </c>
      <c r="B572" t="e">
        <f>INDEX(resultados!$A$2:$ZZ$2290, 566, MATCH($B$2, resultados!$A$1:$ZZ$1, 0))</f>
        <v>#N/A</v>
      </c>
      <c r="C572" t="e">
        <f>INDEX(resultados!$A$2:$ZZ$2290, 566, MATCH($B$3, resultados!$A$1:$ZZ$1, 0))</f>
        <v>#N/A</v>
      </c>
    </row>
    <row r="573" spans="1:3" x14ac:dyDescent="0.3">
      <c r="A573" t="e">
        <f>INDEX(resultados!$A$2:$ZZ$2290, 567, MATCH($B$1, resultados!$A$1:$ZZ$1, 0))</f>
        <v>#N/A</v>
      </c>
      <c r="B573" t="e">
        <f>INDEX(resultados!$A$2:$ZZ$2290, 567, MATCH($B$2, resultados!$A$1:$ZZ$1, 0))</f>
        <v>#N/A</v>
      </c>
      <c r="C573" t="e">
        <f>INDEX(resultados!$A$2:$ZZ$2290, 567, MATCH($B$3, resultados!$A$1:$ZZ$1, 0))</f>
        <v>#N/A</v>
      </c>
    </row>
    <row r="574" spans="1:3" x14ac:dyDescent="0.3">
      <c r="A574" t="e">
        <f>INDEX(resultados!$A$2:$ZZ$2290, 568, MATCH($B$1, resultados!$A$1:$ZZ$1, 0))</f>
        <v>#N/A</v>
      </c>
      <c r="B574" t="e">
        <f>INDEX(resultados!$A$2:$ZZ$2290, 568, MATCH($B$2, resultados!$A$1:$ZZ$1, 0))</f>
        <v>#N/A</v>
      </c>
      <c r="C574" t="e">
        <f>INDEX(resultados!$A$2:$ZZ$2290, 568, MATCH($B$3, resultados!$A$1:$ZZ$1, 0))</f>
        <v>#N/A</v>
      </c>
    </row>
    <row r="575" spans="1:3" x14ac:dyDescent="0.3">
      <c r="A575" t="e">
        <f>INDEX(resultados!$A$2:$ZZ$2290, 569, MATCH($B$1, resultados!$A$1:$ZZ$1, 0))</f>
        <v>#N/A</v>
      </c>
      <c r="B575" t="e">
        <f>INDEX(resultados!$A$2:$ZZ$2290, 569, MATCH($B$2, resultados!$A$1:$ZZ$1, 0))</f>
        <v>#N/A</v>
      </c>
      <c r="C575" t="e">
        <f>INDEX(resultados!$A$2:$ZZ$2290, 569, MATCH($B$3, resultados!$A$1:$ZZ$1, 0))</f>
        <v>#N/A</v>
      </c>
    </row>
    <row r="576" spans="1:3" x14ac:dyDescent="0.3">
      <c r="A576" t="e">
        <f>INDEX(resultados!$A$2:$ZZ$2290, 570, MATCH($B$1, resultados!$A$1:$ZZ$1, 0))</f>
        <v>#N/A</v>
      </c>
      <c r="B576" t="e">
        <f>INDEX(resultados!$A$2:$ZZ$2290, 570, MATCH($B$2, resultados!$A$1:$ZZ$1, 0))</f>
        <v>#N/A</v>
      </c>
      <c r="C576" t="e">
        <f>INDEX(resultados!$A$2:$ZZ$2290, 570, MATCH($B$3, resultados!$A$1:$ZZ$1, 0))</f>
        <v>#N/A</v>
      </c>
    </row>
    <row r="577" spans="1:3" x14ac:dyDescent="0.3">
      <c r="A577" t="e">
        <f>INDEX(resultados!$A$2:$ZZ$2290, 571, MATCH($B$1, resultados!$A$1:$ZZ$1, 0))</f>
        <v>#N/A</v>
      </c>
      <c r="B577" t="e">
        <f>INDEX(resultados!$A$2:$ZZ$2290, 571, MATCH($B$2, resultados!$A$1:$ZZ$1, 0))</f>
        <v>#N/A</v>
      </c>
      <c r="C577" t="e">
        <f>INDEX(resultados!$A$2:$ZZ$2290, 571, MATCH($B$3, resultados!$A$1:$ZZ$1, 0))</f>
        <v>#N/A</v>
      </c>
    </row>
    <row r="578" spans="1:3" x14ac:dyDescent="0.3">
      <c r="A578" t="e">
        <f>INDEX(resultados!$A$2:$ZZ$2290, 572, MATCH($B$1, resultados!$A$1:$ZZ$1, 0))</f>
        <v>#N/A</v>
      </c>
      <c r="B578" t="e">
        <f>INDEX(resultados!$A$2:$ZZ$2290, 572, MATCH($B$2, resultados!$A$1:$ZZ$1, 0))</f>
        <v>#N/A</v>
      </c>
      <c r="C578" t="e">
        <f>INDEX(resultados!$A$2:$ZZ$2290, 572, MATCH($B$3, resultados!$A$1:$ZZ$1, 0))</f>
        <v>#N/A</v>
      </c>
    </row>
    <row r="579" spans="1:3" x14ac:dyDescent="0.3">
      <c r="A579" t="e">
        <f>INDEX(resultados!$A$2:$ZZ$2290, 573, MATCH($B$1, resultados!$A$1:$ZZ$1, 0))</f>
        <v>#N/A</v>
      </c>
      <c r="B579" t="e">
        <f>INDEX(resultados!$A$2:$ZZ$2290, 573, MATCH($B$2, resultados!$A$1:$ZZ$1, 0))</f>
        <v>#N/A</v>
      </c>
      <c r="C579" t="e">
        <f>INDEX(resultados!$A$2:$ZZ$2290, 573, MATCH($B$3, resultados!$A$1:$ZZ$1, 0))</f>
        <v>#N/A</v>
      </c>
    </row>
    <row r="580" spans="1:3" x14ac:dyDescent="0.3">
      <c r="A580" t="e">
        <f>INDEX(resultados!$A$2:$ZZ$2290, 574, MATCH($B$1, resultados!$A$1:$ZZ$1, 0))</f>
        <v>#N/A</v>
      </c>
      <c r="B580" t="e">
        <f>INDEX(resultados!$A$2:$ZZ$2290, 574, MATCH($B$2, resultados!$A$1:$ZZ$1, 0))</f>
        <v>#N/A</v>
      </c>
      <c r="C580" t="e">
        <f>INDEX(resultados!$A$2:$ZZ$2290, 574, MATCH($B$3, resultados!$A$1:$ZZ$1, 0))</f>
        <v>#N/A</v>
      </c>
    </row>
    <row r="581" spans="1:3" x14ac:dyDescent="0.3">
      <c r="A581" t="e">
        <f>INDEX(resultados!$A$2:$ZZ$2290, 575, MATCH($B$1, resultados!$A$1:$ZZ$1, 0))</f>
        <v>#N/A</v>
      </c>
      <c r="B581" t="e">
        <f>INDEX(resultados!$A$2:$ZZ$2290, 575, MATCH($B$2, resultados!$A$1:$ZZ$1, 0))</f>
        <v>#N/A</v>
      </c>
      <c r="C581" t="e">
        <f>INDEX(resultados!$A$2:$ZZ$2290, 575, MATCH($B$3, resultados!$A$1:$ZZ$1, 0))</f>
        <v>#N/A</v>
      </c>
    </row>
    <row r="582" spans="1:3" x14ac:dyDescent="0.3">
      <c r="A582" t="e">
        <f>INDEX(resultados!$A$2:$ZZ$2290, 576, MATCH($B$1, resultados!$A$1:$ZZ$1, 0))</f>
        <v>#N/A</v>
      </c>
      <c r="B582" t="e">
        <f>INDEX(resultados!$A$2:$ZZ$2290, 576, MATCH($B$2, resultados!$A$1:$ZZ$1, 0))</f>
        <v>#N/A</v>
      </c>
      <c r="C582" t="e">
        <f>INDEX(resultados!$A$2:$ZZ$2290, 576, MATCH($B$3, resultados!$A$1:$ZZ$1, 0))</f>
        <v>#N/A</v>
      </c>
    </row>
    <row r="583" spans="1:3" x14ac:dyDescent="0.3">
      <c r="A583" t="e">
        <f>INDEX(resultados!$A$2:$ZZ$2290, 577, MATCH($B$1, resultados!$A$1:$ZZ$1, 0))</f>
        <v>#N/A</v>
      </c>
      <c r="B583" t="e">
        <f>INDEX(resultados!$A$2:$ZZ$2290, 577, MATCH($B$2, resultados!$A$1:$ZZ$1, 0))</f>
        <v>#N/A</v>
      </c>
      <c r="C583" t="e">
        <f>INDEX(resultados!$A$2:$ZZ$2290, 577, MATCH($B$3, resultados!$A$1:$ZZ$1, 0))</f>
        <v>#N/A</v>
      </c>
    </row>
    <row r="584" spans="1:3" x14ac:dyDescent="0.3">
      <c r="A584" t="e">
        <f>INDEX(resultados!$A$2:$ZZ$2290, 578, MATCH($B$1, resultados!$A$1:$ZZ$1, 0))</f>
        <v>#N/A</v>
      </c>
      <c r="B584" t="e">
        <f>INDEX(resultados!$A$2:$ZZ$2290, 578, MATCH($B$2, resultados!$A$1:$ZZ$1, 0))</f>
        <v>#N/A</v>
      </c>
      <c r="C584" t="e">
        <f>INDEX(resultados!$A$2:$ZZ$2290, 578, MATCH($B$3, resultados!$A$1:$ZZ$1, 0))</f>
        <v>#N/A</v>
      </c>
    </row>
    <row r="585" spans="1:3" x14ac:dyDescent="0.3">
      <c r="A585" t="e">
        <f>INDEX(resultados!$A$2:$ZZ$2290, 579, MATCH($B$1, resultados!$A$1:$ZZ$1, 0))</f>
        <v>#N/A</v>
      </c>
      <c r="B585" t="e">
        <f>INDEX(resultados!$A$2:$ZZ$2290, 579, MATCH($B$2, resultados!$A$1:$ZZ$1, 0))</f>
        <v>#N/A</v>
      </c>
      <c r="C585" t="e">
        <f>INDEX(resultados!$A$2:$ZZ$2290, 579, MATCH($B$3, resultados!$A$1:$ZZ$1, 0))</f>
        <v>#N/A</v>
      </c>
    </row>
    <row r="586" spans="1:3" x14ac:dyDescent="0.3">
      <c r="A586" t="e">
        <f>INDEX(resultados!$A$2:$ZZ$2290, 580, MATCH($B$1, resultados!$A$1:$ZZ$1, 0))</f>
        <v>#N/A</v>
      </c>
      <c r="B586" t="e">
        <f>INDEX(resultados!$A$2:$ZZ$2290, 580, MATCH($B$2, resultados!$A$1:$ZZ$1, 0))</f>
        <v>#N/A</v>
      </c>
      <c r="C586" t="e">
        <f>INDEX(resultados!$A$2:$ZZ$2290, 580, MATCH($B$3, resultados!$A$1:$ZZ$1, 0))</f>
        <v>#N/A</v>
      </c>
    </row>
    <row r="587" spans="1:3" x14ac:dyDescent="0.3">
      <c r="A587" t="e">
        <f>INDEX(resultados!$A$2:$ZZ$2290, 581, MATCH($B$1, resultados!$A$1:$ZZ$1, 0))</f>
        <v>#N/A</v>
      </c>
      <c r="B587" t="e">
        <f>INDEX(resultados!$A$2:$ZZ$2290, 581, MATCH($B$2, resultados!$A$1:$ZZ$1, 0))</f>
        <v>#N/A</v>
      </c>
      <c r="C587" t="e">
        <f>INDEX(resultados!$A$2:$ZZ$2290, 581, MATCH($B$3, resultados!$A$1:$ZZ$1, 0))</f>
        <v>#N/A</v>
      </c>
    </row>
    <row r="588" spans="1:3" x14ac:dyDescent="0.3">
      <c r="A588" t="e">
        <f>INDEX(resultados!$A$2:$ZZ$2290, 582, MATCH($B$1, resultados!$A$1:$ZZ$1, 0))</f>
        <v>#N/A</v>
      </c>
      <c r="B588" t="e">
        <f>INDEX(resultados!$A$2:$ZZ$2290, 582, MATCH($B$2, resultados!$A$1:$ZZ$1, 0))</f>
        <v>#N/A</v>
      </c>
      <c r="C588" t="e">
        <f>INDEX(resultados!$A$2:$ZZ$2290, 582, MATCH($B$3, resultados!$A$1:$ZZ$1, 0))</f>
        <v>#N/A</v>
      </c>
    </row>
    <row r="589" spans="1:3" x14ac:dyDescent="0.3">
      <c r="A589" t="e">
        <f>INDEX(resultados!$A$2:$ZZ$2290, 583, MATCH($B$1, resultados!$A$1:$ZZ$1, 0))</f>
        <v>#N/A</v>
      </c>
      <c r="B589" t="e">
        <f>INDEX(resultados!$A$2:$ZZ$2290, 583, MATCH($B$2, resultados!$A$1:$ZZ$1, 0))</f>
        <v>#N/A</v>
      </c>
      <c r="C589" t="e">
        <f>INDEX(resultados!$A$2:$ZZ$2290, 583, MATCH($B$3, resultados!$A$1:$ZZ$1, 0))</f>
        <v>#N/A</v>
      </c>
    </row>
    <row r="590" spans="1:3" x14ac:dyDescent="0.3">
      <c r="A590" t="e">
        <f>INDEX(resultados!$A$2:$ZZ$2290, 584, MATCH($B$1, resultados!$A$1:$ZZ$1, 0))</f>
        <v>#N/A</v>
      </c>
      <c r="B590" t="e">
        <f>INDEX(resultados!$A$2:$ZZ$2290, 584, MATCH($B$2, resultados!$A$1:$ZZ$1, 0))</f>
        <v>#N/A</v>
      </c>
      <c r="C590" t="e">
        <f>INDEX(resultados!$A$2:$ZZ$2290, 584, MATCH($B$3, resultados!$A$1:$ZZ$1, 0))</f>
        <v>#N/A</v>
      </c>
    </row>
    <row r="591" spans="1:3" x14ac:dyDescent="0.3">
      <c r="A591" t="e">
        <f>INDEX(resultados!$A$2:$ZZ$2290, 585, MATCH($B$1, resultados!$A$1:$ZZ$1, 0))</f>
        <v>#N/A</v>
      </c>
      <c r="B591" t="e">
        <f>INDEX(resultados!$A$2:$ZZ$2290, 585, MATCH($B$2, resultados!$A$1:$ZZ$1, 0))</f>
        <v>#N/A</v>
      </c>
      <c r="C591" t="e">
        <f>INDEX(resultados!$A$2:$ZZ$2290, 585, MATCH($B$3, resultados!$A$1:$ZZ$1, 0))</f>
        <v>#N/A</v>
      </c>
    </row>
    <row r="592" spans="1:3" x14ac:dyDescent="0.3">
      <c r="A592" t="e">
        <f>INDEX(resultados!$A$2:$ZZ$2290, 586, MATCH($B$1, resultados!$A$1:$ZZ$1, 0))</f>
        <v>#N/A</v>
      </c>
      <c r="B592" t="e">
        <f>INDEX(resultados!$A$2:$ZZ$2290, 586, MATCH($B$2, resultados!$A$1:$ZZ$1, 0))</f>
        <v>#N/A</v>
      </c>
      <c r="C592" t="e">
        <f>INDEX(resultados!$A$2:$ZZ$2290, 586, MATCH($B$3, resultados!$A$1:$ZZ$1, 0))</f>
        <v>#N/A</v>
      </c>
    </row>
    <row r="593" spans="1:3" x14ac:dyDescent="0.3">
      <c r="A593" t="e">
        <f>INDEX(resultados!$A$2:$ZZ$2290, 587, MATCH($B$1, resultados!$A$1:$ZZ$1, 0))</f>
        <v>#N/A</v>
      </c>
      <c r="B593" t="e">
        <f>INDEX(resultados!$A$2:$ZZ$2290, 587, MATCH($B$2, resultados!$A$1:$ZZ$1, 0))</f>
        <v>#N/A</v>
      </c>
      <c r="C593" t="e">
        <f>INDEX(resultados!$A$2:$ZZ$2290, 587, MATCH($B$3, resultados!$A$1:$ZZ$1, 0))</f>
        <v>#N/A</v>
      </c>
    </row>
    <row r="594" spans="1:3" x14ac:dyDescent="0.3">
      <c r="A594" t="e">
        <f>INDEX(resultados!$A$2:$ZZ$2290, 588, MATCH($B$1, resultados!$A$1:$ZZ$1, 0))</f>
        <v>#N/A</v>
      </c>
      <c r="B594" t="e">
        <f>INDEX(resultados!$A$2:$ZZ$2290, 588, MATCH($B$2, resultados!$A$1:$ZZ$1, 0))</f>
        <v>#N/A</v>
      </c>
      <c r="C594" t="e">
        <f>INDEX(resultados!$A$2:$ZZ$2290, 588, MATCH($B$3, resultados!$A$1:$ZZ$1, 0))</f>
        <v>#N/A</v>
      </c>
    </row>
    <row r="595" spans="1:3" x14ac:dyDescent="0.3">
      <c r="A595" t="e">
        <f>INDEX(resultados!$A$2:$ZZ$2290, 589, MATCH($B$1, resultados!$A$1:$ZZ$1, 0))</f>
        <v>#N/A</v>
      </c>
      <c r="B595" t="e">
        <f>INDEX(resultados!$A$2:$ZZ$2290, 589, MATCH($B$2, resultados!$A$1:$ZZ$1, 0))</f>
        <v>#N/A</v>
      </c>
      <c r="C595" t="e">
        <f>INDEX(resultados!$A$2:$ZZ$2290, 589, MATCH($B$3, resultados!$A$1:$ZZ$1, 0))</f>
        <v>#N/A</v>
      </c>
    </row>
    <row r="596" spans="1:3" x14ac:dyDescent="0.3">
      <c r="A596" t="e">
        <f>INDEX(resultados!$A$2:$ZZ$2290, 590, MATCH($B$1, resultados!$A$1:$ZZ$1, 0))</f>
        <v>#N/A</v>
      </c>
      <c r="B596" t="e">
        <f>INDEX(resultados!$A$2:$ZZ$2290, 590, MATCH($B$2, resultados!$A$1:$ZZ$1, 0))</f>
        <v>#N/A</v>
      </c>
      <c r="C596" t="e">
        <f>INDEX(resultados!$A$2:$ZZ$2290, 590, MATCH($B$3, resultados!$A$1:$ZZ$1, 0))</f>
        <v>#N/A</v>
      </c>
    </row>
    <row r="597" spans="1:3" x14ac:dyDescent="0.3">
      <c r="A597" t="e">
        <f>INDEX(resultados!$A$2:$ZZ$2290, 591, MATCH($B$1, resultados!$A$1:$ZZ$1, 0))</f>
        <v>#N/A</v>
      </c>
      <c r="B597" t="e">
        <f>INDEX(resultados!$A$2:$ZZ$2290, 591, MATCH($B$2, resultados!$A$1:$ZZ$1, 0))</f>
        <v>#N/A</v>
      </c>
      <c r="C597" t="e">
        <f>INDEX(resultados!$A$2:$ZZ$2290, 591, MATCH($B$3, resultados!$A$1:$ZZ$1, 0))</f>
        <v>#N/A</v>
      </c>
    </row>
    <row r="598" spans="1:3" x14ac:dyDescent="0.3">
      <c r="A598" t="e">
        <f>INDEX(resultados!$A$2:$ZZ$2290, 592, MATCH($B$1, resultados!$A$1:$ZZ$1, 0))</f>
        <v>#N/A</v>
      </c>
      <c r="B598" t="e">
        <f>INDEX(resultados!$A$2:$ZZ$2290, 592, MATCH($B$2, resultados!$A$1:$ZZ$1, 0))</f>
        <v>#N/A</v>
      </c>
      <c r="C598" t="e">
        <f>INDEX(resultados!$A$2:$ZZ$2290, 592, MATCH($B$3, resultados!$A$1:$ZZ$1, 0))</f>
        <v>#N/A</v>
      </c>
    </row>
    <row r="599" spans="1:3" x14ac:dyDescent="0.3">
      <c r="A599" t="e">
        <f>INDEX(resultados!$A$2:$ZZ$2290, 593, MATCH($B$1, resultados!$A$1:$ZZ$1, 0))</f>
        <v>#N/A</v>
      </c>
      <c r="B599" t="e">
        <f>INDEX(resultados!$A$2:$ZZ$2290, 593, MATCH($B$2, resultados!$A$1:$ZZ$1, 0))</f>
        <v>#N/A</v>
      </c>
      <c r="C599" t="e">
        <f>INDEX(resultados!$A$2:$ZZ$2290, 593, MATCH($B$3, resultados!$A$1:$ZZ$1, 0))</f>
        <v>#N/A</v>
      </c>
    </row>
    <row r="600" spans="1:3" x14ac:dyDescent="0.3">
      <c r="A600" t="e">
        <f>INDEX(resultados!$A$2:$ZZ$2290, 594, MATCH($B$1, resultados!$A$1:$ZZ$1, 0))</f>
        <v>#N/A</v>
      </c>
      <c r="B600" t="e">
        <f>INDEX(resultados!$A$2:$ZZ$2290, 594, MATCH($B$2, resultados!$A$1:$ZZ$1, 0))</f>
        <v>#N/A</v>
      </c>
      <c r="C600" t="e">
        <f>INDEX(resultados!$A$2:$ZZ$2290, 594, MATCH($B$3, resultados!$A$1:$ZZ$1, 0))</f>
        <v>#N/A</v>
      </c>
    </row>
    <row r="601" spans="1:3" x14ac:dyDescent="0.3">
      <c r="A601" t="e">
        <f>INDEX(resultados!$A$2:$ZZ$2290, 595, MATCH($B$1, resultados!$A$1:$ZZ$1, 0))</f>
        <v>#N/A</v>
      </c>
      <c r="B601" t="e">
        <f>INDEX(resultados!$A$2:$ZZ$2290, 595, MATCH($B$2, resultados!$A$1:$ZZ$1, 0))</f>
        <v>#N/A</v>
      </c>
      <c r="C601" t="e">
        <f>INDEX(resultados!$A$2:$ZZ$2290, 595, MATCH($B$3, resultados!$A$1:$ZZ$1, 0))</f>
        <v>#N/A</v>
      </c>
    </row>
    <row r="602" spans="1:3" x14ac:dyDescent="0.3">
      <c r="A602" t="e">
        <f>INDEX(resultados!$A$2:$ZZ$2290, 596, MATCH($B$1, resultados!$A$1:$ZZ$1, 0))</f>
        <v>#N/A</v>
      </c>
      <c r="B602" t="e">
        <f>INDEX(resultados!$A$2:$ZZ$2290, 596, MATCH($B$2, resultados!$A$1:$ZZ$1, 0))</f>
        <v>#N/A</v>
      </c>
      <c r="C602" t="e">
        <f>INDEX(resultados!$A$2:$ZZ$2290, 596, MATCH($B$3, resultados!$A$1:$ZZ$1, 0))</f>
        <v>#N/A</v>
      </c>
    </row>
    <row r="603" spans="1:3" x14ac:dyDescent="0.3">
      <c r="A603" t="e">
        <f>INDEX(resultados!$A$2:$ZZ$2290, 597, MATCH($B$1, resultados!$A$1:$ZZ$1, 0))</f>
        <v>#N/A</v>
      </c>
      <c r="B603" t="e">
        <f>INDEX(resultados!$A$2:$ZZ$2290, 597, MATCH($B$2, resultados!$A$1:$ZZ$1, 0))</f>
        <v>#N/A</v>
      </c>
      <c r="C603" t="e">
        <f>INDEX(resultados!$A$2:$ZZ$2290, 597, MATCH($B$3, resultados!$A$1:$ZZ$1, 0))</f>
        <v>#N/A</v>
      </c>
    </row>
    <row r="604" spans="1:3" x14ac:dyDescent="0.3">
      <c r="A604" t="e">
        <f>INDEX(resultados!$A$2:$ZZ$2290, 598, MATCH($B$1, resultados!$A$1:$ZZ$1, 0))</f>
        <v>#N/A</v>
      </c>
      <c r="B604" t="e">
        <f>INDEX(resultados!$A$2:$ZZ$2290, 598, MATCH($B$2, resultados!$A$1:$ZZ$1, 0))</f>
        <v>#N/A</v>
      </c>
      <c r="C604" t="e">
        <f>INDEX(resultados!$A$2:$ZZ$2290, 598, MATCH($B$3, resultados!$A$1:$ZZ$1, 0))</f>
        <v>#N/A</v>
      </c>
    </row>
    <row r="605" spans="1:3" x14ac:dyDescent="0.3">
      <c r="A605" t="e">
        <f>INDEX(resultados!$A$2:$ZZ$2290, 599, MATCH($B$1, resultados!$A$1:$ZZ$1, 0))</f>
        <v>#N/A</v>
      </c>
      <c r="B605" t="e">
        <f>INDEX(resultados!$A$2:$ZZ$2290, 599, MATCH($B$2, resultados!$A$1:$ZZ$1, 0))</f>
        <v>#N/A</v>
      </c>
      <c r="C605" t="e">
        <f>INDEX(resultados!$A$2:$ZZ$2290, 599, MATCH($B$3, resultados!$A$1:$ZZ$1, 0))</f>
        <v>#N/A</v>
      </c>
    </row>
    <row r="606" spans="1:3" x14ac:dyDescent="0.3">
      <c r="A606" t="e">
        <f>INDEX(resultados!$A$2:$ZZ$2290, 600, MATCH($B$1, resultados!$A$1:$ZZ$1, 0))</f>
        <v>#N/A</v>
      </c>
      <c r="B606" t="e">
        <f>INDEX(resultados!$A$2:$ZZ$2290, 600, MATCH($B$2, resultados!$A$1:$ZZ$1, 0))</f>
        <v>#N/A</v>
      </c>
      <c r="C606" t="e">
        <f>INDEX(resultados!$A$2:$ZZ$2290, 600, MATCH($B$3, resultados!$A$1:$ZZ$1, 0))</f>
        <v>#N/A</v>
      </c>
    </row>
    <row r="607" spans="1:3" x14ac:dyDescent="0.3">
      <c r="A607" t="e">
        <f>INDEX(resultados!$A$2:$ZZ$2290, 601, MATCH($B$1, resultados!$A$1:$ZZ$1, 0))</f>
        <v>#N/A</v>
      </c>
      <c r="B607" t="e">
        <f>INDEX(resultados!$A$2:$ZZ$2290, 601, MATCH($B$2, resultados!$A$1:$ZZ$1, 0))</f>
        <v>#N/A</v>
      </c>
      <c r="C607" t="e">
        <f>INDEX(resultados!$A$2:$ZZ$2290, 601, MATCH($B$3, resultados!$A$1:$ZZ$1, 0))</f>
        <v>#N/A</v>
      </c>
    </row>
    <row r="608" spans="1:3" x14ac:dyDescent="0.3">
      <c r="A608" t="e">
        <f>INDEX(resultados!$A$2:$ZZ$2290, 602, MATCH($B$1, resultados!$A$1:$ZZ$1, 0))</f>
        <v>#N/A</v>
      </c>
      <c r="B608" t="e">
        <f>INDEX(resultados!$A$2:$ZZ$2290, 602, MATCH($B$2, resultados!$A$1:$ZZ$1, 0))</f>
        <v>#N/A</v>
      </c>
      <c r="C608" t="e">
        <f>INDEX(resultados!$A$2:$ZZ$2290, 602, MATCH($B$3, resultados!$A$1:$ZZ$1, 0))</f>
        <v>#N/A</v>
      </c>
    </row>
    <row r="609" spans="1:3" x14ac:dyDescent="0.3">
      <c r="A609" t="e">
        <f>INDEX(resultados!$A$2:$ZZ$2290, 603, MATCH($B$1, resultados!$A$1:$ZZ$1, 0))</f>
        <v>#N/A</v>
      </c>
      <c r="B609" t="e">
        <f>INDEX(resultados!$A$2:$ZZ$2290, 603, MATCH($B$2, resultados!$A$1:$ZZ$1, 0))</f>
        <v>#N/A</v>
      </c>
      <c r="C609" t="e">
        <f>INDEX(resultados!$A$2:$ZZ$2290, 603, MATCH($B$3, resultados!$A$1:$ZZ$1, 0))</f>
        <v>#N/A</v>
      </c>
    </row>
    <row r="610" spans="1:3" x14ac:dyDescent="0.3">
      <c r="A610" t="e">
        <f>INDEX(resultados!$A$2:$ZZ$2290, 604, MATCH($B$1, resultados!$A$1:$ZZ$1, 0))</f>
        <v>#N/A</v>
      </c>
      <c r="B610" t="e">
        <f>INDEX(resultados!$A$2:$ZZ$2290, 604, MATCH($B$2, resultados!$A$1:$ZZ$1, 0))</f>
        <v>#N/A</v>
      </c>
      <c r="C610" t="e">
        <f>INDEX(resultados!$A$2:$ZZ$2290, 604, MATCH($B$3, resultados!$A$1:$ZZ$1, 0))</f>
        <v>#N/A</v>
      </c>
    </row>
    <row r="611" spans="1:3" x14ac:dyDescent="0.3">
      <c r="A611" t="e">
        <f>INDEX(resultados!$A$2:$ZZ$2290, 605, MATCH($B$1, resultados!$A$1:$ZZ$1, 0))</f>
        <v>#N/A</v>
      </c>
      <c r="B611" t="e">
        <f>INDEX(resultados!$A$2:$ZZ$2290, 605, MATCH($B$2, resultados!$A$1:$ZZ$1, 0))</f>
        <v>#N/A</v>
      </c>
      <c r="C611" t="e">
        <f>INDEX(resultados!$A$2:$ZZ$2290, 605, MATCH($B$3, resultados!$A$1:$ZZ$1, 0))</f>
        <v>#N/A</v>
      </c>
    </row>
    <row r="612" spans="1:3" x14ac:dyDescent="0.3">
      <c r="A612" t="e">
        <f>INDEX(resultados!$A$2:$ZZ$2290, 606, MATCH($B$1, resultados!$A$1:$ZZ$1, 0))</f>
        <v>#N/A</v>
      </c>
      <c r="B612" t="e">
        <f>INDEX(resultados!$A$2:$ZZ$2290, 606, MATCH($B$2, resultados!$A$1:$ZZ$1, 0))</f>
        <v>#N/A</v>
      </c>
      <c r="C612" t="e">
        <f>INDEX(resultados!$A$2:$ZZ$2290, 606, MATCH($B$3, resultados!$A$1:$ZZ$1, 0))</f>
        <v>#N/A</v>
      </c>
    </row>
    <row r="613" spans="1:3" x14ac:dyDescent="0.3">
      <c r="A613" t="e">
        <f>INDEX(resultados!$A$2:$ZZ$2290, 607, MATCH($B$1, resultados!$A$1:$ZZ$1, 0))</f>
        <v>#N/A</v>
      </c>
      <c r="B613" t="e">
        <f>INDEX(resultados!$A$2:$ZZ$2290, 607, MATCH($B$2, resultados!$A$1:$ZZ$1, 0))</f>
        <v>#N/A</v>
      </c>
      <c r="C613" t="e">
        <f>INDEX(resultados!$A$2:$ZZ$2290, 607, MATCH($B$3, resultados!$A$1:$ZZ$1, 0))</f>
        <v>#N/A</v>
      </c>
    </row>
    <row r="614" spans="1:3" x14ac:dyDescent="0.3">
      <c r="A614" t="e">
        <f>INDEX(resultados!$A$2:$ZZ$2290, 608, MATCH($B$1, resultados!$A$1:$ZZ$1, 0))</f>
        <v>#N/A</v>
      </c>
      <c r="B614" t="e">
        <f>INDEX(resultados!$A$2:$ZZ$2290, 608, MATCH($B$2, resultados!$A$1:$ZZ$1, 0))</f>
        <v>#N/A</v>
      </c>
      <c r="C614" t="e">
        <f>INDEX(resultados!$A$2:$ZZ$2290, 608, MATCH($B$3, resultados!$A$1:$ZZ$1, 0))</f>
        <v>#N/A</v>
      </c>
    </row>
    <row r="615" spans="1:3" x14ac:dyDescent="0.3">
      <c r="A615" t="e">
        <f>INDEX(resultados!$A$2:$ZZ$2290, 609, MATCH($B$1, resultados!$A$1:$ZZ$1, 0))</f>
        <v>#N/A</v>
      </c>
      <c r="B615" t="e">
        <f>INDEX(resultados!$A$2:$ZZ$2290, 609, MATCH($B$2, resultados!$A$1:$ZZ$1, 0))</f>
        <v>#N/A</v>
      </c>
      <c r="C615" t="e">
        <f>INDEX(resultados!$A$2:$ZZ$2290, 609, MATCH($B$3, resultados!$A$1:$ZZ$1, 0))</f>
        <v>#N/A</v>
      </c>
    </row>
    <row r="616" spans="1:3" x14ac:dyDescent="0.3">
      <c r="A616" t="e">
        <f>INDEX(resultados!$A$2:$ZZ$2290, 610, MATCH($B$1, resultados!$A$1:$ZZ$1, 0))</f>
        <v>#N/A</v>
      </c>
      <c r="B616" t="e">
        <f>INDEX(resultados!$A$2:$ZZ$2290, 610, MATCH($B$2, resultados!$A$1:$ZZ$1, 0))</f>
        <v>#N/A</v>
      </c>
      <c r="C616" t="e">
        <f>INDEX(resultados!$A$2:$ZZ$2290, 610, MATCH($B$3, resultados!$A$1:$ZZ$1, 0))</f>
        <v>#N/A</v>
      </c>
    </row>
    <row r="617" spans="1:3" x14ac:dyDescent="0.3">
      <c r="A617" t="e">
        <f>INDEX(resultados!$A$2:$ZZ$2290, 611, MATCH($B$1, resultados!$A$1:$ZZ$1, 0))</f>
        <v>#N/A</v>
      </c>
      <c r="B617" t="e">
        <f>INDEX(resultados!$A$2:$ZZ$2290, 611, MATCH($B$2, resultados!$A$1:$ZZ$1, 0))</f>
        <v>#N/A</v>
      </c>
      <c r="C617" t="e">
        <f>INDEX(resultados!$A$2:$ZZ$2290, 611, MATCH($B$3, resultados!$A$1:$ZZ$1, 0))</f>
        <v>#N/A</v>
      </c>
    </row>
    <row r="618" spans="1:3" x14ac:dyDescent="0.3">
      <c r="A618" t="e">
        <f>INDEX(resultados!$A$2:$ZZ$2290, 612, MATCH($B$1, resultados!$A$1:$ZZ$1, 0))</f>
        <v>#N/A</v>
      </c>
      <c r="B618" t="e">
        <f>INDEX(resultados!$A$2:$ZZ$2290, 612, MATCH($B$2, resultados!$A$1:$ZZ$1, 0))</f>
        <v>#N/A</v>
      </c>
      <c r="C618" t="e">
        <f>INDEX(resultados!$A$2:$ZZ$2290, 612, MATCH($B$3, resultados!$A$1:$ZZ$1, 0))</f>
        <v>#N/A</v>
      </c>
    </row>
    <row r="619" spans="1:3" x14ac:dyDescent="0.3">
      <c r="A619" t="e">
        <f>INDEX(resultados!$A$2:$ZZ$2290, 613, MATCH($B$1, resultados!$A$1:$ZZ$1, 0))</f>
        <v>#N/A</v>
      </c>
      <c r="B619" t="e">
        <f>INDEX(resultados!$A$2:$ZZ$2290, 613, MATCH($B$2, resultados!$A$1:$ZZ$1, 0))</f>
        <v>#N/A</v>
      </c>
      <c r="C619" t="e">
        <f>INDEX(resultados!$A$2:$ZZ$2290, 613, MATCH($B$3, resultados!$A$1:$ZZ$1, 0))</f>
        <v>#N/A</v>
      </c>
    </row>
    <row r="620" spans="1:3" x14ac:dyDescent="0.3">
      <c r="A620" t="e">
        <f>INDEX(resultados!$A$2:$ZZ$2290, 614, MATCH($B$1, resultados!$A$1:$ZZ$1, 0))</f>
        <v>#N/A</v>
      </c>
      <c r="B620" t="e">
        <f>INDEX(resultados!$A$2:$ZZ$2290, 614, MATCH($B$2, resultados!$A$1:$ZZ$1, 0))</f>
        <v>#N/A</v>
      </c>
      <c r="C620" t="e">
        <f>INDEX(resultados!$A$2:$ZZ$2290, 614, MATCH($B$3, resultados!$A$1:$ZZ$1, 0))</f>
        <v>#N/A</v>
      </c>
    </row>
    <row r="621" spans="1:3" x14ac:dyDescent="0.3">
      <c r="A621" t="e">
        <f>INDEX(resultados!$A$2:$ZZ$2290, 615, MATCH($B$1, resultados!$A$1:$ZZ$1, 0))</f>
        <v>#N/A</v>
      </c>
      <c r="B621" t="e">
        <f>INDEX(resultados!$A$2:$ZZ$2290, 615, MATCH($B$2, resultados!$A$1:$ZZ$1, 0))</f>
        <v>#N/A</v>
      </c>
      <c r="C621" t="e">
        <f>INDEX(resultados!$A$2:$ZZ$2290, 615, MATCH($B$3, resultados!$A$1:$ZZ$1, 0))</f>
        <v>#N/A</v>
      </c>
    </row>
    <row r="622" spans="1:3" x14ac:dyDescent="0.3">
      <c r="A622" t="e">
        <f>INDEX(resultados!$A$2:$ZZ$2290, 616, MATCH($B$1, resultados!$A$1:$ZZ$1, 0))</f>
        <v>#N/A</v>
      </c>
      <c r="B622" t="e">
        <f>INDEX(resultados!$A$2:$ZZ$2290, 616, MATCH($B$2, resultados!$A$1:$ZZ$1, 0))</f>
        <v>#N/A</v>
      </c>
      <c r="C622" t="e">
        <f>INDEX(resultados!$A$2:$ZZ$2290, 616, MATCH($B$3, resultados!$A$1:$ZZ$1, 0))</f>
        <v>#N/A</v>
      </c>
    </row>
    <row r="623" spans="1:3" x14ac:dyDescent="0.3">
      <c r="A623" t="e">
        <f>INDEX(resultados!$A$2:$ZZ$2290, 617, MATCH($B$1, resultados!$A$1:$ZZ$1, 0))</f>
        <v>#N/A</v>
      </c>
      <c r="B623" t="e">
        <f>INDEX(resultados!$A$2:$ZZ$2290, 617, MATCH($B$2, resultados!$A$1:$ZZ$1, 0))</f>
        <v>#N/A</v>
      </c>
      <c r="C623" t="e">
        <f>INDEX(resultados!$A$2:$ZZ$2290, 617, MATCH($B$3, resultados!$A$1:$ZZ$1, 0))</f>
        <v>#N/A</v>
      </c>
    </row>
    <row r="624" spans="1:3" x14ac:dyDescent="0.3">
      <c r="A624" t="e">
        <f>INDEX(resultados!$A$2:$ZZ$2290, 618, MATCH($B$1, resultados!$A$1:$ZZ$1, 0))</f>
        <v>#N/A</v>
      </c>
      <c r="B624" t="e">
        <f>INDEX(resultados!$A$2:$ZZ$2290, 618, MATCH($B$2, resultados!$A$1:$ZZ$1, 0))</f>
        <v>#N/A</v>
      </c>
      <c r="C624" t="e">
        <f>INDEX(resultados!$A$2:$ZZ$2290, 618, MATCH($B$3, resultados!$A$1:$ZZ$1, 0))</f>
        <v>#N/A</v>
      </c>
    </row>
    <row r="625" spans="1:3" x14ac:dyDescent="0.3">
      <c r="A625" t="e">
        <f>INDEX(resultados!$A$2:$ZZ$2290, 619, MATCH($B$1, resultados!$A$1:$ZZ$1, 0))</f>
        <v>#N/A</v>
      </c>
      <c r="B625" t="e">
        <f>INDEX(resultados!$A$2:$ZZ$2290, 619, MATCH($B$2, resultados!$A$1:$ZZ$1, 0))</f>
        <v>#N/A</v>
      </c>
      <c r="C625" t="e">
        <f>INDEX(resultados!$A$2:$ZZ$2290, 619, MATCH($B$3, resultados!$A$1:$ZZ$1, 0))</f>
        <v>#N/A</v>
      </c>
    </row>
    <row r="626" spans="1:3" x14ac:dyDescent="0.3">
      <c r="A626" t="e">
        <f>INDEX(resultados!$A$2:$ZZ$2290, 620, MATCH($B$1, resultados!$A$1:$ZZ$1, 0))</f>
        <v>#N/A</v>
      </c>
      <c r="B626" t="e">
        <f>INDEX(resultados!$A$2:$ZZ$2290, 620, MATCH($B$2, resultados!$A$1:$ZZ$1, 0))</f>
        <v>#N/A</v>
      </c>
      <c r="C626" t="e">
        <f>INDEX(resultados!$A$2:$ZZ$2290, 620, MATCH($B$3, resultados!$A$1:$ZZ$1, 0))</f>
        <v>#N/A</v>
      </c>
    </row>
    <row r="627" spans="1:3" x14ac:dyDescent="0.3">
      <c r="A627" t="e">
        <f>INDEX(resultados!$A$2:$ZZ$2290, 621, MATCH($B$1, resultados!$A$1:$ZZ$1, 0))</f>
        <v>#N/A</v>
      </c>
      <c r="B627" t="e">
        <f>INDEX(resultados!$A$2:$ZZ$2290, 621, MATCH($B$2, resultados!$A$1:$ZZ$1, 0))</f>
        <v>#N/A</v>
      </c>
      <c r="C627" t="e">
        <f>INDEX(resultados!$A$2:$ZZ$2290, 621, MATCH($B$3, resultados!$A$1:$ZZ$1, 0))</f>
        <v>#N/A</v>
      </c>
    </row>
    <row r="628" spans="1:3" x14ac:dyDescent="0.3">
      <c r="A628" t="e">
        <f>INDEX(resultados!$A$2:$ZZ$2290, 622, MATCH($B$1, resultados!$A$1:$ZZ$1, 0))</f>
        <v>#N/A</v>
      </c>
      <c r="B628" t="e">
        <f>INDEX(resultados!$A$2:$ZZ$2290, 622, MATCH($B$2, resultados!$A$1:$ZZ$1, 0))</f>
        <v>#N/A</v>
      </c>
      <c r="C628" t="e">
        <f>INDEX(resultados!$A$2:$ZZ$2290, 622, MATCH($B$3, resultados!$A$1:$ZZ$1, 0))</f>
        <v>#N/A</v>
      </c>
    </row>
    <row r="629" spans="1:3" x14ac:dyDescent="0.3">
      <c r="A629" t="e">
        <f>INDEX(resultados!$A$2:$ZZ$2290, 623, MATCH($B$1, resultados!$A$1:$ZZ$1, 0))</f>
        <v>#N/A</v>
      </c>
      <c r="B629" t="e">
        <f>INDEX(resultados!$A$2:$ZZ$2290, 623, MATCH($B$2, resultados!$A$1:$ZZ$1, 0))</f>
        <v>#N/A</v>
      </c>
      <c r="C629" t="e">
        <f>INDEX(resultados!$A$2:$ZZ$2290, 623, MATCH($B$3, resultados!$A$1:$ZZ$1, 0))</f>
        <v>#N/A</v>
      </c>
    </row>
    <row r="630" spans="1:3" x14ac:dyDescent="0.3">
      <c r="A630" t="e">
        <f>INDEX(resultados!$A$2:$ZZ$2290, 624, MATCH($B$1, resultados!$A$1:$ZZ$1, 0))</f>
        <v>#N/A</v>
      </c>
      <c r="B630" t="e">
        <f>INDEX(resultados!$A$2:$ZZ$2290, 624, MATCH($B$2, resultados!$A$1:$ZZ$1, 0))</f>
        <v>#N/A</v>
      </c>
      <c r="C630" t="e">
        <f>INDEX(resultados!$A$2:$ZZ$2290, 624, MATCH($B$3, resultados!$A$1:$ZZ$1, 0))</f>
        <v>#N/A</v>
      </c>
    </row>
    <row r="631" spans="1:3" x14ac:dyDescent="0.3">
      <c r="A631" t="e">
        <f>INDEX(resultados!$A$2:$ZZ$2290, 625, MATCH($B$1, resultados!$A$1:$ZZ$1, 0))</f>
        <v>#N/A</v>
      </c>
      <c r="B631" t="e">
        <f>INDEX(resultados!$A$2:$ZZ$2290, 625, MATCH($B$2, resultados!$A$1:$ZZ$1, 0))</f>
        <v>#N/A</v>
      </c>
      <c r="C631" t="e">
        <f>INDEX(resultados!$A$2:$ZZ$2290, 625, MATCH($B$3, resultados!$A$1:$ZZ$1, 0))</f>
        <v>#N/A</v>
      </c>
    </row>
    <row r="632" spans="1:3" x14ac:dyDescent="0.3">
      <c r="A632" t="e">
        <f>INDEX(resultados!$A$2:$ZZ$2290, 626, MATCH($B$1, resultados!$A$1:$ZZ$1, 0))</f>
        <v>#N/A</v>
      </c>
      <c r="B632" t="e">
        <f>INDEX(resultados!$A$2:$ZZ$2290, 626, MATCH($B$2, resultados!$A$1:$ZZ$1, 0))</f>
        <v>#N/A</v>
      </c>
      <c r="C632" t="e">
        <f>INDEX(resultados!$A$2:$ZZ$2290, 626, MATCH($B$3, resultados!$A$1:$ZZ$1, 0))</f>
        <v>#N/A</v>
      </c>
    </row>
    <row r="633" spans="1:3" x14ac:dyDescent="0.3">
      <c r="A633" t="e">
        <f>INDEX(resultados!$A$2:$ZZ$2290, 627, MATCH($B$1, resultados!$A$1:$ZZ$1, 0))</f>
        <v>#N/A</v>
      </c>
      <c r="B633" t="e">
        <f>INDEX(resultados!$A$2:$ZZ$2290, 627, MATCH($B$2, resultados!$A$1:$ZZ$1, 0))</f>
        <v>#N/A</v>
      </c>
      <c r="C633" t="e">
        <f>INDEX(resultados!$A$2:$ZZ$2290, 627, MATCH($B$3, resultados!$A$1:$ZZ$1, 0))</f>
        <v>#N/A</v>
      </c>
    </row>
    <row r="634" spans="1:3" x14ac:dyDescent="0.3">
      <c r="A634" t="e">
        <f>INDEX(resultados!$A$2:$ZZ$2290, 628, MATCH($B$1, resultados!$A$1:$ZZ$1, 0))</f>
        <v>#N/A</v>
      </c>
      <c r="B634" t="e">
        <f>INDEX(resultados!$A$2:$ZZ$2290, 628, MATCH($B$2, resultados!$A$1:$ZZ$1, 0))</f>
        <v>#N/A</v>
      </c>
      <c r="C634" t="e">
        <f>INDEX(resultados!$A$2:$ZZ$2290, 628, MATCH($B$3, resultados!$A$1:$ZZ$1, 0))</f>
        <v>#N/A</v>
      </c>
    </row>
    <row r="635" spans="1:3" x14ac:dyDescent="0.3">
      <c r="A635" t="e">
        <f>INDEX(resultados!$A$2:$ZZ$2290, 629, MATCH($B$1, resultados!$A$1:$ZZ$1, 0))</f>
        <v>#N/A</v>
      </c>
      <c r="B635" t="e">
        <f>INDEX(resultados!$A$2:$ZZ$2290, 629, MATCH($B$2, resultados!$A$1:$ZZ$1, 0))</f>
        <v>#N/A</v>
      </c>
      <c r="C635" t="e">
        <f>INDEX(resultados!$A$2:$ZZ$2290, 629, MATCH($B$3, resultados!$A$1:$ZZ$1, 0))</f>
        <v>#N/A</v>
      </c>
    </row>
    <row r="636" spans="1:3" x14ac:dyDescent="0.3">
      <c r="A636" t="e">
        <f>INDEX(resultados!$A$2:$ZZ$2290, 630, MATCH($B$1, resultados!$A$1:$ZZ$1, 0))</f>
        <v>#N/A</v>
      </c>
      <c r="B636" t="e">
        <f>INDEX(resultados!$A$2:$ZZ$2290, 630, MATCH($B$2, resultados!$A$1:$ZZ$1, 0))</f>
        <v>#N/A</v>
      </c>
      <c r="C636" t="e">
        <f>INDEX(resultados!$A$2:$ZZ$2290, 630, MATCH($B$3, resultados!$A$1:$ZZ$1, 0))</f>
        <v>#N/A</v>
      </c>
    </row>
    <row r="637" spans="1:3" x14ac:dyDescent="0.3">
      <c r="A637" t="e">
        <f>INDEX(resultados!$A$2:$ZZ$2290, 631, MATCH($B$1, resultados!$A$1:$ZZ$1, 0))</f>
        <v>#N/A</v>
      </c>
      <c r="B637" t="e">
        <f>INDEX(resultados!$A$2:$ZZ$2290, 631, MATCH($B$2, resultados!$A$1:$ZZ$1, 0))</f>
        <v>#N/A</v>
      </c>
      <c r="C637" t="e">
        <f>INDEX(resultados!$A$2:$ZZ$2290, 631, MATCH($B$3, resultados!$A$1:$ZZ$1, 0))</f>
        <v>#N/A</v>
      </c>
    </row>
    <row r="638" spans="1:3" x14ac:dyDescent="0.3">
      <c r="A638" t="e">
        <f>INDEX(resultados!$A$2:$ZZ$2290, 632, MATCH($B$1, resultados!$A$1:$ZZ$1, 0))</f>
        <v>#N/A</v>
      </c>
      <c r="B638" t="e">
        <f>INDEX(resultados!$A$2:$ZZ$2290, 632, MATCH($B$2, resultados!$A$1:$ZZ$1, 0))</f>
        <v>#N/A</v>
      </c>
      <c r="C638" t="e">
        <f>INDEX(resultados!$A$2:$ZZ$2290, 632, MATCH($B$3, resultados!$A$1:$ZZ$1, 0))</f>
        <v>#N/A</v>
      </c>
    </row>
    <row r="639" spans="1:3" x14ac:dyDescent="0.3">
      <c r="A639" t="e">
        <f>INDEX(resultados!$A$2:$ZZ$2290, 633, MATCH($B$1, resultados!$A$1:$ZZ$1, 0))</f>
        <v>#N/A</v>
      </c>
      <c r="B639" t="e">
        <f>INDEX(resultados!$A$2:$ZZ$2290, 633, MATCH($B$2, resultados!$A$1:$ZZ$1, 0))</f>
        <v>#N/A</v>
      </c>
      <c r="C639" t="e">
        <f>INDEX(resultados!$A$2:$ZZ$2290, 633, MATCH($B$3, resultados!$A$1:$ZZ$1, 0))</f>
        <v>#N/A</v>
      </c>
    </row>
    <row r="640" spans="1:3" x14ac:dyDescent="0.3">
      <c r="A640" t="e">
        <f>INDEX(resultados!$A$2:$ZZ$2290, 634, MATCH($B$1, resultados!$A$1:$ZZ$1, 0))</f>
        <v>#N/A</v>
      </c>
      <c r="B640" t="e">
        <f>INDEX(resultados!$A$2:$ZZ$2290, 634, MATCH($B$2, resultados!$A$1:$ZZ$1, 0))</f>
        <v>#N/A</v>
      </c>
      <c r="C640" t="e">
        <f>INDEX(resultados!$A$2:$ZZ$2290, 634, MATCH($B$3, resultados!$A$1:$ZZ$1, 0))</f>
        <v>#N/A</v>
      </c>
    </row>
    <row r="641" spans="1:3" x14ac:dyDescent="0.3">
      <c r="A641" t="e">
        <f>INDEX(resultados!$A$2:$ZZ$2290, 635, MATCH($B$1, resultados!$A$1:$ZZ$1, 0))</f>
        <v>#N/A</v>
      </c>
      <c r="B641" t="e">
        <f>INDEX(resultados!$A$2:$ZZ$2290, 635, MATCH($B$2, resultados!$A$1:$ZZ$1, 0))</f>
        <v>#N/A</v>
      </c>
      <c r="C641" t="e">
        <f>INDEX(resultados!$A$2:$ZZ$2290, 635, MATCH($B$3, resultados!$A$1:$ZZ$1, 0))</f>
        <v>#N/A</v>
      </c>
    </row>
    <row r="642" spans="1:3" x14ac:dyDescent="0.3">
      <c r="A642" t="e">
        <f>INDEX(resultados!$A$2:$ZZ$2290, 636, MATCH($B$1, resultados!$A$1:$ZZ$1, 0))</f>
        <v>#N/A</v>
      </c>
      <c r="B642" t="e">
        <f>INDEX(resultados!$A$2:$ZZ$2290, 636, MATCH($B$2, resultados!$A$1:$ZZ$1, 0))</f>
        <v>#N/A</v>
      </c>
      <c r="C642" t="e">
        <f>INDEX(resultados!$A$2:$ZZ$2290, 636, MATCH($B$3, resultados!$A$1:$ZZ$1, 0))</f>
        <v>#N/A</v>
      </c>
    </row>
    <row r="643" spans="1:3" x14ac:dyDescent="0.3">
      <c r="A643" t="e">
        <f>INDEX(resultados!$A$2:$ZZ$2290, 637, MATCH($B$1, resultados!$A$1:$ZZ$1, 0))</f>
        <v>#N/A</v>
      </c>
      <c r="B643" t="e">
        <f>INDEX(resultados!$A$2:$ZZ$2290, 637, MATCH($B$2, resultados!$A$1:$ZZ$1, 0))</f>
        <v>#N/A</v>
      </c>
      <c r="C643" t="e">
        <f>INDEX(resultados!$A$2:$ZZ$2290, 637, MATCH($B$3, resultados!$A$1:$ZZ$1, 0))</f>
        <v>#N/A</v>
      </c>
    </row>
    <row r="644" spans="1:3" x14ac:dyDescent="0.3">
      <c r="A644" t="e">
        <f>INDEX(resultados!$A$2:$ZZ$2290, 638, MATCH($B$1, resultados!$A$1:$ZZ$1, 0))</f>
        <v>#N/A</v>
      </c>
      <c r="B644" t="e">
        <f>INDEX(resultados!$A$2:$ZZ$2290, 638, MATCH($B$2, resultados!$A$1:$ZZ$1, 0))</f>
        <v>#N/A</v>
      </c>
      <c r="C644" t="e">
        <f>INDEX(resultados!$A$2:$ZZ$2290, 638, MATCH($B$3, resultados!$A$1:$ZZ$1, 0))</f>
        <v>#N/A</v>
      </c>
    </row>
    <row r="645" spans="1:3" x14ac:dyDescent="0.3">
      <c r="A645" t="e">
        <f>INDEX(resultados!$A$2:$ZZ$2290, 639, MATCH($B$1, resultados!$A$1:$ZZ$1, 0))</f>
        <v>#N/A</v>
      </c>
      <c r="B645" t="e">
        <f>INDEX(resultados!$A$2:$ZZ$2290, 639, MATCH($B$2, resultados!$A$1:$ZZ$1, 0))</f>
        <v>#N/A</v>
      </c>
      <c r="C645" t="e">
        <f>INDEX(resultados!$A$2:$ZZ$2290, 639, MATCH($B$3, resultados!$A$1:$ZZ$1, 0))</f>
        <v>#N/A</v>
      </c>
    </row>
    <row r="646" spans="1:3" x14ac:dyDescent="0.3">
      <c r="A646" t="e">
        <f>INDEX(resultados!$A$2:$ZZ$2290, 640, MATCH($B$1, resultados!$A$1:$ZZ$1, 0))</f>
        <v>#N/A</v>
      </c>
      <c r="B646" t="e">
        <f>INDEX(resultados!$A$2:$ZZ$2290, 640, MATCH($B$2, resultados!$A$1:$ZZ$1, 0))</f>
        <v>#N/A</v>
      </c>
      <c r="C646" t="e">
        <f>INDEX(resultados!$A$2:$ZZ$2290, 640, MATCH($B$3, resultados!$A$1:$ZZ$1, 0))</f>
        <v>#N/A</v>
      </c>
    </row>
    <row r="647" spans="1:3" x14ac:dyDescent="0.3">
      <c r="A647" t="e">
        <f>INDEX(resultados!$A$2:$ZZ$2290, 641, MATCH($B$1, resultados!$A$1:$ZZ$1, 0))</f>
        <v>#N/A</v>
      </c>
      <c r="B647" t="e">
        <f>INDEX(resultados!$A$2:$ZZ$2290, 641, MATCH($B$2, resultados!$A$1:$ZZ$1, 0))</f>
        <v>#N/A</v>
      </c>
      <c r="C647" t="e">
        <f>INDEX(resultados!$A$2:$ZZ$2290, 641, MATCH($B$3, resultados!$A$1:$ZZ$1, 0))</f>
        <v>#N/A</v>
      </c>
    </row>
    <row r="648" spans="1:3" x14ac:dyDescent="0.3">
      <c r="A648" t="e">
        <f>INDEX(resultados!$A$2:$ZZ$2290, 642, MATCH($B$1, resultados!$A$1:$ZZ$1, 0))</f>
        <v>#N/A</v>
      </c>
      <c r="B648" t="e">
        <f>INDEX(resultados!$A$2:$ZZ$2290, 642, MATCH($B$2, resultados!$A$1:$ZZ$1, 0))</f>
        <v>#N/A</v>
      </c>
      <c r="C648" t="e">
        <f>INDEX(resultados!$A$2:$ZZ$2290, 642, MATCH($B$3, resultados!$A$1:$ZZ$1, 0))</f>
        <v>#N/A</v>
      </c>
    </row>
    <row r="649" spans="1:3" x14ac:dyDescent="0.3">
      <c r="A649" t="e">
        <f>INDEX(resultados!$A$2:$ZZ$2290, 643, MATCH($B$1, resultados!$A$1:$ZZ$1, 0))</f>
        <v>#N/A</v>
      </c>
      <c r="B649" t="e">
        <f>INDEX(resultados!$A$2:$ZZ$2290, 643, MATCH($B$2, resultados!$A$1:$ZZ$1, 0))</f>
        <v>#N/A</v>
      </c>
      <c r="C649" t="e">
        <f>INDEX(resultados!$A$2:$ZZ$2290, 643, MATCH($B$3, resultados!$A$1:$ZZ$1, 0))</f>
        <v>#N/A</v>
      </c>
    </row>
    <row r="650" spans="1:3" x14ac:dyDescent="0.3">
      <c r="A650" t="e">
        <f>INDEX(resultados!$A$2:$ZZ$2290, 644, MATCH($B$1, resultados!$A$1:$ZZ$1, 0))</f>
        <v>#N/A</v>
      </c>
      <c r="B650" t="e">
        <f>INDEX(resultados!$A$2:$ZZ$2290, 644, MATCH($B$2, resultados!$A$1:$ZZ$1, 0))</f>
        <v>#N/A</v>
      </c>
      <c r="C650" t="e">
        <f>INDEX(resultados!$A$2:$ZZ$2290, 644, MATCH($B$3, resultados!$A$1:$ZZ$1, 0))</f>
        <v>#N/A</v>
      </c>
    </row>
    <row r="651" spans="1:3" x14ac:dyDescent="0.3">
      <c r="A651" t="e">
        <f>INDEX(resultados!$A$2:$ZZ$2290, 645, MATCH($B$1, resultados!$A$1:$ZZ$1, 0))</f>
        <v>#N/A</v>
      </c>
      <c r="B651" t="e">
        <f>INDEX(resultados!$A$2:$ZZ$2290, 645, MATCH($B$2, resultados!$A$1:$ZZ$1, 0))</f>
        <v>#N/A</v>
      </c>
      <c r="C651" t="e">
        <f>INDEX(resultados!$A$2:$ZZ$2290, 645, MATCH($B$3, resultados!$A$1:$ZZ$1, 0))</f>
        <v>#N/A</v>
      </c>
    </row>
    <row r="652" spans="1:3" x14ac:dyDescent="0.3">
      <c r="A652" t="e">
        <f>INDEX(resultados!$A$2:$ZZ$2290, 646, MATCH($B$1, resultados!$A$1:$ZZ$1, 0))</f>
        <v>#N/A</v>
      </c>
      <c r="B652" t="e">
        <f>INDEX(resultados!$A$2:$ZZ$2290, 646, MATCH($B$2, resultados!$A$1:$ZZ$1, 0))</f>
        <v>#N/A</v>
      </c>
      <c r="C652" t="e">
        <f>INDEX(resultados!$A$2:$ZZ$2290, 646, MATCH($B$3, resultados!$A$1:$ZZ$1, 0))</f>
        <v>#N/A</v>
      </c>
    </row>
    <row r="653" spans="1:3" x14ac:dyDescent="0.3">
      <c r="A653" t="e">
        <f>INDEX(resultados!$A$2:$ZZ$2290, 647, MATCH($B$1, resultados!$A$1:$ZZ$1, 0))</f>
        <v>#N/A</v>
      </c>
      <c r="B653" t="e">
        <f>INDEX(resultados!$A$2:$ZZ$2290, 647, MATCH($B$2, resultados!$A$1:$ZZ$1, 0))</f>
        <v>#N/A</v>
      </c>
      <c r="C653" t="e">
        <f>INDEX(resultados!$A$2:$ZZ$2290, 647, MATCH($B$3, resultados!$A$1:$ZZ$1, 0))</f>
        <v>#N/A</v>
      </c>
    </row>
    <row r="654" spans="1:3" x14ac:dyDescent="0.3">
      <c r="A654" t="e">
        <f>INDEX(resultados!$A$2:$ZZ$2290, 648, MATCH($B$1, resultados!$A$1:$ZZ$1, 0))</f>
        <v>#N/A</v>
      </c>
      <c r="B654" t="e">
        <f>INDEX(resultados!$A$2:$ZZ$2290, 648, MATCH($B$2, resultados!$A$1:$ZZ$1, 0))</f>
        <v>#N/A</v>
      </c>
      <c r="C654" t="e">
        <f>INDEX(resultados!$A$2:$ZZ$2290, 648, MATCH($B$3, resultados!$A$1:$ZZ$1, 0))</f>
        <v>#N/A</v>
      </c>
    </row>
    <row r="655" spans="1:3" x14ac:dyDescent="0.3">
      <c r="A655" t="e">
        <f>INDEX(resultados!$A$2:$ZZ$2290, 649, MATCH($B$1, resultados!$A$1:$ZZ$1, 0))</f>
        <v>#N/A</v>
      </c>
      <c r="B655" t="e">
        <f>INDEX(resultados!$A$2:$ZZ$2290, 649, MATCH($B$2, resultados!$A$1:$ZZ$1, 0))</f>
        <v>#N/A</v>
      </c>
      <c r="C655" t="e">
        <f>INDEX(resultados!$A$2:$ZZ$2290, 649, MATCH($B$3, resultados!$A$1:$ZZ$1, 0))</f>
        <v>#N/A</v>
      </c>
    </row>
    <row r="656" spans="1:3" x14ac:dyDescent="0.3">
      <c r="A656" t="e">
        <f>INDEX(resultados!$A$2:$ZZ$2290, 650, MATCH($B$1, resultados!$A$1:$ZZ$1, 0))</f>
        <v>#N/A</v>
      </c>
      <c r="B656" t="e">
        <f>INDEX(resultados!$A$2:$ZZ$2290, 650, MATCH($B$2, resultados!$A$1:$ZZ$1, 0))</f>
        <v>#N/A</v>
      </c>
      <c r="C656" t="e">
        <f>INDEX(resultados!$A$2:$ZZ$2290, 650, MATCH($B$3, resultados!$A$1:$ZZ$1, 0))</f>
        <v>#N/A</v>
      </c>
    </row>
    <row r="657" spans="1:3" x14ac:dyDescent="0.3">
      <c r="A657" t="e">
        <f>INDEX(resultados!$A$2:$ZZ$2290, 651, MATCH($B$1, resultados!$A$1:$ZZ$1, 0))</f>
        <v>#N/A</v>
      </c>
      <c r="B657" t="e">
        <f>INDEX(resultados!$A$2:$ZZ$2290, 651, MATCH($B$2, resultados!$A$1:$ZZ$1, 0))</f>
        <v>#N/A</v>
      </c>
      <c r="C657" t="e">
        <f>INDEX(resultados!$A$2:$ZZ$2290, 651, MATCH($B$3, resultados!$A$1:$ZZ$1, 0))</f>
        <v>#N/A</v>
      </c>
    </row>
    <row r="658" spans="1:3" x14ac:dyDescent="0.3">
      <c r="A658" t="e">
        <f>INDEX(resultados!$A$2:$ZZ$2290, 652, MATCH($B$1, resultados!$A$1:$ZZ$1, 0))</f>
        <v>#N/A</v>
      </c>
      <c r="B658" t="e">
        <f>INDEX(resultados!$A$2:$ZZ$2290, 652, MATCH($B$2, resultados!$A$1:$ZZ$1, 0))</f>
        <v>#N/A</v>
      </c>
      <c r="C658" t="e">
        <f>INDEX(resultados!$A$2:$ZZ$2290, 652, MATCH($B$3, resultados!$A$1:$ZZ$1, 0))</f>
        <v>#N/A</v>
      </c>
    </row>
    <row r="659" spans="1:3" x14ac:dyDescent="0.3">
      <c r="A659" t="e">
        <f>INDEX(resultados!$A$2:$ZZ$2290, 653, MATCH($B$1, resultados!$A$1:$ZZ$1, 0))</f>
        <v>#N/A</v>
      </c>
      <c r="B659" t="e">
        <f>INDEX(resultados!$A$2:$ZZ$2290, 653, MATCH($B$2, resultados!$A$1:$ZZ$1, 0))</f>
        <v>#N/A</v>
      </c>
      <c r="C659" t="e">
        <f>INDEX(resultados!$A$2:$ZZ$2290, 653, MATCH($B$3, resultados!$A$1:$ZZ$1, 0))</f>
        <v>#N/A</v>
      </c>
    </row>
    <row r="660" spans="1:3" x14ac:dyDescent="0.3">
      <c r="A660" t="e">
        <f>INDEX(resultados!$A$2:$ZZ$2290, 654, MATCH($B$1, resultados!$A$1:$ZZ$1, 0))</f>
        <v>#N/A</v>
      </c>
      <c r="B660" t="e">
        <f>INDEX(resultados!$A$2:$ZZ$2290, 654, MATCH($B$2, resultados!$A$1:$ZZ$1, 0))</f>
        <v>#N/A</v>
      </c>
      <c r="C660" t="e">
        <f>INDEX(resultados!$A$2:$ZZ$2290, 654, MATCH($B$3, resultados!$A$1:$ZZ$1, 0))</f>
        <v>#N/A</v>
      </c>
    </row>
    <row r="661" spans="1:3" x14ac:dyDescent="0.3">
      <c r="A661" t="e">
        <f>INDEX(resultados!$A$2:$ZZ$2290, 655, MATCH($B$1, resultados!$A$1:$ZZ$1, 0))</f>
        <v>#N/A</v>
      </c>
      <c r="B661" t="e">
        <f>INDEX(resultados!$A$2:$ZZ$2290, 655, MATCH($B$2, resultados!$A$1:$ZZ$1, 0))</f>
        <v>#N/A</v>
      </c>
      <c r="C661" t="e">
        <f>INDEX(resultados!$A$2:$ZZ$2290, 655, MATCH($B$3, resultados!$A$1:$ZZ$1, 0))</f>
        <v>#N/A</v>
      </c>
    </row>
    <row r="662" spans="1:3" x14ac:dyDescent="0.3">
      <c r="A662" t="e">
        <f>INDEX(resultados!$A$2:$ZZ$2290, 656, MATCH($B$1, resultados!$A$1:$ZZ$1, 0))</f>
        <v>#N/A</v>
      </c>
      <c r="B662" t="e">
        <f>INDEX(resultados!$A$2:$ZZ$2290, 656, MATCH($B$2, resultados!$A$1:$ZZ$1, 0))</f>
        <v>#N/A</v>
      </c>
      <c r="C662" t="e">
        <f>INDEX(resultados!$A$2:$ZZ$2290, 656, MATCH($B$3, resultados!$A$1:$ZZ$1, 0))</f>
        <v>#N/A</v>
      </c>
    </row>
    <row r="663" spans="1:3" x14ac:dyDescent="0.3">
      <c r="A663" t="e">
        <f>INDEX(resultados!$A$2:$ZZ$2290, 657, MATCH($B$1, resultados!$A$1:$ZZ$1, 0))</f>
        <v>#N/A</v>
      </c>
      <c r="B663" t="e">
        <f>INDEX(resultados!$A$2:$ZZ$2290, 657, MATCH($B$2, resultados!$A$1:$ZZ$1, 0))</f>
        <v>#N/A</v>
      </c>
      <c r="C663" t="e">
        <f>INDEX(resultados!$A$2:$ZZ$2290, 657, MATCH($B$3, resultados!$A$1:$ZZ$1, 0))</f>
        <v>#N/A</v>
      </c>
    </row>
    <row r="664" spans="1:3" x14ac:dyDescent="0.3">
      <c r="A664" t="e">
        <f>INDEX(resultados!$A$2:$ZZ$2290, 658, MATCH($B$1, resultados!$A$1:$ZZ$1, 0))</f>
        <v>#N/A</v>
      </c>
      <c r="B664" t="e">
        <f>INDEX(resultados!$A$2:$ZZ$2290, 658, MATCH($B$2, resultados!$A$1:$ZZ$1, 0))</f>
        <v>#N/A</v>
      </c>
      <c r="C664" t="e">
        <f>INDEX(resultados!$A$2:$ZZ$2290, 658, MATCH($B$3, resultados!$A$1:$ZZ$1, 0))</f>
        <v>#N/A</v>
      </c>
    </row>
    <row r="665" spans="1:3" x14ac:dyDescent="0.3">
      <c r="A665" t="e">
        <f>INDEX(resultados!$A$2:$ZZ$2290, 659, MATCH($B$1, resultados!$A$1:$ZZ$1, 0))</f>
        <v>#N/A</v>
      </c>
      <c r="B665" t="e">
        <f>INDEX(resultados!$A$2:$ZZ$2290, 659, MATCH($B$2, resultados!$A$1:$ZZ$1, 0))</f>
        <v>#N/A</v>
      </c>
      <c r="C665" t="e">
        <f>INDEX(resultados!$A$2:$ZZ$2290, 659, MATCH($B$3, resultados!$A$1:$ZZ$1, 0))</f>
        <v>#N/A</v>
      </c>
    </row>
    <row r="666" spans="1:3" x14ac:dyDescent="0.3">
      <c r="A666" t="e">
        <f>INDEX(resultados!$A$2:$ZZ$2290, 660, MATCH($B$1, resultados!$A$1:$ZZ$1, 0))</f>
        <v>#N/A</v>
      </c>
      <c r="B666" t="e">
        <f>INDEX(resultados!$A$2:$ZZ$2290, 660, MATCH($B$2, resultados!$A$1:$ZZ$1, 0))</f>
        <v>#N/A</v>
      </c>
      <c r="C666" t="e">
        <f>INDEX(resultados!$A$2:$ZZ$2290, 660, MATCH($B$3, resultados!$A$1:$ZZ$1, 0))</f>
        <v>#N/A</v>
      </c>
    </row>
    <row r="667" spans="1:3" x14ac:dyDescent="0.3">
      <c r="A667" t="e">
        <f>INDEX(resultados!$A$2:$ZZ$2290, 661, MATCH($B$1, resultados!$A$1:$ZZ$1, 0))</f>
        <v>#N/A</v>
      </c>
      <c r="B667" t="e">
        <f>INDEX(resultados!$A$2:$ZZ$2290, 661, MATCH($B$2, resultados!$A$1:$ZZ$1, 0))</f>
        <v>#N/A</v>
      </c>
      <c r="C667" t="e">
        <f>INDEX(resultados!$A$2:$ZZ$2290, 661, MATCH($B$3, resultados!$A$1:$ZZ$1, 0))</f>
        <v>#N/A</v>
      </c>
    </row>
    <row r="668" spans="1:3" x14ac:dyDescent="0.3">
      <c r="A668" t="e">
        <f>INDEX(resultados!$A$2:$ZZ$2290, 662, MATCH($B$1, resultados!$A$1:$ZZ$1, 0))</f>
        <v>#N/A</v>
      </c>
      <c r="B668" t="e">
        <f>INDEX(resultados!$A$2:$ZZ$2290, 662, MATCH($B$2, resultados!$A$1:$ZZ$1, 0))</f>
        <v>#N/A</v>
      </c>
      <c r="C668" t="e">
        <f>INDEX(resultados!$A$2:$ZZ$2290, 662, MATCH($B$3, resultados!$A$1:$ZZ$1, 0))</f>
        <v>#N/A</v>
      </c>
    </row>
    <row r="669" spans="1:3" x14ac:dyDescent="0.3">
      <c r="A669" t="e">
        <f>INDEX(resultados!$A$2:$ZZ$2290, 663, MATCH($B$1, resultados!$A$1:$ZZ$1, 0))</f>
        <v>#N/A</v>
      </c>
      <c r="B669" t="e">
        <f>INDEX(resultados!$A$2:$ZZ$2290, 663, MATCH($B$2, resultados!$A$1:$ZZ$1, 0))</f>
        <v>#N/A</v>
      </c>
      <c r="C669" t="e">
        <f>INDEX(resultados!$A$2:$ZZ$2290, 663, MATCH($B$3, resultados!$A$1:$ZZ$1, 0))</f>
        <v>#N/A</v>
      </c>
    </row>
    <row r="670" spans="1:3" x14ac:dyDescent="0.3">
      <c r="A670" t="e">
        <f>INDEX(resultados!$A$2:$ZZ$2290, 664, MATCH($B$1, resultados!$A$1:$ZZ$1, 0))</f>
        <v>#N/A</v>
      </c>
      <c r="B670" t="e">
        <f>INDEX(resultados!$A$2:$ZZ$2290, 664, MATCH($B$2, resultados!$A$1:$ZZ$1, 0))</f>
        <v>#N/A</v>
      </c>
      <c r="C670" t="e">
        <f>INDEX(resultados!$A$2:$ZZ$2290, 664, MATCH($B$3, resultados!$A$1:$ZZ$1, 0))</f>
        <v>#N/A</v>
      </c>
    </row>
    <row r="671" spans="1:3" x14ac:dyDescent="0.3">
      <c r="A671" t="e">
        <f>INDEX(resultados!$A$2:$ZZ$2290, 665, MATCH($B$1, resultados!$A$1:$ZZ$1, 0))</f>
        <v>#N/A</v>
      </c>
      <c r="B671" t="e">
        <f>INDEX(resultados!$A$2:$ZZ$2290, 665, MATCH($B$2, resultados!$A$1:$ZZ$1, 0))</f>
        <v>#N/A</v>
      </c>
      <c r="C671" t="e">
        <f>INDEX(resultados!$A$2:$ZZ$2290, 665, MATCH($B$3, resultados!$A$1:$ZZ$1, 0))</f>
        <v>#N/A</v>
      </c>
    </row>
    <row r="672" spans="1:3" x14ac:dyDescent="0.3">
      <c r="A672" t="e">
        <f>INDEX(resultados!$A$2:$ZZ$2290, 666, MATCH($B$1, resultados!$A$1:$ZZ$1, 0))</f>
        <v>#N/A</v>
      </c>
      <c r="B672" t="e">
        <f>INDEX(resultados!$A$2:$ZZ$2290, 666, MATCH($B$2, resultados!$A$1:$ZZ$1, 0))</f>
        <v>#N/A</v>
      </c>
      <c r="C672" t="e">
        <f>INDEX(resultados!$A$2:$ZZ$2290, 666, MATCH($B$3, resultados!$A$1:$ZZ$1, 0))</f>
        <v>#N/A</v>
      </c>
    </row>
    <row r="673" spans="1:3" x14ac:dyDescent="0.3">
      <c r="A673" t="e">
        <f>INDEX(resultados!$A$2:$ZZ$2290, 667, MATCH($B$1, resultados!$A$1:$ZZ$1, 0))</f>
        <v>#N/A</v>
      </c>
      <c r="B673" t="e">
        <f>INDEX(resultados!$A$2:$ZZ$2290, 667, MATCH($B$2, resultados!$A$1:$ZZ$1, 0))</f>
        <v>#N/A</v>
      </c>
      <c r="C673" t="e">
        <f>INDEX(resultados!$A$2:$ZZ$2290, 667, MATCH($B$3, resultados!$A$1:$ZZ$1, 0))</f>
        <v>#N/A</v>
      </c>
    </row>
    <row r="674" spans="1:3" x14ac:dyDescent="0.3">
      <c r="A674" t="e">
        <f>INDEX(resultados!$A$2:$ZZ$2290, 668, MATCH($B$1, resultados!$A$1:$ZZ$1, 0))</f>
        <v>#N/A</v>
      </c>
      <c r="B674" t="e">
        <f>INDEX(resultados!$A$2:$ZZ$2290, 668, MATCH($B$2, resultados!$A$1:$ZZ$1, 0))</f>
        <v>#N/A</v>
      </c>
      <c r="C674" t="e">
        <f>INDEX(resultados!$A$2:$ZZ$2290, 668, MATCH($B$3, resultados!$A$1:$ZZ$1, 0))</f>
        <v>#N/A</v>
      </c>
    </row>
    <row r="675" spans="1:3" x14ac:dyDescent="0.3">
      <c r="A675" t="e">
        <f>INDEX(resultados!$A$2:$ZZ$2290, 669, MATCH($B$1, resultados!$A$1:$ZZ$1, 0))</f>
        <v>#N/A</v>
      </c>
      <c r="B675" t="e">
        <f>INDEX(resultados!$A$2:$ZZ$2290, 669, MATCH($B$2, resultados!$A$1:$ZZ$1, 0))</f>
        <v>#N/A</v>
      </c>
      <c r="C675" t="e">
        <f>INDEX(resultados!$A$2:$ZZ$2290, 669, MATCH($B$3, resultados!$A$1:$ZZ$1, 0))</f>
        <v>#N/A</v>
      </c>
    </row>
    <row r="676" spans="1:3" x14ac:dyDescent="0.3">
      <c r="A676" t="e">
        <f>INDEX(resultados!$A$2:$ZZ$2290, 670, MATCH($B$1, resultados!$A$1:$ZZ$1, 0))</f>
        <v>#N/A</v>
      </c>
      <c r="B676" t="e">
        <f>INDEX(resultados!$A$2:$ZZ$2290, 670, MATCH($B$2, resultados!$A$1:$ZZ$1, 0))</f>
        <v>#N/A</v>
      </c>
      <c r="C676" t="e">
        <f>INDEX(resultados!$A$2:$ZZ$2290, 670, MATCH($B$3, resultados!$A$1:$ZZ$1, 0))</f>
        <v>#N/A</v>
      </c>
    </row>
    <row r="677" spans="1:3" x14ac:dyDescent="0.3">
      <c r="A677" t="e">
        <f>INDEX(resultados!$A$2:$ZZ$2290, 671, MATCH($B$1, resultados!$A$1:$ZZ$1, 0))</f>
        <v>#N/A</v>
      </c>
      <c r="B677" t="e">
        <f>INDEX(resultados!$A$2:$ZZ$2290, 671, MATCH($B$2, resultados!$A$1:$ZZ$1, 0))</f>
        <v>#N/A</v>
      </c>
      <c r="C677" t="e">
        <f>INDEX(resultados!$A$2:$ZZ$2290, 671, MATCH($B$3, resultados!$A$1:$ZZ$1, 0))</f>
        <v>#N/A</v>
      </c>
    </row>
    <row r="678" spans="1:3" x14ac:dyDescent="0.3">
      <c r="A678" t="e">
        <f>INDEX(resultados!$A$2:$ZZ$2290, 672, MATCH($B$1, resultados!$A$1:$ZZ$1, 0))</f>
        <v>#N/A</v>
      </c>
      <c r="B678" t="e">
        <f>INDEX(resultados!$A$2:$ZZ$2290, 672, MATCH($B$2, resultados!$A$1:$ZZ$1, 0))</f>
        <v>#N/A</v>
      </c>
      <c r="C678" t="e">
        <f>INDEX(resultados!$A$2:$ZZ$2290, 672, MATCH($B$3, resultados!$A$1:$ZZ$1, 0))</f>
        <v>#N/A</v>
      </c>
    </row>
    <row r="679" spans="1:3" x14ac:dyDescent="0.3">
      <c r="A679" t="e">
        <f>INDEX(resultados!$A$2:$ZZ$2290, 673, MATCH($B$1, resultados!$A$1:$ZZ$1, 0))</f>
        <v>#N/A</v>
      </c>
      <c r="B679" t="e">
        <f>INDEX(resultados!$A$2:$ZZ$2290, 673, MATCH($B$2, resultados!$A$1:$ZZ$1, 0))</f>
        <v>#N/A</v>
      </c>
      <c r="C679" t="e">
        <f>INDEX(resultados!$A$2:$ZZ$2290, 673, MATCH($B$3, resultados!$A$1:$ZZ$1, 0))</f>
        <v>#N/A</v>
      </c>
    </row>
    <row r="680" spans="1:3" x14ac:dyDescent="0.3">
      <c r="A680" t="e">
        <f>INDEX(resultados!$A$2:$ZZ$2290, 674, MATCH($B$1, resultados!$A$1:$ZZ$1, 0))</f>
        <v>#N/A</v>
      </c>
      <c r="B680" t="e">
        <f>INDEX(resultados!$A$2:$ZZ$2290, 674, MATCH($B$2, resultados!$A$1:$ZZ$1, 0))</f>
        <v>#N/A</v>
      </c>
      <c r="C680" t="e">
        <f>INDEX(resultados!$A$2:$ZZ$2290, 674, MATCH($B$3, resultados!$A$1:$ZZ$1, 0))</f>
        <v>#N/A</v>
      </c>
    </row>
    <row r="681" spans="1:3" x14ac:dyDescent="0.3">
      <c r="A681" t="e">
        <f>INDEX(resultados!$A$2:$ZZ$2290, 675, MATCH($B$1, resultados!$A$1:$ZZ$1, 0))</f>
        <v>#N/A</v>
      </c>
      <c r="B681" t="e">
        <f>INDEX(resultados!$A$2:$ZZ$2290, 675, MATCH($B$2, resultados!$A$1:$ZZ$1, 0))</f>
        <v>#N/A</v>
      </c>
      <c r="C681" t="e">
        <f>INDEX(resultados!$A$2:$ZZ$2290, 675, MATCH($B$3, resultados!$A$1:$ZZ$1, 0))</f>
        <v>#N/A</v>
      </c>
    </row>
    <row r="682" spans="1:3" x14ac:dyDescent="0.3">
      <c r="A682" t="e">
        <f>INDEX(resultados!$A$2:$ZZ$2290, 676, MATCH($B$1, resultados!$A$1:$ZZ$1, 0))</f>
        <v>#N/A</v>
      </c>
      <c r="B682" t="e">
        <f>INDEX(resultados!$A$2:$ZZ$2290, 676, MATCH($B$2, resultados!$A$1:$ZZ$1, 0))</f>
        <v>#N/A</v>
      </c>
      <c r="C682" t="e">
        <f>INDEX(resultados!$A$2:$ZZ$2290, 676, MATCH($B$3, resultados!$A$1:$ZZ$1, 0))</f>
        <v>#N/A</v>
      </c>
    </row>
    <row r="683" spans="1:3" x14ac:dyDescent="0.3">
      <c r="A683" t="e">
        <f>INDEX(resultados!$A$2:$ZZ$2290, 677, MATCH($B$1, resultados!$A$1:$ZZ$1, 0))</f>
        <v>#N/A</v>
      </c>
      <c r="B683" t="e">
        <f>INDEX(resultados!$A$2:$ZZ$2290, 677, MATCH($B$2, resultados!$A$1:$ZZ$1, 0))</f>
        <v>#N/A</v>
      </c>
      <c r="C683" t="e">
        <f>INDEX(resultados!$A$2:$ZZ$2290, 677, MATCH($B$3, resultados!$A$1:$ZZ$1, 0))</f>
        <v>#N/A</v>
      </c>
    </row>
    <row r="684" spans="1:3" x14ac:dyDescent="0.3">
      <c r="A684" t="e">
        <f>INDEX(resultados!$A$2:$ZZ$2290, 678, MATCH($B$1, resultados!$A$1:$ZZ$1, 0))</f>
        <v>#N/A</v>
      </c>
      <c r="B684" t="e">
        <f>INDEX(resultados!$A$2:$ZZ$2290, 678, MATCH($B$2, resultados!$A$1:$ZZ$1, 0))</f>
        <v>#N/A</v>
      </c>
      <c r="C684" t="e">
        <f>INDEX(resultados!$A$2:$ZZ$2290, 678, MATCH($B$3, resultados!$A$1:$ZZ$1, 0))</f>
        <v>#N/A</v>
      </c>
    </row>
    <row r="685" spans="1:3" x14ac:dyDescent="0.3">
      <c r="A685" t="e">
        <f>INDEX(resultados!$A$2:$ZZ$2290, 679, MATCH($B$1, resultados!$A$1:$ZZ$1, 0))</f>
        <v>#N/A</v>
      </c>
      <c r="B685" t="e">
        <f>INDEX(resultados!$A$2:$ZZ$2290, 679, MATCH($B$2, resultados!$A$1:$ZZ$1, 0))</f>
        <v>#N/A</v>
      </c>
      <c r="C685" t="e">
        <f>INDEX(resultados!$A$2:$ZZ$2290, 679, MATCH($B$3, resultados!$A$1:$ZZ$1, 0))</f>
        <v>#N/A</v>
      </c>
    </row>
    <row r="686" spans="1:3" x14ac:dyDescent="0.3">
      <c r="A686" t="e">
        <f>INDEX(resultados!$A$2:$ZZ$2290, 680, MATCH($B$1, resultados!$A$1:$ZZ$1, 0))</f>
        <v>#N/A</v>
      </c>
      <c r="B686" t="e">
        <f>INDEX(resultados!$A$2:$ZZ$2290, 680, MATCH($B$2, resultados!$A$1:$ZZ$1, 0))</f>
        <v>#N/A</v>
      </c>
      <c r="C686" t="e">
        <f>INDEX(resultados!$A$2:$ZZ$2290, 680, MATCH($B$3, resultados!$A$1:$ZZ$1, 0))</f>
        <v>#N/A</v>
      </c>
    </row>
    <row r="687" spans="1:3" x14ac:dyDescent="0.3">
      <c r="A687" t="e">
        <f>INDEX(resultados!$A$2:$ZZ$2290, 681, MATCH($B$1, resultados!$A$1:$ZZ$1, 0))</f>
        <v>#N/A</v>
      </c>
      <c r="B687" t="e">
        <f>INDEX(resultados!$A$2:$ZZ$2290, 681, MATCH($B$2, resultados!$A$1:$ZZ$1, 0))</f>
        <v>#N/A</v>
      </c>
      <c r="C687" t="e">
        <f>INDEX(resultados!$A$2:$ZZ$2290, 681, MATCH($B$3, resultados!$A$1:$ZZ$1, 0))</f>
        <v>#N/A</v>
      </c>
    </row>
    <row r="688" spans="1:3" x14ac:dyDescent="0.3">
      <c r="A688" t="e">
        <f>INDEX(resultados!$A$2:$ZZ$2290, 682, MATCH($B$1, resultados!$A$1:$ZZ$1, 0))</f>
        <v>#N/A</v>
      </c>
      <c r="B688" t="e">
        <f>INDEX(resultados!$A$2:$ZZ$2290, 682, MATCH($B$2, resultados!$A$1:$ZZ$1, 0))</f>
        <v>#N/A</v>
      </c>
      <c r="C688" t="e">
        <f>INDEX(resultados!$A$2:$ZZ$2290, 682, MATCH($B$3, resultados!$A$1:$ZZ$1, 0))</f>
        <v>#N/A</v>
      </c>
    </row>
    <row r="689" spans="1:3" x14ac:dyDescent="0.3">
      <c r="A689" t="e">
        <f>INDEX(resultados!$A$2:$ZZ$2290, 683, MATCH($B$1, resultados!$A$1:$ZZ$1, 0))</f>
        <v>#N/A</v>
      </c>
      <c r="B689" t="e">
        <f>INDEX(resultados!$A$2:$ZZ$2290, 683, MATCH($B$2, resultados!$A$1:$ZZ$1, 0))</f>
        <v>#N/A</v>
      </c>
      <c r="C689" t="e">
        <f>INDEX(resultados!$A$2:$ZZ$2290, 683, MATCH($B$3, resultados!$A$1:$ZZ$1, 0))</f>
        <v>#N/A</v>
      </c>
    </row>
    <row r="690" spans="1:3" x14ac:dyDescent="0.3">
      <c r="A690" t="e">
        <f>INDEX(resultados!$A$2:$ZZ$2290, 684, MATCH($B$1, resultados!$A$1:$ZZ$1, 0))</f>
        <v>#N/A</v>
      </c>
      <c r="B690" t="e">
        <f>INDEX(resultados!$A$2:$ZZ$2290, 684, MATCH($B$2, resultados!$A$1:$ZZ$1, 0))</f>
        <v>#N/A</v>
      </c>
      <c r="C690" t="e">
        <f>INDEX(resultados!$A$2:$ZZ$2290, 684, MATCH($B$3, resultados!$A$1:$ZZ$1, 0))</f>
        <v>#N/A</v>
      </c>
    </row>
    <row r="691" spans="1:3" x14ac:dyDescent="0.3">
      <c r="A691" t="e">
        <f>INDEX(resultados!$A$2:$ZZ$2290, 685, MATCH($B$1, resultados!$A$1:$ZZ$1, 0))</f>
        <v>#N/A</v>
      </c>
      <c r="B691" t="e">
        <f>INDEX(resultados!$A$2:$ZZ$2290, 685, MATCH($B$2, resultados!$A$1:$ZZ$1, 0))</f>
        <v>#N/A</v>
      </c>
      <c r="C691" t="e">
        <f>INDEX(resultados!$A$2:$ZZ$2290, 685, MATCH($B$3, resultados!$A$1:$ZZ$1, 0))</f>
        <v>#N/A</v>
      </c>
    </row>
    <row r="692" spans="1:3" x14ac:dyDescent="0.3">
      <c r="A692" t="e">
        <f>INDEX(resultados!$A$2:$ZZ$2290, 686, MATCH($B$1, resultados!$A$1:$ZZ$1, 0))</f>
        <v>#N/A</v>
      </c>
      <c r="B692" t="e">
        <f>INDEX(resultados!$A$2:$ZZ$2290, 686, MATCH($B$2, resultados!$A$1:$ZZ$1, 0))</f>
        <v>#N/A</v>
      </c>
      <c r="C692" t="e">
        <f>INDEX(resultados!$A$2:$ZZ$2290, 686, MATCH($B$3, resultados!$A$1:$ZZ$1, 0))</f>
        <v>#N/A</v>
      </c>
    </row>
    <row r="693" spans="1:3" x14ac:dyDescent="0.3">
      <c r="A693" t="e">
        <f>INDEX(resultados!$A$2:$ZZ$2290, 687, MATCH($B$1, resultados!$A$1:$ZZ$1, 0))</f>
        <v>#N/A</v>
      </c>
      <c r="B693" t="e">
        <f>INDEX(resultados!$A$2:$ZZ$2290, 687, MATCH($B$2, resultados!$A$1:$ZZ$1, 0))</f>
        <v>#N/A</v>
      </c>
      <c r="C693" t="e">
        <f>INDEX(resultados!$A$2:$ZZ$2290, 687, MATCH($B$3, resultados!$A$1:$ZZ$1, 0))</f>
        <v>#N/A</v>
      </c>
    </row>
    <row r="694" spans="1:3" x14ac:dyDescent="0.3">
      <c r="A694" t="e">
        <f>INDEX(resultados!$A$2:$ZZ$2290, 688, MATCH($B$1, resultados!$A$1:$ZZ$1, 0))</f>
        <v>#N/A</v>
      </c>
      <c r="B694" t="e">
        <f>INDEX(resultados!$A$2:$ZZ$2290, 688, MATCH($B$2, resultados!$A$1:$ZZ$1, 0))</f>
        <v>#N/A</v>
      </c>
      <c r="C694" t="e">
        <f>INDEX(resultados!$A$2:$ZZ$2290, 688, MATCH($B$3, resultados!$A$1:$ZZ$1, 0))</f>
        <v>#N/A</v>
      </c>
    </row>
    <row r="695" spans="1:3" x14ac:dyDescent="0.3">
      <c r="A695" t="e">
        <f>INDEX(resultados!$A$2:$ZZ$2290, 689, MATCH($B$1, resultados!$A$1:$ZZ$1, 0))</f>
        <v>#N/A</v>
      </c>
      <c r="B695" t="e">
        <f>INDEX(resultados!$A$2:$ZZ$2290, 689, MATCH($B$2, resultados!$A$1:$ZZ$1, 0))</f>
        <v>#N/A</v>
      </c>
      <c r="C695" t="e">
        <f>INDEX(resultados!$A$2:$ZZ$2290, 689, MATCH($B$3, resultados!$A$1:$ZZ$1, 0))</f>
        <v>#N/A</v>
      </c>
    </row>
    <row r="696" spans="1:3" x14ac:dyDescent="0.3">
      <c r="A696" t="e">
        <f>INDEX(resultados!$A$2:$ZZ$2290, 690, MATCH($B$1, resultados!$A$1:$ZZ$1, 0))</f>
        <v>#N/A</v>
      </c>
      <c r="B696" t="e">
        <f>INDEX(resultados!$A$2:$ZZ$2290, 690, MATCH($B$2, resultados!$A$1:$ZZ$1, 0))</f>
        <v>#N/A</v>
      </c>
      <c r="C696" t="e">
        <f>INDEX(resultados!$A$2:$ZZ$2290, 690, MATCH($B$3, resultados!$A$1:$ZZ$1, 0))</f>
        <v>#N/A</v>
      </c>
    </row>
    <row r="697" spans="1:3" x14ac:dyDescent="0.3">
      <c r="A697" t="e">
        <f>INDEX(resultados!$A$2:$ZZ$2290, 691, MATCH($B$1, resultados!$A$1:$ZZ$1, 0))</f>
        <v>#N/A</v>
      </c>
      <c r="B697" t="e">
        <f>INDEX(resultados!$A$2:$ZZ$2290, 691, MATCH($B$2, resultados!$A$1:$ZZ$1, 0))</f>
        <v>#N/A</v>
      </c>
      <c r="C697" t="e">
        <f>INDEX(resultados!$A$2:$ZZ$2290, 691, MATCH($B$3, resultados!$A$1:$ZZ$1, 0))</f>
        <v>#N/A</v>
      </c>
    </row>
    <row r="698" spans="1:3" x14ac:dyDescent="0.3">
      <c r="A698" t="e">
        <f>INDEX(resultados!$A$2:$ZZ$2290, 692, MATCH($B$1, resultados!$A$1:$ZZ$1, 0))</f>
        <v>#N/A</v>
      </c>
      <c r="B698" t="e">
        <f>INDEX(resultados!$A$2:$ZZ$2290, 692, MATCH($B$2, resultados!$A$1:$ZZ$1, 0))</f>
        <v>#N/A</v>
      </c>
      <c r="C698" t="e">
        <f>INDEX(resultados!$A$2:$ZZ$2290, 692, MATCH($B$3, resultados!$A$1:$ZZ$1, 0))</f>
        <v>#N/A</v>
      </c>
    </row>
    <row r="699" spans="1:3" x14ac:dyDescent="0.3">
      <c r="A699" t="e">
        <f>INDEX(resultados!$A$2:$ZZ$2290, 693, MATCH($B$1, resultados!$A$1:$ZZ$1, 0))</f>
        <v>#N/A</v>
      </c>
      <c r="B699" t="e">
        <f>INDEX(resultados!$A$2:$ZZ$2290, 693, MATCH($B$2, resultados!$A$1:$ZZ$1, 0))</f>
        <v>#N/A</v>
      </c>
      <c r="C699" t="e">
        <f>INDEX(resultados!$A$2:$ZZ$2290, 693, MATCH($B$3, resultados!$A$1:$ZZ$1, 0))</f>
        <v>#N/A</v>
      </c>
    </row>
    <row r="700" spans="1:3" x14ac:dyDescent="0.3">
      <c r="A700" t="e">
        <f>INDEX(resultados!$A$2:$ZZ$2290, 694, MATCH($B$1, resultados!$A$1:$ZZ$1, 0))</f>
        <v>#N/A</v>
      </c>
      <c r="B700" t="e">
        <f>INDEX(resultados!$A$2:$ZZ$2290, 694, MATCH($B$2, resultados!$A$1:$ZZ$1, 0))</f>
        <v>#N/A</v>
      </c>
      <c r="C700" t="e">
        <f>INDEX(resultados!$A$2:$ZZ$2290, 694, MATCH($B$3, resultados!$A$1:$ZZ$1, 0))</f>
        <v>#N/A</v>
      </c>
    </row>
    <row r="701" spans="1:3" x14ac:dyDescent="0.3">
      <c r="A701" t="e">
        <f>INDEX(resultados!$A$2:$ZZ$2290, 695, MATCH($B$1, resultados!$A$1:$ZZ$1, 0))</f>
        <v>#N/A</v>
      </c>
      <c r="B701" t="e">
        <f>INDEX(resultados!$A$2:$ZZ$2290, 695, MATCH($B$2, resultados!$A$1:$ZZ$1, 0))</f>
        <v>#N/A</v>
      </c>
      <c r="C701" t="e">
        <f>INDEX(resultados!$A$2:$ZZ$2290, 695, MATCH($B$3, resultados!$A$1:$ZZ$1, 0))</f>
        <v>#N/A</v>
      </c>
    </row>
    <row r="702" spans="1:3" x14ac:dyDescent="0.3">
      <c r="A702" t="e">
        <f>INDEX(resultados!$A$2:$ZZ$2290, 696, MATCH($B$1, resultados!$A$1:$ZZ$1, 0))</f>
        <v>#N/A</v>
      </c>
      <c r="B702" t="e">
        <f>INDEX(resultados!$A$2:$ZZ$2290, 696, MATCH($B$2, resultados!$A$1:$ZZ$1, 0))</f>
        <v>#N/A</v>
      </c>
      <c r="C702" t="e">
        <f>INDEX(resultados!$A$2:$ZZ$2290, 696, MATCH($B$3, resultados!$A$1:$ZZ$1, 0))</f>
        <v>#N/A</v>
      </c>
    </row>
    <row r="703" spans="1:3" x14ac:dyDescent="0.3">
      <c r="A703" t="e">
        <f>INDEX(resultados!$A$2:$ZZ$2290, 697, MATCH($B$1, resultados!$A$1:$ZZ$1, 0))</f>
        <v>#N/A</v>
      </c>
      <c r="B703" t="e">
        <f>INDEX(resultados!$A$2:$ZZ$2290, 697, MATCH($B$2, resultados!$A$1:$ZZ$1, 0))</f>
        <v>#N/A</v>
      </c>
      <c r="C703" t="e">
        <f>INDEX(resultados!$A$2:$ZZ$2290, 697, MATCH($B$3, resultados!$A$1:$ZZ$1, 0))</f>
        <v>#N/A</v>
      </c>
    </row>
    <row r="704" spans="1:3" x14ac:dyDescent="0.3">
      <c r="A704" t="e">
        <f>INDEX(resultados!$A$2:$ZZ$2290, 698, MATCH($B$1, resultados!$A$1:$ZZ$1, 0))</f>
        <v>#N/A</v>
      </c>
      <c r="B704" t="e">
        <f>INDEX(resultados!$A$2:$ZZ$2290, 698, MATCH($B$2, resultados!$A$1:$ZZ$1, 0))</f>
        <v>#N/A</v>
      </c>
      <c r="C704" t="e">
        <f>INDEX(resultados!$A$2:$ZZ$2290, 698, MATCH($B$3, resultados!$A$1:$ZZ$1, 0))</f>
        <v>#N/A</v>
      </c>
    </row>
    <row r="705" spans="1:3" x14ac:dyDescent="0.3">
      <c r="A705" t="e">
        <f>INDEX(resultados!$A$2:$ZZ$2290, 699, MATCH($B$1, resultados!$A$1:$ZZ$1, 0))</f>
        <v>#N/A</v>
      </c>
      <c r="B705" t="e">
        <f>INDEX(resultados!$A$2:$ZZ$2290, 699, MATCH($B$2, resultados!$A$1:$ZZ$1, 0))</f>
        <v>#N/A</v>
      </c>
      <c r="C705" t="e">
        <f>INDEX(resultados!$A$2:$ZZ$2290, 699, MATCH($B$3, resultados!$A$1:$ZZ$1, 0))</f>
        <v>#N/A</v>
      </c>
    </row>
    <row r="706" spans="1:3" x14ac:dyDescent="0.3">
      <c r="A706" t="e">
        <f>INDEX(resultados!$A$2:$ZZ$2290, 700, MATCH($B$1, resultados!$A$1:$ZZ$1, 0))</f>
        <v>#N/A</v>
      </c>
      <c r="B706" t="e">
        <f>INDEX(resultados!$A$2:$ZZ$2290, 700, MATCH($B$2, resultados!$A$1:$ZZ$1, 0))</f>
        <v>#N/A</v>
      </c>
      <c r="C706" t="e">
        <f>INDEX(resultados!$A$2:$ZZ$2290, 700, MATCH($B$3, resultados!$A$1:$ZZ$1, 0))</f>
        <v>#N/A</v>
      </c>
    </row>
    <row r="707" spans="1:3" x14ac:dyDescent="0.3">
      <c r="A707" t="e">
        <f>INDEX(resultados!$A$2:$ZZ$2290, 701, MATCH($B$1, resultados!$A$1:$ZZ$1, 0))</f>
        <v>#N/A</v>
      </c>
      <c r="B707" t="e">
        <f>INDEX(resultados!$A$2:$ZZ$2290, 701, MATCH($B$2, resultados!$A$1:$ZZ$1, 0))</f>
        <v>#N/A</v>
      </c>
      <c r="C707" t="e">
        <f>INDEX(resultados!$A$2:$ZZ$2290, 701, MATCH($B$3, resultados!$A$1:$ZZ$1, 0))</f>
        <v>#N/A</v>
      </c>
    </row>
    <row r="708" spans="1:3" x14ac:dyDescent="0.3">
      <c r="A708" t="e">
        <f>INDEX(resultados!$A$2:$ZZ$2290, 702, MATCH($B$1, resultados!$A$1:$ZZ$1, 0))</f>
        <v>#N/A</v>
      </c>
      <c r="B708" t="e">
        <f>INDEX(resultados!$A$2:$ZZ$2290, 702, MATCH($B$2, resultados!$A$1:$ZZ$1, 0))</f>
        <v>#N/A</v>
      </c>
      <c r="C708" t="e">
        <f>INDEX(resultados!$A$2:$ZZ$2290, 702, MATCH($B$3, resultados!$A$1:$ZZ$1, 0))</f>
        <v>#N/A</v>
      </c>
    </row>
    <row r="709" spans="1:3" x14ac:dyDescent="0.3">
      <c r="A709" t="e">
        <f>INDEX(resultados!$A$2:$ZZ$2290, 703, MATCH($B$1, resultados!$A$1:$ZZ$1, 0))</f>
        <v>#N/A</v>
      </c>
      <c r="B709" t="e">
        <f>INDEX(resultados!$A$2:$ZZ$2290, 703, MATCH($B$2, resultados!$A$1:$ZZ$1, 0))</f>
        <v>#N/A</v>
      </c>
      <c r="C709" t="e">
        <f>INDEX(resultados!$A$2:$ZZ$2290, 703, MATCH($B$3, resultados!$A$1:$ZZ$1, 0))</f>
        <v>#N/A</v>
      </c>
    </row>
    <row r="710" spans="1:3" x14ac:dyDescent="0.3">
      <c r="A710" t="e">
        <f>INDEX(resultados!$A$2:$ZZ$2290, 704, MATCH($B$1, resultados!$A$1:$ZZ$1, 0))</f>
        <v>#N/A</v>
      </c>
      <c r="B710" t="e">
        <f>INDEX(resultados!$A$2:$ZZ$2290, 704, MATCH($B$2, resultados!$A$1:$ZZ$1, 0))</f>
        <v>#N/A</v>
      </c>
      <c r="C710" t="e">
        <f>INDEX(resultados!$A$2:$ZZ$2290, 704, MATCH($B$3, resultados!$A$1:$ZZ$1, 0))</f>
        <v>#N/A</v>
      </c>
    </row>
    <row r="711" spans="1:3" x14ac:dyDescent="0.3">
      <c r="A711" t="e">
        <f>INDEX(resultados!$A$2:$ZZ$2290, 705, MATCH($B$1, resultados!$A$1:$ZZ$1, 0))</f>
        <v>#N/A</v>
      </c>
      <c r="B711" t="e">
        <f>INDEX(resultados!$A$2:$ZZ$2290, 705, MATCH($B$2, resultados!$A$1:$ZZ$1, 0))</f>
        <v>#N/A</v>
      </c>
      <c r="C711" t="e">
        <f>INDEX(resultados!$A$2:$ZZ$2290, 705, MATCH($B$3, resultados!$A$1:$ZZ$1, 0))</f>
        <v>#N/A</v>
      </c>
    </row>
    <row r="712" spans="1:3" x14ac:dyDescent="0.3">
      <c r="A712" t="e">
        <f>INDEX(resultados!$A$2:$ZZ$2290, 706, MATCH($B$1, resultados!$A$1:$ZZ$1, 0))</f>
        <v>#N/A</v>
      </c>
      <c r="B712" t="e">
        <f>INDEX(resultados!$A$2:$ZZ$2290, 706, MATCH($B$2, resultados!$A$1:$ZZ$1, 0))</f>
        <v>#N/A</v>
      </c>
      <c r="C712" t="e">
        <f>INDEX(resultados!$A$2:$ZZ$2290, 706, MATCH($B$3, resultados!$A$1:$ZZ$1, 0))</f>
        <v>#N/A</v>
      </c>
    </row>
    <row r="713" spans="1:3" x14ac:dyDescent="0.3">
      <c r="A713" t="e">
        <f>INDEX(resultados!$A$2:$ZZ$2290, 707, MATCH($B$1, resultados!$A$1:$ZZ$1, 0))</f>
        <v>#N/A</v>
      </c>
      <c r="B713" t="e">
        <f>INDEX(resultados!$A$2:$ZZ$2290, 707, MATCH($B$2, resultados!$A$1:$ZZ$1, 0))</f>
        <v>#N/A</v>
      </c>
      <c r="C713" t="e">
        <f>INDEX(resultados!$A$2:$ZZ$2290, 707, MATCH($B$3, resultados!$A$1:$ZZ$1, 0))</f>
        <v>#N/A</v>
      </c>
    </row>
    <row r="714" spans="1:3" x14ac:dyDescent="0.3">
      <c r="A714" t="e">
        <f>INDEX(resultados!$A$2:$ZZ$2290, 708, MATCH($B$1, resultados!$A$1:$ZZ$1, 0))</f>
        <v>#N/A</v>
      </c>
      <c r="B714" t="e">
        <f>INDEX(resultados!$A$2:$ZZ$2290, 708, MATCH($B$2, resultados!$A$1:$ZZ$1, 0))</f>
        <v>#N/A</v>
      </c>
      <c r="C714" t="e">
        <f>INDEX(resultados!$A$2:$ZZ$2290, 708, MATCH($B$3, resultados!$A$1:$ZZ$1, 0))</f>
        <v>#N/A</v>
      </c>
    </row>
    <row r="715" spans="1:3" x14ac:dyDescent="0.3">
      <c r="A715" t="e">
        <f>INDEX(resultados!$A$2:$ZZ$2290, 709, MATCH($B$1, resultados!$A$1:$ZZ$1, 0))</f>
        <v>#N/A</v>
      </c>
      <c r="B715" t="e">
        <f>INDEX(resultados!$A$2:$ZZ$2290, 709, MATCH($B$2, resultados!$A$1:$ZZ$1, 0))</f>
        <v>#N/A</v>
      </c>
      <c r="C715" t="e">
        <f>INDEX(resultados!$A$2:$ZZ$2290, 709, MATCH($B$3, resultados!$A$1:$ZZ$1, 0))</f>
        <v>#N/A</v>
      </c>
    </row>
    <row r="716" spans="1:3" x14ac:dyDescent="0.3">
      <c r="A716" t="e">
        <f>INDEX(resultados!$A$2:$ZZ$2290, 710, MATCH($B$1, resultados!$A$1:$ZZ$1, 0))</f>
        <v>#N/A</v>
      </c>
      <c r="B716" t="e">
        <f>INDEX(resultados!$A$2:$ZZ$2290, 710, MATCH($B$2, resultados!$A$1:$ZZ$1, 0))</f>
        <v>#N/A</v>
      </c>
      <c r="C716" t="e">
        <f>INDEX(resultados!$A$2:$ZZ$2290, 710, MATCH($B$3, resultados!$A$1:$ZZ$1, 0))</f>
        <v>#N/A</v>
      </c>
    </row>
    <row r="717" spans="1:3" x14ac:dyDescent="0.3">
      <c r="A717" t="e">
        <f>INDEX(resultados!$A$2:$ZZ$2290, 711, MATCH($B$1, resultados!$A$1:$ZZ$1, 0))</f>
        <v>#N/A</v>
      </c>
      <c r="B717" t="e">
        <f>INDEX(resultados!$A$2:$ZZ$2290, 711, MATCH($B$2, resultados!$A$1:$ZZ$1, 0))</f>
        <v>#N/A</v>
      </c>
      <c r="C717" t="e">
        <f>INDEX(resultados!$A$2:$ZZ$2290, 711, MATCH($B$3, resultados!$A$1:$ZZ$1, 0))</f>
        <v>#N/A</v>
      </c>
    </row>
    <row r="718" spans="1:3" x14ac:dyDescent="0.3">
      <c r="A718" t="e">
        <f>INDEX(resultados!$A$2:$ZZ$2290, 712, MATCH($B$1, resultados!$A$1:$ZZ$1, 0))</f>
        <v>#N/A</v>
      </c>
      <c r="B718" t="e">
        <f>INDEX(resultados!$A$2:$ZZ$2290, 712, MATCH($B$2, resultados!$A$1:$ZZ$1, 0))</f>
        <v>#N/A</v>
      </c>
      <c r="C718" t="e">
        <f>INDEX(resultados!$A$2:$ZZ$2290, 712, MATCH($B$3, resultados!$A$1:$ZZ$1, 0))</f>
        <v>#N/A</v>
      </c>
    </row>
    <row r="719" spans="1:3" x14ac:dyDescent="0.3">
      <c r="A719" t="e">
        <f>INDEX(resultados!$A$2:$ZZ$2290, 713, MATCH($B$1, resultados!$A$1:$ZZ$1, 0))</f>
        <v>#N/A</v>
      </c>
      <c r="B719" t="e">
        <f>INDEX(resultados!$A$2:$ZZ$2290, 713, MATCH($B$2, resultados!$A$1:$ZZ$1, 0))</f>
        <v>#N/A</v>
      </c>
      <c r="C719" t="e">
        <f>INDEX(resultados!$A$2:$ZZ$2290, 713, MATCH($B$3, resultados!$A$1:$ZZ$1, 0))</f>
        <v>#N/A</v>
      </c>
    </row>
    <row r="720" spans="1:3" x14ac:dyDescent="0.3">
      <c r="A720" t="e">
        <f>INDEX(resultados!$A$2:$ZZ$2290, 714, MATCH($B$1, resultados!$A$1:$ZZ$1, 0))</f>
        <v>#N/A</v>
      </c>
      <c r="B720" t="e">
        <f>INDEX(resultados!$A$2:$ZZ$2290, 714, MATCH($B$2, resultados!$A$1:$ZZ$1, 0))</f>
        <v>#N/A</v>
      </c>
      <c r="C720" t="e">
        <f>INDEX(resultados!$A$2:$ZZ$2290, 714, MATCH($B$3, resultados!$A$1:$ZZ$1, 0))</f>
        <v>#N/A</v>
      </c>
    </row>
    <row r="721" spans="1:3" x14ac:dyDescent="0.3">
      <c r="A721" t="e">
        <f>INDEX(resultados!$A$2:$ZZ$2290, 715, MATCH($B$1, resultados!$A$1:$ZZ$1, 0))</f>
        <v>#N/A</v>
      </c>
      <c r="B721" t="e">
        <f>INDEX(resultados!$A$2:$ZZ$2290, 715, MATCH($B$2, resultados!$A$1:$ZZ$1, 0))</f>
        <v>#N/A</v>
      </c>
      <c r="C721" t="e">
        <f>INDEX(resultados!$A$2:$ZZ$2290, 715, MATCH($B$3, resultados!$A$1:$ZZ$1, 0))</f>
        <v>#N/A</v>
      </c>
    </row>
    <row r="722" spans="1:3" x14ac:dyDescent="0.3">
      <c r="A722" t="e">
        <f>INDEX(resultados!$A$2:$ZZ$2290, 716, MATCH($B$1, resultados!$A$1:$ZZ$1, 0))</f>
        <v>#N/A</v>
      </c>
      <c r="B722" t="e">
        <f>INDEX(resultados!$A$2:$ZZ$2290, 716, MATCH($B$2, resultados!$A$1:$ZZ$1, 0))</f>
        <v>#N/A</v>
      </c>
      <c r="C722" t="e">
        <f>INDEX(resultados!$A$2:$ZZ$2290, 716, MATCH($B$3, resultados!$A$1:$ZZ$1, 0))</f>
        <v>#N/A</v>
      </c>
    </row>
    <row r="723" spans="1:3" x14ac:dyDescent="0.3">
      <c r="A723" t="e">
        <f>INDEX(resultados!$A$2:$ZZ$2290, 717, MATCH($B$1, resultados!$A$1:$ZZ$1, 0))</f>
        <v>#N/A</v>
      </c>
      <c r="B723" t="e">
        <f>INDEX(resultados!$A$2:$ZZ$2290, 717, MATCH($B$2, resultados!$A$1:$ZZ$1, 0))</f>
        <v>#N/A</v>
      </c>
      <c r="C723" t="e">
        <f>INDEX(resultados!$A$2:$ZZ$2290, 717, MATCH($B$3, resultados!$A$1:$ZZ$1, 0))</f>
        <v>#N/A</v>
      </c>
    </row>
    <row r="724" spans="1:3" x14ac:dyDescent="0.3">
      <c r="A724" t="e">
        <f>INDEX(resultados!$A$2:$ZZ$2290, 718, MATCH($B$1, resultados!$A$1:$ZZ$1, 0))</f>
        <v>#N/A</v>
      </c>
      <c r="B724" t="e">
        <f>INDEX(resultados!$A$2:$ZZ$2290, 718, MATCH($B$2, resultados!$A$1:$ZZ$1, 0))</f>
        <v>#N/A</v>
      </c>
      <c r="C724" t="e">
        <f>INDEX(resultados!$A$2:$ZZ$2290, 718, MATCH($B$3, resultados!$A$1:$ZZ$1, 0))</f>
        <v>#N/A</v>
      </c>
    </row>
    <row r="725" spans="1:3" x14ac:dyDescent="0.3">
      <c r="A725" t="e">
        <f>INDEX(resultados!$A$2:$ZZ$2290, 719, MATCH($B$1, resultados!$A$1:$ZZ$1, 0))</f>
        <v>#N/A</v>
      </c>
      <c r="B725" t="e">
        <f>INDEX(resultados!$A$2:$ZZ$2290, 719, MATCH($B$2, resultados!$A$1:$ZZ$1, 0))</f>
        <v>#N/A</v>
      </c>
      <c r="C725" t="e">
        <f>INDEX(resultados!$A$2:$ZZ$2290, 719, MATCH($B$3, resultados!$A$1:$ZZ$1, 0))</f>
        <v>#N/A</v>
      </c>
    </row>
    <row r="726" spans="1:3" x14ac:dyDescent="0.3">
      <c r="A726" t="e">
        <f>INDEX(resultados!$A$2:$ZZ$2290, 720, MATCH($B$1, resultados!$A$1:$ZZ$1, 0))</f>
        <v>#N/A</v>
      </c>
      <c r="B726" t="e">
        <f>INDEX(resultados!$A$2:$ZZ$2290, 720, MATCH($B$2, resultados!$A$1:$ZZ$1, 0))</f>
        <v>#N/A</v>
      </c>
      <c r="C726" t="e">
        <f>INDEX(resultados!$A$2:$ZZ$2290, 720, MATCH($B$3, resultados!$A$1:$ZZ$1, 0))</f>
        <v>#N/A</v>
      </c>
    </row>
    <row r="727" spans="1:3" x14ac:dyDescent="0.3">
      <c r="A727" t="e">
        <f>INDEX(resultados!$A$2:$ZZ$2290, 721, MATCH($B$1, resultados!$A$1:$ZZ$1, 0))</f>
        <v>#N/A</v>
      </c>
      <c r="B727" t="e">
        <f>INDEX(resultados!$A$2:$ZZ$2290, 721, MATCH($B$2, resultados!$A$1:$ZZ$1, 0))</f>
        <v>#N/A</v>
      </c>
      <c r="C727" t="e">
        <f>INDEX(resultados!$A$2:$ZZ$2290, 721, MATCH($B$3, resultados!$A$1:$ZZ$1, 0))</f>
        <v>#N/A</v>
      </c>
    </row>
    <row r="728" spans="1:3" x14ac:dyDescent="0.3">
      <c r="A728" t="e">
        <f>INDEX(resultados!$A$2:$ZZ$2290, 722, MATCH($B$1, resultados!$A$1:$ZZ$1, 0))</f>
        <v>#N/A</v>
      </c>
      <c r="B728" t="e">
        <f>INDEX(resultados!$A$2:$ZZ$2290, 722, MATCH($B$2, resultados!$A$1:$ZZ$1, 0))</f>
        <v>#N/A</v>
      </c>
      <c r="C728" t="e">
        <f>INDEX(resultados!$A$2:$ZZ$2290, 722, MATCH($B$3, resultados!$A$1:$ZZ$1, 0))</f>
        <v>#N/A</v>
      </c>
    </row>
    <row r="729" spans="1:3" x14ac:dyDescent="0.3">
      <c r="A729" t="e">
        <f>INDEX(resultados!$A$2:$ZZ$2290, 723, MATCH($B$1, resultados!$A$1:$ZZ$1, 0))</f>
        <v>#N/A</v>
      </c>
      <c r="B729" t="e">
        <f>INDEX(resultados!$A$2:$ZZ$2290, 723, MATCH($B$2, resultados!$A$1:$ZZ$1, 0))</f>
        <v>#N/A</v>
      </c>
      <c r="C729" t="e">
        <f>INDEX(resultados!$A$2:$ZZ$2290, 723, MATCH($B$3, resultados!$A$1:$ZZ$1, 0))</f>
        <v>#N/A</v>
      </c>
    </row>
    <row r="730" spans="1:3" x14ac:dyDescent="0.3">
      <c r="A730" t="e">
        <f>INDEX(resultados!$A$2:$ZZ$2290, 724, MATCH($B$1, resultados!$A$1:$ZZ$1, 0))</f>
        <v>#N/A</v>
      </c>
      <c r="B730" t="e">
        <f>INDEX(resultados!$A$2:$ZZ$2290, 724, MATCH($B$2, resultados!$A$1:$ZZ$1, 0))</f>
        <v>#N/A</v>
      </c>
      <c r="C730" t="e">
        <f>INDEX(resultados!$A$2:$ZZ$2290, 724, MATCH($B$3, resultados!$A$1:$ZZ$1, 0))</f>
        <v>#N/A</v>
      </c>
    </row>
    <row r="731" spans="1:3" x14ac:dyDescent="0.3">
      <c r="A731" t="e">
        <f>INDEX(resultados!$A$2:$ZZ$2290, 725, MATCH($B$1, resultados!$A$1:$ZZ$1, 0))</f>
        <v>#N/A</v>
      </c>
      <c r="B731" t="e">
        <f>INDEX(resultados!$A$2:$ZZ$2290, 725, MATCH($B$2, resultados!$A$1:$ZZ$1, 0))</f>
        <v>#N/A</v>
      </c>
      <c r="C731" t="e">
        <f>INDEX(resultados!$A$2:$ZZ$2290, 725, MATCH($B$3, resultados!$A$1:$ZZ$1, 0))</f>
        <v>#N/A</v>
      </c>
    </row>
    <row r="732" spans="1:3" x14ac:dyDescent="0.3">
      <c r="A732" t="e">
        <f>INDEX(resultados!$A$2:$ZZ$2290, 726, MATCH($B$1, resultados!$A$1:$ZZ$1, 0))</f>
        <v>#N/A</v>
      </c>
      <c r="B732" t="e">
        <f>INDEX(resultados!$A$2:$ZZ$2290, 726, MATCH($B$2, resultados!$A$1:$ZZ$1, 0))</f>
        <v>#N/A</v>
      </c>
      <c r="C732" t="e">
        <f>INDEX(resultados!$A$2:$ZZ$2290, 726, MATCH($B$3, resultados!$A$1:$ZZ$1, 0))</f>
        <v>#N/A</v>
      </c>
    </row>
    <row r="733" spans="1:3" x14ac:dyDescent="0.3">
      <c r="A733" t="e">
        <f>INDEX(resultados!$A$2:$ZZ$2290, 727, MATCH($B$1, resultados!$A$1:$ZZ$1, 0))</f>
        <v>#N/A</v>
      </c>
      <c r="B733" t="e">
        <f>INDEX(resultados!$A$2:$ZZ$2290, 727, MATCH($B$2, resultados!$A$1:$ZZ$1, 0))</f>
        <v>#N/A</v>
      </c>
      <c r="C733" t="e">
        <f>INDEX(resultados!$A$2:$ZZ$2290, 727, MATCH($B$3, resultados!$A$1:$ZZ$1, 0))</f>
        <v>#N/A</v>
      </c>
    </row>
    <row r="734" spans="1:3" x14ac:dyDescent="0.3">
      <c r="A734" t="e">
        <f>INDEX(resultados!$A$2:$ZZ$2290, 728, MATCH($B$1, resultados!$A$1:$ZZ$1, 0))</f>
        <v>#N/A</v>
      </c>
      <c r="B734" t="e">
        <f>INDEX(resultados!$A$2:$ZZ$2290, 728, MATCH($B$2, resultados!$A$1:$ZZ$1, 0))</f>
        <v>#N/A</v>
      </c>
      <c r="C734" t="e">
        <f>INDEX(resultados!$A$2:$ZZ$2290, 728, MATCH($B$3, resultados!$A$1:$ZZ$1, 0))</f>
        <v>#N/A</v>
      </c>
    </row>
    <row r="735" spans="1:3" x14ac:dyDescent="0.3">
      <c r="A735" t="e">
        <f>INDEX(resultados!$A$2:$ZZ$2290, 729, MATCH($B$1, resultados!$A$1:$ZZ$1, 0))</f>
        <v>#N/A</v>
      </c>
      <c r="B735" t="e">
        <f>INDEX(resultados!$A$2:$ZZ$2290, 729, MATCH($B$2, resultados!$A$1:$ZZ$1, 0))</f>
        <v>#N/A</v>
      </c>
      <c r="C735" t="e">
        <f>INDEX(resultados!$A$2:$ZZ$2290, 729, MATCH($B$3, resultados!$A$1:$ZZ$1, 0))</f>
        <v>#N/A</v>
      </c>
    </row>
    <row r="736" spans="1:3" x14ac:dyDescent="0.3">
      <c r="A736" t="e">
        <f>INDEX(resultados!$A$2:$ZZ$2290, 730, MATCH($B$1, resultados!$A$1:$ZZ$1, 0))</f>
        <v>#N/A</v>
      </c>
      <c r="B736" t="e">
        <f>INDEX(resultados!$A$2:$ZZ$2290, 730, MATCH($B$2, resultados!$A$1:$ZZ$1, 0))</f>
        <v>#N/A</v>
      </c>
      <c r="C736" t="e">
        <f>INDEX(resultados!$A$2:$ZZ$2290, 730, MATCH($B$3, resultados!$A$1:$ZZ$1, 0))</f>
        <v>#N/A</v>
      </c>
    </row>
    <row r="737" spans="1:3" x14ac:dyDescent="0.3">
      <c r="A737" t="e">
        <f>INDEX(resultados!$A$2:$ZZ$2290, 731, MATCH($B$1, resultados!$A$1:$ZZ$1, 0))</f>
        <v>#N/A</v>
      </c>
      <c r="B737" t="e">
        <f>INDEX(resultados!$A$2:$ZZ$2290, 731, MATCH($B$2, resultados!$A$1:$ZZ$1, 0))</f>
        <v>#N/A</v>
      </c>
      <c r="C737" t="e">
        <f>INDEX(resultados!$A$2:$ZZ$2290, 731, MATCH($B$3, resultados!$A$1:$ZZ$1, 0))</f>
        <v>#N/A</v>
      </c>
    </row>
    <row r="738" spans="1:3" x14ac:dyDescent="0.3">
      <c r="A738" t="e">
        <f>INDEX(resultados!$A$2:$ZZ$2290, 732, MATCH($B$1, resultados!$A$1:$ZZ$1, 0))</f>
        <v>#N/A</v>
      </c>
      <c r="B738" t="e">
        <f>INDEX(resultados!$A$2:$ZZ$2290, 732, MATCH($B$2, resultados!$A$1:$ZZ$1, 0))</f>
        <v>#N/A</v>
      </c>
      <c r="C738" t="e">
        <f>INDEX(resultados!$A$2:$ZZ$2290, 732, MATCH($B$3, resultados!$A$1:$ZZ$1, 0))</f>
        <v>#N/A</v>
      </c>
    </row>
    <row r="739" spans="1:3" x14ac:dyDescent="0.3">
      <c r="A739" t="e">
        <f>INDEX(resultados!$A$2:$ZZ$2290, 733, MATCH($B$1, resultados!$A$1:$ZZ$1, 0))</f>
        <v>#N/A</v>
      </c>
      <c r="B739" t="e">
        <f>INDEX(resultados!$A$2:$ZZ$2290, 733, MATCH($B$2, resultados!$A$1:$ZZ$1, 0))</f>
        <v>#N/A</v>
      </c>
      <c r="C739" t="e">
        <f>INDEX(resultados!$A$2:$ZZ$2290, 733, MATCH($B$3, resultados!$A$1:$ZZ$1, 0))</f>
        <v>#N/A</v>
      </c>
    </row>
    <row r="740" spans="1:3" x14ac:dyDescent="0.3">
      <c r="A740" t="e">
        <f>INDEX(resultados!$A$2:$ZZ$2290, 734, MATCH($B$1, resultados!$A$1:$ZZ$1, 0))</f>
        <v>#N/A</v>
      </c>
      <c r="B740" t="e">
        <f>INDEX(resultados!$A$2:$ZZ$2290, 734, MATCH($B$2, resultados!$A$1:$ZZ$1, 0))</f>
        <v>#N/A</v>
      </c>
      <c r="C740" t="e">
        <f>INDEX(resultados!$A$2:$ZZ$2290, 734, MATCH($B$3, resultados!$A$1:$ZZ$1, 0))</f>
        <v>#N/A</v>
      </c>
    </row>
    <row r="741" spans="1:3" x14ac:dyDescent="0.3">
      <c r="A741" t="e">
        <f>INDEX(resultados!$A$2:$ZZ$2290, 735, MATCH($B$1, resultados!$A$1:$ZZ$1, 0))</f>
        <v>#N/A</v>
      </c>
      <c r="B741" t="e">
        <f>INDEX(resultados!$A$2:$ZZ$2290, 735, MATCH($B$2, resultados!$A$1:$ZZ$1, 0))</f>
        <v>#N/A</v>
      </c>
      <c r="C741" t="e">
        <f>INDEX(resultados!$A$2:$ZZ$2290, 735, MATCH($B$3, resultados!$A$1:$ZZ$1, 0))</f>
        <v>#N/A</v>
      </c>
    </row>
    <row r="742" spans="1:3" x14ac:dyDescent="0.3">
      <c r="A742" t="e">
        <f>INDEX(resultados!$A$2:$ZZ$2290, 736, MATCH($B$1, resultados!$A$1:$ZZ$1, 0))</f>
        <v>#N/A</v>
      </c>
      <c r="B742" t="e">
        <f>INDEX(resultados!$A$2:$ZZ$2290, 736, MATCH($B$2, resultados!$A$1:$ZZ$1, 0))</f>
        <v>#N/A</v>
      </c>
      <c r="C742" t="e">
        <f>INDEX(resultados!$A$2:$ZZ$2290, 736, MATCH($B$3, resultados!$A$1:$ZZ$1, 0))</f>
        <v>#N/A</v>
      </c>
    </row>
    <row r="743" spans="1:3" x14ac:dyDescent="0.3">
      <c r="A743" t="e">
        <f>INDEX(resultados!$A$2:$ZZ$2290, 737, MATCH($B$1, resultados!$A$1:$ZZ$1, 0))</f>
        <v>#N/A</v>
      </c>
      <c r="B743" t="e">
        <f>INDEX(resultados!$A$2:$ZZ$2290, 737, MATCH($B$2, resultados!$A$1:$ZZ$1, 0))</f>
        <v>#N/A</v>
      </c>
      <c r="C743" t="e">
        <f>INDEX(resultados!$A$2:$ZZ$2290, 737, MATCH($B$3, resultados!$A$1:$ZZ$1, 0))</f>
        <v>#N/A</v>
      </c>
    </row>
    <row r="744" spans="1:3" x14ac:dyDescent="0.3">
      <c r="A744" t="e">
        <f>INDEX(resultados!$A$2:$ZZ$2290, 738, MATCH($B$1, resultados!$A$1:$ZZ$1, 0))</f>
        <v>#N/A</v>
      </c>
      <c r="B744" t="e">
        <f>INDEX(resultados!$A$2:$ZZ$2290, 738, MATCH($B$2, resultados!$A$1:$ZZ$1, 0))</f>
        <v>#N/A</v>
      </c>
      <c r="C744" t="e">
        <f>INDEX(resultados!$A$2:$ZZ$2290, 738, MATCH($B$3, resultados!$A$1:$ZZ$1, 0))</f>
        <v>#N/A</v>
      </c>
    </row>
    <row r="745" spans="1:3" x14ac:dyDescent="0.3">
      <c r="A745" t="e">
        <f>INDEX(resultados!$A$2:$ZZ$2290, 739, MATCH($B$1, resultados!$A$1:$ZZ$1, 0))</f>
        <v>#N/A</v>
      </c>
      <c r="B745" t="e">
        <f>INDEX(resultados!$A$2:$ZZ$2290, 739, MATCH($B$2, resultados!$A$1:$ZZ$1, 0))</f>
        <v>#N/A</v>
      </c>
      <c r="C745" t="e">
        <f>INDEX(resultados!$A$2:$ZZ$2290, 739, MATCH($B$3, resultados!$A$1:$ZZ$1, 0))</f>
        <v>#N/A</v>
      </c>
    </row>
    <row r="746" spans="1:3" x14ac:dyDescent="0.3">
      <c r="A746" t="e">
        <f>INDEX(resultados!$A$2:$ZZ$2290, 740, MATCH($B$1, resultados!$A$1:$ZZ$1, 0))</f>
        <v>#N/A</v>
      </c>
      <c r="B746" t="e">
        <f>INDEX(resultados!$A$2:$ZZ$2290, 740, MATCH($B$2, resultados!$A$1:$ZZ$1, 0))</f>
        <v>#N/A</v>
      </c>
      <c r="C746" t="e">
        <f>INDEX(resultados!$A$2:$ZZ$2290, 740, MATCH($B$3, resultados!$A$1:$ZZ$1, 0))</f>
        <v>#N/A</v>
      </c>
    </row>
    <row r="747" spans="1:3" x14ac:dyDescent="0.3">
      <c r="A747" t="e">
        <f>INDEX(resultados!$A$2:$ZZ$2290, 741, MATCH($B$1, resultados!$A$1:$ZZ$1, 0))</f>
        <v>#N/A</v>
      </c>
      <c r="B747" t="e">
        <f>INDEX(resultados!$A$2:$ZZ$2290, 741, MATCH($B$2, resultados!$A$1:$ZZ$1, 0))</f>
        <v>#N/A</v>
      </c>
      <c r="C747" t="e">
        <f>INDEX(resultados!$A$2:$ZZ$2290, 741, MATCH($B$3, resultados!$A$1:$ZZ$1, 0))</f>
        <v>#N/A</v>
      </c>
    </row>
    <row r="748" spans="1:3" x14ac:dyDescent="0.3">
      <c r="A748" t="e">
        <f>INDEX(resultados!$A$2:$ZZ$2290, 742, MATCH($B$1, resultados!$A$1:$ZZ$1, 0))</f>
        <v>#N/A</v>
      </c>
      <c r="B748" t="e">
        <f>INDEX(resultados!$A$2:$ZZ$2290, 742, MATCH($B$2, resultados!$A$1:$ZZ$1, 0))</f>
        <v>#N/A</v>
      </c>
      <c r="C748" t="e">
        <f>INDEX(resultados!$A$2:$ZZ$2290, 742, MATCH($B$3, resultados!$A$1:$ZZ$1, 0))</f>
        <v>#N/A</v>
      </c>
    </row>
    <row r="749" spans="1:3" x14ac:dyDescent="0.3">
      <c r="A749" t="e">
        <f>INDEX(resultados!$A$2:$ZZ$2290, 743, MATCH($B$1, resultados!$A$1:$ZZ$1, 0))</f>
        <v>#N/A</v>
      </c>
      <c r="B749" t="e">
        <f>INDEX(resultados!$A$2:$ZZ$2290, 743, MATCH($B$2, resultados!$A$1:$ZZ$1, 0))</f>
        <v>#N/A</v>
      </c>
      <c r="C749" t="e">
        <f>INDEX(resultados!$A$2:$ZZ$2290, 743, MATCH($B$3, resultados!$A$1:$ZZ$1, 0))</f>
        <v>#N/A</v>
      </c>
    </row>
    <row r="750" spans="1:3" x14ac:dyDescent="0.3">
      <c r="A750" t="e">
        <f>INDEX(resultados!$A$2:$ZZ$2290, 744, MATCH($B$1, resultados!$A$1:$ZZ$1, 0))</f>
        <v>#N/A</v>
      </c>
      <c r="B750" t="e">
        <f>INDEX(resultados!$A$2:$ZZ$2290, 744, MATCH($B$2, resultados!$A$1:$ZZ$1, 0))</f>
        <v>#N/A</v>
      </c>
      <c r="C750" t="e">
        <f>INDEX(resultados!$A$2:$ZZ$2290, 744, MATCH($B$3, resultados!$A$1:$ZZ$1, 0))</f>
        <v>#N/A</v>
      </c>
    </row>
    <row r="751" spans="1:3" x14ac:dyDescent="0.3">
      <c r="A751" t="e">
        <f>INDEX(resultados!$A$2:$ZZ$2290, 745, MATCH($B$1, resultados!$A$1:$ZZ$1, 0))</f>
        <v>#N/A</v>
      </c>
      <c r="B751" t="e">
        <f>INDEX(resultados!$A$2:$ZZ$2290, 745, MATCH($B$2, resultados!$A$1:$ZZ$1, 0))</f>
        <v>#N/A</v>
      </c>
      <c r="C751" t="e">
        <f>INDEX(resultados!$A$2:$ZZ$2290, 745, MATCH($B$3, resultados!$A$1:$ZZ$1, 0))</f>
        <v>#N/A</v>
      </c>
    </row>
    <row r="752" spans="1:3" x14ac:dyDescent="0.3">
      <c r="A752" t="e">
        <f>INDEX(resultados!$A$2:$ZZ$2290, 746, MATCH($B$1, resultados!$A$1:$ZZ$1, 0))</f>
        <v>#N/A</v>
      </c>
      <c r="B752" t="e">
        <f>INDEX(resultados!$A$2:$ZZ$2290, 746, MATCH($B$2, resultados!$A$1:$ZZ$1, 0))</f>
        <v>#N/A</v>
      </c>
      <c r="C752" t="e">
        <f>INDEX(resultados!$A$2:$ZZ$2290, 746, MATCH($B$3, resultados!$A$1:$ZZ$1, 0))</f>
        <v>#N/A</v>
      </c>
    </row>
    <row r="753" spans="1:3" x14ac:dyDescent="0.3">
      <c r="A753" t="e">
        <f>INDEX(resultados!$A$2:$ZZ$2290, 747, MATCH($B$1, resultados!$A$1:$ZZ$1, 0))</f>
        <v>#N/A</v>
      </c>
      <c r="B753" t="e">
        <f>INDEX(resultados!$A$2:$ZZ$2290, 747, MATCH($B$2, resultados!$A$1:$ZZ$1, 0))</f>
        <v>#N/A</v>
      </c>
      <c r="C753" t="e">
        <f>INDEX(resultados!$A$2:$ZZ$2290, 747, MATCH($B$3, resultados!$A$1:$ZZ$1, 0))</f>
        <v>#N/A</v>
      </c>
    </row>
    <row r="754" spans="1:3" x14ac:dyDescent="0.3">
      <c r="A754" t="e">
        <f>INDEX(resultados!$A$2:$ZZ$2290, 748, MATCH($B$1, resultados!$A$1:$ZZ$1, 0))</f>
        <v>#N/A</v>
      </c>
      <c r="B754" t="e">
        <f>INDEX(resultados!$A$2:$ZZ$2290, 748, MATCH($B$2, resultados!$A$1:$ZZ$1, 0))</f>
        <v>#N/A</v>
      </c>
      <c r="C754" t="e">
        <f>INDEX(resultados!$A$2:$ZZ$2290, 748, MATCH($B$3, resultados!$A$1:$ZZ$1, 0))</f>
        <v>#N/A</v>
      </c>
    </row>
    <row r="755" spans="1:3" x14ac:dyDescent="0.3">
      <c r="A755" t="e">
        <f>INDEX(resultados!$A$2:$ZZ$2290, 749, MATCH($B$1, resultados!$A$1:$ZZ$1, 0))</f>
        <v>#N/A</v>
      </c>
      <c r="B755" t="e">
        <f>INDEX(resultados!$A$2:$ZZ$2290, 749, MATCH($B$2, resultados!$A$1:$ZZ$1, 0))</f>
        <v>#N/A</v>
      </c>
      <c r="C755" t="e">
        <f>INDEX(resultados!$A$2:$ZZ$2290, 749, MATCH($B$3, resultados!$A$1:$ZZ$1, 0))</f>
        <v>#N/A</v>
      </c>
    </row>
    <row r="756" spans="1:3" x14ac:dyDescent="0.3">
      <c r="A756" t="e">
        <f>INDEX(resultados!$A$2:$ZZ$2290, 750, MATCH($B$1, resultados!$A$1:$ZZ$1, 0))</f>
        <v>#N/A</v>
      </c>
      <c r="B756" t="e">
        <f>INDEX(resultados!$A$2:$ZZ$2290, 750, MATCH($B$2, resultados!$A$1:$ZZ$1, 0))</f>
        <v>#N/A</v>
      </c>
      <c r="C756" t="e">
        <f>INDEX(resultados!$A$2:$ZZ$2290, 750, MATCH($B$3, resultados!$A$1:$ZZ$1, 0))</f>
        <v>#N/A</v>
      </c>
    </row>
    <row r="757" spans="1:3" x14ac:dyDescent="0.3">
      <c r="A757" t="e">
        <f>INDEX(resultados!$A$2:$ZZ$2290, 751, MATCH($B$1, resultados!$A$1:$ZZ$1, 0))</f>
        <v>#N/A</v>
      </c>
      <c r="B757" t="e">
        <f>INDEX(resultados!$A$2:$ZZ$2290, 751, MATCH($B$2, resultados!$A$1:$ZZ$1, 0))</f>
        <v>#N/A</v>
      </c>
      <c r="C757" t="e">
        <f>INDEX(resultados!$A$2:$ZZ$2290, 751, MATCH($B$3, resultados!$A$1:$ZZ$1, 0))</f>
        <v>#N/A</v>
      </c>
    </row>
    <row r="758" spans="1:3" x14ac:dyDescent="0.3">
      <c r="A758" t="e">
        <f>INDEX(resultados!$A$2:$ZZ$2290, 752, MATCH($B$1, resultados!$A$1:$ZZ$1, 0))</f>
        <v>#N/A</v>
      </c>
      <c r="B758" t="e">
        <f>INDEX(resultados!$A$2:$ZZ$2290, 752, MATCH($B$2, resultados!$A$1:$ZZ$1, 0))</f>
        <v>#N/A</v>
      </c>
      <c r="C758" t="e">
        <f>INDEX(resultados!$A$2:$ZZ$2290, 752, MATCH($B$3, resultados!$A$1:$ZZ$1, 0))</f>
        <v>#N/A</v>
      </c>
    </row>
    <row r="759" spans="1:3" x14ac:dyDescent="0.3">
      <c r="A759" t="e">
        <f>INDEX(resultados!$A$2:$ZZ$2290, 753, MATCH($B$1, resultados!$A$1:$ZZ$1, 0))</f>
        <v>#N/A</v>
      </c>
      <c r="B759" t="e">
        <f>INDEX(resultados!$A$2:$ZZ$2290, 753, MATCH($B$2, resultados!$A$1:$ZZ$1, 0))</f>
        <v>#N/A</v>
      </c>
      <c r="C759" t="e">
        <f>INDEX(resultados!$A$2:$ZZ$2290, 753, MATCH($B$3, resultados!$A$1:$ZZ$1, 0))</f>
        <v>#N/A</v>
      </c>
    </row>
    <row r="760" spans="1:3" x14ac:dyDescent="0.3">
      <c r="A760" t="e">
        <f>INDEX(resultados!$A$2:$ZZ$2290, 754, MATCH($B$1, resultados!$A$1:$ZZ$1, 0))</f>
        <v>#N/A</v>
      </c>
      <c r="B760" t="e">
        <f>INDEX(resultados!$A$2:$ZZ$2290, 754, MATCH($B$2, resultados!$A$1:$ZZ$1, 0))</f>
        <v>#N/A</v>
      </c>
      <c r="C760" t="e">
        <f>INDEX(resultados!$A$2:$ZZ$2290, 754, MATCH($B$3, resultados!$A$1:$ZZ$1, 0))</f>
        <v>#N/A</v>
      </c>
    </row>
    <row r="761" spans="1:3" x14ac:dyDescent="0.3">
      <c r="A761" t="e">
        <f>INDEX(resultados!$A$2:$ZZ$2290, 755, MATCH($B$1, resultados!$A$1:$ZZ$1, 0))</f>
        <v>#N/A</v>
      </c>
      <c r="B761" t="e">
        <f>INDEX(resultados!$A$2:$ZZ$2290, 755, MATCH($B$2, resultados!$A$1:$ZZ$1, 0))</f>
        <v>#N/A</v>
      </c>
      <c r="C761" t="e">
        <f>INDEX(resultados!$A$2:$ZZ$2290, 755, MATCH($B$3, resultados!$A$1:$ZZ$1, 0))</f>
        <v>#N/A</v>
      </c>
    </row>
    <row r="762" spans="1:3" x14ac:dyDescent="0.3">
      <c r="A762" t="e">
        <f>INDEX(resultados!$A$2:$ZZ$2290, 756, MATCH($B$1, resultados!$A$1:$ZZ$1, 0))</f>
        <v>#N/A</v>
      </c>
      <c r="B762" t="e">
        <f>INDEX(resultados!$A$2:$ZZ$2290, 756, MATCH($B$2, resultados!$A$1:$ZZ$1, 0))</f>
        <v>#N/A</v>
      </c>
      <c r="C762" t="e">
        <f>INDEX(resultados!$A$2:$ZZ$2290, 756, MATCH($B$3, resultados!$A$1:$ZZ$1, 0))</f>
        <v>#N/A</v>
      </c>
    </row>
    <row r="763" spans="1:3" x14ac:dyDescent="0.3">
      <c r="A763" t="e">
        <f>INDEX(resultados!$A$2:$ZZ$2290, 757, MATCH($B$1, resultados!$A$1:$ZZ$1, 0))</f>
        <v>#N/A</v>
      </c>
      <c r="B763" t="e">
        <f>INDEX(resultados!$A$2:$ZZ$2290, 757, MATCH($B$2, resultados!$A$1:$ZZ$1, 0))</f>
        <v>#N/A</v>
      </c>
      <c r="C763" t="e">
        <f>INDEX(resultados!$A$2:$ZZ$2290, 757, MATCH($B$3, resultados!$A$1:$ZZ$1, 0))</f>
        <v>#N/A</v>
      </c>
    </row>
    <row r="764" spans="1:3" x14ac:dyDescent="0.3">
      <c r="A764" t="e">
        <f>INDEX(resultados!$A$2:$ZZ$2290, 758, MATCH($B$1, resultados!$A$1:$ZZ$1, 0))</f>
        <v>#N/A</v>
      </c>
      <c r="B764" t="e">
        <f>INDEX(resultados!$A$2:$ZZ$2290, 758, MATCH($B$2, resultados!$A$1:$ZZ$1, 0))</f>
        <v>#N/A</v>
      </c>
      <c r="C764" t="e">
        <f>INDEX(resultados!$A$2:$ZZ$2290, 758, MATCH($B$3, resultados!$A$1:$ZZ$1, 0))</f>
        <v>#N/A</v>
      </c>
    </row>
    <row r="765" spans="1:3" x14ac:dyDescent="0.3">
      <c r="A765" t="e">
        <f>INDEX(resultados!$A$2:$ZZ$2290, 759, MATCH($B$1, resultados!$A$1:$ZZ$1, 0))</f>
        <v>#N/A</v>
      </c>
      <c r="B765" t="e">
        <f>INDEX(resultados!$A$2:$ZZ$2290, 759, MATCH($B$2, resultados!$A$1:$ZZ$1, 0))</f>
        <v>#N/A</v>
      </c>
      <c r="C765" t="e">
        <f>INDEX(resultados!$A$2:$ZZ$2290, 759, MATCH($B$3, resultados!$A$1:$ZZ$1, 0))</f>
        <v>#N/A</v>
      </c>
    </row>
    <row r="766" spans="1:3" x14ac:dyDescent="0.3">
      <c r="A766" t="e">
        <f>INDEX(resultados!$A$2:$ZZ$2290, 760, MATCH($B$1, resultados!$A$1:$ZZ$1, 0))</f>
        <v>#N/A</v>
      </c>
      <c r="B766" t="e">
        <f>INDEX(resultados!$A$2:$ZZ$2290, 760, MATCH($B$2, resultados!$A$1:$ZZ$1, 0))</f>
        <v>#N/A</v>
      </c>
      <c r="C766" t="e">
        <f>INDEX(resultados!$A$2:$ZZ$2290, 760, MATCH($B$3, resultados!$A$1:$ZZ$1, 0))</f>
        <v>#N/A</v>
      </c>
    </row>
    <row r="767" spans="1:3" x14ac:dyDescent="0.3">
      <c r="A767" t="e">
        <f>INDEX(resultados!$A$2:$ZZ$2290, 761, MATCH($B$1, resultados!$A$1:$ZZ$1, 0))</f>
        <v>#N/A</v>
      </c>
      <c r="B767" t="e">
        <f>INDEX(resultados!$A$2:$ZZ$2290, 761, MATCH($B$2, resultados!$A$1:$ZZ$1, 0))</f>
        <v>#N/A</v>
      </c>
      <c r="C767" t="e">
        <f>INDEX(resultados!$A$2:$ZZ$2290, 761, MATCH($B$3, resultados!$A$1:$ZZ$1, 0))</f>
        <v>#N/A</v>
      </c>
    </row>
    <row r="768" spans="1:3" x14ac:dyDescent="0.3">
      <c r="A768" t="e">
        <f>INDEX(resultados!$A$2:$ZZ$2290, 762, MATCH($B$1, resultados!$A$1:$ZZ$1, 0))</f>
        <v>#N/A</v>
      </c>
      <c r="B768" t="e">
        <f>INDEX(resultados!$A$2:$ZZ$2290, 762, MATCH($B$2, resultados!$A$1:$ZZ$1, 0))</f>
        <v>#N/A</v>
      </c>
      <c r="C768" t="e">
        <f>INDEX(resultados!$A$2:$ZZ$2290, 762, MATCH($B$3, resultados!$A$1:$ZZ$1, 0))</f>
        <v>#N/A</v>
      </c>
    </row>
    <row r="769" spans="1:3" x14ac:dyDescent="0.3">
      <c r="A769" t="e">
        <f>INDEX(resultados!$A$2:$ZZ$2290, 763, MATCH($B$1, resultados!$A$1:$ZZ$1, 0))</f>
        <v>#N/A</v>
      </c>
      <c r="B769" t="e">
        <f>INDEX(resultados!$A$2:$ZZ$2290, 763, MATCH($B$2, resultados!$A$1:$ZZ$1, 0))</f>
        <v>#N/A</v>
      </c>
      <c r="C769" t="e">
        <f>INDEX(resultados!$A$2:$ZZ$2290, 763, MATCH($B$3, resultados!$A$1:$ZZ$1, 0))</f>
        <v>#N/A</v>
      </c>
    </row>
    <row r="770" spans="1:3" x14ac:dyDescent="0.3">
      <c r="A770" t="e">
        <f>INDEX(resultados!$A$2:$ZZ$2290, 764, MATCH($B$1, resultados!$A$1:$ZZ$1, 0))</f>
        <v>#N/A</v>
      </c>
      <c r="B770" t="e">
        <f>INDEX(resultados!$A$2:$ZZ$2290, 764, MATCH($B$2, resultados!$A$1:$ZZ$1, 0))</f>
        <v>#N/A</v>
      </c>
      <c r="C770" t="e">
        <f>INDEX(resultados!$A$2:$ZZ$2290, 764, MATCH($B$3, resultados!$A$1:$ZZ$1, 0))</f>
        <v>#N/A</v>
      </c>
    </row>
    <row r="771" spans="1:3" x14ac:dyDescent="0.3">
      <c r="A771" t="e">
        <f>INDEX(resultados!$A$2:$ZZ$2290, 765, MATCH($B$1, resultados!$A$1:$ZZ$1, 0))</f>
        <v>#N/A</v>
      </c>
      <c r="B771" t="e">
        <f>INDEX(resultados!$A$2:$ZZ$2290, 765, MATCH($B$2, resultados!$A$1:$ZZ$1, 0))</f>
        <v>#N/A</v>
      </c>
      <c r="C771" t="e">
        <f>INDEX(resultados!$A$2:$ZZ$2290, 765, MATCH($B$3, resultados!$A$1:$ZZ$1, 0))</f>
        <v>#N/A</v>
      </c>
    </row>
    <row r="772" spans="1:3" x14ac:dyDescent="0.3">
      <c r="A772" t="e">
        <f>INDEX(resultados!$A$2:$ZZ$2290, 766, MATCH($B$1, resultados!$A$1:$ZZ$1, 0))</f>
        <v>#N/A</v>
      </c>
      <c r="B772" t="e">
        <f>INDEX(resultados!$A$2:$ZZ$2290, 766, MATCH($B$2, resultados!$A$1:$ZZ$1, 0))</f>
        <v>#N/A</v>
      </c>
      <c r="C772" t="e">
        <f>INDEX(resultados!$A$2:$ZZ$2290, 766, MATCH($B$3, resultados!$A$1:$ZZ$1, 0))</f>
        <v>#N/A</v>
      </c>
    </row>
    <row r="773" spans="1:3" x14ac:dyDescent="0.3">
      <c r="A773" t="e">
        <f>INDEX(resultados!$A$2:$ZZ$2290, 767, MATCH($B$1, resultados!$A$1:$ZZ$1, 0))</f>
        <v>#N/A</v>
      </c>
      <c r="B773" t="e">
        <f>INDEX(resultados!$A$2:$ZZ$2290, 767, MATCH($B$2, resultados!$A$1:$ZZ$1, 0))</f>
        <v>#N/A</v>
      </c>
      <c r="C773" t="e">
        <f>INDEX(resultados!$A$2:$ZZ$2290, 767, MATCH($B$3, resultados!$A$1:$ZZ$1, 0))</f>
        <v>#N/A</v>
      </c>
    </row>
    <row r="774" spans="1:3" x14ac:dyDescent="0.3">
      <c r="A774" t="e">
        <f>INDEX(resultados!$A$2:$ZZ$2290, 768, MATCH($B$1, resultados!$A$1:$ZZ$1, 0))</f>
        <v>#N/A</v>
      </c>
      <c r="B774" t="e">
        <f>INDEX(resultados!$A$2:$ZZ$2290, 768, MATCH($B$2, resultados!$A$1:$ZZ$1, 0))</f>
        <v>#N/A</v>
      </c>
      <c r="C774" t="e">
        <f>INDEX(resultados!$A$2:$ZZ$2290, 768, MATCH($B$3, resultados!$A$1:$ZZ$1, 0))</f>
        <v>#N/A</v>
      </c>
    </row>
    <row r="775" spans="1:3" x14ac:dyDescent="0.3">
      <c r="A775" t="e">
        <f>INDEX(resultados!$A$2:$ZZ$2290, 769, MATCH($B$1, resultados!$A$1:$ZZ$1, 0))</f>
        <v>#N/A</v>
      </c>
      <c r="B775" t="e">
        <f>INDEX(resultados!$A$2:$ZZ$2290, 769, MATCH($B$2, resultados!$A$1:$ZZ$1, 0))</f>
        <v>#N/A</v>
      </c>
      <c r="C775" t="e">
        <f>INDEX(resultados!$A$2:$ZZ$2290, 769, MATCH($B$3, resultados!$A$1:$ZZ$1, 0))</f>
        <v>#N/A</v>
      </c>
    </row>
    <row r="776" spans="1:3" x14ac:dyDescent="0.3">
      <c r="A776" t="e">
        <f>INDEX(resultados!$A$2:$ZZ$2290, 770, MATCH($B$1, resultados!$A$1:$ZZ$1, 0))</f>
        <v>#N/A</v>
      </c>
      <c r="B776" t="e">
        <f>INDEX(resultados!$A$2:$ZZ$2290, 770, MATCH($B$2, resultados!$A$1:$ZZ$1, 0))</f>
        <v>#N/A</v>
      </c>
      <c r="C776" t="e">
        <f>INDEX(resultados!$A$2:$ZZ$2290, 770, MATCH($B$3, resultados!$A$1:$ZZ$1, 0))</f>
        <v>#N/A</v>
      </c>
    </row>
    <row r="777" spans="1:3" x14ac:dyDescent="0.3">
      <c r="A777" t="e">
        <f>INDEX(resultados!$A$2:$ZZ$2290, 771, MATCH($B$1, resultados!$A$1:$ZZ$1, 0))</f>
        <v>#N/A</v>
      </c>
      <c r="B777" t="e">
        <f>INDEX(resultados!$A$2:$ZZ$2290, 771, MATCH($B$2, resultados!$A$1:$ZZ$1, 0))</f>
        <v>#N/A</v>
      </c>
      <c r="C777" t="e">
        <f>INDEX(resultados!$A$2:$ZZ$2290, 771, MATCH($B$3, resultados!$A$1:$ZZ$1, 0))</f>
        <v>#N/A</v>
      </c>
    </row>
    <row r="778" spans="1:3" x14ac:dyDescent="0.3">
      <c r="A778" t="e">
        <f>INDEX(resultados!$A$2:$ZZ$2290, 772, MATCH($B$1, resultados!$A$1:$ZZ$1, 0))</f>
        <v>#N/A</v>
      </c>
      <c r="B778" t="e">
        <f>INDEX(resultados!$A$2:$ZZ$2290, 772, MATCH($B$2, resultados!$A$1:$ZZ$1, 0))</f>
        <v>#N/A</v>
      </c>
      <c r="C778" t="e">
        <f>INDEX(resultados!$A$2:$ZZ$2290, 772, MATCH($B$3, resultados!$A$1:$ZZ$1, 0))</f>
        <v>#N/A</v>
      </c>
    </row>
    <row r="779" spans="1:3" x14ac:dyDescent="0.3">
      <c r="A779" t="e">
        <f>INDEX(resultados!$A$2:$ZZ$2290, 773, MATCH($B$1, resultados!$A$1:$ZZ$1, 0))</f>
        <v>#N/A</v>
      </c>
      <c r="B779" t="e">
        <f>INDEX(resultados!$A$2:$ZZ$2290, 773, MATCH($B$2, resultados!$A$1:$ZZ$1, 0))</f>
        <v>#N/A</v>
      </c>
      <c r="C779" t="e">
        <f>INDEX(resultados!$A$2:$ZZ$2290, 773, MATCH($B$3, resultados!$A$1:$ZZ$1, 0))</f>
        <v>#N/A</v>
      </c>
    </row>
    <row r="780" spans="1:3" x14ac:dyDescent="0.3">
      <c r="A780" t="e">
        <f>INDEX(resultados!$A$2:$ZZ$2290, 774, MATCH($B$1, resultados!$A$1:$ZZ$1, 0))</f>
        <v>#N/A</v>
      </c>
      <c r="B780" t="e">
        <f>INDEX(resultados!$A$2:$ZZ$2290, 774, MATCH($B$2, resultados!$A$1:$ZZ$1, 0))</f>
        <v>#N/A</v>
      </c>
      <c r="C780" t="e">
        <f>INDEX(resultados!$A$2:$ZZ$2290, 774, MATCH($B$3, resultados!$A$1:$ZZ$1, 0))</f>
        <v>#N/A</v>
      </c>
    </row>
    <row r="781" spans="1:3" x14ac:dyDescent="0.3">
      <c r="A781" t="e">
        <f>INDEX(resultados!$A$2:$ZZ$2290, 775, MATCH($B$1, resultados!$A$1:$ZZ$1, 0))</f>
        <v>#N/A</v>
      </c>
      <c r="B781" t="e">
        <f>INDEX(resultados!$A$2:$ZZ$2290, 775, MATCH($B$2, resultados!$A$1:$ZZ$1, 0))</f>
        <v>#N/A</v>
      </c>
      <c r="C781" t="e">
        <f>INDEX(resultados!$A$2:$ZZ$2290, 775, MATCH($B$3, resultados!$A$1:$ZZ$1, 0))</f>
        <v>#N/A</v>
      </c>
    </row>
    <row r="782" spans="1:3" x14ac:dyDescent="0.3">
      <c r="A782" t="e">
        <f>INDEX(resultados!$A$2:$ZZ$2290, 776, MATCH($B$1, resultados!$A$1:$ZZ$1, 0))</f>
        <v>#N/A</v>
      </c>
      <c r="B782" t="e">
        <f>INDEX(resultados!$A$2:$ZZ$2290, 776, MATCH($B$2, resultados!$A$1:$ZZ$1, 0))</f>
        <v>#N/A</v>
      </c>
      <c r="C782" t="e">
        <f>INDEX(resultados!$A$2:$ZZ$2290, 776, MATCH($B$3, resultados!$A$1:$ZZ$1, 0))</f>
        <v>#N/A</v>
      </c>
    </row>
    <row r="783" spans="1:3" x14ac:dyDescent="0.3">
      <c r="A783" t="e">
        <f>INDEX(resultados!$A$2:$ZZ$2290, 777, MATCH($B$1, resultados!$A$1:$ZZ$1, 0))</f>
        <v>#N/A</v>
      </c>
      <c r="B783" t="e">
        <f>INDEX(resultados!$A$2:$ZZ$2290, 777, MATCH($B$2, resultados!$A$1:$ZZ$1, 0))</f>
        <v>#N/A</v>
      </c>
      <c r="C783" t="e">
        <f>INDEX(resultados!$A$2:$ZZ$2290, 777, MATCH($B$3, resultados!$A$1:$ZZ$1, 0))</f>
        <v>#N/A</v>
      </c>
    </row>
    <row r="784" spans="1:3" x14ac:dyDescent="0.3">
      <c r="A784" t="e">
        <f>INDEX(resultados!$A$2:$ZZ$2290, 778, MATCH($B$1, resultados!$A$1:$ZZ$1, 0))</f>
        <v>#N/A</v>
      </c>
      <c r="B784" t="e">
        <f>INDEX(resultados!$A$2:$ZZ$2290, 778, MATCH($B$2, resultados!$A$1:$ZZ$1, 0))</f>
        <v>#N/A</v>
      </c>
      <c r="C784" t="e">
        <f>INDEX(resultados!$A$2:$ZZ$2290, 778, MATCH($B$3, resultados!$A$1:$ZZ$1, 0))</f>
        <v>#N/A</v>
      </c>
    </row>
    <row r="785" spans="1:3" x14ac:dyDescent="0.3">
      <c r="A785" t="e">
        <f>INDEX(resultados!$A$2:$ZZ$2290, 779, MATCH($B$1, resultados!$A$1:$ZZ$1, 0))</f>
        <v>#N/A</v>
      </c>
      <c r="B785" t="e">
        <f>INDEX(resultados!$A$2:$ZZ$2290, 779, MATCH($B$2, resultados!$A$1:$ZZ$1, 0))</f>
        <v>#N/A</v>
      </c>
      <c r="C785" t="e">
        <f>INDEX(resultados!$A$2:$ZZ$2290, 779, MATCH($B$3, resultados!$A$1:$ZZ$1, 0))</f>
        <v>#N/A</v>
      </c>
    </row>
    <row r="786" spans="1:3" x14ac:dyDescent="0.3">
      <c r="A786" t="e">
        <f>INDEX(resultados!$A$2:$ZZ$2290, 780, MATCH($B$1, resultados!$A$1:$ZZ$1, 0))</f>
        <v>#N/A</v>
      </c>
      <c r="B786" t="e">
        <f>INDEX(resultados!$A$2:$ZZ$2290, 780, MATCH($B$2, resultados!$A$1:$ZZ$1, 0))</f>
        <v>#N/A</v>
      </c>
      <c r="C786" t="e">
        <f>INDEX(resultados!$A$2:$ZZ$2290, 780, MATCH($B$3, resultados!$A$1:$ZZ$1, 0))</f>
        <v>#N/A</v>
      </c>
    </row>
    <row r="787" spans="1:3" x14ac:dyDescent="0.3">
      <c r="A787" t="e">
        <f>INDEX(resultados!$A$2:$ZZ$2290, 781, MATCH($B$1, resultados!$A$1:$ZZ$1, 0))</f>
        <v>#N/A</v>
      </c>
      <c r="B787" t="e">
        <f>INDEX(resultados!$A$2:$ZZ$2290, 781, MATCH($B$2, resultados!$A$1:$ZZ$1, 0))</f>
        <v>#N/A</v>
      </c>
      <c r="C787" t="e">
        <f>INDEX(resultados!$A$2:$ZZ$2290, 781, MATCH($B$3, resultados!$A$1:$ZZ$1, 0))</f>
        <v>#N/A</v>
      </c>
    </row>
    <row r="788" spans="1:3" x14ac:dyDescent="0.3">
      <c r="A788" t="e">
        <f>INDEX(resultados!$A$2:$ZZ$2290, 782, MATCH($B$1, resultados!$A$1:$ZZ$1, 0))</f>
        <v>#N/A</v>
      </c>
      <c r="B788" t="e">
        <f>INDEX(resultados!$A$2:$ZZ$2290, 782, MATCH($B$2, resultados!$A$1:$ZZ$1, 0))</f>
        <v>#N/A</v>
      </c>
      <c r="C788" t="e">
        <f>INDEX(resultados!$A$2:$ZZ$2290, 782, MATCH($B$3, resultados!$A$1:$ZZ$1, 0))</f>
        <v>#N/A</v>
      </c>
    </row>
    <row r="789" spans="1:3" x14ac:dyDescent="0.3">
      <c r="A789" t="e">
        <f>INDEX(resultados!$A$2:$ZZ$2290, 783, MATCH($B$1, resultados!$A$1:$ZZ$1, 0))</f>
        <v>#N/A</v>
      </c>
      <c r="B789" t="e">
        <f>INDEX(resultados!$A$2:$ZZ$2290, 783, MATCH($B$2, resultados!$A$1:$ZZ$1, 0))</f>
        <v>#N/A</v>
      </c>
      <c r="C789" t="e">
        <f>INDEX(resultados!$A$2:$ZZ$2290, 783, MATCH($B$3, resultados!$A$1:$ZZ$1, 0))</f>
        <v>#N/A</v>
      </c>
    </row>
    <row r="790" spans="1:3" x14ac:dyDescent="0.3">
      <c r="A790" t="e">
        <f>INDEX(resultados!$A$2:$ZZ$2290, 784, MATCH($B$1, resultados!$A$1:$ZZ$1, 0))</f>
        <v>#N/A</v>
      </c>
      <c r="B790" t="e">
        <f>INDEX(resultados!$A$2:$ZZ$2290, 784, MATCH($B$2, resultados!$A$1:$ZZ$1, 0))</f>
        <v>#N/A</v>
      </c>
      <c r="C790" t="e">
        <f>INDEX(resultados!$A$2:$ZZ$2290, 784, MATCH($B$3, resultados!$A$1:$ZZ$1, 0))</f>
        <v>#N/A</v>
      </c>
    </row>
    <row r="791" spans="1:3" x14ac:dyDescent="0.3">
      <c r="A791" t="e">
        <f>INDEX(resultados!$A$2:$ZZ$2290, 785, MATCH($B$1, resultados!$A$1:$ZZ$1, 0))</f>
        <v>#N/A</v>
      </c>
      <c r="B791" t="e">
        <f>INDEX(resultados!$A$2:$ZZ$2290, 785, MATCH($B$2, resultados!$A$1:$ZZ$1, 0))</f>
        <v>#N/A</v>
      </c>
      <c r="C791" t="e">
        <f>INDEX(resultados!$A$2:$ZZ$2290, 785, MATCH($B$3, resultados!$A$1:$ZZ$1, 0))</f>
        <v>#N/A</v>
      </c>
    </row>
    <row r="792" spans="1:3" x14ac:dyDescent="0.3">
      <c r="A792" t="e">
        <f>INDEX(resultados!$A$2:$ZZ$2290, 786, MATCH($B$1, resultados!$A$1:$ZZ$1, 0))</f>
        <v>#N/A</v>
      </c>
      <c r="B792" t="e">
        <f>INDEX(resultados!$A$2:$ZZ$2290, 786, MATCH($B$2, resultados!$A$1:$ZZ$1, 0))</f>
        <v>#N/A</v>
      </c>
      <c r="C792" t="e">
        <f>INDEX(resultados!$A$2:$ZZ$2290, 786, MATCH($B$3, resultados!$A$1:$ZZ$1, 0))</f>
        <v>#N/A</v>
      </c>
    </row>
    <row r="793" spans="1:3" x14ac:dyDescent="0.3">
      <c r="A793" t="e">
        <f>INDEX(resultados!$A$2:$ZZ$2290, 787, MATCH($B$1, resultados!$A$1:$ZZ$1, 0))</f>
        <v>#N/A</v>
      </c>
      <c r="B793" t="e">
        <f>INDEX(resultados!$A$2:$ZZ$2290, 787, MATCH($B$2, resultados!$A$1:$ZZ$1, 0))</f>
        <v>#N/A</v>
      </c>
      <c r="C793" t="e">
        <f>INDEX(resultados!$A$2:$ZZ$2290, 787, MATCH($B$3, resultados!$A$1:$ZZ$1, 0))</f>
        <v>#N/A</v>
      </c>
    </row>
    <row r="794" spans="1:3" x14ac:dyDescent="0.3">
      <c r="A794" t="e">
        <f>INDEX(resultados!$A$2:$ZZ$2290, 788, MATCH($B$1, resultados!$A$1:$ZZ$1, 0))</f>
        <v>#N/A</v>
      </c>
      <c r="B794" t="e">
        <f>INDEX(resultados!$A$2:$ZZ$2290, 788, MATCH($B$2, resultados!$A$1:$ZZ$1, 0))</f>
        <v>#N/A</v>
      </c>
      <c r="C794" t="e">
        <f>INDEX(resultados!$A$2:$ZZ$2290, 788, MATCH($B$3, resultados!$A$1:$ZZ$1, 0))</f>
        <v>#N/A</v>
      </c>
    </row>
    <row r="795" spans="1:3" x14ac:dyDescent="0.3">
      <c r="A795" t="e">
        <f>INDEX(resultados!$A$2:$ZZ$2290, 789, MATCH($B$1, resultados!$A$1:$ZZ$1, 0))</f>
        <v>#N/A</v>
      </c>
      <c r="B795" t="e">
        <f>INDEX(resultados!$A$2:$ZZ$2290, 789, MATCH($B$2, resultados!$A$1:$ZZ$1, 0))</f>
        <v>#N/A</v>
      </c>
      <c r="C795" t="e">
        <f>INDEX(resultados!$A$2:$ZZ$2290, 789, MATCH($B$3, resultados!$A$1:$ZZ$1, 0))</f>
        <v>#N/A</v>
      </c>
    </row>
    <row r="796" spans="1:3" x14ac:dyDescent="0.3">
      <c r="A796" t="e">
        <f>INDEX(resultados!$A$2:$ZZ$2290, 790, MATCH($B$1, resultados!$A$1:$ZZ$1, 0))</f>
        <v>#N/A</v>
      </c>
      <c r="B796" t="e">
        <f>INDEX(resultados!$A$2:$ZZ$2290, 790, MATCH($B$2, resultados!$A$1:$ZZ$1, 0))</f>
        <v>#N/A</v>
      </c>
      <c r="C796" t="e">
        <f>INDEX(resultados!$A$2:$ZZ$2290, 790, MATCH($B$3, resultados!$A$1:$ZZ$1, 0))</f>
        <v>#N/A</v>
      </c>
    </row>
    <row r="797" spans="1:3" x14ac:dyDescent="0.3">
      <c r="A797" t="e">
        <f>INDEX(resultados!$A$2:$ZZ$2290, 791, MATCH($B$1, resultados!$A$1:$ZZ$1, 0))</f>
        <v>#N/A</v>
      </c>
      <c r="B797" t="e">
        <f>INDEX(resultados!$A$2:$ZZ$2290, 791, MATCH($B$2, resultados!$A$1:$ZZ$1, 0))</f>
        <v>#N/A</v>
      </c>
      <c r="C797" t="e">
        <f>INDEX(resultados!$A$2:$ZZ$2290, 791, MATCH($B$3, resultados!$A$1:$ZZ$1, 0))</f>
        <v>#N/A</v>
      </c>
    </row>
    <row r="798" spans="1:3" x14ac:dyDescent="0.3">
      <c r="A798" t="e">
        <f>INDEX(resultados!$A$2:$ZZ$2290, 792, MATCH($B$1, resultados!$A$1:$ZZ$1, 0))</f>
        <v>#N/A</v>
      </c>
      <c r="B798" t="e">
        <f>INDEX(resultados!$A$2:$ZZ$2290, 792, MATCH($B$2, resultados!$A$1:$ZZ$1, 0))</f>
        <v>#N/A</v>
      </c>
      <c r="C798" t="e">
        <f>INDEX(resultados!$A$2:$ZZ$2290, 792, MATCH($B$3, resultados!$A$1:$ZZ$1, 0))</f>
        <v>#N/A</v>
      </c>
    </row>
    <row r="799" spans="1:3" x14ac:dyDescent="0.3">
      <c r="A799" t="e">
        <f>INDEX(resultados!$A$2:$ZZ$2290, 793, MATCH($B$1, resultados!$A$1:$ZZ$1, 0))</f>
        <v>#N/A</v>
      </c>
      <c r="B799" t="e">
        <f>INDEX(resultados!$A$2:$ZZ$2290, 793, MATCH($B$2, resultados!$A$1:$ZZ$1, 0))</f>
        <v>#N/A</v>
      </c>
      <c r="C799" t="e">
        <f>INDEX(resultados!$A$2:$ZZ$2290, 793, MATCH($B$3, resultados!$A$1:$ZZ$1, 0))</f>
        <v>#N/A</v>
      </c>
    </row>
    <row r="800" spans="1:3" x14ac:dyDescent="0.3">
      <c r="A800" t="e">
        <f>INDEX(resultados!$A$2:$ZZ$2290, 794, MATCH($B$1, resultados!$A$1:$ZZ$1, 0))</f>
        <v>#N/A</v>
      </c>
      <c r="B800" t="e">
        <f>INDEX(resultados!$A$2:$ZZ$2290, 794, MATCH($B$2, resultados!$A$1:$ZZ$1, 0))</f>
        <v>#N/A</v>
      </c>
      <c r="C800" t="e">
        <f>INDEX(resultados!$A$2:$ZZ$2290, 794, MATCH($B$3, resultados!$A$1:$ZZ$1, 0))</f>
        <v>#N/A</v>
      </c>
    </row>
    <row r="801" spans="1:3" x14ac:dyDescent="0.3">
      <c r="A801" t="e">
        <f>INDEX(resultados!$A$2:$ZZ$2290, 795, MATCH($B$1, resultados!$A$1:$ZZ$1, 0))</f>
        <v>#N/A</v>
      </c>
      <c r="B801" t="e">
        <f>INDEX(resultados!$A$2:$ZZ$2290, 795, MATCH($B$2, resultados!$A$1:$ZZ$1, 0))</f>
        <v>#N/A</v>
      </c>
      <c r="C801" t="e">
        <f>INDEX(resultados!$A$2:$ZZ$2290, 795, MATCH($B$3, resultados!$A$1:$ZZ$1, 0))</f>
        <v>#N/A</v>
      </c>
    </row>
    <row r="802" spans="1:3" x14ac:dyDescent="0.3">
      <c r="A802" t="e">
        <f>INDEX(resultados!$A$2:$ZZ$2290, 796, MATCH($B$1, resultados!$A$1:$ZZ$1, 0))</f>
        <v>#N/A</v>
      </c>
      <c r="B802" t="e">
        <f>INDEX(resultados!$A$2:$ZZ$2290, 796, MATCH($B$2, resultados!$A$1:$ZZ$1, 0))</f>
        <v>#N/A</v>
      </c>
      <c r="C802" t="e">
        <f>INDEX(resultados!$A$2:$ZZ$2290, 796, MATCH($B$3, resultados!$A$1:$ZZ$1, 0))</f>
        <v>#N/A</v>
      </c>
    </row>
    <row r="803" spans="1:3" x14ac:dyDescent="0.3">
      <c r="A803" t="e">
        <f>INDEX(resultados!$A$2:$ZZ$2290, 797, MATCH($B$1, resultados!$A$1:$ZZ$1, 0))</f>
        <v>#N/A</v>
      </c>
      <c r="B803" t="e">
        <f>INDEX(resultados!$A$2:$ZZ$2290, 797, MATCH($B$2, resultados!$A$1:$ZZ$1, 0))</f>
        <v>#N/A</v>
      </c>
      <c r="C803" t="e">
        <f>INDEX(resultados!$A$2:$ZZ$2290, 797, MATCH($B$3, resultados!$A$1:$ZZ$1, 0))</f>
        <v>#N/A</v>
      </c>
    </row>
    <row r="804" spans="1:3" x14ac:dyDescent="0.3">
      <c r="A804" t="e">
        <f>INDEX(resultados!$A$2:$ZZ$2290, 798, MATCH($B$1, resultados!$A$1:$ZZ$1, 0))</f>
        <v>#N/A</v>
      </c>
      <c r="B804" t="e">
        <f>INDEX(resultados!$A$2:$ZZ$2290, 798, MATCH($B$2, resultados!$A$1:$ZZ$1, 0))</f>
        <v>#N/A</v>
      </c>
      <c r="C804" t="e">
        <f>INDEX(resultados!$A$2:$ZZ$2290, 798, MATCH($B$3, resultados!$A$1:$ZZ$1, 0))</f>
        <v>#N/A</v>
      </c>
    </row>
    <row r="805" spans="1:3" x14ac:dyDescent="0.3">
      <c r="A805" t="e">
        <f>INDEX(resultados!$A$2:$ZZ$2290, 799, MATCH($B$1, resultados!$A$1:$ZZ$1, 0))</f>
        <v>#N/A</v>
      </c>
      <c r="B805" t="e">
        <f>INDEX(resultados!$A$2:$ZZ$2290, 799, MATCH($B$2, resultados!$A$1:$ZZ$1, 0))</f>
        <v>#N/A</v>
      </c>
      <c r="C805" t="e">
        <f>INDEX(resultados!$A$2:$ZZ$2290, 799, MATCH($B$3, resultados!$A$1:$ZZ$1, 0))</f>
        <v>#N/A</v>
      </c>
    </row>
    <row r="806" spans="1:3" x14ac:dyDescent="0.3">
      <c r="A806" t="e">
        <f>INDEX(resultados!$A$2:$ZZ$2290, 800, MATCH($B$1, resultados!$A$1:$ZZ$1, 0))</f>
        <v>#N/A</v>
      </c>
      <c r="B806" t="e">
        <f>INDEX(resultados!$A$2:$ZZ$2290, 800, MATCH($B$2, resultados!$A$1:$ZZ$1, 0))</f>
        <v>#N/A</v>
      </c>
      <c r="C806" t="e">
        <f>INDEX(resultados!$A$2:$ZZ$2290, 800, MATCH($B$3, resultados!$A$1:$ZZ$1, 0))</f>
        <v>#N/A</v>
      </c>
    </row>
    <row r="807" spans="1:3" x14ac:dyDescent="0.3">
      <c r="A807" t="e">
        <f>INDEX(resultados!$A$2:$ZZ$2290, 801, MATCH($B$1, resultados!$A$1:$ZZ$1, 0))</f>
        <v>#N/A</v>
      </c>
      <c r="B807" t="e">
        <f>INDEX(resultados!$A$2:$ZZ$2290, 801, MATCH($B$2, resultados!$A$1:$ZZ$1, 0))</f>
        <v>#N/A</v>
      </c>
      <c r="C807" t="e">
        <f>INDEX(resultados!$A$2:$ZZ$2290, 801, MATCH($B$3, resultados!$A$1:$ZZ$1, 0))</f>
        <v>#N/A</v>
      </c>
    </row>
    <row r="808" spans="1:3" x14ac:dyDescent="0.3">
      <c r="A808" t="e">
        <f>INDEX(resultados!$A$2:$ZZ$2290, 802, MATCH($B$1, resultados!$A$1:$ZZ$1, 0))</f>
        <v>#N/A</v>
      </c>
      <c r="B808" t="e">
        <f>INDEX(resultados!$A$2:$ZZ$2290, 802, MATCH($B$2, resultados!$A$1:$ZZ$1, 0))</f>
        <v>#N/A</v>
      </c>
      <c r="C808" t="e">
        <f>INDEX(resultados!$A$2:$ZZ$2290, 802, MATCH($B$3, resultados!$A$1:$ZZ$1, 0))</f>
        <v>#N/A</v>
      </c>
    </row>
    <row r="809" spans="1:3" x14ac:dyDescent="0.3">
      <c r="A809" t="e">
        <f>INDEX(resultados!$A$2:$ZZ$2290, 803, MATCH($B$1, resultados!$A$1:$ZZ$1, 0))</f>
        <v>#N/A</v>
      </c>
      <c r="B809" t="e">
        <f>INDEX(resultados!$A$2:$ZZ$2290, 803, MATCH($B$2, resultados!$A$1:$ZZ$1, 0))</f>
        <v>#N/A</v>
      </c>
      <c r="C809" t="e">
        <f>INDEX(resultados!$A$2:$ZZ$2290, 803, MATCH($B$3, resultados!$A$1:$ZZ$1, 0))</f>
        <v>#N/A</v>
      </c>
    </row>
    <row r="810" spans="1:3" x14ac:dyDescent="0.3">
      <c r="A810" t="e">
        <f>INDEX(resultados!$A$2:$ZZ$2290, 804, MATCH($B$1, resultados!$A$1:$ZZ$1, 0))</f>
        <v>#N/A</v>
      </c>
      <c r="B810" t="e">
        <f>INDEX(resultados!$A$2:$ZZ$2290, 804, MATCH($B$2, resultados!$A$1:$ZZ$1, 0))</f>
        <v>#N/A</v>
      </c>
      <c r="C810" t="e">
        <f>INDEX(resultados!$A$2:$ZZ$2290, 804, MATCH($B$3, resultados!$A$1:$ZZ$1, 0))</f>
        <v>#N/A</v>
      </c>
    </row>
    <row r="811" spans="1:3" x14ac:dyDescent="0.3">
      <c r="A811" t="e">
        <f>INDEX(resultados!$A$2:$ZZ$2290, 805, MATCH($B$1, resultados!$A$1:$ZZ$1, 0))</f>
        <v>#N/A</v>
      </c>
      <c r="B811" t="e">
        <f>INDEX(resultados!$A$2:$ZZ$2290, 805, MATCH($B$2, resultados!$A$1:$ZZ$1, 0))</f>
        <v>#N/A</v>
      </c>
      <c r="C811" t="e">
        <f>INDEX(resultados!$A$2:$ZZ$2290, 805, MATCH($B$3, resultados!$A$1:$ZZ$1, 0))</f>
        <v>#N/A</v>
      </c>
    </row>
    <row r="812" spans="1:3" x14ac:dyDescent="0.3">
      <c r="A812" t="e">
        <f>INDEX(resultados!$A$2:$ZZ$2290, 806, MATCH($B$1, resultados!$A$1:$ZZ$1, 0))</f>
        <v>#N/A</v>
      </c>
      <c r="B812" t="e">
        <f>INDEX(resultados!$A$2:$ZZ$2290, 806, MATCH($B$2, resultados!$A$1:$ZZ$1, 0))</f>
        <v>#N/A</v>
      </c>
      <c r="C812" t="e">
        <f>INDEX(resultados!$A$2:$ZZ$2290, 806, MATCH($B$3, resultados!$A$1:$ZZ$1, 0))</f>
        <v>#N/A</v>
      </c>
    </row>
    <row r="813" spans="1:3" x14ac:dyDescent="0.3">
      <c r="A813" t="e">
        <f>INDEX(resultados!$A$2:$ZZ$2290, 807, MATCH($B$1, resultados!$A$1:$ZZ$1, 0))</f>
        <v>#N/A</v>
      </c>
      <c r="B813" t="e">
        <f>INDEX(resultados!$A$2:$ZZ$2290, 807, MATCH($B$2, resultados!$A$1:$ZZ$1, 0))</f>
        <v>#N/A</v>
      </c>
      <c r="C813" t="e">
        <f>INDEX(resultados!$A$2:$ZZ$2290, 807, MATCH($B$3, resultados!$A$1:$ZZ$1, 0))</f>
        <v>#N/A</v>
      </c>
    </row>
    <row r="814" spans="1:3" x14ac:dyDescent="0.3">
      <c r="A814" t="e">
        <f>INDEX(resultados!$A$2:$ZZ$2290, 808, MATCH($B$1, resultados!$A$1:$ZZ$1, 0))</f>
        <v>#N/A</v>
      </c>
      <c r="B814" t="e">
        <f>INDEX(resultados!$A$2:$ZZ$2290, 808, MATCH($B$2, resultados!$A$1:$ZZ$1, 0))</f>
        <v>#N/A</v>
      </c>
      <c r="C814" t="e">
        <f>INDEX(resultados!$A$2:$ZZ$2290, 808, MATCH($B$3, resultados!$A$1:$ZZ$1, 0))</f>
        <v>#N/A</v>
      </c>
    </row>
    <row r="815" spans="1:3" x14ac:dyDescent="0.3">
      <c r="A815" t="e">
        <f>INDEX(resultados!$A$2:$ZZ$2290, 809, MATCH($B$1, resultados!$A$1:$ZZ$1, 0))</f>
        <v>#N/A</v>
      </c>
      <c r="B815" t="e">
        <f>INDEX(resultados!$A$2:$ZZ$2290, 809, MATCH($B$2, resultados!$A$1:$ZZ$1, 0))</f>
        <v>#N/A</v>
      </c>
      <c r="C815" t="e">
        <f>INDEX(resultados!$A$2:$ZZ$2290, 809, MATCH($B$3, resultados!$A$1:$ZZ$1, 0))</f>
        <v>#N/A</v>
      </c>
    </row>
    <row r="816" spans="1:3" x14ac:dyDescent="0.3">
      <c r="A816" t="e">
        <f>INDEX(resultados!$A$2:$ZZ$2290, 810, MATCH($B$1, resultados!$A$1:$ZZ$1, 0))</f>
        <v>#N/A</v>
      </c>
      <c r="B816" t="e">
        <f>INDEX(resultados!$A$2:$ZZ$2290, 810, MATCH($B$2, resultados!$A$1:$ZZ$1, 0))</f>
        <v>#N/A</v>
      </c>
      <c r="C816" t="e">
        <f>INDEX(resultados!$A$2:$ZZ$2290, 810, MATCH($B$3, resultados!$A$1:$ZZ$1, 0))</f>
        <v>#N/A</v>
      </c>
    </row>
    <row r="817" spans="1:3" x14ac:dyDescent="0.3">
      <c r="A817" t="e">
        <f>INDEX(resultados!$A$2:$ZZ$2290, 811, MATCH($B$1, resultados!$A$1:$ZZ$1, 0))</f>
        <v>#N/A</v>
      </c>
      <c r="B817" t="e">
        <f>INDEX(resultados!$A$2:$ZZ$2290, 811, MATCH($B$2, resultados!$A$1:$ZZ$1, 0))</f>
        <v>#N/A</v>
      </c>
      <c r="C817" t="e">
        <f>INDEX(resultados!$A$2:$ZZ$2290, 811, MATCH($B$3, resultados!$A$1:$ZZ$1, 0))</f>
        <v>#N/A</v>
      </c>
    </row>
    <row r="818" spans="1:3" x14ac:dyDescent="0.3">
      <c r="A818" t="e">
        <f>INDEX(resultados!$A$2:$ZZ$2290, 812, MATCH($B$1, resultados!$A$1:$ZZ$1, 0))</f>
        <v>#N/A</v>
      </c>
      <c r="B818" t="e">
        <f>INDEX(resultados!$A$2:$ZZ$2290, 812, MATCH($B$2, resultados!$A$1:$ZZ$1, 0))</f>
        <v>#N/A</v>
      </c>
      <c r="C818" t="e">
        <f>INDEX(resultados!$A$2:$ZZ$2290, 812, MATCH($B$3, resultados!$A$1:$ZZ$1, 0))</f>
        <v>#N/A</v>
      </c>
    </row>
    <row r="819" spans="1:3" x14ac:dyDescent="0.3">
      <c r="A819" t="e">
        <f>INDEX(resultados!$A$2:$ZZ$2290, 813, MATCH($B$1, resultados!$A$1:$ZZ$1, 0))</f>
        <v>#N/A</v>
      </c>
      <c r="B819" t="e">
        <f>INDEX(resultados!$A$2:$ZZ$2290, 813, MATCH($B$2, resultados!$A$1:$ZZ$1, 0))</f>
        <v>#N/A</v>
      </c>
      <c r="C819" t="e">
        <f>INDEX(resultados!$A$2:$ZZ$2290, 813, MATCH($B$3, resultados!$A$1:$ZZ$1, 0))</f>
        <v>#N/A</v>
      </c>
    </row>
    <row r="820" spans="1:3" x14ac:dyDescent="0.3">
      <c r="A820" t="e">
        <f>INDEX(resultados!$A$2:$ZZ$2290, 814, MATCH($B$1, resultados!$A$1:$ZZ$1, 0))</f>
        <v>#N/A</v>
      </c>
      <c r="B820" t="e">
        <f>INDEX(resultados!$A$2:$ZZ$2290, 814, MATCH($B$2, resultados!$A$1:$ZZ$1, 0))</f>
        <v>#N/A</v>
      </c>
      <c r="C820" t="e">
        <f>INDEX(resultados!$A$2:$ZZ$2290, 814, MATCH($B$3, resultados!$A$1:$ZZ$1, 0))</f>
        <v>#N/A</v>
      </c>
    </row>
    <row r="821" spans="1:3" x14ac:dyDescent="0.3">
      <c r="A821" t="e">
        <f>INDEX(resultados!$A$2:$ZZ$2290, 815, MATCH($B$1, resultados!$A$1:$ZZ$1, 0))</f>
        <v>#N/A</v>
      </c>
      <c r="B821" t="e">
        <f>INDEX(resultados!$A$2:$ZZ$2290, 815, MATCH($B$2, resultados!$A$1:$ZZ$1, 0))</f>
        <v>#N/A</v>
      </c>
      <c r="C821" t="e">
        <f>INDEX(resultados!$A$2:$ZZ$2290, 815, MATCH($B$3, resultados!$A$1:$ZZ$1, 0))</f>
        <v>#N/A</v>
      </c>
    </row>
    <row r="822" spans="1:3" x14ac:dyDescent="0.3">
      <c r="A822" t="e">
        <f>INDEX(resultados!$A$2:$ZZ$2290, 816, MATCH($B$1, resultados!$A$1:$ZZ$1, 0))</f>
        <v>#N/A</v>
      </c>
      <c r="B822" t="e">
        <f>INDEX(resultados!$A$2:$ZZ$2290, 816, MATCH($B$2, resultados!$A$1:$ZZ$1, 0))</f>
        <v>#N/A</v>
      </c>
      <c r="C822" t="e">
        <f>INDEX(resultados!$A$2:$ZZ$2290, 816, MATCH($B$3, resultados!$A$1:$ZZ$1, 0))</f>
        <v>#N/A</v>
      </c>
    </row>
    <row r="823" spans="1:3" x14ac:dyDescent="0.3">
      <c r="A823" t="e">
        <f>INDEX(resultados!$A$2:$ZZ$2290, 817, MATCH($B$1, resultados!$A$1:$ZZ$1, 0))</f>
        <v>#N/A</v>
      </c>
      <c r="B823" t="e">
        <f>INDEX(resultados!$A$2:$ZZ$2290, 817, MATCH($B$2, resultados!$A$1:$ZZ$1, 0))</f>
        <v>#N/A</v>
      </c>
      <c r="C823" t="e">
        <f>INDEX(resultados!$A$2:$ZZ$2290, 817, MATCH($B$3, resultados!$A$1:$ZZ$1, 0))</f>
        <v>#N/A</v>
      </c>
    </row>
    <row r="824" spans="1:3" x14ac:dyDescent="0.3">
      <c r="A824" t="e">
        <f>INDEX(resultados!$A$2:$ZZ$2290, 818, MATCH($B$1, resultados!$A$1:$ZZ$1, 0))</f>
        <v>#N/A</v>
      </c>
      <c r="B824" t="e">
        <f>INDEX(resultados!$A$2:$ZZ$2290, 818, MATCH($B$2, resultados!$A$1:$ZZ$1, 0))</f>
        <v>#N/A</v>
      </c>
      <c r="C824" t="e">
        <f>INDEX(resultados!$A$2:$ZZ$2290, 818, MATCH($B$3, resultados!$A$1:$ZZ$1, 0))</f>
        <v>#N/A</v>
      </c>
    </row>
    <row r="825" spans="1:3" x14ac:dyDescent="0.3">
      <c r="A825" t="e">
        <f>INDEX(resultados!$A$2:$ZZ$2290, 819, MATCH($B$1, resultados!$A$1:$ZZ$1, 0))</f>
        <v>#N/A</v>
      </c>
      <c r="B825" t="e">
        <f>INDEX(resultados!$A$2:$ZZ$2290, 819, MATCH($B$2, resultados!$A$1:$ZZ$1, 0))</f>
        <v>#N/A</v>
      </c>
      <c r="C825" t="e">
        <f>INDEX(resultados!$A$2:$ZZ$2290, 819, MATCH($B$3, resultados!$A$1:$ZZ$1, 0))</f>
        <v>#N/A</v>
      </c>
    </row>
    <row r="826" spans="1:3" x14ac:dyDescent="0.3">
      <c r="A826" t="e">
        <f>INDEX(resultados!$A$2:$ZZ$2290, 820, MATCH($B$1, resultados!$A$1:$ZZ$1, 0))</f>
        <v>#N/A</v>
      </c>
      <c r="B826" t="e">
        <f>INDEX(resultados!$A$2:$ZZ$2290, 820, MATCH($B$2, resultados!$A$1:$ZZ$1, 0))</f>
        <v>#N/A</v>
      </c>
      <c r="C826" t="e">
        <f>INDEX(resultados!$A$2:$ZZ$2290, 820, MATCH($B$3, resultados!$A$1:$ZZ$1, 0))</f>
        <v>#N/A</v>
      </c>
    </row>
    <row r="827" spans="1:3" x14ac:dyDescent="0.3">
      <c r="A827" t="e">
        <f>INDEX(resultados!$A$2:$ZZ$2290, 821, MATCH($B$1, resultados!$A$1:$ZZ$1, 0))</f>
        <v>#N/A</v>
      </c>
      <c r="B827" t="e">
        <f>INDEX(resultados!$A$2:$ZZ$2290, 821, MATCH($B$2, resultados!$A$1:$ZZ$1, 0))</f>
        <v>#N/A</v>
      </c>
      <c r="C827" t="e">
        <f>INDEX(resultados!$A$2:$ZZ$2290, 821, MATCH($B$3, resultados!$A$1:$ZZ$1, 0))</f>
        <v>#N/A</v>
      </c>
    </row>
    <row r="828" spans="1:3" x14ac:dyDescent="0.3">
      <c r="A828" t="e">
        <f>INDEX(resultados!$A$2:$ZZ$2290, 822, MATCH($B$1, resultados!$A$1:$ZZ$1, 0))</f>
        <v>#N/A</v>
      </c>
      <c r="B828" t="e">
        <f>INDEX(resultados!$A$2:$ZZ$2290, 822, MATCH($B$2, resultados!$A$1:$ZZ$1, 0))</f>
        <v>#N/A</v>
      </c>
      <c r="C828" t="e">
        <f>INDEX(resultados!$A$2:$ZZ$2290, 822, MATCH($B$3, resultados!$A$1:$ZZ$1, 0))</f>
        <v>#N/A</v>
      </c>
    </row>
    <row r="829" spans="1:3" x14ac:dyDescent="0.3">
      <c r="A829" t="e">
        <f>INDEX(resultados!$A$2:$ZZ$2290, 823, MATCH($B$1, resultados!$A$1:$ZZ$1, 0))</f>
        <v>#N/A</v>
      </c>
      <c r="B829" t="e">
        <f>INDEX(resultados!$A$2:$ZZ$2290, 823, MATCH($B$2, resultados!$A$1:$ZZ$1, 0))</f>
        <v>#N/A</v>
      </c>
      <c r="C829" t="e">
        <f>INDEX(resultados!$A$2:$ZZ$2290, 823, MATCH($B$3, resultados!$A$1:$ZZ$1, 0))</f>
        <v>#N/A</v>
      </c>
    </row>
    <row r="830" spans="1:3" x14ac:dyDescent="0.3">
      <c r="A830" t="e">
        <f>INDEX(resultados!$A$2:$ZZ$2290, 824, MATCH($B$1, resultados!$A$1:$ZZ$1, 0))</f>
        <v>#N/A</v>
      </c>
      <c r="B830" t="e">
        <f>INDEX(resultados!$A$2:$ZZ$2290, 824, MATCH($B$2, resultados!$A$1:$ZZ$1, 0))</f>
        <v>#N/A</v>
      </c>
      <c r="C830" t="e">
        <f>INDEX(resultados!$A$2:$ZZ$2290, 824, MATCH($B$3, resultados!$A$1:$ZZ$1, 0))</f>
        <v>#N/A</v>
      </c>
    </row>
    <row r="831" spans="1:3" x14ac:dyDescent="0.3">
      <c r="A831" t="e">
        <f>INDEX(resultados!$A$2:$ZZ$2290, 825, MATCH($B$1, resultados!$A$1:$ZZ$1, 0))</f>
        <v>#N/A</v>
      </c>
      <c r="B831" t="e">
        <f>INDEX(resultados!$A$2:$ZZ$2290, 825, MATCH($B$2, resultados!$A$1:$ZZ$1, 0))</f>
        <v>#N/A</v>
      </c>
      <c r="C831" t="e">
        <f>INDEX(resultados!$A$2:$ZZ$2290, 825, MATCH($B$3, resultados!$A$1:$ZZ$1, 0))</f>
        <v>#N/A</v>
      </c>
    </row>
    <row r="832" spans="1:3" x14ac:dyDescent="0.3">
      <c r="A832" t="e">
        <f>INDEX(resultados!$A$2:$ZZ$2290, 826, MATCH($B$1, resultados!$A$1:$ZZ$1, 0))</f>
        <v>#N/A</v>
      </c>
      <c r="B832" t="e">
        <f>INDEX(resultados!$A$2:$ZZ$2290, 826, MATCH($B$2, resultados!$A$1:$ZZ$1, 0))</f>
        <v>#N/A</v>
      </c>
      <c r="C832" t="e">
        <f>INDEX(resultados!$A$2:$ZZ$2290, 826, MATCH($B$3, resultados!$A$1:$ZZ$1, 0))</f>
        <v>#N/A</v>
      </c>
    </row>
    <row r="833" spans="1:3" x14ac:dyDescent="0.3">
      <c r="A833" t="e">
        <f>INDEX(resultados!$A$2:$ZZ$2290, 827, MATCH($B$1, resultados!$A$1:$ZZ$1, 0))</f>
        <v>#N/A</v>
      </c>
      <c r="B833" t="e">
        <f>INDEX(resultados!$A$2:$ZZ$2290, 827, MATCH($B$2, resultados!$A$1:$ZZ$1, 0))</f>
        <v>#N/A</v>
      </c>
      <c r="C833" t="e">
        <f>INDEX(resultados!$A$2:$ZZ$2290, 827, MATCH($B$3, resultados!$A$1:$ZZ$1, 0))</f>
        <v>#N/A</v>
      </c>
    </row>
    <row r="834" spans="1:3" x14ac:dyDescent="0.3">
      <c r="A834" t="e">
        <f>INDEX(resultados!$A$2:$ZZ$2290, 828, MATCH($B$1, resultados!$A$1:$ZZ$1, 0))</f>
        <v>#N/A</v>
      </c>
      <c r="B834" t="e">
        <f>INDEX(resultados!$A$2:$ZZ$2290, 828, MATCH($B$2, resultados!$A$1:$ZZ$1, 0))</f>
        <v>#N/A</v>
      </c>
      <c r="C834" t="e">
        <f>INDEX(resultados!$A$2:$ZZ$2290, 828, MATCH($B$3, resultados!$A$1:$ZZ$1, 0))</f>
        <v>#N/A</v>
      </c>
    </row>
    <row r="835" spans="1:3" x14ac:dyDescent="0.3">
      <c r="A835" t="e">
        <f>INDEX(resultados!$A$2:$ZZ$2290, 829, MATCH($B$1, resultados!$A$1:$ZZ$1, 0))</f>
        <v>#N/A</v>
      </c>
      <c r="B835" t="e">
        <f>INDEX(resultados!$A$2:$ZZ$2290, 829, MATCH($B$2, resultados!$A$1:$ZZ$1, 0))</f>
        <v>#N/A</v>
      </c>
      <c r="C835" t="e">
        <f>INDEX(resultados!$A$2:$ZZ$2290, 829, MATCH($B$3, resultados!$A$1:$ZZ$1, 0))</f>
        <v>#N/A</v>
      </c>
    </row>
    <row r="836" spans="1:3" x14ac:dyDescent="0.3">
      <c r="A836" t="e">
        <f>INDEX(resultados!$A$2:$ZZ$2290, 830, MATCH($B$1, resultados!$A$1:$ZZ$1, 0))</f>
        <v>#N/A</v>
      </c>
      <c r="B836" t="e">
        <f>INDEX(resultados!$A$2:$ZZ$2290, 830, MATCH($B$2, resultados!$A$1:$ZZ$1, 0))</f>
        <v>#N/A</v>
      </c>
      <c r="C836" t="e">
        <f>INDEX(resultados!$A$2:$ZZ$2290, 830, MATCH($B$3, resultados!$A$1:$ZZ$1, 0))</f>
        <v>#N/A</v>
      </c>
    </row>
    <row r="837" spans="1:3" x14ac:dyDescent="0.3">
      <c r="A837" t="e">
        <f>INDEX(resultados!$A$2:$ZZ$2290, 831, MATCH($B$1, resultados!$A$1:$ZZ$1, 0))</f>
        <v>#N/A</v>
      </c>
      <c r="B837" t="e">
        <f>INDEX(resultados!$A$2:$ZZ$2290, 831, MATCH($B$2, resultados!$A$1:$ZZ$1, 0))</f>
        <v>#N/A</v>
      </c>
      <c r="C837" t="e">
        <f>INDEX(resultados!$A$2:$ZZ$2290, 831, MATCH($B$3, resultados!$A$1:$ZZ$1, 0))</f>
        <v>#N/A</v>
      </c>
    </row>
    <row r="838" spans="1:3" x14ac:dyDescent="0.3">
      <c r="A838" t="e">
        <f>INDEX(resultados!$A$2:$ZZ$2290, 832, MATCH($B$1, resultados!$A$1:$ZZ$1, 0))</f>
        <v>#N/A</v>
      </c>
      <c r="B838" t="e">
        <f>INDEX(resultados!$A$2:$ZZ$2290, 832, MATCH($B$2, resultados!$A$1:$ZZ$1, 0))</f>
        <v>#N/A</v>
      </c>
      <c r="C838" t="e">
        <f>INDEX(resultados!$A$2:$ZZ$2290, 832, MATCH($B$3, resultados!$A$1:$ZZ$1, 0))</f>
        <v>#N/A</v>
      </c>
    </row>
    <row r="839" spans="1:3" x14ac:dyDescent="0.3">
      <c r="A839" t="e">
        <f>INDEX(resultados!$A$2:$ZZ$2290, 833, MATCH($B$1, resultados!$A$1:$ZZ$1, 0))</f>
        <v>#N/A</v>
      </c>
      <c r="B839" t="e">
        <f>INDEX(resultados!$A$2:$ZZ$2290, 833, MATCH($B$2, resultados!$A$1:$ZZ$1, 0))</f>
        <v>#N/A</v>
      </c>
      <c r="C839" t="e">
        <f>INDEX(resultados!$A$2:$ZZ$2290, 833, MATCH($B$3, resultados!$A$1:$ZZ$1, 0))</f>
        <v>#N/A</v>
      </c>
    </row>
    <row r="840" spans="1:3" x14ac:dyDescent="0.3">
      <c r="A840" t="e">
        <f>INDEX(resultados!$A$2:$ZZ$2290, 834, MATCH($B$1, resultados!$A$1:$ZZ$1, 0))</f>
        <v>#N/A</v>
      </c>
      <c r="B840" t="e">
        <f>INDEX(resultados!$A$2:$ZZ$2290, 834, MATCH($B$2, resultados!$A$1:$ZZ$1, 0))</f>
        <v>#N/A</v>
      </c>
      <c r="C840" t="e">
        <f>INDEX(resultados!$A$2:$ZZ$2290, 834, MATCH($B$3, resultados!$A$1:$ZZ$1, 0))</f>
        <v>#N/A</v>
      </c>
    </row>
    <row r="841" spans="1:3" x14ac:dyDescent="0.3">
      <c r="A841" t="e">
        <f>INDEX(resultados!$A$2:$ZZ$2290, 835, MATCH($B$1, resultados!$A$1:$ZZ$1, 0))</f>
        <v>#N/A</v>
      </c>
      <c r="B841" t="e">
        <f>INDEX(resultados!$A$2:$ZZ$2290, 835, MATCH($B$2, resultados!$A$1:$ZZ$1, 0))</f>
        <v>#N/A</v>
      </c>
      <c r="C841" t="e">
        <f>INDEX(resultados!$A$2:$ZZ$2290, 835, MATCH($B$3, resultados!$A$1:$ZZ$1, 0))</f>
        <v>#N/A</v>
      </c>
    </row>
    <row r="842" spans="1:3" x14ac:dyDescent="0.3">
      <c r="A842" t="e">
        <f>INDEX(resultados!$A$2:$ZZ$2290, 836, MATCH($B$1, resultados!$A$1:$ZZ$1, 0))</f>
        <v>#N/A</v>
      </c>
      <c r="B842" t="e">
        <f>INDEX(resultados!$A$2:$ZZ$2290, 836, MATCH($B$2, resultados!$A$1:$ZZ$1, 0))</f>
        <v>#N/A</v>
      </c>
      <c r="C842" t="e">
        <f>INDEX(resultados!$A$2:$ZZ$2290, 836, MATCH($B$3, resultados!$A$1:$ZZ$1, 0))</f>
        <v>#N/A</v>
      </c>
    </row>
    <row r="843" spans="1:3" x14ac:dyDescent="0.3">
      <c r="A843" t="e">
        <f>INDEX(resultados!$A$2:$ZZ$2290, 837, MATCH($B$1, resultados!$A$1:$ZZ$1, 0))</f>
        <v>#N/A</v>
      </c>
      <c r="B843" t="e">
        <f>INDEX(resultados!$A$2:$ZZ$2290, 837, MATCH($B$2, resultados!$A$1:$ZZ$1, 0))</f>
        <v>#N/A</v>
      </c>
      <c r="C843" t="e">
        <f>INDEX(resultados!$A$2:$ZZ$2290, 837, MATCH($B$3, resultados!$A$1:$ZZ$1, 0))</f>
        <v>#N/A</v>
      </c>
    </row>
    <row r="844" spans="1:3" x14ac:dyDescent="0.3">
      <c r="A844" t="e">
        <f>INDEX(resultados!$A$2:$ZZ$2290, 838, MATCH($B$1, resultados!$A$1:$ZZ$1, 0))</f>
        <v>#N/A</v>
      </c>
      <c r="B844" t="e">
        <f>INDEX(resultados!$A$2:$ZZ$2290, 838, MATCH($B$2, resultados!$A$1:$ZZ$1, 0))</f>
        <v>#N/A</v>
      </c>
      <c r="C844" t="e">
        <f>INDEX(resultados!$A$2:$ZZ$2290, 838, MATCH($B$3, resultados!$A$1:$ZZ$1, 0))</f>
        <v>#N/A</v>
      </c>
    </row>
    <row r="845" spans="1:3" x14ac:dyDescent="0.3">
      <c r="A845" t="e">
        <f>INDEX(resultados!$A$2:$ZZ$2290, 839, MATCH($B$1, resultados!$A$1:$ZZ$1, 0))</f>
        <v>#N/A</v>
      </c>
      <c r="B845" t="e">
        <f>INDEX(resultados!$A$2:$ZZ$2290, 839, MATCH($B$2, resultados!$A$1:$ZZ$1, 0))</f>
        <v>#N/A</v>
      </c>
      <c r="C845" t="e">
        <f>INDEX(resultados!$A$2:$ZZ$2290, 839, MATCH($B$3, resultados!$A$1:$ZZ$1, 0))</f>
        <v>#N/A</v>
      </c>
    </row>
    <row r="846" spans="1:3" x14ac:dyDescent="0.3">
      <c r="A846" t="e">
        <f>INDEX(resultados!$A$2:$ZZ$2290, 840, MATCH($B$1, resultados!$A$1:$ZZ$1, 0))</f>
        <v>#N/A</v>
      </c>
      <c r="B846" t="e">
        <f>INDEX(resultados!$A$2:$ZZ$2290, 840, MATCH($B$2, resultados!$A$1:$ZZ$1, 0))</f>
        <v>#N/A</v>
      </c>
      <c r="C846" t="e">
        <f>INDEX(resultados!$A$2:$ZZ$2290, 840, MATCH($B$3, resultados!$A$1:$ZZ$1, 0))</f>
        <v>#N/A</v>
      </c>
    </row>
    <row r="847" spans="1:3" x14ac:dyDescent="0.3">
      <c r="A847" t="e">
        <f>INDEX(resultados!$A$2:$ZZ$2290, 841, MATCH($B$1, resultados!$A$1:$ZZ$1, 0))</f>
        <v>#N/A</v>
      </c>
      <c r="B847" t="e">
        <f>INDEX(resultados!$A$2:$ZZ$2290, 841, MATCH($B$2, resultados!$A$1:$ZZ$1, 0))</f>
        <v>#N/A</v>
      </c>
      <c r="C847" t="e">
        <f>INDEX(resultados!$A$2:$ZZ$2290, 841, MATCH($B$3, resultados!$A$1:$ZZ$1, 0))</f>
        <v>#N/A</v>
      </c>
    </row>
    <row r="848" spans="1:3" x14ac:dyDescent="0.3">
      <c r="A848" t="e">
        <f>INDEX(resultados!$A$2:$ZZ$2290, 842, MATCH($B$1, resultados!$A$1:$ZZ$1, 0))</f>
        <v>#N/A</v>
      </c>
      <c r="B848" t="e">
        <f>INDEX(resultados!$A$2:$ZZ$2290, 842, MATCH($B$2, resultados!$A$1:$ZZ$1, 0))</f>
        <v>#N/A</v>
      </c>
      <c r="C848" t="e">
        <f>INDEX(resultados!$A$2:$ZZ$2290, 842, MATCH($B$3, resultados!$A$1:$ZZ$1, 0))</f>
        <v>#N/A</v>
      </c>
    </row>
    <row r="849" spans="1:3" x14ac:dyDescent="0.3">
      <c r="A849" t="e">
        <f>INDEX(resultados!$A$2:$ZZ$2290, 843, MATCH($B$1, resultados!$A$1:$ZZ$1, 0))</f>
        <v>#N/A</v>
      </c>
      <c r="B849" t="e">
        <f>INDEX(resultados!$A$2:$ZZ$2290, 843, MATCH($B$2, resultados!$A$1:$ZZ$1, 0))</f>
        <v>#N/A</v>
      </c>
      <c r="C849" t="e">
        <f>INDEX(resultados!$A$2:$ZZ$2290, 843, MATCH($B$3, resultados!$A$1:$ZZ$1, 0))</f>
        <v>#N/A</v>
      </c>
    </row>
    <row r="850" spans="1:3" x14ac:dyDescent="0.3">
      <c r="A850" t="e">
        <f>INDEX(resultados!$A$2:$ZZ$2290, 844, MATCH($B$1, resultados!$A$1:$ZZ$1, 0))</f>
        <v>#N/A</v>
      </c>
      <c r="B850" t="e">
        <f>INDEX(resultados!$A$2:$ZZ$2290, 844, MATCH($B$2, resultados!$A$1:$ZZ$1, 0))</f>
        <v>#N/A</v>
      </c>
      <c r="C850" t="e">
        <f>INDEX(resultados!$A$2:$ZZ$2290, 844, MATCH($B$3, resultados!$A$1:$ZZ$1, 0))</f>
        <v>#N/A</v>
      </c>
    </row>
    <row r="851" spans="1:3" x14ac:dyDescent="0.3">
      <c r="A851" t="e">
        <f>INDEX(resultados!$A$2:$ZZ$2290, 845, MATCH($B$1, resultados!$A$1:$ZZ$1, 0))</f>
        <v>#N/A</v>
      </c>
      <c r="B851" t="e">
        <f>INDEX(resultados!$A$2:$ZZ$2290, 845, MATCH($B$2, resultados!$A$1:$ZZ$1, 0))</f>
        <v>#N/A</v>
      </c>
      <c r="C851" t="e">
        <f>INDEX(resultados!$A$2:$ZZ$2290, 845, MATCH($B$3, resultados!$A$1:$ZZ$1, 0))</f>
        <v>#N/A</v>
      </c>
    </row>
    <row r="852" spans="1:3" x14ac:dyDescent="0.3">
      <c r="A852" t="e">
        <f>INDEX(resultados!$A$2:$ZZ$2290, 846, MATCH($B$1, resultados!$A$1:$ZZ$1, 0))</f>
        <v>#N/A</v>
      </c>
      <c r="B852" t="e">
        <f>INDEX(resultados!$A$2:$ZZ$2290, 846, MATCH($B$2, resultados!$A$1:$ZZ$1, 0))</f>
        <v>#N/A</v>
      </c>
      <c r="C852" t="e">
        <f>INDEX(resultados!$A$2:$ZZ$2290, 846, MATCH($B$3, resultados!$A$1:$ZZ$1, 0))</f>
        <v>#N/A</v>
      </c>
    </row>
    <row r="853" spans="1:3" x14ac:dyDescent="0.3">
      <c r="A853" t="e">
        <f>INDEX(resultados!$A$2:$ZZ$2290, 847, MATCH($B$1, resultados!$A$1:$ZZ$1, 0))</f>
        <v>#N/A</v>
      </c>
      <c r="B853" t="e">
        <f>INDEX(resultados!$A$2:$ZZ$2290, 847, MATCH($B$2, resultados!$A$1:$ZZ$1, 0))</f>
        <v>#N/A</v>
      </c>
      <c r="C853" t="e">
        <f>INDEX(resultados!$A$2:$ZZ$2290, 847, MATCH($B$3, resultados!$A$1:$ZZ$1, 0))</f>
        <v>#N/A</v>
      </c>
    </row>
    <row r="854" spans="1:3" x14ac:dyDescent="0.3">
      <c r="A854" t="e">
        <f>INDEX(resultados!$A$2:$ZZ$2290, 848, MATCH($B$1, resultados!$A$1:$ZZ$1, 0))</f>
        <v>#N/A</v>
      </c>
      <c r="B854" t="e">
        <f>INDEX(resultados!$A$2:$ZZ$2290, 848, MATCH($B$2, resultados!$A$1:$ZZ$1, 0))</f>
        <v>#N/A</v>
      </c>
      <c r="C854" t="e">
        <f>INDEX(resultados!$A$2:$ZZ$2290, 848, MATCH($B$3, resultados!$A$1:$ZZ$1, 0))</f>
        <v>#N/A</v>
      </c>
    </row>
    <row r="855" spans="1:3" x14ac:dyDescent="0.3">
      <c r="A855" t="e">
        <f>INDEX(resultados!$A$2:$ZZ$2290, 849, MATCH($B$1, resultados!$A$1:$ZZ$1, 0))</f>
        <v>#N/A</v>
      </c>
      <c r="B855" t="e">
        <f>INDEX(resultados!$A$2:$ZZ$2290, 849, MATCH($B$2, resultados!$A$1:$ZZ$1, 0))</f>
        <v>#N/A</v>
      </c>
      <c r="C855" t="e">
        <f>INDEX(resultados!$A$2:$ZZ$2290, 849, MATCH($B$3, resultados!$A$1:$ZZ$1, 0))</f>
        <v>#N/A</v>
      </c>
    </row>
    <row r="856" spans="1:3" x14ac:dyDescent="0.3">
      <c r="A856" t="e">
        <f>INDEX(resultados!$A$2:$ZZ$2290, 850, MATCH($B$1, resultados!$A$1:$ZZ$1, 0))</f>
        <v>#N/A</v>
      </c>
      <c r="B856" t="e">
        <f>INDEX(resultados!$A$2:$ZZ$2290, 850, MATCH($B$2, resultados!$A$1:$ZZ$1, 0))</f>
        <v>#N/A</v>
      </c>
      <c r="C856" t="e">
        <f>INDEX(resultados!$A$2:$ZZ$2290, 850, MATCH($B$3, resultados!$A$1:$ZZ$1, 0))</f>
        <v>#N/A</v>
      </c>
    </row>
    <row r="857" spans="1:3" x14ac:dyDescent="0.3">
      <c r="A857" t="e">
        <f>INDEX(resultados!$A$2:$ZZ$2290, 851, MATCH($B$1, resultados!$A$1:$ZZ$1, 0))</f>
        <v>#N/A</v>
      </c>
      <c r="B857" t="e">
        <f>INDEX(resultados!$A$2:$ZZ$2290, 851, MATCH($B$2, resultados!$A$1:$ZZ$1, 0))</f>
        <v>#N/A</v>
      </c>
      <c r="C857" t="e">
        <f>INDEX(resultados!$A$2:$ZZ$2290, 851, MATCH($B$3, resultados!$A$1:$ZZ$1, 0))</f>
        <v>#N/A</v>
      </c>
    </row>
    <row r="858" spans="1:3" x14ac:dyDescent="0.3">
      <c r="A858" t="e">
        <f>INDEX(resultados!$A$2:$ZZ$2290, 852, MATCH($B$1, resultados!$A$1:$ZZ$1, 0))</f>
        <v>#N/A</v>
      </c>
      <c r="B858" t="e">
        <f>INDEX(resultados!$A$2:$ZZ$2290, 852, MATCH($B$2, resultados!$A$1:$ZZ$1, 0))</f>
        <v>#N/A</v>
      </c>
      <c r="C858" t="e">
        <f>INDEX(resultados!$A$2:$ZZ$2290, 852, MATCH($B$3, resultados!$A$1:$ZZ$1, 0))</f>
        <v>#N/A</v>
      </c>
    </row>
    <row r="859" spans="1:3" x14ac:dyDescent="0.3">
      <c r="A859" t="e">
        <f>INDEX(resultados!$A$2:$ZZ$2290, 853, MATCH($B$1, resultados!$A$1:$ZZ$1, 0))</f>
        <v>#N/A</v>
      </c>
      <c r="B859" t="e">
        <f>INDEX(resultados!$A$2:$ZZ$2290, 853, MATCH($B$2, resultados!$A$1:$ZZ$1, 0))</f>
        <v>#N/A</v>
      </c>
      <c r="C859" t="e">
        <f>INDEX(resultados!$A$2:$ZZ$2290, 853, MATCH($B$3, resultados!$A$1:$ZZ$1, 0))</f>
        <v>#N/A</v>
      </c>
    </row>
    <row r="860" spans="1:3" x14ac:dyDescent="0.3">
      <c r="A860" t="e">
        <f>INDEX(resultados!$A$2:$ZZ$2290, 854, MATCH($B$1, resultados!$A$1:$ZZ$1, 0))</f>
        <v>#N/A</v>
      </c>
      <c r="B860" t="e">
        <f>INDEX(resultados!$A$2:$ZZ$2290, 854, MATCH($B$2, resultados!$A$1:$ZZ$1, 0))</f>
        <v>#N/A</v>
      </c>
      <c r="C860" t="e">
        <f>INDEX(resultados!$A$2:$ZZ$2290, 854, MATCH($B$3, resultados!$A$1:$ZZ$1, 0))</f>
        <v>#N/A</v>
      </c>
    </row>
    <row r="861" spans="1:3" x14ac:dyDescent="0.3">
      <c r="A861" t="e">
        <f>INDEX(resultados!$A$2:$ZZ$2290, 855, MATCH($B$1, resultados!$A$1:$ZZ$1, 0))</f>
        <v>#N/A</v>
      </c>
      <c r="B861" t="e">
        <f>INDEX(resultados!$A$2:$ZZ$2290, 855, MATCH($B$2, resultados!$A$1:$ZZ$1, 0))</f>
        <v>#N/A</v>
      </c>
      <c r="C861" t="e">
        <f>INDEX(resultados!$A$2:$ZZ$2290, 855, MATCH($B$3, resultados!$A$1:$ZZ$1, 0))</f>
        <v>#N/A</v>
      </c>
    </row>
    <row r="862" spans="1:3" x14ac:dyDescent="0.3">
      <c r="A862" t="e">
        <f>INDEX(resultados!$A$2:$ZZ$2290, 856, MATCH($B$1, resultados!$A$1:$ZZ$1, 0))</f>
        <v>#N/A</v>
      </c>
      <c r="B862" t="e">
        <f>INDEX(resultados!$A$2:$ZZ$2290, 856, MATCH($B$2, resultados!$A$1:$ZZ$1, 0))</f>
        <v>#N/A</v>
      </c>
      <c r="C862" t="e">
        <f>INDEX(resultados!$A$2:$ZZ$2290, 856, MATCH($B$3, resultados!$A$1:$ZZ$1, 0))</f>
        <v>#N/A</v>
      </c>
    </row>
    <row r="863" spans="1:3" x14ac:dyDescent="0.3">
      <c r="A863" t="e">
        <f>INDEX(resultados!$A$2:$ZZ$2290, 857, MATCH($B$1, resultados!$A$1:$ZZ$1, 0))</f>
        <v>#N/A</v>
      </c>
      <c r="B863" t="e">
        <f>INDEX(resultados!$A$2:$ZZ$2290, 857, MATCH($B$2, resultados!$A$1:$ZZ$1, 0))</f>
        <v>#N/A</v>
      </c>
      <c r="C863" t="e">
        <f>INDEX(resultados!$A$2:$ZZ$2290, 857, MATCH($B$3, resultados!$A$1:$ZZ$1, 0))</f>
        <v>#N/A</v>
      </c>
    </row>
    <row r="864" spans="1:3" x14ac:dyDescent="0.3">
      <c r="A864" t="e">
        <f>INDEX(resultados!$A$2:$ZZ$2290, 858, MATCH($B$1, resultados!$A$1:$ZZ$1, 0))</f>
        <v>#N/A</v>
      </c>
      <c r="B864" t="e">
        <f>INDEX(resultados!$A$2:$ZZ$2290, 858, MATCH($B$2, resultados!$A$1:$ZZ$1, 0))</f>
        <v>#N/A</v>
      </c>
      <c r="C864" t="e">
        <f>INDEX(resultados!$A$2:$ZZ$2290, 858, MATCH($B$3, resultados!$A$1:$ZZ$1, 0))</f>
        <v>#N/A</v>
      </c>
    </row>
    <row r="865" spans="1:3" x14ac:dyDescent="0.3">
      <c r="A865" t="e">
        <f>INDEX(resultados!$A$2:$ZZ$2290, 859, MATCH($B$1, resultados!$A$1:$ZZ$1, 0))</f>
        <v>#N/A</v>
      </c>
      <c r="B865" t="e">
        <f>INDEX(resultados!$A$2:$ZZ$2290, 859, MATCH($B$2, resultados!$A$1:$ZZ$1, 0))</f>
        <v>#N/A</v>
      </c>
      <c r="C865" t="e">
        <f>INDEX(resultados!$A$2:$ZZ$2290, 859, MATCH($B$3, resultados!$A$1:$ZZ$1, 0))</f>
        <v>#N/A</v>
      </c>
    </row>
    <row r="866" spans="1:3" x14ac:dyDescent="0.3">
      <c r="A866" t="e">
        <f>INDEX(resultados!$A$2:$ZZ$2290, 860, MATCH($B$1, resultados!$A$1:$ZZ$1, 0))</f>
        <v>#N/A</v>
      </c>
      <c r="B866" t="e">
        <f>INDEX(resultados!$A$2:$ZZ$2290, 860, MATCH($B$2, resultados!$A$1:$ZZ$1, 0))</f>
        <v>#N/A</v>
      </c>
      <c r="C866" t="e">
        <f>INDEX(resultados!$A$2:$ZZ$2290, 860, MATCH($B$3, resultados!$A$1:$ZZ$1, 0))</f>
        <v>#N/A</v>
      </c>
    </row>
    <row r="867" spans="1:3" x14ac:dyDescent="0.3">
      <c r="A867" t="e">
        <f>INDEX(resultados!$A$2:$ZZ$2290, 861, MATCH($B$1, resultados!$A$1:$ZZ$1, 0))</f>
        <v>#N/A</v>
      </c>
      <c r="B867" t="e">
        <f>INDEX(resultados!$A$2:$ZZ$2290, 861, MATCH($B$2, resultados!$A$1:$ZZ$1, 0))</f>
        <v>#N/A</v>
      </c>
      <c r="C867" t="e">
        <f>INDEX(resultados!$A$2:$ZZ$2290, 861, MATCH($B$3, resultados!$A$1:$ZZ$1, 0))</f>
        <v>#N/A</v>
      </c>
    </row>
    <row r="868" spans="1:3" x14ac:dyDescent="0.3">
      <c r="A868" t="e">
        <f>INDEX(resultados!$A$2:$ZZ$2290, 862, MATCH($B$1, resultados!$A$1:$ZZ$1, 0))</f>
        <v>#N/A</v>
      </c>
      <c r="B868" t="e">
        <f>INDEX(resultados!$A$2:$ZZ$2290, 862, MATCH($B$2, resultados!$A$1:$ZZ$1, 0))</f>
        <v>#N/A</v>
      </c>
      <c r="C868" t="e">
        <f>INDEX(resultados!$A$2:$ZZ$2290, 862, MATCH($B$3, resultados!$A$1:$ZZ$1, 0))</f>
        <v>#N/A</v>
      </c>
    </row>
    <row r="869" spans="1:3" x14ac:dyDescent="0.3">
      <c r="A869" t="e">
        <f>INDEX(resultados!$A$2:$ZZ$2290, 863, MATCH($B$1, resultados!$A$1:$ZZ$1, 0))</f>
        <v>#N/A</v>
      </c>
      <c r="B869" t="e">
        <f>INDEX(resultados!$A$2:$ZZ$2290, 863, MATCH($B$2, resultados!$A$1:$ZZ$1, 0))</f>
        <v>#N/A</v>
      </c>
      <c r="C869" t="e">
        <f>INDEX(resultados!$A$2:$ZZ$2290, 863, MATCH($B$3, resultados!$A$1:$ZZ$1, 0))</f>
        <v>#N/A</v>
      </c>
    </row>
    <row r="870" spans="1:3" x14ac:dyDescent="0.3">
      <c r="A870" t="e">
        <f>INDEX(resultados!$A$2:$ZZ$2290, 864, MATCH($B$1, resultados!$A$1:$ZZ$1, 0))</f>
        <v>#N/A</v>
      </c>
      <c r="B870" t="e">
        <f>INDEX(resultados!$A$2:$ZZ$2290, 864, MATCH($B$2, resultados!$A$1:$ZZ$1, 0))</f>
        <v>#N/A</v>
      </c>
      <c r="C870" t="e">
        <f>INDEX(resultados!$A$2:$ZZ$2290, 864, MATCH($B$3, resultados!$A$1:$ZZ$1, 0))</f>
        <v>#N/A</v>
      </c>
    </row>
    <row r="871" spans="1:3" x14ac:dyDescent="0.3">
      <c r="A871" t="e">
        <f>INDEX(resultados!$A$2:$ZZ$2290, 865, MATCH($B$1, resultados!$A$1:$ZZ$1, 0))</f>
        <v>#N/A</v>
      </c>
      <c r="B871" t="e">
        <f>INDEX(resultados!$A$2:$ZZ$2290, 865, MATCH($B$2, resultados!$A$1:$ZZ$1, 0))</f>
        <v>#N/A</v>
      </c>
      <c r="C871" t="e">
        <f>INDEX(resultados!$A$2:$ZZ$2290, 865, MATCH($B$3, resultados!$A$1:$ZZ$1, 0))</f>
        <v>#N/A</v>
      </c>
    </row>
    <row r="872" spans="1:3" x14ac:dyDescent="0.3">
      <c r="A872" t="e">
        <f>INDEX(resultados!$A$2:$ZZ$2290, 866, MATCH($B$1, resultados!$A$1:$ZZ$1, 0))</f>
        <v>#N/A</v>
      </c>
      <c r="B872" t="e">
        <f>INDEX(resultados!$A$2:$ZZ$2290, 866, MATCH($B$2, resultados!$A$1:$ZZ$1, 0))</f>
        <v>#N/A</v>
      </c>
      <c r="C872" t="e">
        <f>INDEX(resultados!$A$2:$ZZ$2290, 866, MATCH($B$3, resultados!$A$1:$ZZ$1, 0))</f>
        <v>#N/A</v>
      </c>
    </row>
    <row r="873" spans="1:3" x14ac:dyDescent="0.3">
      <c r="A873" t="e">
        <f>INDEX(resultados!$A$2:$ZZ$2290, 867, MATCH($B$1, resultados!$A$1:$ZZ$1, 0))</f>
        <v>#N/A</v>
      </c>
      <c r="B873" t="e">
        <f>INDEX(resultados!$A$2:$ZZ$2290, 867, MATCH($B$2, resultados!$A$1:$ZZ$1, 0))</f>
        <v>#N/A</v>
      </c>
      <c r="C873" t="e">
        <f>INDEX(resultados!$A$2:$ZZ$2290, 867, MATCH($B$3, resultados!$A$1:$ZZ$1, 0))</f>
        <v>#N/A</v>
      </c>
    </row>
    <row r="874" spans="1:3" x14ac:dyDescent="0.3">
      <c r="A874" t="e">
        <f>INDEX(resultados!$A$2:$ZZ$2290, 868, MATCH($B$1, resultados!$A$1:$ZZ$1, 0))</f>
        <v>#N/A</v>
      </c>
      <c r="B874" t="e">
        <f>INDEX(resultados!$A$2:$ZZ$2290, 868, MATCH($B$2, resultados!$A$1:$ZZ$1, 0))</f>
        <v>#N/A</v>
      </c>
      <c r="C874" t="e">
        <f>INDEX(resultados!$A$2:$ZZ$2290, 868, MATCH($B$3, resultados!$A$1:$ZZ$1, 0))</f>
        <v>#N/A</v>
      </c>
    </row>
    <row r="875" spans="1:3" x14ac:dyDescent="0.3">
      <c r="A875" t="e">
        <f>INDEX(resultados!$A$2:$ZZ$2290, 869, MATCH($B$1, resultados!$A$1:$ZZ$1, 0))</f>
        <v>#N/A</v>
      </c>
      <c r="B875" t="e">
        <f>INDEX(resultados!$A$2:$ZZ$2290, 869, MATCH($B$2, resultados!$A$1:$ZZ$1, 0))</f>
        <v>#N/A</v>
      </c>
      <c r="C875" t="e">
        <f>INDEX(resultados!$A$2:$ZZ$2290, 869, MATCH($B$3, resultados!$A$1:$ZZ$1, 0))</f>
        <v>#N/A</v>
      </c>
    </row>
    <row r="876" spans="1:3" x14ac:dyDescent="0.3">
      <c r="A876" t="e">
        <f>INDEX(resultados!$A$2:$ZZ$2290, 870, MATCH($B$1, resultados!$A$1:$ZZ$1, 0))</f>
        <v>#N/A</v>
      </c>
      <c r="B876" t="e">
        <f>INDEX(resultados!$A$2:$ZZ$2290, 870, MATCH($B$2, resultados!$A$1:$ZZ$1, 0))</f>
        <v>#N/A</v>
      </c>
      <c r="C876" t="e">
        <f>INDEX(resultados!$A$2:$ZZ$2290, 870, MATCH($B$3, resultados!$A$1:$ZZ$1, 0))</f>
        <v>#N/A</v>
      </c>
    </row>
    <row r="877" spans="1:3" x14ac:dyDescent="0.3">
      <c r="A877" t="e">
        <f>INDEX(resultados!$A$2:$ZZ$2290, 871, MATCH($B$1, resultados!$A$1:$ZZ$1, 0))</f>
        <v>#N/A</v>
      </c>
      <c r="B877" t="e">
        <f>INDEX(resultados!$A$2:$ZZ$2290, 871, MATCH($B$2, resultados!$A$1:$ZZ$1, 0))</f>
        <v>#N/A</v>
      </c>
      <c r="C877" t="e">
        <f>INDEX(resultados!$A$2:$ZZ$2290, 871, MATCH($B$3, resultados!$A$1:$ZZ$1, 0))</f>
        <v>#N/A</v>
      </c>
    </row>
    <row r="878" spans="1:3" x14ac:dyDescent="0.3">
      <c r="A878" t="e">
        <f>INDEX(resultados!$A$2:$ZZ$2290, 872, MATCH($B$1, resultados!$A$1:$ZZ$1, 0))</f>
        <v>#N/A</v>
      </c>
      <c r="B878" t="e">
        <f>INDEX(resultados!$A$2:$ZZ$2290, 872, MATCH($B$2, resultados!$A$1:$ZZ$1, 0))</f>
        <v>#N/A</v>
      </c>
      <c r="C878" t="e">
        <f>INDEX(resultados!$A$2:$ZZ$2290, 872, MATCH($B$3, resultados!$A$1:$ZZ$1, 0))</f>
        <v>#N/A</v>
      </c>
    </row>
    <row r="879" spans="1:3" x14ac:dyDescent="0.3">
      <c r="A879" t="e">
        <f>INDEX(resultados!$A$2:$ZZ$2290, 873, MATCH($B$1, resultados!$A$1:$ZZ$1, 0))</f>
        <v>#N/A</v>
      </c>
      <c r="B879" t="e">
        <f>INDEX(resultados!$A$2:$ZZ$2290, 873, MATCH($B$2, resultados!$A$1:$ZZ$1, 0))</f>
        <v>#N/A</v>
      </c>
      <c r="C879" t="e">
        <f>INDEX(resultados!$A$2:$ZZ$2290, 873, MATCH($B$3, resultados!$A$1:$ZZ$1, 0))</f>
        <v>#N/A</v>
      </c>
    </row>
    <row r="880" spans="1:3" x14ac:dyDescent="0.3">
      <c r="A880" t="e">
        <f>INDEX(resultados!$A$2:$ZZ$2290, 874, MATCH($B$1, resultados!$A$1:$ZZ$1, 0))</f>
        <v>#N/A</v>
      </c>
      <c r="B880" t="e">
        <f>INDEX(resultados!$A$2:$ZZ$2290, 874, MATCH($B$2, resultados!$A$1:$ZZ$1, 0))</f>
        <v>#N/A</v>
      </c>
      <c r="C880" t="e">
        <f>INDEX(resultados!$A$2:$ZZ$2290, 874, MATCH($B$3, resultados!$A$1:$ZZ$1, 0))</f>
        <v>#N/A</v>
      </c>
    </row>
    <row r="881" spans="1:3" x14ac:dyDescent="0.3">
      <c r="A881" t="e">
        <f>INDEX(resultados!$A$2:$ZZ$2290, 875, MATCH($B$1, resultados!$A$1:$ZZ$1, 0))</f>
        <v>#N/A</v>
      </c>
      <c r="B881" t="e">
        <f>INDEX(resultados!$A$2:$ZZ$2290, 875, MATCH($B$2, resultados!$A$1:$ZZ$1, 0))</f>
        <v>#N/A</v>
      </c>
      <c r="C881" t="e">
        <f>INDEX(resultados!$A$2:$ZZ$2290, 875, MATCH($B$3, resultados!$A$1:$ZZ$1, 0))</f>
        <v>#N/A</v>
      </c>
    </row>
    <row r="882" spans="1:3" x14ac:dyDescent="0.3">
      <c r="A882" t="e">
        <f>INDEX(resultados!$A$2:$ZZ$2290, 876, MATCH($B$1, resultados!$A$1:$ZZ$1, 0))</f>
        <v>#N/A</v>
      </c>
      <c r="B882" t="e">
        <f>INDEX(resultados!$A$2:$ZZ$2290, 876, MATCH($B$2, resultados!$A$1:$ZZ$1, 0))</f>
        <v>#N/A</v>
      </c>
      <c r="C882" t="e">
        <f>INDEX(resultados!$A$2:$ZZ$2290, 876, MATCH($B$3, resultados!$A$1:$ZZ$1, 0))</f>
        <v>#N/A</v>
      </c>
    </row>
    <row r="883" spans="1:3" x14ac:dyDescent="0.3">
      <c r="A883" t="e">
        <f>INDEX(resultados!$A$2:$ZZ$2290, 877, MATCH($B$1, resultados!$A$1:$ZZ$1, 0))</f>
        <v>#N/A</v>
      </c>
      <c r="B883" t="e">
        <f>INDEX(resultados!$A$2:$ZZ$2290, 877, MATCH($B$2, resultados!$A$1:$ZZ$1, 0))</f>
        <v>#N/A</v>
      </c>
      <c r="C883" t="e">
        <f>INDEX(resultados!$A$2:$ZZ$2290, 877, MATCH($B$3, resultados!$A$1:$ZZ$1, 0))</f>
        <v>#N/A</v>
      </c>
    </row>
    <row r="884" spans="1:3" x14ac:dyDescent="0.3">
      <c r="A884" t="e">
        <f>INDEX(resultados!$A$2:$ZZ$2290, 878, MATCH($B$1, resultados!$A$1:$ZZ$1, 0))</f>
        <v>#N/A</v>
      </c>
      <c r="B884" t="e">
        <f>INDEX(resultados!$A$2:$ZZ$2290, 878, MATCH($B$2, resultados!$A$1:$ZZ$1, 0))</f>
        <v>#N/A</v>
      </c>
      <c r="C884" t="e">
        <f>INDEX(resultados!$A$2:$ZZ$2290, 878, MATCH($B$3, resultados!$A$1:$ZZ$1, 0))</f>
        <v>#N/A</v>
      </c>
    </row>
    <row r="885" spans="1:3" x14ac:dyDescent="0.3">
      <c r="A885" t="e">
        <f>INDEX(resultados!$A$2:$ZZ$2290, 879, MATCH($B$1, resultados!$A$1:$ZZ$1, 0))</f>
        <v>#N/A</v>
      </c>
      <c r="B885" t="e">
        <f>INDEX(resultados!$A$2:$ZZ$2290, 879, MATCH($B$2, resultados!$A$1:$ZZ$1, 0))</f>
        <v>#N/A</v>
      </c>
      <c r="C885" t="e">
        <f>INDEX(resultados!$A$2:$ZZ$2290, 879, MATCH($B$3, resultados!$A$1:$ZZ$1, 0))</f>
        <v>#N/A</v>
      </c>
    </row>
    <row r="886" spans="1:3" x14ac:dyDescent="0.3">
      <c r="A886" t="e">
        <f>INDEX(resultados!$A$2:$ZZ$2290, 880, MATCH($B$1, resultados!$A$1:$ZZ$1, 0))</f>
        <v>#N/A</v>
      </c>
      <c r="B886" t="e">
        <f>INDEX(resultados!$A$2:$ZZ$2290, 880, MATCH($B$2, resultados!$A$1:$ZZ$1, 0))</f>
        <v>#N/A</v>
      </c>
      <c r="C886" t="e">
        <f>INDEX(resultados!$A$2:$ZZ$2290, 880, MATCH($B$3, resultados!$A$1:$ZZ$1, 0))</f>
        <v>#N/A</v>
      </c>
    </row>
    <row r="887" spans="1:3" x14ac:dyDescent="0.3">
      <c r="A887" t="e">
        <f>INDEX(resultados!$A$2:$ZZ$2290, 881, MATCH($B$1, resultados!$A$1:$ZZ$1, 0))</f>
        <v>#N/A</v>
      </c>
      <c r="B887" t="e">
        <f>INDEX(resultados!$A$2:$ZZ$2290, 881, MATCH($B$2, resultados!$A$1:$ZZ$1, 0))</f>
        <v>#N/A</v>
      </c>
      <c r="C887" t="e">
        <f>INDEX(resultados!$A$2:$ZZ$2290, 881, MATCH($B$3, resultados!$A$1:$ZZ$1, 0))</f>
        <v>#N/A</v>
      </c>
    </row>
    <row r="888" spans="1:3" x14ac:dyDescent="0.3">
      <c r="A888" t="e">
        <f>INDEX(resultados!$A$2:$ZZ$2290, 882, MATCH($B$1, resultados!$A$1:$ZZ$1, 0))</f>
        <v>#N/A</v>
      </c>
      <c r="B888" t="e">
        <f>INDEX(resultados!$A$2:$ZZ$2290, 882, MATCH($B$2, resultados!$A$1:$ZZ$1, 0))</f>
        <v>#N/A</v>
      </c>
      <c r="C888" t="e">
        <f>INDEX(resultados!$A$2:$ZZ$2290, 882, MATCH($B$3, resultados!$A$1:$ZZ$1, 0))</f>
        <v>#N/A</v>
      </c>
    </row>
    <row r="889" spans="1:3" x14ac:dyDescent="0.3">
      <c r="A889" t="e">
        <f>INDEX(resultados!$A$2:$ZZ$2290, 883, MATCH($B$1, resultados!$A$1:$ZZ$1, 0))</f>
        <v>#N/A</v>
      </c>
      <c r="B889" t="e">
        <f>INDEX(resultados!$A$2:$ZZ$2290, 883, MATCH($B$2, resultados!$A$1:$ZZ$1, 0))</f>
        <v>#N/A</v>
      </c>
      <c r="C889" t="e">
        <f>INDEX(resultados!$A$2:$ZZ$2290, 883, MATCH($B$3, resultados!$A$1:$ZZ$1, 0))</f>
        <v>#N/A</v>
      </c>
    </row>
    <row r="890" spans="1:3" x14ac:dyDescent="0.3">
      <c r="A890" t="e">
        <f>INDEX(resultados!$A$2:$ZZ$2290, 884, MATCH($B$1, resultados!$A$1:$ZZ$1, 0))</f>
        <v>#N/A</v>
      </c>
      <c r="B890" t="e">
        <f>INDEX(resultados!$A$2:$ZZ$2290, 884, MATCH($B$2, resultados!$A$1:$ZZ$1, 0))</f>
        <v>#N/A</v>
      </c>
      <c r="C890" t="e">
        <f>INDEX(resultados!$A$2:$ZZ$2290, 884, MATCH($B$3, resultados!$A$1:$ZZ$1, 0))</f>
        <v>#N/A</v>
      </c>
    </row>
    <row r="891" spans="1:3" x14ac:dyDescent="0.3">
      <c r="A891" t="e">
        <f>INDEX(resultados!$A$2:$ZZ$2290, 885, MATCH($B$1, resultados!$A$1:$ZZ$1, 0))</f>
        <v>#N/A</v>
      </c>
      <c r="B891" t="e">
        <f>INDEX(resultados!$A$2:$ZZ$2290, 885, MATCH($B$2, resultados!$A$1:$ZZ$1, 0))</f>
        <v>#N/A</v>
      </c>
      <c r="C891" t="e">
        <f>INDEX(resultados!$A$2:$ZZ$2290, 885, MATCH($B$3, resultados!$A$1:$ZZ$1, 0))</f>
        <v>#N/A</v>
      </c>
    </row>
    <row r="892" spans="1:3" x14ac:dyDescent="0.3">
      <c r="A892" t="e">
        <f>INDEX(resultados!$A$2:$ZZ$2290, 886, MATCH($B$1, resultados!$A$1:$ZZ$1, 0))</f>
        <v>#N/A</v>
      </c>
      <c r="B892" t="e">
        <f>INDEX(resultados!$A$2:$ZZ$2290, 886, MATCH($B$2, resultados!$A$1:$ZZ$1, 0))</f>
        <v>#N/A</v>
      </c>
      <c r="C892" t="e">
        <f>INDEX(resultados!$A$2:$ZZ$2290, 886, MATCH($B$3, resultados!$A$1:$ZZ$1, 0))</f>
        <v>#N/A</v>
      </c>
    </row>
    <row r="893" spans="1:3" x14ac:dyDescent="0.3">
      <c r="A893" t="e">
        <f>INDEX(resultados!$A$2:$ZZ$2290, 887, MATCH($B$1, resultados!$A$1:$ZZ$1, 0))</f>
        <v>#N/A</v>
      </c>
      <c r="B893" t="e">
        <f>INDEX(resultados!$A$2:$ZZ$2290, 887, MATCH($B$2, resultados!$A$1:$ZZ$1, 0))</f>
        <v>#N/A</v>
      </c>
      <c r="C893" t="e">
        <f>INDEX(resultados!$A$2:$ZZ$2290, 887, MATCH($B$3, resultados!$A$1:$ZZ$1, 0))</f>
        <v>#N/A</v>
      </c>
    </row>
    <row r="894" spans="1:3" x14ac:dyDescent="0.3">
      <c r="A894" t="e">
        <f>INDEX(resultados!$A$2:$ZZ$2290, 888, MATCH($B$1, resultados!$A$1:$ZZ$1, 0))</f>
        <v>#N/A</v>
      </c>
      <c r="B894" t="e">
        <f>INDEX(resultados!$A$2:$ZZ$2290, 888, MATCH($B$2, resultados!$A$1:$ZZ$1, 0))</f>
        <v>#N/A</v>
      </c>
      <c r="C894" t="e">
        <f>INDEX(resultados!$A$2:$ZZ$2290, 888, MATCH($B$3, resultados!$A$1:$ZZ$1, 0))</f>
        <v>#N/A</v>
      </c>
    </row>
    <row r="895" spans="1:3" x14ac:dyDescent="0.3">
      <c r="A895" t="e">
        <f>INDEX(resultados!$A$2:$ZZ$2290, 889, MATCH($B$1, resultados!$A$1:$ZZ$1, 0))</f>
        <v>#N/A</v>
      </c>
      <c r="B895" t="e">
        <f>INDEX(resultados!$A$2:$ZZ$2290, 889, MATCH($B$2, resultados!$A$1:$ZZ$1, 0))</f>
        <v>#N/A</v>
      </c>
      <c r="C895" t="e">
        <f>INDEX(resultados!$A$2:$ZZ$2290, 889, MATCH($B$3, resultados!$A$1:$ZZ$1, 0))</f>
        <v>#N/A</v>
      </c>
    </row>
    <row r="896" spans="1:3" x14ac:dyDescent="0.3">
      <c r="A896" t="e">
        <f>INDEX(resultados!$A$2:$ZZ$2290, 890, MATCH($B$1, resultados!$A$1:$ZZ$1, 0))</f>
        <v>#N/A</v>
      </c>
      <c r="B896" t="e">
        <f>INDEX(resultados!$A$2:$ZZ$2290, 890, MATCH($B$2, resultados!$A$1:$ZZ$1, 0))</f>
        <v>#N/A</v>
      </c>
      <c r="C896" t="e">
        <f>INDEX(resultados!$A$2:$ZZ$2290, 890, MATCH($B$3, resultados!$A$1:$ZZ$1, 0))</f>
        <v>#N/A</v>
      </c>
    </row>
    <row r="897" spans="1:3" x14ac:dyDescent="0.3">
      <c r="A897" t="e">
        <f>INDEX(resultados!$A$2:$ZZ$2290, 891, MATCH($B$1, resultados!$A$1:$ZZ$1, 0))</f>
        <v>#N/A</v>
      </c>
      <c r="B897" t="e">
        <f>INDEX(resultados!$A$2:$ZZ$2290, 891, MATCH($B$2, resultados!$A$1:$ZZ$1, 0))</f>
        <v>#N/A</v>
      </c>
      <c r="C897" t="e">
        <f>INDEX(resultados!$A$2:$ZZ$2290, 891, MATCH($B$3, resultados!$A$1:$ZZ$1, 0))</f>
        <v>#N/A</v>
      </c>
    </row>
    <row r="898" spans="1:3" x14ac:dyDescent="0.3">
      <c r="A898" t="e">
        <f>INDEX(resultados!$A$2:$ZZ$2290, 892, MATCH($B$1, resultados!$A$1:$ZZ$1, 0))</f>
        <v>#N/A</v>
      </c>
      <c r="B898" t="e">
        <f>INDEX(resultados!$A$2:$ZZ$2290, 892, MATCH($B$2, resultados!$A$1:$ZZ$1, 0))</f>
        <v>#N/A</v>
      </c>
      <c r="C898" t="e">
        <f>INDEX(resultados!$A$2:$ZZ$2290, 892, MATCH($B$3, resultados!$A$1:$ZZ$1, 0))</f>
        <v>#N/A</v>
      </c>
    </row>
    <row r="899" spans="1:3" x14ac:dyDescent="0.3">
      <c r="A899" t="e">
        <f>INDEX(resultados!$A$2:$ZZ$2290, 893, MATCH($B$1, resultados!$A$1:$ZZ$1, 0))</f>
        <v>#N/A</v>
      </c>
      <c r="B899" t="e">
        <f>INDEX(resultados!$A$2:$ZZ$2290, 893, MATCH($B$2, resultados!$A$1:$ZZ$1, 0))</f>
        <v>#N/A</v>
      </c>
      <c r="C899" t="e">
        <f>INDEX(resultados!$A$2:$ZZ$2290, 893, MATCH($B$3, resultados!$A$1:$ZZ$1, 0))</f>
        <v>#N/A</v>
      </c>
    </row>
    <row r="900" spans="1:3" x14ac:dyDescent="0.3">
      <c r="A900" t="e">
        <f>INDEX(resultados!$A$2:$ZZ$2290, 894, MATCH($B$1, resultados!$A$1:$ZZ$1, 0))</f>
        <v>#N/A</v>
      </c>
      <c r="B900" t="e">
        <f>INDEX(resultados!$A$2:$ZZ$2290, 894, MATCH($B$2, resultados!$A$1:$ZZ$1, 0))</f>
        <v>#N/A</v>
      </c>
      <c r="C900" t="e">
        <f>INDEX(resultados!$A$2:$ZZ$2290, 894, MATCH($B$3, resultados!$A$1:$ZZ$1, 0))</f>
        <v>#N/A</v>
      </c>
    </row>
    <row r="901" spans="1:3" x14ac:dyDescent="0.3">
      <c r="A901" t="e">
        <f>INDEX(resultados!$A$2:$ZZ$2290, 895, MATCH($B$1, resultados!$A$1:$ZZ$1, 0))</f>
        <v>#N/A</v>
      </c>
      <c r="B901" t="e">
        <f>INDEX(resultados!$A$2:$ZZ$2290, 895, MATCH($B$2, resultados!$A$1:$ZZ$1, 0))</f>
        <v>#N/A</v>
      </c>
      <c r="C901" t="e">
        <f>INDEX(resultados!$A$2:$ZZ$2290, 895, MATCH($B$3, resultados!$A$1:$ZZ$1, 0))</f>
        <v>#N/A</v>
      </c>
    </row>
    <row r="902" spans="1:3" x14ac:dyDescent="0.3">
      <c r="A902" t="e">
        <f>INDEX(resultados!$A$2:$ZZ$2290, 896, MATCH($B$1, resultados!$A$1:$ZZ$1, 0))</f>
        <v>#N/A</v>
      </c>
      <c r="B902" t="e">
        <f>INDEX(resultados!$A$2:$ZZ$2290, 896, MATCH($B$2, resultados!$A$1:$ZZ$1, 0))</f>
        <v>#N/A</v>
      </c>
      <c r="C902" t="e">
        <f>INDEX(resultados!$A$2:$ZZ$2290, 896, MATCH($B$3, resultados!$A$1:$ZZ$1, 0))</f>
        <v>#N/A</v>
      </c>
    </row>
    <row r="903" spans="1:3" x14ac:dyDescent="0.3">
      <c r="A903" t="e">
        <f>INDEX(resultados!$A$2:$ZZ$2290, 897, MATCH($B$1, resultados!$A$1:$ZZ$1, 0))</f>
        <v>#N/A</v>
      </c>
      <c r="B903" t="e">
        <f>INDEX(resultados!$A$2:$ZZ$2290, 897, MATCH($B$2, resultados!$A$1:$ZZ$1, 0))</f>
        <v>#N/A</v>
      </c>
      <c r="C903" t="e">
        <f>INDEX(resultados!$A$2:$ZZ$2290, 897, MATCH($B$3, resultados!$A$1:$ZZ$1, 0))</f>
        <v>#N/A</v>
      </c>
    </row>
    <row r="904" spans="1:3" x14ac:dyDescent="0.3">
      <c r="A904" t="e">
        <f>INDEX(resultados!$A$2:$ZZ$2290, 898, MATCH($B$1, resultados!$A$1:$ZZ$1, 0))</f>
        <v>#N/A</v>
      </c>
      <c r="B904" t="e">
        <f>INDEX(resultados!$A$2:$ZZ$2290, 898, MATCH($B$2, resultados!$A$1:$ZZ$1, 0))</f>
        <v>#N/A</v>
      </c>
      <c r="C904" t="e">
        <f>INDEX(resultados!$A$2:$ZZ$2290, 898, MATCH($B$3, resultados!$A$1:$ZZ$1, 0))</f>
        <v>#N/A</v>
      </c>
    </row>
    <row r="905" spans="1:3" x14ac:dyDescent="0.3">
      <c r="A905" t="e">
        <f>INDEX(resultados!$A$2:$ZZ$2290, 899, MATCH($B$1, resultados!$A$1:$ZZ$1, 0))</f>
        <v>#N/A</v>
      </c>
      <c r="B905" t="e">
        <f>INDEX(resultados!$A$2:$ZZ$2290, 899, MATCH($B$2, resultados!$A$1:$ZZ$1, 0))</f>
        <v>#N/A</v>
      </c>
      <c r="C905" t="e">
        <f>INDEX(resultados!$A$2:$ZZ$2290, 899, MATCH($B$3, resultados!$A$1:$ZZ$1, 0))</f>
        <v>#N/A</v>
      </c>
    </row>
    <row r="906" spans="1:3" x14ac:dyDescent="0.3">
      <c r="A906" t="e">
        <f>INDEX(resultados!$A$2:$ZZ$2290, 900, MATCH($B$1, resultados!$A$1:$ZZ$1, 0))</f>
        <v>#N/A</v>
      </c>
      <c r="B906" t="e">
        <f>INDEX(resultados!$A$2:$ZZ$2290, 900, MATCH($B$2, resultados!$A$1:$ZZ$1, 0))</f>
        <v>#N/A</v>
      </c>
      <c r="C906" t="e">
        <f>INDEX(resultados!$A$2:$ZZ$2290, 900, MATCH($B$3, resultados!$A$1:$ZZ$1, 0))</f>
        <v>#N/A</v>
      </c>
    </row>
    <row r="907" spans="1:3" x14ac:dyDescent="0.3">
      <c r="A907" t="e">
        <f>INDEX(resultados!$A$2:$ZZ$2290, 901, MATCH($B$1, resultados!$A$1:$ZZ$1, 0))</f>
        <v>#N/A</v>
      </c>
      <c r="B907" t="e">
        <f>INDEX(resultados!$A$2:$ZZ$2290, 901, MATCH($B$2, resultados!$A$1:$ZZ$1, 0))</f>
        <v>#N/A</v>
      </c>
      <c r="C907" t="e">
        <f>INDEX(resultados!$A$2:$ZZ$2290, 901, MATCH($B$3, resultados!$A$1:$ZZ$1, 0))</f>
        <v>#N/A</v>
      </c>
    </row>
    <row r="908" spans="1:3" x14ac:dyDescent="0.3">
      <c r="A908" t="e">
        <f>INDEX(resultados!$A$2:$ZZ$2290, 902, MATCH($B$1, resultados!$A$1:$ZZ$1, 0))</f>
        <v>#N/A</v>
      </c>
      <c r="B908" t="e">
        <f>INDEX(resultados!$A$2:$ZZ$2290, 902, MATCH($B$2, resultados!$A$1:$ZZ$1, 0))</f>
        <v>#N/A</v>
      </c>
      <c r="C908" t="e">
        <f>INDEX(resultados!$A$2:$ZZ$2290, 902, MATCH($B$3, resultados!$A$1:$ZZ$1, 0))</f>
        <v>#N/A</v>
      </c>
    </row>
    <row r="909" spans="1:3" x14ac:dyDescent="0.3">
      <c r="A909" t="e">
        <f>INDEX(resultados!$A$2:$ZZ$2290, 903, MATCH($B$1, resultados!$A$1:$ZZ$1, 0))</f>
        <v>#N/A</v>
      </c>
      <c r="B909" t="e">
        <f>INDEX(resultados!$A$2:$ZZ$2290, 903, MATCH($B$2, resultados!$A$1:$ZZ$1, 0))</f>
        <v>#N/A</v>
      </c>
      <c r="C909" t="e">
        <f>INDEX(resultados!$A$2:$ZZ$2290, 903, MATCH($B$3, resultados!$A$1:$ZZ$1, 0))</f>
        <v>#N/A</v>
      </c>
    </row>
    <row r="910" spans="1:3" x14ac:dyDescent="0.3">
      <c r="A910" t="e">
        <f>INDEX(resultados!$A$2:$ZZ$2290, 904, MATCH($B$1, resultados!$A$1:$ZZ$1, 0))</f>
        <v>#N/A</v>
      </c>
      <c r="B910" t="e">
        <f>INDEX(resultados!$A$2:$ZZ$2290, 904, MATCH($B$2, resultados!$A$1:$ZZ$1, 0))</f>
        <v>#N/A</v>
      </c>
      <c r="C910" t="e">
        <f>INDEX(resultados!$A$2:$ZZ$2290, 904, MATCH($B$3, resultados!$A$1:$ZZ$1, 0))</f>
        <v>#N/A</v>
      </c>
    </row>
    <row r="911" spans="1:3" x14ac:dyDescent="0.3">
      <c r="A911" t="e">
        <f>INDEX(resultados!$A$2:$ZZ$2290, 905, MATCH($B$1, resultados!$A$1:$ZZ$1, 0))</f>
        <v>#N/A</v>
      </c>
      <c r="B911" t="e">
        <f>INDEX(resultados!$A$2:$ZZ$2290, 905, MATCH($B$2, resultados!$A$1:$ZZ$1, 0))</f>
        <v>#N/A</v>
      </c>
      <c r="C911" t="e">
        <f>INDEX(resultados!$A$2:$ZZ$2290, 905, MATCH($B$3, resultados!$A$1:$ZZ$1, 0))</f>
        <v>#N/A</v>
      </c>
    </row>
    <row r="912" spans="1:3" x14ac:dyDescent="0.3">
      <c r="A912" t="e">
        <f>INDEX(resultados!$A$2:$ZZ$2290, 906, MATCH($B$1, resultados!$A$1:$ZZ$1, 0))</f>
        <v>#N/A</v>
      </c>
      <c r="B912" t="e">
        <f>INDEX(resultados!$A$2:$ZZ$2290, 906, MATCH($B$2, resultados!$A$1:$ZZ$1, 0))</f>
        <v>#N/A</v>
      </c>
      <c r="C912" t="e">
        <f>INDEX(resultados!$A$2:$ZZ$2290, 906, MATCH($B$3, resultados!$A$1:$ZZ$1, 0))</f>
        <v>#N/A</v>
      </c>
    </row>
    <row r="913" spans="1:3" x14ac:dyDescent="0.3">
      <c r="A913" t="e">
        <f>INDEX(resultados!$A$2:$ZZ$2290, 907, MATCH($B$1, resultados!$A$1:$ZZ$1, 0))</f>
        <v>#N/A</v>
      </c>
      <c r="B913" t="e">
        <f>INDEX(resultados!$A$2:$ZZ$2290, 907, MATCH($B$2, resultados!$A$1:$ZZ$1, 0))</f>
        <v>#N/A</v>
      </c>
      <c r="C913" t="e">
        <f>INDEX(resultados!$A$2:$ZZ$2290, 907, MATCH($B$3, resultados!$A$1:$ZZ$1, 0))</f>
        <v>#N/A</v>
      </c>
    </row>
    <row r="914" spans="1:3" x14ac:dyDescent="0.3">
      <c r="A914" t="e">
        <f>INDEX(resultados!$A$2:$ZZ$2290, 908, MATCH($B$1, resultados!$A$1:$ZZ$1, 0))</f>
        <v>#N/A</v>
      </c>
      <c r="B914" t="e">
        <f>INDEX(resultados!$A$2:$ZZ$2290, 908, MATCH($B$2, resultados!$A$1:$ZZ$1, 0))</f>
        <v>#N/A</v>
      </c>
      <c r="C914" t="e">
        <f>INDEX(resultados!$A$2:$ZZ$2290, 908, MATCH($B$3, resultados!$A$1:$ZZ$1, 0))</f>
        <v>#N/A</v>
      </c>
    </row>
    <row r="915" spans="1:3" x14ac:dyDescent="0.3">
      <c r="A915" t="e">
        <f>INDEX(resultados!$A$2:$ZZ$2290, 909, MATCH($B$1, resultados!$A$1:$ZZ$1, 0))</f>
        <v>#N/A</v>
      </c>
      <c r="B915" t="e">
        <f>INDEX(resultados!$A$2:$ZZ$2290, 909, MATCH($B$2, resultados!$A$1:$ZZ$1, 0))</f>
        <v>#N/A</v>
      </c>
      <c r="C915" t="e">
        <f>INDEX(resultados!$A$2:$ZZ$2290, 909, MATCH($B$3, resultados!$A$1:$ZZ$1, 0))</f>
        <v>#N/A</v>
      </c>
    </row>
    <row r="916" spans="1:3" x14ac:dyDescent="0.3">
      <c r="A916" t="e">
        <f>INDEX(resultados!$A$2:$ZZ$2290, 910, MATCH($B$1, resultados!$A$1:$ZZ$1, 0))</f>
        <v>#N/A</v>
      </c>
      <c r="B916" t="e">
        <f>INDEX(resultados!$A$2:$ZZ$2290, 910, MATCH($B$2, resultados!$A$1:$ZZ$1, 0))</f>
        <v>#N/A</v>
      </c>
      <c r="C916" t="e">
        <f>INDEX(resultados!$A$2:$ZZ$2290, 910, MATCH($B$3, resultados!$A$1:$ZZ$1, 0))</f>
        <v>#N/A</v>
      </c>
    </row>
    <row r="917" spans="1:3" x14ac:dyDescent="0.3">
      <c r="A917" t="e">
        <f>INDEX(resultados!$A$2:$ZZ$2290, 911, MATCH($B$1, resultados!$A$1:$ZZ$1, 0))</f>
        <v>#N/A</v>
      </c>
      <c r="B917" t="e">
        <f>INDEX(resultados!$A$2:$ZZ$2290, 911, MATCH($B$2, resultados!$A$1:$ZZ$1, 0))</f>
        <v>#N/A</v>
      </c>
      <c r="C917" t="e">
        <f>INDEX(resultados!$A$2:$ZZ$2290, 911, MATCH($B$3, resultados!$A$1:$ZZ$1, 0))</f>
        <v>#N/A</v>
      </c>
    </row>
    <row r="918" spans="1:3" x14ac:dyDescent="0.3">
      <c r="A918" t="e">
        <f>INDEX(resultados!$A$2:$ZZ$2290, 912, MATCH($B$1, resultados!$A$1:$ZZ$1, 0))</f>
        <v>#N/A</v>
      </c>
      <c r="B918" t="e">
        <f>INDEX(resultados!$A$2:$ZZ$2290, 912, MATCH($B$2, resultados!$A$1:$ZZ$1, 0))</f>
        <v>#N/A</v>
      </c>
      <c r="C918" t="e">
        <f>INDEX(resultados!$A$2:$ZZ$2290, 912, MATCH($B$3, resultados!$A$1:$ZZ$1, 0))</f>
        <v>#N/A</v>
      </c>
    </row>
    <row r="919" spans="1:3" x14ac:dyDescent="0.3">
      <c r="A919" t="e">
        <f>INDEX(resultados!$A$2:$ZZ$2290, 913, MATCH($B$1, resultados!$A$1:$ZZ$1, 0))</f>
        <v>#N/A</v>
      </c>
      <c r="B919" t="e">
        <f>INDEX(resultados!$A$2:$ZZ$2290, 913, MATCH($B$2, resultados!$A$1:$ZZ$1, 0))</f>
        <v>#N/A</v>
      </c>
      <c r="C919" t="e">
        <f>INDEX(resultados!$A$2:$ZZ$2290, 913, MATCH($B$3, resultados!$A$1:$ZZ$1, 0))</f>
        <v>#N/A</v>
      </c>
    </row>
    <row r="920" spans="1:3" x14ac:dyDescent="0.3">
      <c r="A920" t="e">
        <f>INDEX(resultados!$A$2:$ZZ$2290, 914, MATCH($B$1, resultados!$A$1:$ZZ$1, 0))</f>
        <v>#N/A</v>
      </c>
      <c r="B920" t="e">
        <f>INDEX(resultados!$A$2:$ZZ$2290, 914, MATCH($B$2, resultados!$A$1:$ZZ$1, 0))</f>
        <v>#N/A</v>
      </c>
      <c r="C920" t="e">
        <f>INDEX(resultados!$A$2:$ZZ$2290, 914, MATCH($B$3, resultados!$A$1:$ZZ$1, 0))</f>
        <v>#N/A</v>
      </c>
    </row>
    <row r="921" spans="1:3" x14ac:dyDescent="0.3">
      <c r="A921" t="e">
        <f>INDEX(resultados!$A$2:$ZZ$2290, 915, MATCH($B$1, resultados!$A$1:$ZZ$1, 0))</f>
        <v>#N/A</v>
      </c>
      <c r="B921" t="e">
        <f>INDEX(resultados!$A$2:$ZZ$2290, 915, MATCH($B$2, resultados!$A$1:$ZZ$1, 0))</f>
        <v>#N/A</v>
      </c>
      <c r="C921" t="e">
        <f>INDEX(resultados!$A$2:$ZZ$2290, 915, MATCH($B$3, resultados!$A$1:$ZZ$1, 0))</f>
        <v>#N/A</v>
      </c>
    </row>
    <row r="922" spans="1:3" x14ac:dyDescent="0.3">
      <c r="A922" t="e">
        <f>INDEX(resultados!$A$2:$ZZ$2290, 916, MATCH($B$1, resultados!$A$1:$ZZ$1, 0))</f>
        <v>#N/A</v>
      </c>
      <c r="B922" t="e">
        <f>INDEX(resultados!$A$2:$ZZ$2290, 916, MATCH($B$2, resultados!$A$1:$ZZ$1, 0))</f>
        <v>#N/A</v>
      </c>
      <c r="C922" t="e">
        <f>INDEX(resultados!$A$2:$ZZ$2290, 916, MATCH($B$3, resultados!$A$1:$ZZ$1, 0))</f>
        <v>#N/A</v>
      </c>
    </row>
    <row r="923" spans="1:3" x14ac:dyDescent="0.3">
      <c r="A923" t="e">
        <f>INDEX(resultados!$A$2:$ZZ$2290, 917, MATCH($B$1, resultados!$A$1:$ZZ$1, 0))</f>
        <v>#N/A</v>
      </c>
      <c r="B923" t="e">
        <f>INDEX(resultados!$A$2:$ZZ$2290, 917, MATCH($B$2, resultados!$A$1:$ZZ$1, 0))</f>
        <v>#N/A</v>
      </c>
      <c r="C923" t="e">
        <f>INDEX(resultados!$A$2:$ZZ$2290, 917, MATCH($B$3, resultados!$A$1:$ZZ$1, 0))</f>
        <v>#N/A</v>
      </c>
    </row>
    <row r="924" spans="1:3" x14ac:dyDescent="0.3">
      <c r="A924" t="e">
        <f>INDEX(resultados!$A$2:$ZZ$2290, 918, MATCH($B$1, resultados!$A$1:$ZZ$1, 0))</f>
        <v>#N/A</v>
      </c>
      <c r="B924" t="e">
        <f>INDEX(resultados!$A$2:$ZZ$2290, 918, MATCH($B$2, resultados!$A$1:$ZZ$1, 0))</f>
        <v>#N/A</v>
      </c>
      <c r="C924" t="e">
        <f>INDEX(resultados!$A$2:$ZZ$2290, 918, MATCH($B$3, resultados!$A$1:$ZZ$1, 0))</f>
        <v>#N/A</v>
      </c>
    </row>
    <row r="925" spans="1:3" x14ac:dyDescent="0.3">
      <c r="A925" t="e">
        <f>INDEX(resultados!$A$2:$ZZ$2290, 919, MATCH($B$1, resultados!$A$1:$ZZ$1, 0))</f>
        <v>#N/A</v>
      </c>
      <c r="B925" t="e">
        <f>INDEX(resultados!$A$2:$ZZ$2290, 919, MATCH($B$2, resultados!$A$1:$ZZ$1, 0))</f>
        <v>#N/A</v>
      </c>
      <c r="C925" t="e">
        <f>INDEX(resultados!$A$2:$ZZ$2290, 919, MATCH($B$3, resultados!$A$1:$ZZ$1, 0))</f>
        <v>#N/A</v>
      </c>
    </row>
    <row r="926" spans="1:3" x14ac:dyDescent="0.3">
      <c r="A926" t="e">
        <f>INDEX(resultados!$A$2:$ZZ$2290, 920, MATCH($B$1, resultados!$A$1:$ZZ$1, 0))</f>
        <v>#N/A</v>
      </c>
      <c r="B926" t="e">
        <f>INDEX(resultados!$A$2:$ZZ$2290, 920, MATCH($B$2, resultados!$A$1:$ZZ$1, 0))</f>
        <v>#N/A</v>
      </c>
      <c r="C926" t="e">
        <f>INDEX(resultados!$A$2:$ZZ$2290, 920, MATCH($B$3, resultados!$A$1:$ZZ$1, 0))</f>
        <v>#N/A</v>
      </c>
    </row>
    <row r="927" spans="1:3" x14ac:dyDescent="0.3">
      <c r="A927" t="e">
        <f>INDEX(resultados!$A$2:$ZZ$2290, 921, MATCH($B$1, resultados!$A$1:$ZZ$1, 0))</f>
        <v>#N/A</v>
      </c>
      <c r="B927" t="e">
        <f>INDEX(resultados!$A$2:$ZZ$2290, 921, MATCH($B$2, resultados!$A$1:$ZZ$1, 0))</f>
        <v>#N/A</v>
      </c>
      <c r="C927" t="e">
        <f>INDEX(resultados!$A$2:$ZZ$2290, 921, MATCH($B$3, resultados!$A$1:$ZZ$1, 0))</f>
        <v>#N/A</v>
      </c>
    </row>
    <row r="928" spans="1:3" x14ac:dyDescent="0.3">
      <c r="A928" t="e">
        <f>INDEX(resultados!$A$2:$ZZ$2290, 922, MATCH($B$1, resultados!$A$1:$ZZ$1, 0))</f>
        <v>#N/A</v>
      </c>
      <c r="B928" t="e">
        <f>INDEX(resultados!$A$2:$ZZ$2290, 922, MATCH($B$2, resultados!$A$1:$ZZ$1, 0))</f>
        <v>#N/A</v>
      </c>
      <c r="C928" t="e">
        <f>INDEX(resultados!$A$2:$ZZ$2290, 922, MATCH($B$3, resultados!$A$1:$ZZ$1, 0))</f>
        <v>#N/A</v>
      </c>
    </row>
    <row r="929" spans="1:3" x14ac:dyDescent="0.3">
      <c r="A929" t="e">
        <f>INDEX(resultados!$A$2:$ZZ$2290, 923, MATCH($B$1, resultados!$A$1:$ZZ$1, 0))</f>
        <v>#N/A</v>
      </c>
      <c r="B929" t="e">
        <f>INDEX(resultados!$A$2:$ZZ$2290, 923, MATCH($B$2, resultados!$A$1:$ZZ$1, 0))</f>
        <v>#N/A</v>
      </c>
      <c r="C929" t="e">
        <f>INDEX(resultados!$A$2:$ZZ$2290, 923, MATCH($B$3, resultados!$A$1:$ZZ$1, 0))</f>
        <v>#N/A</v>
      </c>
    </row>
    <row r="930" spans="1:3" x14ac:dyDescent="0.3">
      <c r="A930" t="e">
        <f>INDEX(resultados!$A$2:$ZZ$2290, 924, MATCH($B$1, resultados!$A$1:$ZZ$1, 0))</f>
        <v>#N/A</v>
      </c>
      <c r="B930" t="e">
        <f>INDEX(resultados!$A$2:$ZZ$2290, 924, MATCH($B$2, resultados!$A$1:$ZZ$1, 0))</f>
        <v>#N/A</v>
      </c>
      <c r="C930" t="e">
        <f>INDEX(resultados!$A$2:$ZZ$2290, 924, MATCH($B$3, resultados!$A$1:$ZZ$1, 0))</f>
        <v>#N/A</v>
      </c>
    </row>
    <row r="931" spans="1:3" x14ac:dyDescent="0.3">
      <c r="A931" t="e">
        <f>INDEX(resultados!$A$2:$ZZ$2290, 925, MATCH($B$1, resultados!$A$1:$ZZ$1, 0))</f>
        <v>#N/A</v>
      </c>
      <c r="B931" t="e">
        <f>INDEX(resultados!$A$2:$ZZ$2290, 925, MATCH($B$2, resultados!$A$1:$ZZ$1, 0))</f>
        <v>#N/A</v>
      </c>
      <c r="C931" t="e">
        <f>INDEX(resultados!$A$2:$ZZ$2290, 925, MATCH($B$3, resultados!$A$1:$ZZ$1, 0))</f>
        <v>#N/A</v>
      </c>
    </row>
    <row r="932" spans="1:3" x14ac:dyDescent="0.3">
      <c r="A932" t="e">
        <f>INDEX(resultados!$A$2:$ZZ$2290, 926, MATCH($B$1, resultados!$A$1:$ZZ$1, 0))</f>
        <v>#N/A</v>
      </c>
      <c r="B932" t="e">
        <f>INDEX(resultados!$A$2:$ZZ$2290, 926, MATCH($B$2, resultados!$A$1:$ZZ$1, 0))</f>
        <v>#N/A</v>
      </c>
      <c r="C932" t="e">
        <f>INDEX(resultados!$A$2:$ZZ$2290, 926, MATCH($B$3, resultados!$A$1:$ZZ$1, 0))</f>
        <v>#N/A</v>
      </c>
    </row>
    <row r="933" spans="1:3" x14ac:dyDescent="0.3">
      <c r="A933" t="e">
        <f>INDEX(resultados!$A$2:$ZZ$2290, 927, MATCH($B$1, resultados!$A$1:$ZZ$1, 0))</f>
        <v>#N/A</v>
      </c>
      <c r="B933" t="e">
        <f>INDEX(resultados!$A$2:$ZZ$2290, 927, MATCH($B$2, resultados!$A$1:$ZZ$1, 0))</f>
        <v>#N/A</v>
      </c>
      <c r="C933" t="e">
        <f>INDEX(resultados!$A$2:$ZZ$2290, 927, MATCH($B$3, resultados!$A$1:$ZZ$1, 0))</f>
        <v>#N/A</v>
      </c>
    </row>
    <row r="934" spans="1:3" x14ac:dyDescent="0.3">
      <c r="A934" t="e">
        <f>INDEX(resultados!$A$2:$ZZ$2290, 928, MATCH($B$1, resultados!$A$1:$ZZ$1, 0))</f>
        <v>#N/A</v>
      </c>
      <c r="B934" t="e">
        <f>INDEX(resultados!$A$2:$ZZ$2290, 928, MATCH($B$2, resultados!$A$1:$ZZ$1, 0))</f>
        <v>#N/A</v>
      </c>
      <c r="C934" t="e">
        <f>INDEX(resultados!$A$2:$ZZ$2290, 928, MATCH($B$3, resultados!$A$1:$ZZ$1, 0))</f>
        <v>#N/A</v>
      </c>
    </row>
    <row r="935" spans="1:3" x14ac:dyDescent="0.3">
      <c r="A935" t="e">
        <f>INDEX(resultados!$A$2:$ZZ$2290, 929, MATCH($B$1, resultados!$A$1:$ZZ$1, 0))</f>
        <v>#N/A</v>
      </c>
      <c r="B935" t="e">
        <f>INDEX(resultados!$A$2:$ZZ$2290, 929, MATCH($B$2, resultados!$A$1:$ZZ$1, 0))</f>
        <v>#N/A</v>
      </c>
      <c r="C935" t="e">
        <f>INDEX(resultados!$A$2:$ZZ$2290, 929, MATCH($B$3, resultados!$A$1:$ZZ$1, 0))</f>
        <v>#N/A</v>
      </c>
    </row>
    <row r="936" spans="1:3" x14ac:dyDescent="0.3">
      <c r="A936" t="e">
        <f>INDEX(resultados!$A$2:$ZZ$2290, 930, MATCH($B$1, resultados!$A$1:$ZZ$1, 0))</f>
        <v>#N/A</v>
      </c>
      <c r="B936" t="e">
        <f>INDEX(resultados!$A$2:$ZZ$2290, 930, MATCH($B$2, resultados!$A$1:$ZZ$1, 0))</f>
        <v>#N/A</v>
      </c>
      <c r="C936" t="e">
        <f>INDEX(resultados!$A$2:$ZZ$2290, 930, MATCH($B$3, resultados!$A$1:$ZZ$1, 0))</f>
        <v>#N/A</v>
      </c>
    </row>
    <row r="937" spans="1:3" x14ac:dyDescent="0.3">
      <c r="A937" t="e">
        <f>INDEX(resultados!$A$2:$ZZ$2290, 931, MATCH($B$1, resultados!$A$1:$ZZ$1, 0))</f>
        <v>#N/A</v>
      </c>
      <c r="B937" t="e">
        <f>INDEX(resultados!$A$2:$ZZ$2290, 931, MATCH($B$2, resultados!$A$1:$ZZ$1, 0))</f>
        <v>#N/A</v>
      </c>
      <c r="C937" t="e">
        <f>INDEX(resultados!$A$2:$ZZ$2290, 931, MATCH($B$3, resultados!$A$1:$ZZ$1, 0))</f>
        <v>#N/A</v>
      </c>
    </row>
    <row r="938" spans="1:3" x14ac:dyDescent="0.3">
      <c r="A938" t="e">
        <f>INDEX(resultados!$A$2:$ZZ$2290, 932, MATCH($B$1, resultados!$A$1:$ZZ$1, 0))</f>
        <v>#N/A</v>
      </c>
      <c r="B938" t="e">
        <f>INDEX(resultados!$A$2:$ZZ$2290, 932, MATCH($B$2, resultados!$A$1:$ZZ$1, 0))</f>
        <v>#N/A</v>
      </c>
      <c r="C938" t="e">
        <f>INDEX(resultados!$A$2:$ZZ$2290, 932, MATCH($B$3, resultados!$A$1:$ZZ$1, 0))</f>
        <v>#N/A</v>
      </c>
    </row>
    <row r="939" spans="1:3" x14ac:dyDescent="0.3">
      <c r="A939" t="e">
        <f>INDEX(resultados!$A$2:$ZZ$2290, 933, MATCH($B$1, resultados!$A$1:$ZZ$1, 0))</f>
        <v>#N/A</v>
      </c>
      <c r="B939" t="e">
        <f>INDEX(resultados!$A$2:$ZZ$2290, 933, MATCH($B$2, resultados!$A$1:$ZZ$1, 0))</f>
        <v>#N/A</v>
      </c>
      <c r="C939" t="e">
        <f>INDEX(resultados!$A$2:$ZZ$2290, 933, MATCH($B$3, resultados!$A$1:$ZZ$1, 0))</f>
        <v>#N/A</v>
      </c>
    </row>
    <row r="940" spans="1:3" x14ac:dyDescent="0.3">
      <c r="A940" t="e">
        <f>INDEX(resultados!$A$2:$ZZ$2290, 934, MATCH($B$1, resultados!$A$1:$ZZ$1, 0))</f>
        <v>#N/A</v>
      </c>
      <c r="B940" t="e">
        <f>INDEX(resultados!$A$2:$ZZ$2290, 934, MATCH($B$2, resultados!$A$1:$ZZ$1, 0))</f>
        <v>#N/A</v>
      </c>
      <c r="C940" t="e">
        <f>INDEX(resultados!$A$2:$ZZ$2290, 934, MATCH($B$3, resultados!$A$1:$ZZ$1, 0))</f>
        <v>#N/A</v>
      </c>
    </row>
    <row r="941" spans="1:3" x14ac:dyDescent="0.3">
      <c r="A941" t="e">
        <f>INDEX(resultados!$A$2:$ZZ$2290, 935, MATCH($B$1, resultados!$A$1:$ZZ$1, 0))</f>
        <v>#N/A</v>
      </c>
      <c r="B941" t="e">
        <f>INDEX(resultados!$A$2:$ZZ$2290, 935, MATCH($B$2, resultados!$A$1:$ZZ$1, 0))</f>
        <v>#N/A</v>
      </c>
      <c r="C941" t="e">
        <f>INDEX(resultados!$A$2:$ZZ$2290, 935, MATCH($B$3, resultados!$A$1:$ZZ$1, 0))</f>
        <v>#N/A</v>
      </c>
    </row>
    <row r="942" spans="1:3" x14ac:dyDescent="0.3">
      <c r="A942" t="e">
        <f>INDEX(resultados!$A$2:$ZZ$2290, 936, MATCH($B$1, resultados!$A$1:$ZZ$1, 0))</f>
        <v>#N/A</v>
      </c>
      <c r="B942" t="e">
        <f>INDEX(resultados!$A$2:$ZZ$2290, 936, MATCH($B$2, resultados!$A$1:$ZZ$1, 0))</f>
        <v>#N/A</v>
      </c>
      <c r="C942" t="e">
        <f>INDEX(resultados!$A$2:$ZZ$2290, 936, MATCH($B$3, resultados!$A$1:$ZZ$1, 0))</f>
        <v>#N/A</v>
      </c>
    </row>
    <row r="943" spans="1:3" x14ac:dyDescent="0.3">
      <c r="A943" t="e">
        <f>INDEX(resultados!$A$2:$ZZ$2290, 937, MATCH($B$1, resultados!$A$1:$ZZ$1, 0))</f>
        <v>#N/A</v>
      </c>
      <c r="B943" t="e">
        <f>INDEX(resultados!$A$2:$ZZ$2290, 937, MATCH($B$2, resultados!$A$1:$ZZ$1, 0))</f>
        <v>#N/A</v>
      </c>
      <c r="C943" t="e">
        <f>INDEX(resultados!$A$2:$ZZ$2290, 937, MATCH($B$3, resultados!$A$1:$ZZ$1, 0))</f>
        <v>#N/A</v>
      </c>
    </row>
    <row r="944" spans="1:3" x14ac:dyDescent="0.3">
      <c r="A944" t="e">
        <f>INDEX(resultados!$A$2:$ZZ$2290, 938, MATCH($B$1, resultados!$A$1:$ZZ$1, 0))</f>
        <v>#N/A</v>
      </c>
      <c r="B944" t="e">
        <f>INDEX(resultados!$A$2:$ZZ$2290, 938, MATCH($B$2, resultados!$A$1:$ZZ$1, 0))</f>
        <v>#N/A</v>
      </c>
      <c r="C944" t="e">
        <f>INDEX(resultados!$A$2:$ZZ$2290, 938, MATCH($B$3, resultados!$A$1:$ZZ$1, 0))</f>
        <v>#N/A</v>
      </c>
    </row>
    <row r="945" spans="1:3" x14ac:dyDescent="0.3">
      <c r="A945" t="e">
        <f>INDEX(resultados!$A$2:$ZZ$2290, 939, MATCH($B$1, resultados!$A$1:$ZZ$1, 0))</f>
        <v>#N/A</v>
      </c>
      <c r="B945" t="e">
        <f>INDEX(resultados!$A$2:$ZZ$2290, 939, MATCH($B$2, resultados!$A$1:$ZZ$1, 0))</f>
        <v>#N/A</v>
      </c>
      <c r="C945" t="e">
        <f>INDEX(resultados!$A$2:$ZZ$2290, 939, MATCH($B$3, resultados!$A$1:$ZZ$1, 0))</f>
        <v>#N/A</v>
      </c>
    </row>
    <row r="946" spans="1:3" x14ac:dyDescent="0.3">
      <c r="A946" t="e">
        <f>INDEX(resultados!$A$2:$ZZ$2290, 940, MATCH($B$1, resultados!$A$1:$ZZ$1, 0))</f>
        <v>#N/A</v>
      </c>
      <c r="B946" t="e">
        <f>INDEX(resultados!$A$2:$ZZ$2290, 940, MATCH($B$2, resultados!$A$1:$ZZ$1, 0))</f>
        <v>#N/A</v>
      </c>
      <c r="C946" t="e">
        <f>INDEX(resultados!$A$2:$ZZ$2290, 940, MATCH($B$3, resultados!$A$1:$ZZ$1, 0))</f>
        <v>#N/A</v>
      </c>
    </row>
    <row r="947" spans="1:3" x14ac:dyDescent="0.3">
      <c r="A947" t="e">
        <f>INDEX(resultados!$A$2:$ZZ$2290, 941, MATCH($B$1, resultados!$A$1:$ZZ$1, 0))</f>
        <v>#N/A</v>
      </c>
      <c r="B947" t="e">
        <f>INDEX(resultados!$A$2:$ZZ$2290, 941, MATCH($B$2, resultados!$A$1:$ZZ$1, 0))</f>
        <v>#N/A</v>
      </c>
      <c r="C947" t="e">
        <f>INDEX(resultados!$A$2:$ZZ$2290, 941, MATCH($B$3, resultados!$A$1:$ZZ$1, 0))</f>
        <v>#N/A</v>
      </c>
    </row>
    <row r="948" spans="1:3" x14ac:dyDescent="0.3">
      <c r="A948" t="e">
        <f>INDEX(resultados!$A$2:$ZZ$2290, 942, MATCH($B$1, resultados!$A$1:$ZZ$1, 0))</f>
        <v>#N/A</v>
      </c>
      <c r="B948" t="e">
        <f>INDEX(resultados!$A$2:$ZZ$2290, 942, MATCH($B$2, resultados!$A$1:$ZZ$1, 0))</f>
        <v>#N/A</v>
      </c>
      <c r="C948" t="e">
        <f>INDEX(resultados!$A$2:$ZZ$2290, 942, MATCH($B$3, resultados!$A$1:$ZZ$1, 0))</f>
        <v>#N/A</v>
      </c>
    </row>
    <row r="949" spans="1:3" x14ac:dyDescent="0.3">
      <c r="A949" t="e">
        <f>INDEX(resultados!$A$2:$ZZ$2290, 943, MATCH($B$1, resultados!$A$1:$ZZ$1, 0))</f>
        <v>#N/A</v>
      </c>
      <c r="B949" t="e">
        <f>INDEX(resultados!$A$2:$ZZ$2290, 943, MATCH($B$2, resultados!$A$1:$ZZ$1, 0))</f>
        <v>#N/A</v>
      </c>
      <c r="C949" t="e">
        <f>INDEX(resultados!$A$2:$ZZ$2290, 943, MATCH($B$3, resultados!$A$1:$ZZ$1, 0))</f>
        <v>#N/A</v>
      </c>
    </row>
    <row r="950" spans="1:3" x14ac:dyDescent="0.3">
      <c r="A950" t="e">
        <f>INDEX(resultados!$A$2:$ZZ$2290, 944, MATCH($B$1, resultados!$A$1:$ZZ$1, 0))</f>
        <v>#N/A</v>
      </c>
      <c r="B950" t="e">
        <f>INDEX(resultados!$A$2:$ZZ$2290, 944, MATCH($B$2, resultados!$A$1:$ZZ$1, 0))</f>
        <v>#N/A</v>
      </c>
      <c r="C950" t="e">
        <f>INDEX(resultados!$A$2:$ZZ$2290, 944, MATCH($B$3, resultados!$A$1:$ZZ$1, 0))</f>
        <v>#N/A</v>
      </c>
    </row>
    <row r="951" spans="1:3" x14ac:dyDescent="0.3">
      <c r="A951" t="e">
        <f>INDEX(resultados!$A$2:$ZZ$2290, 945, MATCH($B$1, resultados!$A$1:$ZZ$1, 0))</f>
        <v>#N/A</v>
      </c>
      <c r="B951" t="e">
        <f>INDEX(resultados!$A$2:$ZZ$2290, 945, MATCH($B$2, resultados!$A$1:$ZZ$1, 0))</f>
        <v>#N/A</v>
      </c>
      <c r="C951" t="e">
        <f>INDEX(resultados!$A$2:$ZZ$2290, 945, MATCH($B$3, resultados!$A$1:$ZZ$1, 0))</f>
        <v>#N/A</v>
      </c>
    </row>
    <row r="952" spans="1:3" x14ac:dyDescent="0.3">
      <c r="A952" t="e">
        <f>INDEX(resultados!$A$2:$ZZ$2290, 946, MATCH($B$1, resultados!$A$1:$ZZ$1, 0))</f>
        <v>#N/A</v>
      </c>
      <c r="B952" t="e">
        <f>INDEX(resultados!$A$2:$ZZ$2290, 946, MATCH($B$2, resultados!$A$1:$ZZ$1, 0))</f>
        <v>#N/A</v>
      </c>
      <c r="C952" t="e">
        <f>INDEX(resultados!$A$2:$ZZ$2290, 946, MATCH($B$3, resultados!$A$1:$ZZ$1, 0))</f>
        <v>#N/A</v>
      </c>
    </row>
    <row r="953" spans="1:3" x14ac:dyDescent="0.3">
      <c r="A953" t="e">
        <f>INDEX(resultados!$A$2:$ZZ$2290, 947, MATCH($B$1, resultados!$A$1:$ZZ$1, 0))</f>
        <v>#N/A</v>
      </c>
      <c r="B953" t="e">
        <f>INDEX(resultados!$A$2:$ZZ$2290, 947, MATCH($B$2, resultados!$A$1:$ZZ$1, 0))</f>
        <v>#N/A</v>
      </c>
      <c r="C953" t="e">
        <f>INDEX(resultados!$A$2:$ZZ$2290, 947, MATCH($B$3, resultados!$A$1:$ZZ$1, 0))</f>
        <v>#N/A</v>
      </c>
    </row>
    <row r="954" spans="1:3" x14ac:dyDescent="0.3">
      <c r="A954" t="e">
        <f>INDEX(resultados!$A$2:$ZZ$2290, 948, MATCH($B$1, resultados!$A$1:$ZZ$1, 0))</f>
        <v>#N/A</v>
      </c>
      <c r="B954" t="e">
        <f>INDEX(resultados!$A$2:$ZZ$2290, 948, MATCH($B$2, resultados!$A$1:$ZZ$1, 0))</f>
        <v>#N/A</v>
      </c>
      <c r="C954" t="e">
        <f>INDEX(resultados!$A$2:$ZZ$2290, 948, MATCH($B$3, resultados!$A$1:$ZZ$1, 0))</f>
        <v>#N/A</v>
      </c>
    </row>
    <row r="955" spans="1:3" x14ac:dyDescent="0.3">
      <c r="A955" t="e">
        <f>INDEX(resultados!$A$2:$ZZ$2290, 949, MATCH($B$1, resultados!$A$1:$ZZ$1, 0))</f>
        <v>#N/A</v>
      </c>
      <c r="B955" t="e">
        <f>INDEX(resultados!$A$2:$ZZ$2290, 949, MATCH($B$2, resultados!$A$1:$ZZ$1, 0))</f>
        <v>#N/A</v>
      </c>
      <c r="C955" t="e">
        <f>INDEX(resultados!$A$2:$ZZ$2290, 949, MATCH($B$3, resultados!$A$1:$ZZ$1, 0))</f>
        <v>#N/A</v>
      </c>
    </row>
    <row r="956" spans="1:3" x14ac:dyDescent="0.3">
      <c r="A956" t="e">
        <f>INDEX(resultados!$A$2:$ZZ$2290, 950, MATCH($B$1, resultados!$A$1:$ZZ$1, 0))</f>
        <v>#N/A</v>
      </c>
      <c r="B956" t="e">
        <f>INDEX(resultados!$A$2:$ZZ$2290, 950, MATCH($B$2, resultados!$A$1:$ZZ$1, 0))</f>
        <v>#N/A</v>
      </c>
      <c r="C956" t="e">
        <f>INDEX(resultados!$A$2:$ZZ$2290, 950, MATCH($B$3, resultados!$A$1:$ZZ$1, 0))</f>
        <v>#N/A</v>
      </c>
    </row>
    <row r="957" spans="1:3" x14ac:dyDescent="0.3">
      <c r="A957" t="e">
        <f>INDEX(resultados!$A$2:$ZZ$2290, 951, MATCH($B$1, resultados!$A$1:$ZZ$1, 0))</f>
        <v>#N/A</v>
      </c>
      <c r="B957" t="e">
        <f>INDEX(resultados!$A$2:$ZZ$2290, 951, MATCH($B$2, resultados!$A$1:$ZZ$1, 0))</f>
        <v>#N/A</v>
      </c>
      <c r="C957" t="e">
        <f>INDEX(resultados!$A$2:$ZZ$2290, 951, MATCH($B$3, resultados!$A$1:$ZZ$1, 0))</f>
        <v>#N/A</v>
      </c>
    </row>
    <row r="958" spans="1:3" x14ac:dyDescent="0.3">
      <c r="A958" t="e">
        <f>INDEX(resultados!$A$2:$ZZ$2290, 952, MATCH($B$1, resultados!$A$1:$ZZ$1, 0))</f>
        <v>#N/A</v>
      </c>
      <c r="B958" t="e">
        <f>INDEX(resultados!$A$2:$ZZ$2290, 952, MATCH($B$2, resultados!$A$1:$ZZ$1, 0))</f>
        <v>#N/A</v>
      </c>
      <c r="C958" t="e">
        <f>INDEX(resultados!$A$2:$ZZ$2290, 952, MATCH($B$3, resultados!$A$1:$ZZ$1, 0))</f>
        <v>#N/A</v>
      </c>
    </row>
    <row r="959" spans="1:3" x14ac:dyDescent="0.3">
      <c r="A959" t="e">
        <f>INDEX(resultados!$A$2:$ZZ$2290, 953, MATCH($B$1, resultados!$A$1:$ZZ$1, 0))</f>
        <v>#N/A</v>
      </c>
      <c r="B959" t="e">
        <f>INDEX(resultados!$A$2:$ZZ$2290, 953, MATCH($B$2, resultados!$A$1:$ZZ$1, 0))</f>
        <v>#N/A</v>
      </c>
      <c r="C959" t="e">
        <f>INDEX(resultados!$A$2:$ZZ$2290, 953, MATCH($B$3, resultados!$A$1:$ZZ$1, 0))</f>
        <v>#N/A</v>
      </c>
    </row>
    <row r="960" spans="1:3" x14ac:dyDescent="0.3">
      <c r="A960" t="e">
        <f>INDEX(resultados!$A$2:$ZZ$2290, 954, MATCH($B$1, resultados!$A$1:$ZZ$1, 0))</f>
        <v>#N/A</v>
      </c>
      <c r="B960" t="e">
        <f>INDEX(resultados!$A$2:$ZZ$2290, 954, MATCH($B$2, resultados!$A$1:$ZZ$1, 0))</f>
        <v>#N/A</v>
      </c>
      <c r="C960" t="e">
        <f>INDEX(resultados!$A$2:$ZZ$2290, 954, MATCH($B$3, resultados!$A$1:$ZZ$1, 0))</f>
        <v>#N/A</v>
      </c>
    </row>
    <row r="961" spans="1:3" x14ac:dyDescent="0.3">
      <c r="A961" t="e">
        <f>INDEX(resultados!$A$2:$ZZ$2290, 955, MATCH($B$1, resultados!$A$1:$ZZ$1, 0))</f>
        <v>#N/A</v>
      </c>
      <c r="B961" t="e">
        <f>INDEX(resultados!$A$2:$ZZ$2290, 955, MATCH($B$2, resultados!$A$1:$ZZ$1, 0))</f>
        <v>#N/A</v>
      </c>
      <c r="C961" t="e">
        <f>INDEX(resultados!$A$2:$ZZ$2290, 955, MATCH($B$3, resultados!$A$1:$ZZ$1, 0))</f>
        <v>#N/A</v>
      </c>
    </row>
    <row r="962" spans="1:3" x14ac:dyDescent="0.3">
      <c r="A962" t="e">
        <f>INDEX(resultados!$A$2:$ZZ$2290, 956, MATCH($B$1, resultados!$A$1:$ZZ$1, 0))</f>
        <v>#N/A</v>
      </c>
      <c r="B962" t="e">
        <f>INDEX(resultados!$A$2:$ZZ$2290, 956, MATCH($B$2, resultados!$A$1:$ZZ$1, 0))</f>
        <v>#N/A</v>
      </c>
      <c r="C962" t="e">
        <f>INDEX(resultados!$A$2:$ZZ$2290, 956, MATCH($B$3, resultados!$A$1:$ZZ$1, 0))</f>
        <v>#N/A</v>
      </c>
    </row>
    <row r="963" spans="1:3" x14ac:dyDescent="0.3">
      <c r="A963" t="e">
        <f>INDEX(resultados!$A$2:$ZZ$2290, 957, MATCH($B$1, resultados!$A$1:$ZZ$1, 0))</f>
        <v>#N/A</v>
      </c>
      <c r="B963" t="e">
        <f>INDEX(resultados!$A$2:$ZZ$2290, 957, MATCH($B$2, resultados!$A$1:$ZZ$1, 0))</f>
        <v>#N/A</v>
      </c>
      <c r="C963" t="e">
        <f>INDEX(resultados!$A$2:$ZZ$2290, 957, MATCH($B$3, resultados!$A$1:$ZZ$1, 0))</f>
        <v>#N/A</v>
      </c>
    </row>
    <row r="964" spans="1:3" x14ac:dyDescent="0.3">
      <c r="A964" t="e">
        <f>INDEX(resultados!$A$2:$ZZ$2290, 958, MATCH($B$1, resultados!$A$1:$ZZ$1, 0))</f>
        <v>#N/A</v>
      </c>
      <c r="B964" t="e">
        <f>INDEX(resultados!$A$2:$ZZ$2290, 958, MATCH($B$2, resultados!$A$1:$ZZ$1, 0))</f>
        <v>#N/A</v>
      </c>
      <c r="C964" t="e">
        <f>INDEX(resultados!$A$2:$ZZ$2290, 958, MATCH($B$3, resultados!$A$1:$ZZ$1, 0))</f>
        <v>#N/A</v>
      </c>
    </row>
    <row r="965" spans="1:3" x14ac:dyDescent="0.3">
      <c r="A965" t="e">
        <f>INDEX(resultados!$A$2:$ZZ$2290, 959, MATCH($B$1, resultados!$A$1:$ZZ$1, 0))</f>
        <v>#N/A</v>
      </c>
      <c r="B965" t="e">
        <f>INDEX(resultados!$A$2:$ZZ$2290, 959, MATCH($B$2, resultados!$A$1:$ZZ$1, 0))</f>
        <v>#N/A</v>
      </c>
      <c r="C965" t="e">
        <f>INDEX(resultados!$A$2:$ZZ$2290, 959, MATCH($B$3, resultados!$A$1:$ZZ$1, 0))</f>
        <v>#N/A</v>
      </c>
    </row>
    <row r="966" spans="1:3" x14ac:dyDescent="0.3">
      <c r="A966" t="e">
        <f>INDEX(resultados!$A$2:$ZZ$2290, 960, MATCH($B$1, resultados!$A$1:$ZZ$1, 0))</f>
        <v>#N/A</v>
      </c>
      <c r="B966" t="e">
        <f>INDEX(resultados!$A$2:$ZZ$2290, 960, MATCH($B$2, resultados!$A$1:$ZZ$1, 0))</f>
        <v>#N/A</v>
      </c>
      <c r="C966" t="e">
        <f>INDEX(resultados!$A$2:$ZZ$2290, 960, MATCH($B$3, resultados!$A$1:$ZZ$1, 0))</f>
        <v>#N/A</v>
      </c>
    </row>
    <row r="967" spans="1:3" x14ac:dyDescent="0.3">
      <c r="A967" t="e">
        <f>INDEX(resultados!$A$2:$ZZ$2290, 961, MATCH($B$1, resultados!$A$1:$ZZ$1, 0))</f>
        <v>#N/A</v>
      </c>
      <c r="B967" t="e">
        <f>INDEX(resultados!$A$2:$ZZ$2290, 961, MATCH($B$2, resultados!$A$1:$ZZ$1, 0))</f>
        <v>#N/A</v>
      </c>
      <c r="C967" t="e">
        <f>INDEX(resultados!$A$2:$ZZ$2290, 961, MATCH($B$3, resultados!$A$1:$ZZ$1, 0))</f>
        <v>#N/A</v>
      </c>
    </row>
    <row r="968" spans="1:3" x14ac:dyDescent="0.3">
      <c r="A968" t="e">
        <f>INDEX(resultados!$A$2:$ZZ$2290, 962, MATCH($B$1, resultados!$A$1:$ZZ$1, 0))</f>
        <v>#N/A</v>
      </c>
      <c r="B968" t="e">
        <f>INDEX(resultados!$A$2:$ZZ$2290, 962, MATCH($B$2, resultados!$A$1:$ZZ$1, 0))</f>
        <v>#N/A</v>
      </c>
      <c r="C968" t="e">
        <f>INDEX(resultados!$A$2:$ZZ$2290, 962, MATCH($B$3, resultados!$A$1:$ZZ$1, 0))</f>
        <v>#N/A</v>
      </c>
    </row>
    <row r="969" spans="1:3" x14ac:dyDescent="0.3">
      <c r="A969" t="e">
        <f>INDEX(resultados!$A$2:$ZZ$2290, 963, MATCH($B$1, resultados!$A$1:$ZZ$1, 0))</f>
        <v>#N/A</v>
      </c>
      <c r="B969" t="e">
        <f>INDEX(resultados!$A$2:$ZZ$2290, 963, MATCH($B$2, resultados!$A$1:$ZZ$1, 0))</f>
        <v>#N/A</v>
      </c>
      <c r="C969" t="e">
        <f>INDEX(resultados!$A$2:$ZZ$2290, 963, MATCH($B$3, resultados!$A$1:$ZZ$1, 0))</f>
        <v>#N/A</v>
      </c>
    </row>
    <row r="970" spans="1:3" x14ac:dyDescent="0.3">
      <c r="A970" t="e">
        <f>INDEX(resultados!$A$2:$ZZ$2290, 964, MATCH($B$1, resultados!$A$1:$ZZ$1, 0))</f>
        <v>#N/A</v>
      </c>
      <c r="B970" t="e">
        <f>INDEX(resultados!$A$2:$ZZ$2290, 964, MATCH($B$2, resultados!$A$1:$ZZ$1, 0))</f>
        <v>#N/A</v>
      </c>
      <c r="C970" t="e">
        <f>INDEX(resultados!$A$2:$ZZ$2290, 964, MATCH($B$3, resultados!$A$1:$ZZ$1, 0))</f>
        <v>#N/A</v>
      </c>
    </row>
    <row r="971" spans="1:3" x14ac:dyDescent="0.3">
      <c r="A971" t="e">
        <f>INDEX(resultados!$A$2:$ZZ$2290, 965, MATCH($B$1, resultados!$A$1:$ZZ$1, 0))</f>
        <v>#N/A</v>
      </c>
      <c r="B971" t="e">
        <f>INDEX(resultados!$A$2:$ZZ$2290, 965, MATCH($B$2, resultados!$A$1:$ZZ$1, 0))</f>
        <v>#N/A</v>
      </c>
      <c r="C971" t="e">
        <f>INDEX(resultados!$A$2:$ZZ$2290, 965, MATCH($B$3, resultados!$A$1:$ZZ$1, 0))</f>
        <v>#N/A</v>
      </c>
    </row>
    <row r="972" spans="1:3" x14ac:dyDescent="0.3">
      <c r="A972" t="e">
        <f>INDEX(resultados!$A$2:$ZZ$2290, 966, MATCH($B$1, resultados!$A$1:$ZZ$1, 0))</f>
        <v>#N/A</v>
      </c>
      <c r="B972" t="e">
        <f>INDEX(resultados!$A$2:$ZZ$2290, 966, MATCH($B$2, resultados!$A$1:$ZZ$1, 0))</f>
        <v>#N/A</v>
      </c>
      <c r="C972" t="e">
        <f>INDEX(resultados!$A$2:$ZZ$2290, 966, MATCH($B$3, resultados!$A$1:$ZZ$1, 0))</f>
        <v>#N/A</v>
      </c>
    </row>
    <row r="973" spans="1:3" x14ac:dyDescent="0.3">
      <c r="A973" t="e">
        <f>INDEX(resultados!$A$2:$ZZ$2290, 967, MATCH($B$1, resultados!$A$1:$ZZ$1, 0))</f>
        <v>#N/A</v>
      </c>
      <c r="B973" t="e">
        <f>INDEX(resultados!$A$2:$ZZ$2290, 967, MATCH($B$2, resultados!$A$1:$ZZ$1, 0))</f>
        <v>#N/A</v>
      </c>
      <c r="C973" t="e">
        <f>INDEX(resultados!$A$2:$ZZ$2290, 967, MATCH($B$3, resultados!$A$1:$ZZ$1, 0))</f>
        <v>#N/A</v>
      </c>
    </row>
    <row r="974" spans="1:3" x14ac:dyDescent="0.3">
      <c r="A974" t="e">
        <f>INDEX(resultados!$A$2:$ZZ$2290, 968, MATCH($B$1, resultados!$A$1:$ZZ$1, 0))</f>
        <v>#N/A</v>
      </c>
      <c r="B974" t="e">
        <f>INDEX(resultados!$A$2:$ZZ$2290, 968, MATCH($B$2, resultados!$A$1:$ZZ$1, 0))</f>
        <v>#N/A</v>
      </c>
      <c r="C974" t="e">
        <f>INDEX(resultados!$A$2:$ZZ$2290, 968, MATCH($B$3, resultados!$A$1:$ZZ$1, 0))</f>
        <v>#N/A</v>
      </c>
    </row>
    <row r="975" spans="1:3" x14ac:dyDescent="0.3">
      <c r="A975" t="e">
        <f>INDEX(resultados!$A$2:$ZZ$2290, 969, MATCH($B$1, resultados!$A$1:$ZZ$1, 0))</f>
        <v>#N/A</v>
      </c>
      <c r="B975" t="e">
        <f>INDEX(resultados!$A$2:$ZZ$2290, 969, MATCH($B$2, resultados!$A$1:$ZZ$1, 0))</f>
        <v>#N/A</v>
      </c>
      <c r="C975" t="e">
        <f>INDEX(resultados!$A$2:$ZZ$2290, 969, MATCH($B$3, resultados!$A$1:$ZZ$1, 0))</f>
        <v>#N/A</v>
      </c>
    </row>
    <row r="976" spans="1:3" x14ac:dyDescent="0.3">
      <c r="A976" t="e">
        <f>INDEX(resultados!$A$2:$ZZ$2290, 970, MATCH($B$1, resultados!$A$1:$ZZ$1, 0))</f>
        <v>#N/A</v>
      </c>
      <c r="B976" t="e">
        <f>INDEX(resultados!$A$2:$ZZ$2290, 970, MATCH($B$2, resultados!$A$1:$ZZ$1, 0))</f>
        <v>#N/A</v>
      </c>
      <c r="C976" t="e">
        <f>INDEX(resultados!$A$2:$ZZ$2290, 970, MATCH($B$3, resultados!$A$1:$ZZ$1, 0))</f>
        <v>#N/A</v>
      </c>
    </row>
    <row r="977" spans="1:3" x14ac:dyDescent="0.3">
      <c r="A977" t="e">
        <f>INDEX(resultados!$A$2:$ZZ$2290, 971, MATCH($B$1, resultados!$A$1:$ZZ$1, 0))</f>
        <v>#N/A</v>
      </c>
      <c r="B977" t="e">
        <f>INDEX(resultados!$A$2:$ZZ$2290, 971, MATCH($B$2, resultados!$A$1:$ZZ$1, 0))</f>
        <v>#N/A</v>
      </c>
      <c r="C977" t="e">
        <f>INDEX(resultados!$A$2:$ZZ$2290, 971, MATCH($B$3, resultados!$A$1:$ZZ$1, 0))</f>
        <v>#N/A</v>
      </c>
    </row>
    <row r="978" spans="1:3" x14ac:dyDescent="0.3">
      <c r="A978" t="e">
        <f>INDEX(resultados!$A$2:$ZZ$2290, 972, MATCH($B$1, resultados!$A$1:$ZZ$1, 0))</f>
        <v>#N/A</v>
      </c>
      <c r="B978" t="e">
        <f>INDEX(resultados!$A$2:$ZZ$2290, 972, MATCH($B$2, resultados!$A$1:$ZZ$1, 0))</f>
        <v>#N/A</v>
      </c>
      <c r="C978" t="e">
        <f>INDEX(resultados!$A$2:$ZZ$2290, 972, MATCH($B$3, resultados!$A$1:$ZZ$1, 0))</f>
        <v>#N/A</v>
      </c>
    </row>
    <row r="979" spans="1:3" x14ac:dyDescent="0.3">
      <c r="A979" t="e">
        <f>INDEX(resultados!$A$2:$ZZ$2290, 973, MATCH($B$1, resultados!$A$1:$ZZ$1, 0))</f>
        <v>#N/A</v>
      </c>
      <c r="B979" t="e">
        <f>INDEX(resultados!$A$2:$ZZ$2290, 973, MATCH($B$2, resultados!$A$1:$ZZ$1, 0))</f>
        <v>#N/A</v>
      </c>
      <c r="C979" t="e">
        <f>INDEX(resultados!$A$2:$ZZ$2290, 973, MATCH($B$3, resultados!$A$1:$ZZ$1, 0))</f>
        <v>#N/A</v>
      </c>
    </row>
    <row r="980" spans="1:3" x14ac:dyDescent="0.3">
      <c r="A980" t="e">
        <f>INDEX(resultados!$A$2:$ZZ$2290, 974, MATCH($B$1, resultados!$A$1:$ZZ$1, 0))</f>
        <v>#N/A</v>
      </c>
      <c r="B980" t="e">
        <f>INDEX(resultados!$A$2:$ZZ$2290, 974, MATCH($B$2, resultados!$A$1:$ZZ$1, 0))</f>
        <v>#N/A</v>
      </c>
      <c r="C980" t="e">
        <f>INDEX(resultados!$A$2:$ZZ$2290, 974, MATCH($B$3, resultados!$A$1:$ZZ$1, 0))</f>
        <v>#N/A</v>
      </c>
    </row>
    <row r="981" spans="1:3" x14ac:dyDescent="0.3">
      <c r="A981" t="e">
        <f>INDEX(resultados!$A$2:$ZZ$2290, 975, MATCH($B$1, resultados!$A$1:$ZZ$1, 0))</f>
        <v>#N/A</v>
      </c>
      <c r="B981" t="e">
        <f>INDEX(resultados!$A$2:$ZZ$2290, 975, MATCH($B$2, resultados!$A$1:$ZZ$1, 0))</f>
        <v>#N/A</v>
      </c>
      <c r="C981" t="e">
        <f>INDEX(resultados!$A$2:$ZZ$2290, 975, MATCH($B$3, resultados!$A$1:$ZZ$1, 0))</f>
        <v>#N/A</v>
      </c>
    </row>
    <row r="982" spans="1:3" x14ac:dyDescent="0.3">
      <c r="A982" t="e">
        <f>INDEX(resultados!$A$2:$ZZ$2290, 976, MATCH($B$1, resultados!$A$1:$ZZ$1, 0))</f>
        <v>#N/A</v>
      </c>
      <c r="B982" t="e">
        <f>INDEX(resultados!$A$2:$ZZ$2290, 976, MATCH($B$2, resultados!$A$1:$ZZ$1, 0))</f>
        <v>#N/A</v>
      </c>
      <c r="C982" t="e">
        <f>INDEX(resultados!$A$2:$ZZ$2290, 976, MATCH($B$3, resultados!$A$1:$ZZ$1, 0))</f>
        <v>#N/A</v>
      </c>
    </row>
    <row r="983" spans="1:3" x14ac:dyDescent="0.3">
      <c r="A983" t="e">
        <f>INDEX(resultados!$A$2:$ZZ$2290, 977, MATCH($B$1, resultados!$A$1:$ZZ$1, 0))</f>
        <v>#N/A</v>
      </c>
      <c r="B983" t="e">
        <f>INDEX(resultados!$A$2:$ZZ$2290, 977, MATCH($B$2, resultados!$A$1:$ZZ$1, 0))</f>
        <v>#N/A</v>
      </c>
      <c r="C983" t="e">
        <f>INDEX(resultados!$A$2:$ZZ$2290, 977, MATCH($B$3, resultados!$A$1:$ZZ$1, 0))</f>
        <v>#N/A</v>
      </c>
    </row>
    <row r="984" spans="1:3" x14ac:dyDescent="0.3">
      <c r="A984" t="e">
        <f>INDEX(resultados!$A$2:$ZZ$2290, 978, MATCH($B$1, resultados!$A$1:$ZZ$1, 0))</f>
        <v>#N/A</v>
      </c>
      <c r="B984" t="e">
        <f>INDEX(resultados!$A$2:$ZZ$2290, 978, MATCH($B$2, resultados!$A$1:$ZZ$1, 0))</f>
        <v>#N/A</v>
      </c>
      <c r="C984" t="e">
        <f>INDEX(resultados!$A$2:$ZZ$2290, 978, MATCH($B$3, resultados!$A$1:$ZZ$1, 0))</f>
        <v>#N/A</v>
      </c>
    </row>
    <row r="985" spans="1:3" x14ac:dyDescent="0.3">
      <c r="A985" t="e">
        <f>INDEX(resultados!$A$2:$ZZ$2290, 979, MATCH($B$1, resultados!$A$1:$ZZ$1, 0))</f>
        <v>#N/A</v>
      </c>
      <c r="B985" t="e">
        <f>INDEX(resultados!$A$2:$ZZ$2290, 979, MATCH($B$2, resultados!$A$1:$ZZ$1, 0))</f>
        <v>#N/A</v>
      </c>
      <c r="C985" t="e">
        <f>INDEX(resultados!$A$2:$ZZ$2290, 979, MATCH($B$3, resultados!$A$1:$ZZ$1, 0))</f>
        <v>#N/A</v>
      </c>
    </row>
    <row r="986" spans="1:3" x14ac:dyDescent="0.3">
      <c r="A986" t="e">
        <f>INDEX(resultados!$A$2:$ZZ$2290, 980, MATCH($B$1, resultados!$A$1:$ZZ$1, 0))</f>
        <v>#N/A</v>
      </c>
      <c r="B986" t="e">
        <f>INDEX(resultados!$A$2:$ZZ$2290, 980, MATCH($B$2, resultados!$A$1:$ZZ$1, 0))</f>
        <v>#N/A</v>
      </c>
      <c r="C986" t="e">
        <f>INDEX(resultados!$A$2:$ZZ$2290, 980, MATCH($B$3, resultados!$A$1:$ZZ$1, 0))</f>
        <v>#N/A</v>
      </c>
    </row>
    <row r="987" spans="1:3" x14ac:dyDescent="0.3">
      <c r="A987" t="e">
        <f>INDEX(resultados!$A$2:$ZZ$2290, 981, MATCH($B$1, resultados!$A$1:$ZZ$1, 0))</f>
        <v>#N/A</v>
      </c>
      <c r="B987" t="e">
        <f>INDEX(resultados!$A$2:$ZZ$2290, 981, MATCH($B$2, resultados!$A$1:$ZZ$1, 0))</f>
        <v>#N/A</v>
      </c>
      <c r="C987" t="e">
        <f>INDEX(resultados!$A$2:$ZZ$2290, 981, MATCH($B$3, resultados!$A$1:$ZZ$1, 0))</f>
        <v>#N/A</v>
      </c>
    </row>
    <row r="988" spans="1:3" x14ac:dyDescent="0.3">
      <c r="A988" t="e">
        <f>INDEX(resultados!$A$2:$ZZ$2290, 982, MATCH($B$1, resultados!$A$1:$ZZ$1, 0))</f>
        <v>#N/A</v>
      </c>
      <c r="B988" t="e">
        <f>INDEX(resultados!$A$2:$ZZ$2290, 982, MATCH($B$2, resultados!$A$1:$ZZ$1, 0))</f>
        <v>#N/A</v>
      </c>
      <c r="C988" t="e">
        <f>INDEX(resultados!$A$2:$ZZ$2290, 982, MATCH($B$3, resultados!$A$1:$ZZ$1, 0))</f>
        <v>#N/A</v>
      </c>
    </row>
    <row r="989" spans="1:3" x14ac:dyDescent="0.3">
      <c r="A989" t="e">
        <f>INDEX(resultados!$A$2:$ZZ$2290, 983, MATCH($B$1, resultados!$A$1:$ZZ$1, 0))</f>
        <v>#N/A</v>
      </c>
      <c r="B989" t="e">
        <f>INDEX(resultados!$A$2:$ZZ$2290, 983, MATCH($B$2, resultados!$A$1:$ZZ$1, 0))</f>
        <v>#N/A</v>
      </c>
      <c r="C989" t="e">
        <f>INDEX(resultados!$A$2:$ZZ$2290, 983, MATCH($B$3, resultados!$A$1:$ZZ$1, 0))</f>
        <v>#N/A</v>
      </c>
    </row>
    <row r="990" spans="1:3" x14ac:dyDescent="0.3">
      <c r="A990" t="e">
        <f>INDEX(resultados!$A$2:$ZZ$2290, 984, MATCH($B$1, resultados!$A$1:$ZZ$1, 0))</f>
        <v>#N/A</v>
      </c>
      <c r="B990" t="e">
        <f>INDEX(resultados!$A$2:$ZZ$2290, 984, MATCH($B$2, resultados!$A$1:$ZZ$1, 0))</f>
        <v>#N/A</v>
      </c>
      <c r="C990" t="e">
        <f>INDEX(resultados!$A$2:$ZZ$2290, 984, MATCH($B$3, resultados!$A$1:$ZZ$1, 0))</f>
        <v>#N/A</v>
      </c>
    </row>
    <row r="991" spans="1:3" x14ac:dyDescent="0.3">
      <c r="A991" t="e">
        <f>INDEX(resultados!$A$2:$ZZ$2290, 985, MATCH($B$1, resultados!$A$1:$ZZ$1, 0))</f>
        <v>#N/A</v>
      </c>
      <c r="B991" t="e">
        <f>INDEX(resultados!$A$2:$ZZ$2290, 985, MATCH($B$2, resultados!$A$1:$ZZ$1, 0))</f>
        <v>#N/A</v>
      </c>
      <c r="C991" t="e">
        <f>INDEX(resultados!$A$2:$ZZ$2290, 985, MATCH($B$3, resultados!$A$1:$ZZ$1, 0))</f>
        <v>#N/A</v>
      </c>
    </row>
    <row r="992" spans="1:3" x14ac:dyDescent="0.3">
      <c r="A992" t="e">
        <f>INDEX(resultados!$A$2:$ZZ$2290, 986, MATCH($B$1, resultados!$A$1:$ZZ$1, 0))</f>
        <v>#N/A</v>
      </c>
      <c r="B992" t="e">
        <f>INDEX(resultados!$A$2:$ZZ$2290, 986, MATCH($B$2, resultados!$A$1:$ZZ$1, 0))</f>
        <v>#N/A</v>
      </c>
      <c r="C992" t="e">
        <f>INDEX(resultados!$A$2:$ZZ$2290, 986, MATCH($B$3, resultados!$A$1:$ZZ$1, 0))</f>
        <v>#N/A</v>
      </c>
    </row>
    <row r="993" spans="1:3" x14ac:dyDescent="0.3">
      <c r="A993" t="e">
        <f>INDEX(resultados!$A$2:$ZZ$2290, 987, MATCH($B$1, resultados!$A$1:$ZZ$1, 0))</f>
        <v>#N/A</v>
      </c>
      <c r="B993" t="e">
        <f>INDEX(resultados!$A$2:$ZZ$2290, 987, MATCH($B$2, resultados!$A$1:$ZZ$1, 0))</f>
        <v>#N/A</v>
      </c>
      <c r="C993" t="e">
        <f>INDEX(resultados!$A$2:$ZZ$2290, 987, MATCH($B$3, resultados!$A$1:$ZZ$1, 0))</f>
        <v>#N/A</v>
      </c>
    </row>
    <row r="994" spans="1:3" x14ac:dyDescent="0.3">
      <c r="A994" t="e">
        <f>INDEX(resultados!$A$2:$ZZ$2290, 988, MATCH($B$1, resultados!$A$1:$ZZ$1, 0))</f>
        <v>#N/A</v>
      </c>
      <c r="B994" t="e">
        <f>INDEX(resultados!$A$2:$ZZ$2290, 988, MATCH($B$2, resultados!$A$1:$ZZ$1, 0))</f>
        <v>#N/A</v>
      </c>
      <c r="C994" t="e">
        <f>INDEX(resultados!$A$2:$ZZ$2290, 988, MATCH($B$3, resultados!$A$1:$ZZ$1, 0))</f>
        <v>#N/A</v>
      </c>
    </row>
    <row r="995" spans="1:3" x14ac:dyDescent="0.3">
      <c r="A995" t="e">
        <f>INDEX(resultados!$A$2:$ZZ$2290, 989, MATCH($B$1, resultados!$A$1:$ZZ$1, 0))</f>
        <v>#N/A</v>
      </c>
      <c r="B995" t="e">
        <f>INDEX(resultados!$A$2:$ZZ$2290, 989, MATCH($B$2, resultados!$A$1:$ZZ$1, 0))</f>
        <v>#N/A</v>
      </c>
      <c r="C995" t="e">
        <f>INDEX(resultados!$A$2:$ZZ$2290, 989, MATCH($B$3, resultados!$A$1:$ZZ$1, 0))</f>
        <v>#N/A</v>
      </c>
    </row>
    <row r="996" spans="1:3" x14ac:dyDescent="0.3">
      <c r="A996" t="e">
        <f>INDEX(resultados!$A$2:$ZZ$2290, 990, MATCH($B$1, resultados!$A$1:$ZZ$1, 0))</f>
        <v>#N/A</v>
      </c>
      <c r="B996" t="e">
        <f>INDEX(resultados!$A$2:$ZZ$2290, 990, MATCH($B$2, resultados!$A$1:$ZZ$1, 0))</f>
        <v>#N/A</v>
      </c>
      <c r="C996" t="e">
        <f>INDEX(resultados!$A$2:$ZZ$2290, 990, MATCH($B$3, resultados!$A$1:$ZZ$1, 0))</f>
        <v>#N/A</v>
      </c>
    </row>
    <row r="997" spans="1:3" x14ac:dyDescent="0.3">
      <c r="A997" t="e">
        <f>INDEX(resultados!$A$2:$ZZ$2290, 991, MATCH($B$1, resultados!$A$1:$ZZ$1, 0))</f>
        <v>#N/A</v>
      </c>
      <c r="B997" t="e">
        <f>INDEX(resultados!$A$2:$ZZ$2290, 991, MATCH($B$2, resultados!$A$1:$ZZ$1, 0))</f>
        <v>#N/A</v>
      </c>
      <c r="C997" t="e">
        <f>INDEX(resultados!$A$2:$ZZ$2290, 991, MATCH($B$3, resultados!$A$1:$ZZ$1, 0))</f>
        <v>#N/A</v>
      </c>
    </row>
    <row r="998" spans="1:3" x14ac:dyDescent="0.3">
      <c r="A998" t="e">
        <f>INDEX(resultados!$A$2:$ZZ$2290, 992, MATCH($B$1, resultados!$A$1:$ZZ$1, 0))</f>
        <v>#N/A</v>
      </c>
      <c r="B998" t="e">
        <f>INDEX(resultados!$A$2:$ZZ$2290, 992, MATCH($B$2, resultados!$A$1:$ZZ$1, 0))</f>
        <v>#N/A</v>
      </c>
      <c r="C998" t="e">
        <f>INDEX(resultados!$A$2:$ZZ$2290, 992, MATCH($B$3, resultados!$A$1:$ZZ$1, 0))</f>
        <v>#N/A</v>
      </c>
    </row>
    <row r="999" spans="1:3" x14ac:dyDescent="0.3">
      <c r="A999" t="e">
        <f>INDEX(resultados!$A$2:$ZZ$2290, 993, MATCH($B$1, resultados!$A$1:$ZZ$1, 0))</f>
        <v>#N/A</v>
      </c>
      <c r="B999" t="e">
        <f>INDEX(resultados!$A$2:$ZZ$2290, 993, MATCH($B$2, resultados!$A$1:$ZZ$1, 0))</f>
        <v>#N/A</v>
      </c>
      <c r="C999" t="e">
        <f>INDEX(resultados!$A$2:$ZZ$2290, 993, MATCH($B$3, resultados!$A$1:$ZZ$1, 0))</f>
        <v>#N/A</v>
      </c>
    </row>
    <row r="1000" spans="1:3" x14ac:dyDescent="0.3">
      <c r="A1000" t="e">
        <f>INDEX(resultados!$A$2:$ZZ$2290, 994, MATCH($B$1, resultados!$A$1:$ZZ$1, 0))</f>
        <v>#N/A</v>
      </c>
      <c r="B1000" t="e">
        <f>INDEX(resultados!$A$2:$ZZ$2290, 994, MATCH($B$2, resultados!$A$1:$ZZ$1, 0))</f>
        <v>#N/A</v>
      </c>
      <c r="C1000" t="e">
        <f>INDEX(resultados!$A$2:$ZZ$2290, 994, MATCH($B$3, resultados!$A$1:$ZZ$1, 0))</f>
        <v>#N/A</v>
      </c>
    </row>
    <row r="1001" spans="1:3" x14ac:dyDescent="0.3">
      <c r="A1001" t="e">
        <f>INDEX(resultados!$A$2:$ZZ$2290, 995, MATCH($B$1, resultados!$A$1:$ZZ$1, 0))</f>
        <v>#N/A</v>
      </c>
      <c r="B1001" t="e">
        <f>INDEX(resultados!$A$2:$ZZ$2290, 995, MATCH($B$2, resultados!$A$1:$ZZ$1, 0))</f>
        <v>#N/A</v>
      </c>
      <c r="C1001" t="e">
        <f>INDEX(resultados!$A$2:$ZZ$2290, 995, MATCH($B$3, resultados!$A$1:$ZZ$1, 0))</f>
        <v>#N/A</v>
      </c>
    </row>
    <row r="1002" spans="1:3" x14ac:dyDescent="0.3">
      <c r="A1002" t="e">
        <f>INDEX(resultados!$A$2:$ZZ$2290, 996, MATCH($B$1, resultados!$A$1:$ZZ$1, 0))</f>
        <v>#N/A</v>
      </c>
      <c r="B1002" t="e">
        <f>INDEX(resultados!$A$2:$ZZ$2290, 996, MATCH($B$2, resultados!$A$1:$ZZ$1, 0))</f>
        <v>#N/A</v>
      </c>
      <c r="C1002" t="e">
        <f>INDEX(resultados!$A$2:$ZZ$2290, 996, MATCH($B$3, resultados!$A$1:$ZZ$1, 0))</f>
        <v>#N/A</v>
      </c>
    </row>
    <row r="1003" spans="1:3" x14ac:dyDescent="0.3">
      <c r="A1003" t="e">
        <f>INDEX(resultados!$A$2:$ZZ$2290, 997, MATCH($B$1, resultados!$A$1:$ZZ$1, 0))</f>
        <v>#N/A</v>
      </c>
      <c r="B1003" t="e">
        <f>INDEX(resultados!$A$2:$ZZ$2290, 997, MATCH($B$2, resultados!$A$1:$ZZ$1, 0))</f>
        <v>#N/A</v>
      </c>
      <c r="C1003" t="e">
        <f>INDEX(resultados!$A$2:$ZZ$2290, 997, MATCH($B$3, resultados!$A$1:$ZZ$1, 0))</f>
        <v>#N/A</v>
      </c>
    </row>
    <row r="1004" spans="1:3" x14ac:dyDescent="0.3">
      <c r="A1004" t="e">
        <f>INDEX(resultados!$A$2:$ZZ$2290, 998, MATCH($B$1, resultados!$A$1:$ZZ$1, 0))</f>
        <v>#N/A</v>
      </c>
      <c r="B1004" t="e">
        <f>INDEX(resultados!$A$2:$ZZ$2290, 998, MATCH($B$2, resultados!$A$1:$ZZ$1, 0))</f>
        <v>#N/A</v>
      </c>
      <c r="C1004" t="e">
        <f>INDEX(resultados!$A$2:$ZZ$2290, 998, MATCH($B$3, resultados!$A$1:$ZZ$1, 0))</f>
        <v>#N/A</v>
      </c>
    </row>
    <row r="1005" spans="1:3" x14ac:dyDescent="0.3">
      <c r="A1005" t="e">
        <f>INDEX(resultados!$A$2:$ZZ$2290, 999, MATCH($B$1, resultados!$A$1:$ZZ$1, 0))</f>
        <v>#N/A</v>
      </c>
      <c r="B1005" t="e">
        <f>INDEX(resultados!$A$2:$ZZ$2290, 999, MATCH($B$2, resultados!$A$1:$ZZ$1, 0))</f>
        <v>#N/A</v>
      </c>
      <c r="C1005" t="e">
        <f>INDEX(resultados!$A$2:$ZZ$2290, 999, MATCH($B$3, resultados!$A$1:$ZZ$1, 0))</f>
        <v>#N/A</v>
      </c>
    </row>
    <row r="1006" spans="1:3" x14ac:dyDescent="0.3">
      <c r="A1006" t="e">
        <f>INDEX(resultados!$A$2:$ZZ$2290, 1000, MATCH($B$1, resultados!$A$1:$ZZ$1, 0))</f>
        <v>#N/A</v>
      </c>
      <c r="B1006" t="e">
        <f>INDEX(resultados!$A$2:$ZZ$2290, 1000, MATCH($B$2, resultados!$A$1:$ZZ$1, 0))</f>
        <v>#N/A</v>
      </c>
      <c r="C1006" t="e">
        <f>INDEX(resultados!$A$2:$ZZ$2290, 1000, MATCH($B$3, resultados!$A$1:$ZZ$1, 0))</f>
        <v>#N/A</v>
      </c>
    </row>
    <row r="1007" spans="1:3" x14ac:dyDescent="0.3">
      <c r="A1007" t="e">
        <f>INDEX(resultados!$A$2:$ZZ$2290, 1001, MATCH($B$1, resultados!$A$1:$ZZ$1, 0))</f>
        <v>#N/A</v>
      </c>
      <c r="B1007" t="e">
        <f>INDEX(resultados!$A$2:$ZZ$2290, 1001, MATCH($B$2, resultados!$A$1:$ZZ$1, 0))</f>
        <v>#N/A</v>
      </c>
      <c r="C1007" t="e">
        <f>INDEX(resultados!$A$2:$ZZ$2290, 1001, MATCH($B$3, resultados!$A$1:$ZZ$1, 0))</f>
        <v>#N/A</v>
      </c>
    </row>
    <row r="1008" spans="1:3" x14ac:dyDescent="0.3">
      <c r="A1008" t="e">
        <f>INDEX(resultados!$A$2:$ZZ$2290, 1002, MATCH($B$1, resultados!$A$1:$ZZ$1, 0))</f>
        <v>#N/A</v>
      </c>
      <c r="B1008" t="e">
        <f>INDEX(resultados!$A$2:$ZZ$2290, 1002, MATCH($B$2, resultados!$A$1:$ZZ$1, 0))</f>
        <v>#N/A</v>
      </c>
      <c r="C1008" t="e">
        <f>INDEX(resultados!$A$2:$ZZ$2290, 1002, MATCH($B$3, resultados!$A$1:$ZZ$1, 0))</f>
        <v>#N/A</v>
      </c>
    </row>
    <row r="1009" spans="1:3" x14ac:dyDescent="0.3">
      <c r="A1009" t="e">
        <f>INDEX(resultados!$A$2:$ZZ$2290, 1003, MATCH($B$1, resultados!$A$1:$ZZ$1, 0))</f>
        <v>#N/A</v>
      </c>
      <c r="B1009" t="e">
        <f>INDEX(resultados!$A$2:$ZZ$2290, 1003, MATCH($B$2, resultados!$A$1:$ZZ$1, 0))</f>
        <v>#N/A</v>
      </c>
      <c r="C1009" t="e">
        <f>INDEX(resultados!$A$2:$ZZ$2290, 1003, MATCH($B$3, resultados!$A$1:$ZZ$1, 0))</f>
        <v>#N/A</v>
      </c>
    </row>
    <row r="1010" spans="1:3" x14ac:dyDescent="0.3">
      <c r="A1010" t="e">
        <f>INDEX(resultados!$A$2:$ZZ$2290, 1004, MATCH($B$1, resultados!$A$1:$ZZ$1, 0))</f>
        <v>#N/A</v>
      </c>
      <c r="B1010" t="e">
        <f>INDEX(resultados!$A$2:$ZZ$2290, 1004, MATCH($B$2, resultados!$A$1:$ZZ$1, 0))</f>
        <v>#N/A</v>
      </c>
      <c r="C1010" t="e">
        <f>INDEX(resultados!$A$2:$ZZ$2290, 1004, MATCH($B$3, resultados!$A$1:$ZZ$1, 0))</f>
        <v>#N/A</v>
      </c>
    </row>
    <row r="1011" spans="1:3" x14ac:dyDescent="0.3">
      <c r="A1011" t="e">
        <f>INDEX(resultados!$A$2:$ZZ$2290, 1005, MATCH($B$1, resultados!$A$1:$ZZ$1, 0))</f>
        <v>#N/A</v>
      </c>
      <c r="B1011" t="e">
        <f>INDEX(resultados!$A$2:$ZZ$2290, 1005, MATCH($B$2, resultados!$A$1:$ZZ$1, 0))</f>
        <v>#N/A</v>
      </c>
      <c r="C1011" t="e">
        <f>INDEX(resultados!$A$2:$ZZ$2290, 1005, MATCH($B$3, resultados!$A$1:$ZZ$1, 0))</f>
        <v>#N/A</v>
      </c>
    </row>
    <row r="1012" spans="1:3" x14ac:dyDescent="0.3">
      <c r="A1012" t="e">
        <f>INDEX(resultados!$A$2:$ZZ$2290, 1006, MATCH($B$1, resultados!$A$1:$ZZ$1, 0))</f>
        <v>#N/A</v>
      </c>
      <c r="B1012" t="e">
        <f>INDEX(resultados!$A$2:$ZZ$2290, 1006, MATCH($B$2, resultados!$A$1:$ZZ$1, 0))</f>
        <v>#N/A</v>
      </c>
      <c r="C1012" t="e">
        <f>INDEX(resultados!$A$2:$ZZ$2290, 1006, MATCH($B$3, resultados!$A$1:$ZZ$1, 0))</f>
        <v>#N/A</v>
      </c>
    </row>
    <row r="1013" spans="1:3" x14ac:dyDescent="0.3">
      <c r="A1013" t="e">
        <f>INDEX(resultados!$A$2:$ZZ$2290, 1007, MATCH($B$1, resultados!$A$1:$ZZ$1, 0))</f>
        <v>#N/A</v>
      </c>
      <c r="B1013" t="e">
        <f>INDEX(resultados!$A$2:$ZZ$2290, 1007, MATCH($B$2, resultados!$A$1:$ZZ$1, 0))</f>
        <v>#N/A</v>
      </c>
      <c r="C1013" t="e">
        <f>INDEX(resultados!$A$2:$ZZ$2290, 1007, MATCH($B$3, resultados!$A$1:$ZZ$1, 0))</f>
        <v>#N/A</v>
      </c>
    </row>
    <row r="1014" spans="1:3" x14ac:dyDescent="0.3">
      <c r="A1014" t="e">
        <f>INDEX(resultados!$A$2:$ZZ$2290, 1008, MATCH($B$1, resultados!$A$1:$ZZ$1, 0))</f>
        <v>#N/A</v>
      </c>
      <c r="B1014" t="e">
        <f>INDEX(resultados!$A$2:$ZZ$2290, 1008, MATCH($B$2, resultados!$A$1:$ZZ$1, 0))</f>
        <v>#N/A</v>
      </c>
      <c r="C1014" t="e">
        <f>INDEX(resultados!$A$2:$ZZ$2290, 1008, MATCH($B$3, resultados!$A$1:$ZZ$1, 0))</f>
        <v>#N/A</v>
      </c>
    </row>
    <row r="1015" spans="1:3" x14ac:dyDescent="0.3">
      <c r="A1015" t="e">
        <f>INDEX(resultados!$A$2:$ZZ$2290, 1009, MATCH($B$1, resultados!$A$1:$ZZ$1, 0))</f>
        <v>#N/A</v>
      </c>
      <c r="B1015" t="e">
        <f>INDEX(resultados!$A$2:$ZZ$2290, 1009, MATCH($B$2, resultados!$A$1:$ZZ$1, 0))</f>
        <v>#N/A</v>
      </c>
      <c r="C1015" t="e">
        <f>INDEX(resultados!$A$2:$ZZ$2290, 1009, MATCH($B$3, resultados!$A$1:$ZZ$1, 0))</f>
        <v>#N/A</v>
      </c>
    </row>
    <row r="1016" spans="1:3" x14ac:dyDescent="0.3">
      <c r="A1016" t="e">
        <f>INDEX(resultados!$A$2:$ZZ$2290, 1010, MATCH($B$1, resultados!$A$1:$ZZ$1, 0))</f>
        <v>#N/A</v>
      </c>
      <c r="B1016" t="e">
        <f>INDEX(resultados!$A$2:$ZZ$2290, 1010, MATCH($B$2, resultados!$A$1:$ZZ$1, 0))</f>
        <v>#N/A</v>
      </c>
      <c r="C1016" t="e">
        <f>INDEX(resultados!$A$2:$ZZ$2290, 1010, MATCH($B$3, resultados!$A$1:$ZZ$1, 0))</f>
        <v>#N/A</v>
      </c>
    </row>
    <row r="1017" spans="1:3" x14ac:dyDescent="0.3">
      <c r="A1017" t="e">
        <f>INDEX(resultados!$A$2:$ZZ$2290, 1011, MATCH($B$1, resultados!$A$1:$ZZ$1, 0))</f>
        <v>#N/A</v>
      </c>
      <c r="B1017" t="e">
        <f>INDEX(resultados!$A$2:$ZZ$2290, 1011, MATCH($B$2, resultados!$A$1:$ZZ$1, 0))</f>
        <v>#N/A</v>
      </c>
      <c r="C1017" t="e">
        <f>INDEX(resultados!$A$2:$ZZ$2290, 1011, MATCH($B$3, resultados!$A$1:$ZZ$1, 0))</f>
        <v>#N/A</v>
      </c>
    </row>
    <row r="1018" spans="1:3" x14ac:dyDescent="0.3">
      <c r="A1018" t="e">
        <f>INDEX(resultados!$A$2:$ZZ$2290, 1012, MATCH($B$1, resultados!$A$1:$ZZ$1, 0))</f>
        <v>#N/A</v>
      </c>
      <c r="B1018" t="e">
        <f>INDEX(resultados!$A$2:$ZZ$2290, 1012, MATCH($B$2, resultados!$A$1:$ZZ$1, 0))</f>
        <v>#N/A</v>
      </c>
      <c r="C1018" t="e">
        <f>INDEX(resultados!$A$2:$ZZ$2290, 1012, MATCH($B$3, resultados!$A$1:$ZZ$1, 0))</f>
        <v>#N/A</v>
      </c>
    </row>
    <row r="1019" spans="1:3" x14ac:dyDescent="0.3">
      <c r="A1019" t="e">
        <f>INDEX(resultados!$A$2:$ZZ$2290, 1013, MATCH($B$1, resultados!$A$1:$ZZ$1, 0))</f>
        <v>#N/A</v>
      </c>
      <c r="B1019" t="e">
        <f>INDEX(resultados!$A$2:$ZZ$2290, 1013, MATCH($B$2, resultados!$A$1:$ZZ$1, 0))</f>
        <v>#N/A</v>
      </c>
      <c r="C1019" t="e">
        <f>INDEX(resultados!$A$2:$ZZ$2290, 1013, MATCH($B$3, resultados!$A$1:$ZZ$1, 0))</f>
        <v>#N/A</v>
      </c>
    </row>
    <row r="1020" spans="1:3" x14ac:dyDescent="0.3">
      <c r="A1020" t="e">
        <f>INDEX(resultados!$A$2:$ZZ$2290, 1014, MATCH($B$1, resultados!$A$1:$ZZ$1, 0))</f>
        <v>#N/A</v>
      </c>
      <c r="B1020" t="e">
        <f>INDEX(resultados!$A$2:$ZZ$2290, 1014, MATCH($B$2, resultados!$A$1:$ZZ$1, 0))</f>
        <v>#N/A</v>
      </c>
      <c r="C1020" t="e">
        <f>INDEX(resultados!$A$2:$ZZ$2290, 1014, MATCH($B$3, resultados!$A$1:$ZZ$1, 0))</f>
        <v>#N/A</v>
      </c>
    </row>
    <row r="1021" spans="1:3" x14ac:dyDescent="0.3">
      <c r="A1021" t="e">
        <f>INDEX(resultados!$A$2:$ZZ$2290, 1015, MATCH($B$1, resultados!$A$1:$ZZ$1, 0))</f>
        <v>#N/A</v>
      </c>
      <c r="B1021" t="e">
        <f>INDEX(resultados!$A$2:$ZZ$2290, 1015, MATCH($B$2, resultados!$A$1:$ZZ$1, 0))</f>
        <v>#N/A</v>
      </c>
      <c r="C1021" t="e">
        <f>INDEX(resultados!$A$2:$ZZ$2290, 1015, MATCH($B$3, resultados!$A$1:$ZZ$1, 0))</f>
        <v>#N/A</v>
      </c>
    </row>
    <row r="1022" spans="1:3" x14ac:dyDescent="0.3">
      <c r="A1022" t="e">
        <f>INDEX(resultados!$A$2:$ZZ$2290, 1016, MATCH($B$1, resultados!$A$1:$ZZ$1, 0))</f>
        <v>#N/A</v>
      </c>
      <c r="B1022" t="e">
        <f>INDEX(resultados!$A$2:$ZZ$2290, 1016, MATCH($B$2, resultados!$A$1:$ZZ$1, 0))</f>
        <v>#N/A</v>
      </c>
      <c r="C1022" t="e">
        <f>INDEX(resultados!$A$2:$ZZ$2290, 1016, MATCH($B$3, resultados!$A$1:$ZZ$1, 0))</f>
        <v>#N/A</v>
      </c>
    </row>
    <row r="1023" spans="1:3" x14ac:dyDescent="0.3">
      <c r="A1023" t="e">
        <f>INDEX(resultados!$A$2:$ZZ$2290, 1017, MATCH($B$1, resultados!$A$1:$ZZ$1, 0))</f>
        <v>#N/A</v>
      </c>
      <c r="B1023" t="e">
        <f>INDEX(resultados!$A$2:$ZZ$2290, 1017, MATCH($B$2, resultados!$A$1:$ZZ$1, 0))</f>
        <v>#N/A</v>
      </c>
      <c r="C1023" t="e">
        <f>INDEX(resultados!$A$2:$ZZ$2290, 1017, MATCH($B$3, resultados!$A$1:$ZZ$1, 0))</f>
        <v>#N/A</v>
      </c>
    </row>
    <row r="1024" spans="1:3" x14ac:dyDescent="0.3">
      <c r="A1024" t="e">
        <f>INDEX(resultados!$A$2:$ZZ$2290, 1018, MATCH($B$1, resultados!$A$1:$ZZ$1, 0))</f>
        <v>#N/A</v>
      </c>
      <c r="B1024" t="e">
        <f>INDEX(resultados!$A$2:$ZZ$2290, 1018, MATCH($B$2, resultados!$A$1:$ZZ$1, 0))</f>
        <v>#N/A</v>
      </c>
      <c r="C1024" t="e">
        <f>INDEX(resultados!$A$2:$ZZ$2290, 1018, MATCH($B$3, resultados!$A$1:$ZZ$1, 0))</f>
        <v>#N/A</v>
      </c>
    </row>
    <row r="1025" spans="1:3" x14ac:dyDescent="0.3">
      <c r="A1025" t="e">
        <f>INDEX(resultados!$A$2:$ZZ$2290, 1019, MATCH($B$1, resultados!$A$1:$ZZ$1, 0))</f>
        <v>#N/A</v>
      </c>
      <c r="B1025" t="e">
        <f>INDEX(resultados!$A$2:$ZZ$2290, 1019, MATCH($B$2, resultados!$A$1:$ZZ$1, 0))</f>
        <v>#N/A</v>
      </c>
      <c r="C1025" t="e">
        <f>INDEX(resultados!$A$2:$ZZ$2290, 1019, MATCH($B$3, resultados!$A$1:$ZZ$1, 0))</f>
        <v>#N/A</v>
      </c>
    </row>
    <row r="1026" spans="1:3" x14ac:dyDescent="0.3">
      <c r="A1026" t="e">
        <f>INDEX(resultados!$A$2:$ZZ$2290, 1020, MATCH($B$1, resultados!$A$1:$ZZ$1, 0))</f>
        <v>#N/A</v>
      </c>
      <c r="B1026" t="e">
        <f>INDEX(resultados!$A$2:$ZZ$2290, 1020, MATCH($B$2, resultados!$A$1:$ZZ$1, 0))</f>
        <v>#N/A</v>
      </c>
      <c r="C1026" t="e">
        <f>INDEX(resultados!$A$2:$ZZ$2290, 1020, MATCH($B$3, resultados!$A$1:$ZZ$1, 0))</f>
        <v>#N/A</v>
      </c>
    </row>
    <row r="1027" spans="1:3" x14ac:dyDescent="0.3">
      <c r="A1027" t="e">
        <f>INDEX(resultados!$A$2:$ZZ$2290, 1021, MATCH($B$1, resultados!$A$1:$ZZ$1, 0))</f>
        <v>#N/A</v>
      </c>
      <c r="B1027" t="e">
        <f>INDEX(resultados!$A$2:$ZZ$2290, 1021, MATCH($B$2, resultados!$A$1:$ZZ$1, 0))</f>
        <v>#N/A</v>
      </c>
      <c r="C1027" t="e">
        <f>INDEX(resultados!$A$2:$ZZ$2290, 1021, MATCH($B$3, resultados!$A$1:$ZZ$1, 0))</f>
        <v>#N/A</v>
      </c>
    </row>
    <row r="1028" spans="1:3" x14ac:dyDescent="0.3">
      <c r="A1028" t="e">
        <f>INDEX(resultados!$A$2:$ZZ$2290, 1022, MATCH($B$1, resultados!$A$1:$ZZ$1, 0))</f>
        <v>#N/A</v>
      </c>
      <c r="B1028" t="e">
        <f>INDEX(resultados!$A$2:$ZZ$2290, 1022, MATCH($B$2, resultados!$A$1:$ZZ$1, 0))</f>
        <v>#N/A</v>
      </c>
      <c r="C1028" t="e">
        <f>INDEX(resultados!$A$2:$ZZ$2290, 1022, MATCH($B$3, resultados!$A$1:$ZZ$1, 0))</f>
        <v>#N/A</v>
      </c>
    </row>
    <row r="1029" spans="1:3" x14ac:dyDescent="0.3">
      <c r="A1029" t="e">
        <f>INDEX(resultados!$A$2:$ZZ$2290, 1023, MATCH($B$1, resultados!$A$1:$ZZ$1, 0))</f>
        <v>#N/A</v>
      </c>
      <c r="B1029" t="e">
        <f>INDEX(resultados!$A$2:$ZZ$2290, 1023, MATCH($B$2, resultados!$A$1:$ZZ$1, 0))</f>
        <v>#N/A</v>
      </c>
      <c r="C1029" t="e">
        <f>INDEX(resultados!$A$2:$ZZ$2290, 1023, MATCH($B$3, resultados!$A$1:$ZZ$1, 0))</f>
        <v>#N/A</v>
      </c>
    </row>
    <row r="1030" spans="1:3" x14ac:dyDescent="0.3">
      <c r="A1030" t="e">
        <f>INDEX(resultados!$A$2:$ZZ$2290, 1024, MATCH($B$1, resultados!$A$1:$ZZ$1, 0))</f>
        <v>#N/A</v>
      </c>
      <c r="B1030" t="e">
        <f>INDEX(resultados!$A$2:$ZZ$2290, 1024, MATCH($B$2, resultados!$A$1:$ZZ$1, 0))</f>
        <v>#N/A</v>
      </c>
      <c r="C1030" t="e">
        <f>INDEX(resultados!$A$2:$ZZ$2290, 1024, MATCH($B$3, resultados!$A$1:$ZZ$1, 0))</f>
        <v>#N/A</v>
      </c>
    </row>
    <row r="1031" spans="1:3" x14ac:dyDescent="0.3">
      <c r="A1031" t="e">
        <f>INDEX(resultados!$A$2:$ZZ$2290, 1025, MATCH($B$1, resultados!$A$1:$ZZ$1, 0))</f>
        <v>#N/A</v>
      </c>
      <c r="B1031" t="e">
        <f>INDEX(resultados!$A$2:$ZZ$2290, 1025, MATCH($B$2, resultados!$A$1:$ZZ$1, 0))</f>
        <v>#N/A</v>
      </c>
      <c r="C1031" t="e">
        <f>INDEX(resultados!$A$2:$ZZ$2290, 1025, MATCH($B$3, resultados!$A$1:$ZZ$1, 0))</f>
        <v>#N/A</v>
      </c>
    </row>
    <row r="1032" spans="1:3" x14ac:dyDescent="0.3">
      <c r="A1032" t="e">
        <f>INDEX(resultados!$A$2:$ZZ$2290, 1026, MATCH($B$1, resultados!$A$1:$ZZ$1, 0))</f>
        <v>#N/A</v>
      </c>
      <c r="B1032" t="e">
        <f>INDEX(resultados!$A$2:$ZZ$2290, 1026, MATCH($B$2, resultados!$A$1:$ZZ$1, 0))</f>
        <v>#N/A</v>
      </c>
      <c r="C1032" t="e">
        <f>INDEX(resultados!$A$2:$ZZ$2290, 1026, MATCH($B$3, resultados!$A$1:$ZZ$1, 0))</f>
        <v>#N/A</v>
      </c>
    </row>
    <row r="1033" spans="1:3" x14ac:dyDescent="0.3">
      <c r="A1033" t="e">
        <f>INDEX(resultados!$A$2:$ZZ$2290, 1027, MATCH($B$1, resultados!$A$1:$ZZ$1, 0))</f>
        <v>#N/A</v>
      </c>
      <c r="B1033" t="e">
        <f>INDEX(resultados!$A$2:$ZZ$2290, 1027, MATCH($B$2, resultados!$A$1:$ZZ$1, 0))</f>
        <v>#N/A</v>
      </c>
      <c r="C1033" t="e">
        <f>INDEX(resultados!$A$2:$ZZ$2290, 1027, MATCH($B$3, resultados!$A$1:$ZZ$1, 0))</f>
        <v>#N/A</v>
      </c>
    </row>
    <row r="1034" spans="1:3" x14ac:dyDescent="0.3">
      <c r="A1034" t="e">
        <f>INDEX(resultados!$A$2:$ZZ$2290, 1028, MATCH($B$1, resultados!$A$1:$ZZ$1, 0))</f>
        <v>#N/A</v>
      </c>
      <c r="B1034" t="e">
        <f>INDEX(resultados!$A$2:$ZZ$2290, 1028, MATCH($B$2, resultados!$A$1:$ZZ$1, 0))</f>
        <v>#N/A</v>
      </c>
      <c r="C1034" t="e">
        <f>INDEX(resultados!$A$2:$ZZ$2290, 1028, MATCH($B$3, resultados!$A$1:$ZZ$1, 0))</f>
        <v>#N/A</v>
      </c>
    </row>
    <row r="1035" spans="1:3" x14ac:dyDescent="0.3">
      <c r="A1035" t="e">
        <f>INDEX(resultados!$A$2:$ZZ$2290, 1029, MATCH($B$1, resultados!$A$1:$ZZ$1, 0))</f>
        <v>#N/A</v>
      </c>
      <c r="B1035" t="e">
        <f>INDEX(resultados!$A$2:$ZZ$2290, 1029, MATCH($B$2, resultados!$A$1:$ZZ$1, 0))</f>
        <v>#N/A</v>
      </c>
      <c r="C1035" t="e">
        <f>INDEX(resultados!$A$2:$ZZ$2290, 1029, MATCH($B$3, resultados!$A$1:$ZZ$1, 0))</f>
        <v>#N/A</v>
      </c>
    </row>
    <row r="1036" spans="1:3" x14ac:dyDescent="0.3">
      <c r="A1036" t="e">
        <f>INDEX(resultados!$A$2:$ZZ$2290, 1030, MATCH($B$1, resultados!$A$1:$ZZ$1, 0))</f>
        <v>#N/A</v>
      </c>
      <c r="B1036" t="e">
        <f>INDEX(resultados!$A$2:$ZZ$2290, 1030, MATCH($B$2, resultados!$A$1:$ZZ$1, 0))</f>
        <v>#N/A</v>
      </c>
      <c r="C1036" t="e">
        <f>INDEX(resultados!$A$2:$ZZ$2290, 1030, MATCH($B$3, resultados!$A$1:$ZZ$1, 0))</f>
        <v>#N/A</v>
      </c>
    </row>
    <row r="1037" spans="1:3" x14ac:dyDescent="0.3">
      <c r="A1037" t="e">
        <f>INDEX(resultados!$A$2:$ZZ$2290, 1031, MATCH($B$1, resultados!$A$1:$ZZ$1, 0))</f>
        <v>#N/A</v>
      </c>
      <c r="B1037" t="e">
        <f>INDEX(resultados!$A$2:$ZZ$2290, 1031, MATCH($B$2, resultados!$A$1:$ZZ$1, 0))</f>
        <v>#N/A</v>
      </c>
      <c r="C1037" t="e">
        <f>INDEX(resultados!$A$2:$ZZ$2290, 1031, MATCH($B$3, resultados!$A$1:$ZZ$1, 0))</f>
        <v>#N/A</v>
      </c>
    </row>
    <row r="1038" spans="1:3" x14ac:dyDescent="0.3">
      <c r="A1038" t="e">
        <f>INDEX(resultados!$A$2:$ZZ$2290, 1032, MATCH($B$1, resultados!$A$1:$ZZ$1, 0))</f>
        <v>#N/A</v>
      </c>
      <c r="B1038" t="e">
        <f>INDEX(resultados!$A$2:$ZZ$2290, 1032, MATCH($B$2, resultados!$A$1:$ZZ$1, 0))</f>
        <v>#N/A</v>
      </c>
      <c r="C1038" t="e">
        <f>INDEX(resultados!$A$2:$ZZ$2290, 1032, MATCH($B$3, resultados!$A$1:$ZZ$1, 0))</f>
        <v>#N/A</v>
      </c>
    </row>
    <row r="1039" spans="1:3" x14ac:dyDescent="0.3">
      <c r="A1039" t="e">
        <f>INDEX(resultados!$A$2:$ZZ$2290, 1033, MATCH($B$1, resultados!$A$1:$ZZ$1, 0))</f>
        <v>#N/A</v>
      </c>
      <c r="B1039" t="e">
        <f>INDEX(resultados!$A$2:$ZZ$2290, 1033, MATCH($B$2, resultados!$A$1:$ZZ$1, 0))</f>
        <v>#N/A</v>
      </c>
      <c r="C1039" t="e">
        <f>INDEX(resultados!$A$2:$ZZ$2290, 1033, MATCH($B$3, resultados!$A$1:$ZZ$1, 0))</f>
        <v>#N/A</v>
      </c>
    </row>
    <row r="1040" spans="1:3" x14ac:dyDescent="0.3">
      <c r="A1040" t="e">
        <f>INDEX(resultados!$A$2:$ZZ$2290, 1034, MATCH($B$1, resultados!$A$1:$ZZ$1, 0))</f>
        <v>#N/A</v>
      </c>
      <c r="B1040" t="e">
        <f>INDEX(resultados!$A$2:$ZZ$2290, 1034, MATCH($B$2, resultados!$A$1:$ZZ$1, 0))</f>
        <v>#N/A</v>
      </c>
      <c r="C1040" t="e">
        <f>INDEX(resultados!$A$2:$ZZ$2290, 1034, MATCH($B$3, resultados!$A$1:$ZZ$1, 0))</f>
        <v>#N/A</v>
      </c>
    </row>
    <row r="1041" spans="1:3" x14ac:dyDescent="0.3">
      <c r="A1041" t="e">
        <f>INDEX(resultados!$A$2:$ZZ$2290, 1035, MATCH($B$1, resultados!$A$1:$ZZ$1, 0))</f>
        <v>#N/A</v>
      </c>
      <c r="B1041" t="e">
        <f>INDEX(resultados!$A$2:$ZZ$2290, 1035, MATCH($B$2, resultados!$A$1:$ZZ$1, 0))</f>
        <v>#N/A</v>
      </c>
      <c r="C1041" t="e">
        <f>INDEX(resultados!$A$2:$ZZ$2290, 1035, MATCH($B$3, resultados!$A$1:$ZZ$1, 0))</f>
        <v>#N/A</v>
      </c>
    </row>
    <row r="1042" spans="1:3" x14ac:dyDescent="0.3">
      <c r="A1042" t="e">
        <f>INDEX(resultados!$A$2:$ZZ$2290, 1036, MATCH($B$1, resultados!$A$1:$ZZ$1, 0))</f>
        <v>#N/A</v>
      </c>
      <c r="B1042" t="e">
        <f>INDEX(resultados!$A$2:$ZZ$2290, 1036, MATCH($B$2, resultados!$A$1:$ZZ$1, 0))</f>
        <v>#N/A</v>
      </c>
      <c r="C1042" t="e">
        <f>INDEX(resultados!$A$2:$ZZ$2290, 1036, MATCH($B$3, resultados!$A$1:$ZZ$1, 0))</f>
        <v>#N/A</v>
      </c>
    </row>
    <row r="1043" spans="1:3" x14ac:dyDescent="0.3">
      <c r="A1043" t="e">
        <f>INDEX(resultados!$A$2:$ZZ$2290, 1037, MATCH($B$1, resultados!$A$1:$ZZ$1, 0))</f>
        <v>#N/A</v>
      </c>
      <c r="B1043" t="e">
        <f>INDEX(resultados!$A$2:$ZZ$2290, 1037, MATCH($B$2, resultados!$A$1:$ZZ$1, 0))</f>
        <v>#N/A</v>
      </c>
      <c r="C1043" t="e">
        <f>INDEX(resultados!$A$2:$ZZ$2290, 1037, MATCH($B$3, resultados!$A$1:$ZZ$1, 0))</f>
        <v>#N/A</v>
      </c>
    </row>
    <row r="1044" spans="1:3" x14ac:dyDescent="0.3">
      <c r="A1044" t="e">
        <f>INDEX(resultados!$A$2:$ZZ$2290, 1038, MATCH($B$1, resultados!$A$1:$ZZ$1, 0))</f>
        <v>#N/A</v>
      </c>
      <c r="B1044" t="e">
        <f>INDEX(resultados!$A$2:$ZZ$2290, 1038, MATCH($B$2, resultados!$A$1:$ZZ$1, 0))</f>
        <v>#N/A</v>
      </c>
      <c r="C1044" t="e">
        <f>INDEX(resultados!$A$2:$ZZ$2290, 1038, MATCH($B$3, resultados!$A$1:$ZZ$1, 0))</f>
        <v>#N/A</v>
      </c>
    </row>
    <row r="1045" spans="1:3" x14ac:dyDescent="0.3">
      <c r="A1045" t="e">
        <f>INDEX(resultados!$A$2:$ZZ$2290, 1039, MATCH($B$1, resultados!$A$1:$ZZ$1, 0))</f>
        <v>#N/A</v>
      </c>
      <c r="B1045" t="e">
        <f>INDEX(resultados!$A$2:$ZZ$2290, 1039, MATCH($B$2, resultados!$A$1:$ZZ$1, 0))</f>
        <v>#N/A</v>
      </c>
      <c r="C1045" t="e">
        <f>INDEX(resultados!$A$2:$ZZ$2290, 1039, MATCH($B$3, resultados!$A$1:$ZZ$1, 0))</f>
        <v>#N/A</v>
      </c>
    </row>
    <row r="1046" spans="1:3" x14ac:dyDescent="0.3">
      <c r="A1046" t="e">
        <f>INDEX(resultados!$A$2:$ZZ$2290, 1040, MATCH($B$1, resultados!$A$1:$ZZ$1, 0))</f>
        <v>#N/A</v>
      </c>
      <c r="B1046" t="e">
        <f>INDEX(resultados!$A$2:$ZZ$2290, 1040, MATCH($B$2, resultados!$A$1:$ZZ$1, 0))</f>
        <v>#N/A</v>
      </c>
      <c r="C1046" t="e">
        <f>INDEX(resultados!$A$2:$ZZ$2290, 1040, MATCH($B$3, resultados!$A$1:$ZZ$1, 0))</f>
        <v>#N/A</v>
      </c>
    </row>
    <row r="1047" spans="1:3" x14ac:dyDescent="0.3">
      <c r="A1047" t="e">
        <f>INDEX(resultados!$A$2:$ZZ$2290, 1041, MATCH($B$1, resultados!$A$1:$ZZ$1, 0))</f>
        <v>#N/A</v>
      </c>
      <c r="B1047" t="e">
        <f>INDEX(resultados!$A$2:$ZZ$2290, 1041, MATCH($B$2, resultados!$A$1:$ZZ$1, 0))</f>
        <v>#N/A</v>
      </c>
      <c r="C1047" t="e">
        <f>INDEX(resultados!$A$2:$ZZ$2290, 1041, MATCH($B$3, resultados!$A$1:$ZZ$1, 0))</f>
        <v>#N/A</v>
      </c>
    </row>
    <row r="1048" spans="1:3" x14ac:dyDescent="0.3">
      <c r="A1048" t="e">
        <f>INDEX(resultados!$A$2:$ZZ$2290, 1042, MATCH($B$1, resultados!$A$1:$ZZ$1, 0))</f>
        <v>#N/A</v>
      </c>
      <c r="B1048" t="e">
        <f>INDEX(resultados!$A$2:$ZZ$2290, 1042, MATCH($B$2, resultados!$A$1:$ZZ$1, 0))</f>
        <v>#N/A</v>
      </c>
      <c r="C1048" t="e">
        <f>INDEX(resultados!$A$2:$ZZ$2290, 1042, MATCH($B$3, resultados!$A$1:$ZZ$1, 0))</f>
        <v>#N/A</v>
      </c>
    </row>
    <row r="1049" spans="1:3" x14ac:dyDescent="0.3">
      <c r="A1049" t="e">
        <f>INDEX(resultados!$A$2:$ZZ$2290, 1043, MATCH($B$1, resultados!$A$1:$ZZ$1, 0))</f>
        <v>#N/A</v>
      </c>
      <c r="B1049" t="e">
        <f>INDEX(resultados!$A$2:$ZZ$2290, 1043, MATCH($B$2, resultados!$A$1:$ZZ$1, 0))</f>
        <v>#N/A</v>
      </c>
      <c r="C1049" t="e">
        <f>INDEX(resultados!$A$2:$ZZ$2290, 1043, MATCH($B$3, resultados!$A$1:$ZZ$1, 0))</f>
        <v>#N/A</v>
      </c>
    </row>
    <row r="1050" spans="1:3" x14ac:dyDescent="0.3">
      <c r="A1050" t="e">
        <f>INDEX(resultados!$A$2:$ZZ$2290, 1044, MATCH($B$1, resultados!$A$1:$ZZ$1, 0))</f>
        <v>#N/A</v>
      </c>
      <c r="B1050" t="e">
        <f>INDEX(resultados!$A$2:$ZZ$2290, 1044, MATCH($B$2, resultados!$A$1:$ZZ$1, 0))</f>
        <v>#N/A</v>
      </c>
      <c r="C1050" t="e">
        <f>INDEX(resultados!$A$2:$ZZ$2290, 1044, MATCH($B$3, resultados!$A$1:$ZZ$1, 0))</f>
        <v>#N/A</v>
      </c>
    </row>
    <row r="1051" spans="1:3" x14ac:dyDescent="0.3">
      <c r="A1051" t="e">
        <f>INDEX(resultados!$A$2:$ZZ$2290, 1045, MATCH($B$1, resultados!$A$1:$ZZ$1, 0))</f>
        <v>#N/A</v>
      </c>
      <c r="B1051" t="e">
        <f>INDEX(resultados!$A$2:$ZZ$2290, 1045, MATCH($B$2, resultados!$A$1:$ZZ$1, 0))</f>
        <v>#N/A</v>
      </c>
      <c r="C1051" t="e">
        <f>INDEX(resultados!$A$2:$ZZ$2290, 1045, MATCH($B$3, resultados!$A$1:$ZZ$1, 0))</f>
        <v>#N/A</v>
      </c>
    </row>
    <row r="1052" spans="1:3" x14ac:dyDescent="0.3">
      <c r="A1052" t="e">
        <f>INDEX(resultados!$A$2:$ZZ$2290, 1046, MATCH($B$1, resultados!$A$1:$ZZ$1, 0))</f>
        <v>#N/A</v>
      </c>
      <c r="B1052" t="e">
        <f>INDEX(resultados!$A$2:$ZZ$2290, 1046, MATCH($B$2, resultados!$A$1:$ZZ$1, 0))</f>
        <v>#N/A</v>
      </c>
      <c r="C1052" t="e">
        <f>INDEX(resultados!$A$2:$ZZ$2290, 1046, MATCH($B$3, resultados!$A$1:$ZZ$1, 0))</f>
        <v>#N/A</v>
      </c>
    </row>
    <row r="1053" spans="1:3" x14ac:dyDescent="0.3">
      <c r="A1053" t="e">
        <f>INDEX(resultados!$A$2:$ZZ$2290, 1047, MATCH($B$1, resultados!$A$1:$ZZ$1, 0))</f>
        <v>#N/A</v>
      </c>
      <c r="B1053" t="e">
        <f>INDEX(resultados!$A$2:$ZZ$2290, 1047, MATCH($B$2, resultados!$A$1:$ZZ$1, 0))</f>
        <v>#N/A</v>
      </c>
      <c r="C1053" t="e">
        <f>INDEX(resultados!$A$2:$ZZ$2290, 1047, MATCH($B$3, resultados!$A$1:$ZZ$1, 0))</f>
        <v>#N/A</v>
      </c>
    </row>
    <row r="1054" spans="1:3" x14ac:dyDescent="0.3">
      <c r="A1054" t="e">
        <f>INDEX(resultados!$A$2:$ZZ$2290, 1048, MATCH($B$1, resultados!$A$1:$ZZ$1, 0))</f>
        <v>#N/A</v>
      </c>
      <c r="B1054" t="e">
        <f>INDEX(resultados!$A$2:$ZZ$2290, 1048, MATCH($B$2, resultados!$A$1:$ZZ$1, 0))</f>
        <v>#N/A</v>
      </c>
      <c r="C1054" t="e">
        <f>INDEX(resultados!$A$2:$ZZ$2290, 1048, MATCH($B$3, resultados!$A$1:$ZZ$1, 0))</f>
        <v>#N/A</v>
      </c>
    </row>
    <row r="1055" spans="1:3" x14ac:dyDescent="0.3">
      <c r="A1055" t="e">
        <f>INDEX(resultados!$A$2:$ZZ$2290, 1049, MATCH($B$1, resultados!$A$1:$ZZ$1, 0))</f>
        <v>#N/A</v>
      </c>
      <c r="B1055" t="e">
        <f>INDEX(resultados!$A$2:$ZZ$2290, 1049, MATCH($B$2, resultados!$A$1:$ZZ$1, 0))</f>
        <v>#N/A</v>
      </c>
      <c r="C1055" t="e">
        <f>INDEX(resultados!$A$2:$ZZ$2290, 1049, MATCH($B$3, resultados!$A$1:$ZZ$1, 0))</f>
        <v>#N/A</v>
      </c>
    </row>
    <row r="1056" spans="1:3" x14ac:dyDescent="0.3">
      <c r="A1056" t="e">
        <f>INDEX(resultados!$A$2:$ZZ$2290, 1050, MATCH($B$1, resultados!$A$1:$ZZ$1, 0))</f>
        <v>#N/A</v>
      </c>
      <c r="B1056" t="e">
        <f>INDEX(resultados!$A$2:$ZZ$2290, 1050, MATCH($B$2, resultados!$A$1:$ZZ$1, 0))</f>
        <v>#N/A</v>
      </c>
      <c r="C1056" t="e">
        <f>INDEX(resultados!$A$2:$ZZ$2290, 1050, MATCH($B$3, resultados!$A$1:$ZZ$1, 0))</f>
        <v>#N/A</v>
      </c>
    </row>
    <row r="1057" spans="1:3" x14ac:dyDescent="0.3">
      <c r="A1057" t="e">
        <f>INDEX(resultados!$A$2:$ZZ$2290, 1051, MATCH($B$1, resultados!$A$1:$ZZ$1, 0))</f>
        <v>#N/A</v>
      </c>
      <c r="B1057" t="e">
        <f>INDEX(resultados!$A$2:$ZZ$2290, 1051, MATCH($B$2, resultados!$A$1:$ZZ$1, 0))</f>
        <v>#N/A</v>
      </c>
      <c r="C1057" t="e">
        <f>INDEX(resultados!$A$2:$ZZ$2290, 1051, MATCH($B$3, resultados!$A$1:$ZZ$1, 0))</f>
        <v>#N/A</v>
      </c>
    </row>
    <row r="1058" spans="1:3" x14ac:dyDescent="0.3">
      <c r="A1058" t="e">
        <f>INDEX(resultados!$A$2:$ZZ$2290, 1052, MATCH($B$1, resultados!$A$1:$ZZ$1, 0))</f>
        <v>#N/A</v>
      </c>
      <c r="B1058" t="e">
        <f>INDEX(resultados!$A$2:$ZZ$2290, 1052, MATCH($B$2, resultados!$A$1:$ZZ$1, 0))</f>
        <v>#N/A</v>
      </c>
      <c r="C1058" t="e">
        <f>INDEX(resultados!$A$2:$ZZ$2290, 1052, MATCH($B$3, resultados!$A$1:$ZZ$1, 0))</f>
        <v>#N/A</v>
      </c>
    </row>
    <row r="1059" spans="1:3" x14ac:dyDescent="0.3">
      <c r="A1059" t="e">
        <f>INDEX(resultados!$A$2:$ZZ$2290, 1053, MATCH($B$1, resultados!$A$1:$ZZ$1, 0))</f>
        <v>#N/A</v>
      </c>
      <c r="B1059" t="e">
        <f>INDEX(resultados!$A$2:$ZZ$2290, 1053, MATCH($B$2, resultados!$A$1:$ZZ$1, 0))</f>
        <v>#N/A</v>
      </c>
      <c r="C1059" t="e">
        <f>INDEX(resultados!$A$2:$ZZ$2290, 1053, MATCH($B$3, resultados!$A$1:$ZZ$1, 0))</f>
        <v>#N/A</v>
      </c>
    </row>
    <row r="1060" spans="1:3" x14ac:dyDescent="0.3">
      <c r="A1060" t="e">
        <f>INDEX(resultados!$A$2:$ZZ$2290, 1054, MATCH($B$1, resultados!$A$1:$ZZ$1, 0))</f>
        <v>#N/A</v>
      </c>
      <c r="B1060" t="e">
        <f>INDEX(resultados!$A$2:$ZZ$2290, 1054, MATCH($B$2, resultados!$A$1:$ZZ$1, 0))</f>
        <v>#N/A</v>
      </c>
      <c r="C1060" t="e">
        <f>INDEX(resultados!$A$2:$ZZ$2290, 1054, MATCH($B$3, resultados!$A$1:$ZZ$1, 0))</f>
        <v>#N/A</v>
      </c>
    </row>
    <row r="1061" spans="1:3" x14ac:dyDescent="0.3">
      <c r="A1061" t="e">
        <f>INDEX(resultados!$A$2:$ZZ$2290, 1055, MATCH($B$1, resultados!$A$1:$ZZ$1, 0))</f>
        <v>#N/A</v>
      </c>
      <c r="B1061" t="e">
        <f>INDEX(resultados!$A$2:$ZZ$2290, 1055, MATCH($B$2, resultados!$A$1:$ZZ$1, 0))</f>
        <v>#N/A</v>
      </c>
      <c r="C1061" t="e">
        <f>INDEX(resultados!$A$2:$ZZ$2290, 1055, MATCH($B$3, resultados!$A$1:$ZZ$1, 0))</f>
        <v>#N/A</v>
      </c>
    </row>
    <row r="1062" spans="1:3" x14ac:dyDescent="0.3">
      <c r="A1062" t="e">
        <f>INDEX(resultados!$A$2:$ZZ$2290, 1056, MATCH($B$1, resultados!$A$1:$ZZ$1, 0))</f>
        <v>#N/A</v>
      </c>
      <c r="B1062" t="e">
        <f>INDEX(resultados!$A$2:$ZZ$2290, 1056, MATCH($B$2, resultados!$A$1:$ZZ$1, 0))</f>
        <v>#N/A</v>
      </c>
      <c r="C1062" t="e">
        <f>INDEX(resultados!$A$2:$ZZ$2290, 1056, MATCH($B$3, resultados!$A$1:$ZZ$1, 0))</f>
        <v>#N/A</v>
      </c>
    </row>
    <row r="1063" spans="1:3" x14ac:dyDescent="0.3">
      <c r="A1063" t="e">
        <f>INDEX(resultados!$A$2:$ZZ$2290, 1057, MATCH($B$1, resultados!$A$1:$ZZ$1, 0))</f>
        <v>#N/A</v>
      </c>
      <c r="B1063" t="e">
        <f>INDEX(resultados!$A$2:$ZZ$2290, 1057, MATCH($B$2, resultados!$A$1:$ZZ$1, 0))</f>
        <v>#N/A</v>
      </c>
      <c r="C1063" t="e">
        <f>INDEX(resultados!$A$2:$ZZ$2290, 1057, MATCH($B$3, resultados!$A$1:$ZZ$1, 0))</f>
        <v>#N/A</v>
      </c>
    </row>
    <row r="1064" spans="1:3" x14ac:dyDescent="0.3">
      <c r="A1064" t="e">
        <f>INDEX(resultados!$A$2:$ZZ$2290, 1058, MATCH($B$1, resultados!$A$1:$ZZ$1, 0))</f>
        <v>#N/A</v>
      </c>
      <c r="B1064" t="e">
        <f>INDEX(resultados!$A$2:$ZZ$2290, 1058, MATCH($B$2, resultados!$A$1:$ZZ$1, 0))</f>
        <v>#N/A</v>
      </c>
      <c r="C1064" t="e">
        <f>INDEX(resultados!$A$2:$ZZ$2290, 1058, MATCH($B$3, resultados!$A$1:$ZZ$1, 0))</f>
        <v>#N/A</v>
      </c>
    </row>
    <row r="1065" spans="1:3" x14ac:dyDescent="0.3">
      <c r="A1065" t="e">
        <f>INDEX(resultados!$A$2:$ZZ$2290, 1059, MATCH($B$1, resultados!$A$1:$ZZ$1, 0))</f>
        <v>#N/A</v>
      </c>
      <c r="B1065" t="e">
        <f>INDEX(resultados!$A$2:$ZZ$2290, 1059, MATCH($B$2, resultados!$A$1:$ZZ$1, 0))</f>
        <v>#N/A</v>
      </c>
      <c r="C1065" t="e">
        <f>INDEX(resultados!$A$2:$ZZ$2290, 1059, MATCH($B$3, resultados!$A$1:$ZZ$1, 0))</f>
        <v>#N/A</v>
      </c>
    </row>
    <row r="1066" spans="1:3" x14ac:dyDescent="0.3">
      <c r="A1066" t="e">
        <f>INDEX(resultados!$A$2:$ZZ$2290, 1060, MATCH($B$1, resultados!$A$1:$ZZ$1, 0))</f>
        <v>#N/A</v>
      </c>
      <c r="B1066" t="e">
        <f>INDEX(resultados!$A$2:$ZZ$2290, 1060, MATCH($B$2, resultados!$A$1:$ZZ$1, 0))</f>
        <v>#N/A</v>
      </c>
      <c r="C1066" t="e">
        <f>INDEX(resultados!$A$2:$ZZ$2290, 1060, MATCH($B$3, resultados!$A$1:$ZZ$1, 0))</f>
        <v>#N/A</v>
      </c>
    </row>
    <row r="1067" spans="1:3" x14ac:dyDescent="0.3">
      <c r="A1067" t="e">
        <f>INDEX(resultados!$A$2:$ZZ$2290, 1061, MATCH($B$1, resultados!$A$1:$ZZ$1, 0))</f>
        <v>#N/A</v>
      </c>
      <c r="B1067" t="e">
        <f>INDEX(resultados!$A$2:$ZZ$2290, 1061, MATCH($B$2, resultados!$A$1:$ZZ$1, 0))</f>
        <v>#N/A</v>
      </c>
      <c r="C1067" t="e">
        <f>INDEX(resultados!$A$2:$ZZ$2290, 1061, MATCH($B$3, resultados!$A$1:$ZZ$1, 0))</f>
        <v>#N/A</v>
      </c>
    </row>
    <row r="1068" spans="1:3" x14ac:dyDescent="0.3">
      <c r="A1068" t="e">
        <f>INDEX(resultados!$A$2:$ZZ$2290, 1062, MATCH($B$1, resultados!$A$1:$ZZ$1, 0))</f>
        <v>#N/A</v>
      </c>
      <c r="B1068" t="e">
        <f>INDEX(resultados!$A$2:$ZZ$2290, 1062, MATCH($B$2, resultados!$A$1:$ZZ$1, 0))</f>
        <v>#N/A</v>
      </c>
      <c r="C1068" t="e">
        <f>INDEX(resultados!$A$2:$ZZ$2290, 1062, MATCH($B$3, resultados!$A$1:$ZZ$1, 0))</f>
        <v>#N/A</v>
      </c>
    </row>
    <row r="1069" spans="1:3" x14ac:dyDescent="0.3">
      <c r="A1069" t="e">
        <f>INDEX(resultados!$A$2:$ZZ$2290, 1063, MATCH($B$1, resultados!$A$1:$ZZ$1, 0))</f>
        <v>#N/A</v>
      </c>
      <c r="B1069" t="e">
        <f>INDEX(resultados!$A$2:$ZZ$2290, 1063, MATCH($B$2, resultados!$A$1:$ZZ$1, 0))</f>
        <v>#N/A</v>
      </c>
      <c r="C1069" t="e">
        <f>INDEX(resultados!$A$2:$ZZ$2290, 1063, MATCH($B$3, resultados!$A$1:$ZZ$1, 0))</f>
        <v>#N/A</v>
      </c>
    </row>
    <row r="1070" spans="1:3" x14ac:dyDescent="0.3">
      <c r="A1070" t="e">
        <f>INDEX(resultados!$A$2:$ZZ$2290, 1064, MATCH($B$1, resultados!$A$1:$ZZ$1, 0))</f>
        <v>#N/A</v>
      </c>
      <c r="B1070" t="e">
        <f>INDEX(resultados!$A$2:$ZZ$2290, 1064, MATCH($B$2, resultados!$A$1:$ZZ$1, 0))</f>
        <v>#N/A</v>
      </c>
      <c r="C1070" t="e">
        <f>INDEX(resultados!$A$2:$ZZ$2290, 1064, MATCH($B$3, resultados!$A$1:$ZZ$1, 0))</f>
        <v>#N/A</v>
      </c>
    </row>
    <row r="1071" spans="1:3" x14ac:dyDescent="0.3">
      <c r="A1071" t="e">
        <f>INDEX(resultados!$A$2:$ZZ$2290, 1065, MATCH($B$1, resultados!$A$1:$ZZ$1, 0))</f>
        <v>#N/A</v>
      </c>
      <c r="B1071" t="e">
        <f>INDEX(resultados!$A$2:$ZZ$2290, 1065, MATCH($B$2, resultados!$A$1:$ZZ$1, 0))</f>
        <v>#N/A</v>
      </c>
      <c r="C1071" t="e">
        <f>INDEX(resultados!$A$2:$ZZ$2290, 1065, MATCH($B$3, resultados!$A$1:$ZZ$1, 0))</f>
        <v>#N/A</v>
      </c>
    </row>
    <row r="1072" spans="1:3" x14ac:dyDescent="0.3">
      <c r="A1072" t="e">
        <f>INDEX(resultados!$A$2:$ZZ$2290, 1066, MATCH($B$1, resultados!$A$1:$ZZ$1, 0))</f>
        <v>#N/A</v>
      </c>
      <c r="B1072" t="e">
        <f>INDEX(resultados!$A$2:$ZZ$2290, 1066, MATCH($B$2, resultados!$A$1:$ZZ$1, 0))</f>
        <v>#N/A</v>
      </c>
      <c r="C1072" t="e">
        <f>INDEX(resultados!$A$2:$ZZ$2290, 1066, MATCH($B$3, resultados!$A$1:$ZZ$1, 0))</f>
        <v>#N/A</v>
      </c>
    </row>
    <row r="1073" spans="1:3" x14ac:dyDescent="0.3">
      <c r="A1073" t="e">
        <f>INDEX(resultados!$A$2:$ZZ$2290, 1067, MATCH($B$1, resultados!$A$1:$ZZ$1, 0))</f>
        <v>#N/A</v>
      </c>
      <c r="B1073" t="e">
        <f>INDEX(resultados!$A$2:$ZZ$2290, 1067, MATCH($B$2, resultados!$A$1:$ZZ$1, 0))</f>
        <v>#N/A</v>
      </c>
      <c r="C1073" t="e">
        <f>INDEX(resultados!$A$2:$ZZ$2290, 1067, MATCH($B$3, resultados!$A$1:$ZZ$1, 0))</f>
        <v>#N/A</v>
      </c>
    </row>
    <row r="1074" spans="1:3" x14ac:dyDescent="0.3">
      <c r="A1074" t="e">
        <f>INDEX(resultados!$A$2:$ZZ$2290, 1068, MATCH($B$1, resultados!$A$1:$ZZ$1, 0))</f>
        <v>#N/A</v>
      </c>
      <c r="B1074" t="e">
        <f>INDEX(resultados!$A$2:$ZZ$2290, 1068, MATCH($B$2, resultados!$A$1:$ZZ$1, 0))</f>
        <v>#N/A</v>
      </c>
      <c r="C1074" t="e">
        <f>INDEX(resultados!$A$2:$ZZ$2290, 1068, MATCH($B$3, resultados!$A$1:$ZZ$1, 0))</f>
        <v>#N/A</v>
      </c>
    </row>
    <row r="1075" spans="1:3" x14ac:dyDescent="0.3">
      <c r="A1075" t="e">
        <f>INDEX(resultados!$A$2:$ZZ$2290, 1069, MATCH($B$1, resultados!$A$1:$ZZ$1, 0))</f>
        <v>#N/A</v>
      </c>
      <c r="B1075" t="e">
        <f>INDEX(resultados!$A$2:$ZZ$2290, 1069, MATCH($B$2, resultados!$A$1:$ZZ$1, 0))</f>
        <v>#N/A</v>
      </c>
      <c r="C1075" t="e">
        <f>INDEX(resultados!$A$2:$ZZ$2290, 1069, MATCH($B$3, resultados!$A$1:$ZZ$1, 0))</f>
        <v>#N/A</v>
      </c>
    </row>
    <row r="1076" spans="1:3" x14ac:dyDescent="0.3">
      <c r="A1076" t="e">
        <f>INDEX(resultados!$A$2:$ZZ$2290, 1070, MATCH($B$1, resultados!$A$1:$ZZ$1, 0))</f>
        <v>#N/A</v>
      </c>
      <c r="B1076" t="e">
        <f>INDEX(resultados!$A$2:$ZZ$2290, 1070, MATCH($B$2, resultados!$A$1:$ZZ$1, 0))</f>
        <v>#N/A</v>
      </c>
      <c r="C1076" t="e">
        <f>INDEX(resultados!$A$2:$ZZ$2290, 1070, MATCH($B$3, resultados!$A$1:$ZZ$1, 0))</f>
        <v>#N/A</v>
      </c>
    </row>
    <row r="1077" spans="1:3" x14ac:dyDescent="0.3">
      <c r="A1077" t="e">
        <f>INDEX(resultados!$A$2:$ZZ$2290, 1071, MATCH($B$1, resultados!$A$1:$ZZ$1, 0))</f>
        <v>#N/A</v>
      </c>
      <c r="B1077" t="e">
        <f>INDEX(resultados!$A$2:$ZZ$2290, 1071, MATCH($B$2, resultados!$A$1:$ZZ$1, 0))</f>
        <v>#N/A</v>
      </c>
      <c r="C1077" t="e">
        <f>INDEX(resultados!$A$2:$ZZ$2290, 1071, MATCH($B$3, resultados!$A$1:$ZZ$1, 0))</f>
        <v>#N/A</v>
      </c>
    </row>
    <row r="1078" spans="1:3" x14ac:dyDescent="0.3">
      <c r="A1078" t="e">
        <f>INDEX(resultados!$A$2:$ZZ$2290, 1072, MATCH($B$1, resultados!$A$1:$ZZ$1, 0))</f>
        <v>#N/A</v>
      </c>
      <c r="B1078" t="e">
        <f>INDEX(resultados!$A$2:$ZZ$2290, 1072, MATCH($B$2, resultados!$A$1:$ZZ$1, 0))</f>
        <v>#N/A</v>
      </c>
      <c r="C1078" t="e">
        <f>INDEX(resultados!$A$2:$ZZ$2290, 1072, MATCH($B$3, resultados!$A$1:$ZZ$1, 0))</f>
        <v>#N/A</v>
      </c>
    </row>
    <row r="1079" spans="1:3" x14ac:dyDescent="0.3">
      <c r="A1079" t="e">
        <f>INDEX(resultados!$A$2:$ZZ$2290, 1073, MATCH($B$1, resultados!$A$1:$ZZ$1, 0))</f>
        <v>#N/A</v>
      </c>
      <c r="B1079" t="e">
        <f>INDEX(resultados!$A$2:$ZZ$2290, 1073, MATCH($B$2, resultados!$A$1:$ZZ$1, 0))</f>
        <v>#N/A</v>
      </c>
      <c r="C1079" t="e">
        <f>INDEX(resultados!$A$2:$ZZ$2290, 1073, MATCH($B$3, resultados!$A$1:$ZZ$1, 0))</f>
        <v>#N/A</v>
      </c>
    </row>
    <row r="1080" spans="1:3" x14ac:dyDescent="0.3">
      <c r="A1080" t="e">
        <f>INDEX(resultados!$A$2:$ZZ$2290, 1074, MATCH($B$1, resultados!$A$1:$ZZ$1, 0))</f>
        <v>#N/A</v>
      </c>
      <c r="B1080" t="e">
        <f>INDEX(resultados!$A$2:$ZZ$2290, 1074, MATCH($B$2, resultados!$A$1:$ZZ$1, 0))</f>
        <v>#N/A</v>
      </c>
      <c r="C1080" t="e">
        <f>INDEX(resultados!$A$2:$ZZ$2290, 1074, MATCH($B$3, resultados!$A$1:$ZZ$1, 0))</f>
        <v>#N/A</v>
      </c>
    </row>
    <row r="1081" spans="1:3" x14ac:dyDescent="0.3">
      <c r="A1081" t="e">
        <f>INDEX(resultados!$A$2:$ZZ$2290, 1075, MATCH($B$1, resultados!$A$1:$ZZ$1, 0))</f>
        <v>#N/A</v>
      </c>
      <c r="B1081" t="e">
        <f>INDEX(resultados!$A$2:$ZZ$2290, 1075, MATCH($B$2, resultados!$A$1:$ZZ$1, 0))</f>
        <v>#N/A</v>
      </c>
      <c r="C1081" t="e">
        <f>INDEX(resultados!$A$2:$ZZ$2290, 1075, MATCH($B$3, resultados!$A$1:$ZZ$1, 0))</f>
        <v>#N/A</v>
      </c>
    </row>
    <row r="1082" spans="1:3" x14ac:dyDescent="0.3">
      <c r="A1082" t="e">
        <f>INDEX(resultados!$A$2:$ZZ$2290, 1076, MATCH($B$1, resultados!$A$1:$ZZ$1, 0))</f>
        <v>#N/A</v>
      </c>
      <c r="B1082" t="e">
        <f>INDEX(resultados!$A$2:$ZZ$2290, 1076, MATCH($B$2, resultados!$A$1:$ZZ$1, 0))</f>
        <v>#N/A</v>
      </c>
      <c r="C1082" t="e">
        <f>INDEX(resultados!$A$2:$ZZ$2290, 1076, MATCH($B$3, resultados!$A$1:$ZZ$1, 0))</f>
        <v>#N/A</v>
      </c>
    </row>
    <row r="1083" spans="1:3" x14ac:dyDescent="0.3">
      <c r="A1083" t="e">
        <f>INDEX(resultados!$A$2:$ZZ$2290, 1077, MATCH($B$1, resultados!$A$1:$ZZ$1, 0))</f>
        <v>#N/A</v>
      </c>
      <c r="B1083" t="e">
        <f>INDEX(resultados!$A$2:$ZZ$2290, 1077, MATCH($B$2, resultados!$A$1:$ZZ$1, 0))</f>
        <v>#N/A</v>
      </c>
      <c r="C1083" t="e">
        <f>INDEX(resultados!$A$2:$ZZ$2290, 1077, MATCH($B$3, resultados!$A$1:$ZZ$1, 0))</f>
        <v>#N/A</v>
      </c>
    </row>
    <row r="1084" spans="1:3" x14ac:dyDescent="0.3">
      <c r="A1084" t="e">
        <f>INDEX(resultados!$A$2:$ZZ$2290, 1078, MATCH($B$1, resultados!$A$1:$ZZ$1, 0))</f>
        <v>#N/A</v>
      </c>
      <c r="B1084" t="e">
        <f>INDEX(resultados!$A$2:$ZZ$2290, 1078, MATCH($B$2, resultados!$A$1:$ZZ$1, 0))</f>
        <v>#N/A</v>
      </c>
      <c r="C1084" t="e">
        <f>INDEX(resultados!$A$2:$ZZ$2290, 1078, MATCH($B$3, resultados!$A$1:$ZZ$1, 0))</f>
        <v>#N/A</v>
      </c>
    </row>
    <row r="1085" spans="1:3" x14ac:dyDescent="0.3">
      <c r="A1085" t="e">
        <f>INDEX(resultados!$A$2:$ZZ$2290, 1079, MATCH($B$1, resultados!$A$1:$ZZ$1, 0))</f>
        <v>#N/A</v>
      </c>
      <c r="B1085" t="e">
        <f>INDEX(resultados!$A$2:$ZZ$2290, 1079, MATCH($B$2, resultados!$A$1:$ZZ$1, 0))</f>
        <v>#N/A</v>
      </c>
      <c r="C1085" t="e">
        <f>INDEX(resultados!$A$2:$ZZ$2290, 1079, MATCH($B$3, resultados!$A$1:$ZZ$1, 0))</f>
        <v>#N/A</v>
      </c>
    </row>
    <row r="1086" spans="1:3" x14ac:dyDescent="0.3">
      <c r="A1086" t="e">
        <f>INDEX(resultados!$A$2:$ZZ$2290, 1080, MATCH($B$1, resultados!$A$1:$ZZ$1, 0))</f>
        <v>#N/A</v>
      </c>
      <c r="B1086" t="e">
        <f>INDEX(resultados!$A$2:$ZZ$2290, 1080, MATCH($B$2, resultados!$A$1:$ZZ$1, 0))</f>
        <v>#N/A</v>
      </c>
      <c r="C1086" t="e">
        <f>INDEX(resultados!$A$2:$ZZ$2290, 1080, MATCH($B$3, resultados!$A$1:$ZZ$1, 0))</f>
        <v>#N/A</v>
      </c>
    </row>
    <row r="1087" spans="1:3" x14ac:dyDescent="0.3">
      <c r="A1087" t="e">
        <f>INDEX(resultados!$A$2:$ZZ$2290, 1081, MATCH($B$1, resultados!$A$1:$ZZ$1, 0))</f>
        <v>#N/A</v>
      </c>
      <c r="B1087" t="e">
        <f>INDEX(resultados!$A$2:$ZZ$2290, 1081, MATCH($B$2, resultados!$A$1:$ZZ$1, 0))</f>
        <v>#N/A</v>
      </c>
      <c r="C1087" t="e">
        <f>INDEX(resultados!$A$2:$ZZ$2290, 1081, MATCH($B$3, resultados!$A$1:$ZZ$1, 0))</f>
        <v>#N/A</v>
      </c>
    </row>
    <row r="1088" spans="1:3" x14ac:dyDescent="0.3">
      <c r="A1088" t="e">
        <f>INDEX(resultados!$A$2:$ZZ$2290, 1082, MATCH($B$1, resultados!$A$1:$ZZ$1, 0))</f>
        <v>#N/A</v>
      </c>
      <c r="B1088" t="e">
        <f>INDEX(resultados!$A$2:$ZZ$2290, 1082, MATCH($B$2, resultados!$A$1:$ZZ$1, 0))</f>
        <v>#N/A</v>
      </c>
      <c r="C1088" t="e">
        <f>INDEX(resultados!$A$2:$ZZ$2290, 1082, MATCH($B$3, resultados!$A$1:$ZZ$1, 0))</f>
        <v>#N/A</v>
      </c>
    </row>
    <row r="1089" spans="1:3" x14ac:dyDescent="0.3">
      <c r="A1089" t="e">
        <f>INDEX(resultados!$A$2:$ZZ$2290, 1083, MATCH($B$1, resultados!$A$1:$ZZ$1, 0))</f>
        <v>#N/A</v>
      </c>
      <c r="B1089" t="e">
        <f>INDEX(resultados!$A$2:$ZZ$2290, 1083, MATCH($B$2, resultados!$A$1:$ZZ$1, 0))</f>
        <v>#N/A</v>
      </c>
      <c r="C1089" t="e">
        <f>INDEX(resultados!$A$2:$ZZ$2290, 1083, MATCH($B$3, resultados!$A$1:$ZZ$1, 0))</f>
        <v>#N/A</v>
      </c>
    </row>
    <row r="1090" spans="1:3" x14ac:dyDescent="0.3">
      <c r="A1090" t="e">
        <f>INDEX(resultados!$A$2:$ZZ$2290, 1084, MATCH($B$1, resultados!$A$1:$ZZ$1, 0))</f>
        <v>#N/A</v>
      </c>
      <c r="B1090" t="e">
        <f>INDEX(resultados!$A$2:$ZZ$2290, 1084, MATCH($B$2, resultados!$A$1:$ZZ$1, 0))</f>
        <v>#N/A</v>
      </c>
      <c r="C1090" t="e">
        <f>INDEX(resultados!$A$2:$ZZ$2290, 1084, MATCH($B$3, resultados!$A$1:$ZZ$1, 0))</f>
        <v>#N/A</v>
      </c>
    </row>
    <row r="1091" spans="1:3" x14ac:dyDescent="0.3">
      <c r="A1091" t="e">
        <f>INDEX(resultados!$A$2:$ZZ$2290, 1085, MATCH($B$1, resultados!$A$1:$ZZ$1, 0))</f>
        <v>#N/A</v>
      </c>
      <c r="B1091" t="e">
        <f>INDEX(resultados!$A$2:$ZZ$2290, 1085, MATCH($B$2, resultados!$A$1:$ZZ$1, 0))</f>
        <v>#N/A</v>
      </c>
      <c r="C1091" t="e">
        <f>INDEX(resultados!$A$2:$ZZ$2290, 1085, MATCH($B$3, resultados!$A$1:$ZZ$1, 0))</f>
        <v>#N/A</v>
      </c>
    </row>
    <row r="1092" spans="1:3" x14ac:dyDescent="0.3">
      <c r="A1092" t="e">
        <f>INDEX(resultados!$A$2:$ZZ$2290, 1086, MATCH($B$1, resultados!$A$1:$ZZ$1, 0))</f>
        <v>#N/A</v>
      </c>
      <c r="B1092" t="e">
        <f>INDEX(resultados!$A$2:$ZZ$2290, 1086, MATCH($B$2, resultados!$A$1:$ZZ$1, 0))</f>
        <v>#N/A</v>
      </c>
      <c r="C1092" t="e">
        <f>INDEX(resultados!$A$2:$ZZ$2290, 1086, MATCH($B$3, resultados!$A$1:$ZZ$1, 0))</f>
        <v>#N/A</v>
      </c>
    </row>
    <row r="1093" spans="1:3" x14ac:dyDescent="0.3">
      <c r="A1093" t="e">
        <f>INDEX(resultados!$A$2:$ZZ$2290, 1087, MATCH($B$1, resultados!$A$1:$ZZ$1, 0))</f>
        <v>#N/A</v>
      </c>
      <c r="B1093" t="e">
        <f>INDEX(resultados!$A$2:$ZZ$2290, 1087, MATCH($B$2, resultados!$A$1:$ZZ$1, 0))</f>
        <v>#N/A</v>
      </c>
      <c r="C1093" t="e">
        <f>INDEX(resultados!$A$2:$ZZ$2290, 1087, MATCH($B$3, resultados!$A$1:$ZZ$1, 0))</f>
        <v>#N/A</v>
      </c>
    </row>
    <row r="1094" spans="1:3" x14ac:dyDescent="0.3">
      <c r="A1094" t="e">
        <f>INDEX(resultados!$A$2:$ZZ$2290, 1088, MATCH($B$1, resultados!$A$1:$ZZ$1, 0))</f>
        <v>#N/A</v>
      </c>
      <c r="B1094" t="e">
        <f>INDEX(resultados!$A$2:$ZZ$2290, 1088, MATCH($B$2, resultados!$A$1:$ZZ$1, 0))</f>
        <v>#N/A</v>
      </c>
      <c r="C1094" t="e">
        <f>INDEX(resultados!$A$2:$ZZ$2290, 1088, MATCH($B$3, resultados!$A$1:$ZZ$1, 0))</f>
        <v>#N/A</v>
      </c>
    </row>
    <row r="1095" spans="1:3" x14ac:dyDescent="0.3">
      <c r="A1095" t="e">
        <f>INDEX(resultados!$A$2:$ZZ$2290, 1089, MATCH($B$1, resultados!$A$1:$ZZ$1, 0))</f>
        <v>#N/A</v>
      </c>
      <c r="B1095" t="e">
        <f>INDEX(resultados!$A$2:$ZZ$2290, 1089, MATCH($B$2, resultados!$A$1:$ZZ$1, 0))</f>
        <v>#N/A</v>
      </c>
      <c r="C1095" t="e">
        <f>INDEX(resultados!$A$2:$ZZ$2290, 1089, MATCH($B$3, resultados!$A$1:$ZZ$1, 0))</f>
        <v>#N/A</v>
      </c>
    </row>
    <row r="1096" spans="1:3" x14ac:dyDescent="0.3">
      <c r="A1096" t="e">
        <f>INDEX(resultados!$A$2:$ZZ$2290, 1090, MATCH($B$1, resultados!$A$1:$ZZ$1, 0))</f>
        <v>#N/A</v>
      </c>
      <c r="B1096" t="e">
        <f>INDEX(resultados!$A$2:$ZZ$2290, 1090, MATCH($B$2, resultados!$A$1:$ZZ$1, 0))</f>
        <v>#N/A</v>
      </c>
      <c r="C1096" t="e">
        <f>INDEX(resultados!$A$2:$ZZ$2290, 1090, MATCH($B$3, resultados!$A$1:$ZZ$1, 0))</f>
        <v>#N/A</v>
      </c>
    </row>
    <row r="1097" spans="1:3" x14ac:dyDescent="0.3">
      <c r="A1097" t="e">
        <f>INDEX(resultados!$A$2:$ZZ$2290, 1091, MATCH($B$1, resultados!$A$1:$ZZ$1, 0))</f>
        <v>#N/A</v>
      </c>
      <c r="B1097" t="e">
        <f>INDEX(resultados!$A$2:$ZZ$2290, 1091, MATCH($B$2, resultados!$A$1:$ZZ$1, 0))</f>
        <v>#N/A</v>
      </c>
      <c r="C1097" t="e">
        <f>INDEX(resultados!$A$2:$ZZ$2290, 1091, MATCH($B$3, resultados!$A$1:$ZZ$1, 0))</f>
        <v>#N/A</v>
      </c>
    </row>
    <row r="1098" spans="1:3" x14ac:dyDescent="0.3">
      <c r="A1098" t="e">
        <f>INDEX(resultados!$A$2:$ZZ$2290, 1092, MATCH($B$1, resultados!$A$1:$ZZ$1, 0))</f>
        <v>#N/A</v>
      </c>
      <c r="B1098" t="e">
        <f>INDEX(resultados!$A$2:$ZZ$2290, 1092, MATCH($B$2, resultados!$A$1:$ZZ$1, 0))</f>
        <v>#N/A</v>
      </c>
      <c r="C1098" t="e">
        <f>INDEX(resultados!$A$2:$ZZ$2290, 1092, MATCH($B$3, resultados!$A$1:$ZZ$1, 0))</f>
        <v>#N/A</v>
      </c>
    </row>
    <row r="1099" spans="1:3" x14ac:dyDescent="0.3">
      <c r="A1099" t="e">
        <f>INDEX(resultados!$A$2:$ZZ$2290, 1093, MATCH($B$1, resultados!$A$1:$ZZ$1, 0))</f>
        <v>#N/A</v>
      </c>
      <c r="B1099" t="e">
        <f>INDEX(resultados!$A$2:$ZZ$2290, 1093, MATCH($B$2, resultados!$A$1:$ZZ$1, 0))</f>
        <v>#N/A</v>
      </c>
      <c r="C1099" t="e">
        <f>INDEX(resultados!$A$2:$ZZ$2290, 1093, MATCH($B$3, resultados!$A$1:$ZZ$1, 0))</f>
        <v>#N/A</v>
      </c>
    </row>
    <row r="1100" spans="1:3" x14ac:dyDescent="0.3">
      <c r="A1100" t="e">
        <f>INDEX(resultados!$A$2:$ZZ$2290, 1094, MATCH($B$1, resultados!$A$1:$ZZ$1, 0))</f>
        <v>#N/A</v>
      </c>
      <c r="B1100" t="e">
        <f>INDEX(resultados!$A$2:$ZZ$2290, 1094, MATCH($B$2, resultados!$A$1:$ZZ$1, 0))</f>
        <v>#N/A</v>
      </c>
      <c r="C1100" t="e">
        <f>INDEX(resultados!$A$2:$ZZ$2290, 1094, MATCH($B$3, resultados!$A$1:$ZZ$1, 0))</f>
        <v>#N/A</v>
      </c>
    </row>
    <row r="1101" spans="1:3" x14ac:dyDescent="0.3">
      <c r="A1101" t="e">
        <f>INDEX(resultados!$A$2:$ZZ$2290, 1095, MATCH($B$1, resultados!$A$1:$ZZ$1, 0))</f>
        <v>#N/A</v>
      </c>
      <c r="B1101" t="e">
        <f>INDEX(resultados!$A$2:$ZZ$2290, 1095, MATCH($B$2, resultados!$A$1:$ZZ$1, 0))</f>
        <v>#N/A</v>
      </c>
      <c r="C1101" t="e">
        <f>INDEX(resultados!$A$2:$ZZ$2290, 1095, MATCH($B$3, resultados!$A$1:$ZZ$1, 0))</f>
        <v>#N/A</v>
      </c>
    </row>
    <row r="1102" spans="1:3" x14ac:dyDescent="0.3">
      <c r="A1102" t="e">
        <f>INDEX(resultados!$A$2:$ZZ$2290, 1096, MATCH($B$1, resultados!$A$1:$ZZ$1, 0))</f>
        <v>#N/A</v>
      </c>
      <c r="B1102" t="e">
        <f>INDEX(resultados!$A$2:$ZZ$2290, 1096, MATCH($B$2, resultados!$A$1:$ZZ$1, 0))</f>
        <v>#N/A</v>
      </c>
      <c r="C1102" t="e">
        <f>INDEX(resultados!$A$2:$ZZ$2290, 1096, MATCH($B$3, resultados!$A$1:$ZZ$1, 0))</f>
        <v>#N/A</v>
      </c>
    </row>
    <row r="1103" spans="1:3" x14ac:dyDescent="0.3">
      <c r="A1103" t="e">
        <f>INDEX(resultados!$A$2:$ZZ$2290, 1097, MATCH($B$1, resultados!$A$1:$ZZ$1, 0))</f>
        <v>#N/A</v>
      </c>
      <c r="B1103" t="e">
        <f>INDEX(resultados!$A$2:$ZZ$2290, 1097, MATCH($B$2, resultados!$A$1:$ZZ$1, 0))</f>
        <v>#N/A</v>
      </c>
      <c r="C1103" t="e">
        <f>INDEX(resultados!$A$2:$ZZ$2290, 1097, MATCH($B$3, resultados!$A$1:$ZZ$1, 0))</f>
        <v>#N/A</v>
      </c>
    </row>
    <row r="1104" spans="1:3" x14ac:dyDescent="0.3">
      <c r="A1104" t="e">
        <f>INDEX(resultados!$A$2:$ZZ$2290, 1098, MATCH($B$1, resultados!$A$1:$ZZ$1, 0))</f>
        <v>#N/A</v>
      </c>
      <c r="B1104" t="e">
        <f>INDEX(resultados!$A$2:$ZZ$2290, 1098, MATCH($B$2, resultados!$A$1:$ZZ$1, 0))</f>
        <v>#N/A</v>
      </c>
      <c r="C1104" t="e">
        <f>INDEX(resultados!$A$2:$ZZ$2290, 1098, MATCH($B$3, resultados!$A$1:$ZZ$1, 0))</f>
        <v>#N/A</v>
      </c>
    </row>
    <row r="1105" spans="1:3" x14ac:dyDescent="0.3">
      <c r="A1105" t="e">
        <f>INDEX(resultados!$A$2:$ZZ$2290, 1099, MATCH($B$1, resultados!$A$1:$ZZ$1, 0))</f>
        <v>#N/A</v>
      </c>
      <c r="B1105" t="e">
        <f>INDEX(resultados!$A$2:$ZZ$2290, 1099, MATCH($B$2, resultados!$A$1:$ZZ$1, 0))</f>
        <v>#N/A</v>
      </c>
      <c r="C1105" t="e">
        <f>INDEX(resultados!$A$2:$ZZ$2290, 1099, MATCH($B$3, resultados!$A$1:$ZZ$1, 0))</f>
        <v>#N/A</v>
      </c>
    </row>
    <row r="1106" spans="1:3" x14ac:dyDescent="0.3">
      <c r="A1106" t="e">
        <f>INDEX(resultados!$A$2:$ZZ$2290, 1100, MATCH($B$1, resultados!$A$1:$ZZ$1, 0))</f>
        <v>#N/A</v>
      </c>
      <c r="B1106" t="e">
        <f>INDEX(resultados!$A$2:$ZZ$2290, 1100, MATCH($B$2, resultados!$A$1:$ZZ$1, 0))</f>
        <v>#N/A</v>
      </c>
      <c r="C1106" t="e">
        <f>INDEX(resultados!$A$2:$ZZ$2290, 1100, MATCH($B$3, resultados!$A$1:$ZZ$1, 0))</f>
        <v>#N/A</v>
      </c>
    </row>
    <row r="1107" spans="1:3" x14ac:dyDescent="0.3">
      <c r="A1107" t="e">
        <f>INDEX(resultados!$A$2:$ZZ$2290, 1101, MATCH($B$1, resultados!$A$1:$ZZ$1, 0))</f>
        <v>#N/A</v>
      </c>
      <c r="B1107" t="e">
        <f>INDEX(resultados!$A$2:$ZZ$2290, 1101, MATCH($B$2, resultados!$A$1:$ZZ$1, 0))</f>
        <v>#N/A</v>
      </c>
      <c r="C1107" t="e">
        <f>INDEX(resultados!$A$2:$ZZ$2290, 1101, MATCH($B$3, resultados!$A$1:$ZZ$1, 0))</f>
        <v>#N/A</v>
      </c>
    </row>
    <row r="1108" spans="1:3" x14ac:dyDescent="0.3">
      <c r="A1108" t="e">
        <f>INDEX(resultados!$A$2:$ZZ$2290, 1102, MATCH($B$1, resultados!$A$1:$ZZ$1, 0))</f>
        <v>#N/A</v>
      </c>
      <c r="B1108" t="e">
        <f>INDEX(resultados!$A$2:$ZZ$2290, 1102, MATCH($B$2, resultados!$A$1:$ZZ$1, 0))</f>
        <v>#N/A</v>
      </c>
      <c r="C1108" t="e">
        <f>INDEX(resultados!$A$2:$ZZ$2290, 1102, MATCH($B$3, resultados!$A$1:$ZZ$1, 0))</f>
        <v>#N/A</v>
      </c>
    </row>
    <row r="1109" spans="1:3" x14ac:dyDescent="0.3">
      <c r="A1109" t="e">
        <f>INDEX(resultados!$A$2:$ZZ$2290, 1103, MATCH($B$1, resultados!$A$1:$ZZ$1, 0))</f>
        <v>#N/A</v>
      </c>
      <c r="B1109" t="e">
        <f>INDEX(resultados!$A$2:$ZZ$2290, 1103, MATCH($B$2, resultados!$A$1:$ZZ$1, 0))</f>
        <v>#N/A</v>
      </c>
      <c r="C1109" t="e">
        <f>INDEX(resultados!$A$2:$ZZ$2290, 1103, MATCH($B$3, resultados!$A$1:$ZZ$1, 0))</f>
        <v>#N/A</v>
      </c>
    </row>
    <row r="1110" spans="1:3" x14ac:dyDescent="0.3">
      <c r="A1110" t="e">
        <f>INDEX(resultados!$A$2:$ZZ$2290, 1104, MATCH($B$1, resultados!$A$1:$ZZ$1, 0))</f>
        <v>#N/A</v>
      </c>
      <c r="B1110" t="e">
        <f>INDEX(resultados!$A$2:$ZZ$2290, 1104, MATCH($B$2, resultados!$A$1:$ZZ$1, 0))</f>
        <v>#N/A</v>
      </c>
      <c r="C1110" t="e">
        <f>INDEX(resultados!$A$2:$ZZ$2290, 1104, MATCH($B$3, resultados!$A$1:$ZZ$1, 0))</f>
        <v>#N/A</v>
      </c>
    </row>
    <row r="1111" spans="1:3" x14ac:dyDescent="0.3">
      <c r="A1111" t="e">
        <f>INDEX(resultados!$A$2:$ZZ$2290, 1105, MATCH($B$1, resultados!$A$1:$ZZ$1, 0))</f>
        <v>#N/A</v>
      </c>
      <c r="B1111" t="e">
        <f>INDEX(resultados!$A$2:$ZZ$2290, 1105, MATCH($B$2, resultados!$A$1:$ZZ$1, 0))</f>
        <v>#N/A</v>
      </c>
      <c r="C1111" t="e">
        <f>INDEX(resultados!$A$2:$ZZ$2290, 1105, MATCH($B$3, resultados!$A$1:$ZZ$1, 0))</f>
        <v>#N/A</v>
      </c>
    </row>
    <row r="1112" spans="1:3" x14ac:dyDescent="0.3">
      <c r="A1112" t="e">
        <f>INDEX(resultados!$A$2:$ZZ$2290, 1106, MATCH($B$1, resultados!$A$1:$ZZ$1, 0))</f>
        <v>#N/A</v>
      </c>
      <c r="B1112" t="e">
        <f>INDEX(resultados!$A$2:$ZZ$2290, 1106, MATCH($B$2, resultados!$A$1:$ZZ$1, 0))</f>
        <v>#N/A</v>
      </c>
      <c r="C1112" t="e">
        <f>INDEX(resultados!$A$2:$ZZ$2290, 1106, MATCH($B$3, resultados!$A$1:$ZZ$1, 0))</f>
        <v>#N/A</v>
      </c>
    </row>
    <row r="1113" spans="1:3" x14ac:dyDescent="0.3">
      <c r="A1113" t="e">
        <f>INDEX(resultados!$A$2:$ZZ$2290, 1107, MATCH($B$1, resultados!$A$1:$ZZ$1, 0))</f>
        <v>#N/A</v>
      </c>
      <c r="B1113" t="e">
        <f>INDEX(resultados!$A$2:$ZZ$2290, 1107, MATCH($B$2, resultados!$A$1:$ZZ$1, 0))</f>
        <v>#N/A</v>
      </c>
      <c r="C1113" t="e">
        <f>INDEX(resultados!$A$2:$ZZ$2290, 1107, MATCH($B$3, resultados!$A$1:$ZZ$1, 0))</f>
        <v>#N/A</v>
      </c>
    </row>
    <row r="1114" spans="1:3" x14ac:dyDescent="0.3">
      <c r="A1114" t="e">
        <f>INDEX(resultados!$A$2:$ZZ$2290, 1108, MATCH($B$1, resultados!$A$1:$ZZ$1, 0))</f>
        <v>#N/A</v>
      </c>
      <c r="B1114" t="e">
        <f>INDEX(resultados!$A$2:$ZZ$2290, 1108, MATCH($B$2, resultados!$A$1:$ZZ$1, 0))</f>
        <v>#N/A</v>
      </c>
      <c r="C1114" t="e">
        <f>INDEX(resultados!$A$2:$ZZ$2290, 1108, MATCH($B$3, resultados!$A$1:$ZZ$1, 0))</f>
        <v>#N/A</v>
      </c>
    </row>
    <row r="1115" spans="1:3" x14ac:dyDescent="0.3">
      <c r="A1115" t="e">
        <f>INDEX(resultados!$A$2:$ZZ$2290, 1109, MATCH($B$1, resultados!$A$1:$ZZ$1, 0))</f>
        <v>#N/A</v>
      </c>
      <c r="B1115" t="e">
        <f>INDEX(resultados!$A$2:$ZZ$2290, 1109, MATCH($B$2, resultados!$A$1:$ZZ$1, 0))</f>
        <v>#N/A</v>
      </c>
      <c r="C1115" t="e">
        <f>INDEX(resultados!$A$2:$ZZ$2290, 1109, MATCH($B$3, resultados!$A$1:$ZZ$1, 0))</f>
        <v>#N/A</v>
      </c>
    </row>
    <row r="1116" spans="1:3" x14ac:dyDescent="0.3">
      <c r="A1116" t="e">
        <f>INDEX(resultados!$A$2:$ZZ$2290, 1110, MATCH($B$1, resultados!$A$1:$ZZ$1, 0))</f>
        <v>#N/A</v>
      </c>
      <c r="B1116" t="e">
        <f>INDEX(resultados!$A$2:$ZZ$2290, 1110, MATCH($B$2, resultados!$A$1:$ZZ$1, 0))</f>
        <v>#N/A</v>
      </c>
      <c r="C1116" t="e">
        <f>INDEX(resultados!$A$2:$ZZ$2290, 1110, MATCH($B$3, resultados!$A$1:$ZZ$1, 0))</f>
        <v>#N/A</v>
      </c>
    </row>
    <row r="1117" spans="1:3" x14ac:dyDescent="0.3">
      <c r="A1117" t="e">
        <f>INDEX(resultados!$A$2:$ZZ$2290, 1111, MATCH($B$1, resultados!$A$1:$ZZ$1, 0))</f>
        <v>#N/A</v>
      </c>
      <c r="B1117" t="e">
        <f>INDEX(resultados!$A$2:$ZZ$2290, 1111, MATCH($B$2, resultados!$A$1:$ZZ$1, 0))</f>
        <v>#N/A</v>
      </c>
      <c r="C1117" t="e">
        <f>INDEX(resultados!$A$2:$ZZ$2290, 1111, MATCH($B$3, resultados!$A$1:$ZZ$1, 0))</f>
        <v>#N/A</v>
      </c>
    </row>
    <row r="1118" spans="1:3" x14ac:dyDescent="0.3">
      <c r="A1118" t="e">
        <f>INDEX(resultados!$A$2:$ZZ$2290, 1112, MATCH($B$1, resultados!$A$1:$ZZ$1, 0))</f>
        <v>#N/A</v>
      </c>
      <c r="B1118" t="e">
        <f>INDEX(resultados!$A$2:$ZZ$2290, 1112, MATCH($B$2, resultados!$A$1:$ZZ$1, 0))</f>
        <v>#N/A</v>
      </c>
      <c r="C1118" t="e">
        <f>INDEX(resultados!$A$2:$ZZ$2290, 1112, MATCH($B$3, resultados!$A$1:$ZZ$1, 0))</f>
        <v>#N/A</v>
      </c>
    </row>
    <row r="1119" spans="1:3" x14ac:dyDescent="0.3">
      <c r="A1119" t="e">
        <f>INDEX(resultados!$A$2:$ZZ$2290, 1113, MATCH($B$1, resultados!$A$1:$ZZ$1, 0))</f>
        <v>#N/A</v>
      </c>
      <c r="B1119" t="e">
        <f>INDEX(resultados!$A$2:$ZZ$2290, 1113, MATCH($B$2, resultados!$A$1:$ZZ$1, 0))</f>
        <v>#N/A</v>
      </c>
      <c r="C1119" t="e">
        <f>INDEX(resultados!$A$2:$ZZ$2290, 1113, MATCH($B$3, resultados!$A$1:$ZZ$1, 0))</f>
        <v>#N/A</v>
      </c>
    </row>
    <row r="1120" spans="1:3" x14ac:dyDescent="0.3">
      <c r="A1120" t="e">
        <f>INDEX(resultados!$A$2:$ZZ$2290, 1114, MATCH($B$1, resultados!$A$1:$ZZ$1, 0))</f>
        <v>#N/A</v>
      </c>
      <c r="B1120" t="e">
        <f>INDEX(resultados!$A$2:$ZZ$2290, 1114, MATCH($B$2, resultados!$A$1:$ZZ$1, 0))</f>
        <v>#N/A</v>
      </c>
      <c r="C1120" t="e">
        <f>INDEX(resultados!$A$2:$ZZ$2290, 1114, MATCH($B$3, resultados!$A$1:$ZZ$1, 0))</f>
        <v>#N/A</v>
      </c>
    </row>
    <row r="1121" spans="1:3" x14ac:dyDescent="0.3">
      <c r="A1121" t="e">
        <f>INDEX(resultados!$A$2:$ZZ$2290, 1115, MATCH($B$1, resultados!$A$1:$ZZ$1, 0))</f>
        <v>#N/A</v>
      </c>
      <c r="B1121" t="e">
        <f>INDEX(resultados!$A$2:$ZZ$2290, 1115, MATCH($B$2, resultados!$A$1:$ZZ$1, 0))</f>
        <v>#N/A</v>
      </c>
      <c r="C1121" t="e">
        <f>INDEX(resultados!$A$2:$ZZ$2290, 1115, MATCH($B$3, resultados!$A$1:$ZZ$1, 0))</f>
        <v>#N/A</v>
      </c>
    </row>
    <row r="1122" spans="1:3" x14ac:dyDescent="0.3">
      <c r="A1122" t="e">
        <f>INDEX(resultados!$A$2:$ZZ$2290, 1116, MATCH($B$1, resultados!$A$1:$ZZ$1, 0))</f>
        <v>#N/A</v>
      </c>
      <c r="B1122" t="e">
        <f>INDEX(resultados!$A$2:$ZZ$2290, 1116, MATCH($B$2, resultados!$A$1:$ZZ$1, 0))</f>
        <v>#N/A</v>
      </c>
      <c r="C1122" t="e">
        <f>INDEX(resultados!$A$2:$ZZ$2290, 1116, MATCH($B$3, resultados!$A$1:$ZZ$1, 0))</f>
        <v>#N/A</v>
      </c>
    </row>
    <row r="1123" spans="1:3" x14ac:dyDescent="0.3">
      <c r="A1123" t="e">
        <f>INDEX(resultados!$A$2:$ZZ$2290, 1117, MATCH($B$1, resultados!$A$1:$ZZ$1, 0))</f>
        <v>#N/A</v>
      </c>
      <c r="B1123" t="e">
        <f>INDEX(resultados!$A$2:$ZZ$2290, 1117, MATCH($B$2, resultados!$A$1:$ZZ$1, 0))</f>
        <v>#N/A</v>
      </c>
      <c r="C1123" t="e">
        <f>INDEX(resultados!$A$2:$ZZ$2290, 1117, MATCH($B$3, resultados!$A$1:$ZZ$1, 0))</f>
        <v>#N/A</v>
      </c>
    </row>
    <row r="1124" spans="1:3" x14ac:dyDescent="0.3">
      <c r="A1124" t="e">
        <f>INDEX(resultados!$A$2:$ZZ$2290, 1118, MATCH($B$1, resultados!$A$1:$ZZ$1, 0))</f>
        <v>#N/A</v>
      </c>
      <c r="B1124" t="e">
        <f>INDEX(resultados!$A$2:$ZZ$2290, 1118, MATCH($B$2, resultados!$A$1:$ZZ$1, 0))</f>
        <v>#N/A</v>
      </c>
      <c r="C1124" t="e">
        <f>INDEX(resultados!$A$2:$ZZ$2290, 1118, MATCH($B$3, resultados!$A$1:$ZZ$1, 0))</f>
        <v>#N/A</v>
      </c>
    </row>
    <row r="1125" spans="1:3" x14ac:dyDescent="0.3">
      <c r="A1125" t="e">
        <f>INDEX(resultados!$A$2:$ZZ$2290, 1119, MATCH($B$1, resultados!$A$1:$ZZ$1, 0))</f>
        <v>#N/A</v>
      </c>
      <c r="B1125" t="e">
        <f>INDEX(resultados!$A$2:$ZZ$2290, 1119, MATCH($B$2, resultados!$A$1:$ZZ$1, 0))</f>
        <v>#N/A</v>
      </c>
      <c r="C1125" t="e">
        <f>INDEX(resultados!$A$2:$ZZ$2290, 1119, MATCH($B$3, resultados!$A$1:$ZZ$1, 0))</f>
        <v>#N/A</v>
      </c>
    </row>
    <row r="1126" spans="1:3" x14ac:dyDescent="0.3">
      <c r="A1126" t="e">
        <f>INDEX(resultados!$A$2:$ZZ$2290, 1120, MATCH($B$1, resultados!$A$1:$ZZ$1, 0))</f>
        <v>#N/A</v>
      </c>
      <c r="B1126" t="e">
        <f>INDEX(resultados!$A$2:$ZZ$2290, 1120, MATCH($B$2, resultados!$A$1:$ZZ$1, 0))</f>
        <v>#N/A</v>
      </c>
      <c r="C1126" t="e">
        <f>INDEX(resultados!$A$2:$ZZ$2290, 1120, MATCH($B$3, resultados!$A$1:$ZZ$1, 0))</f>
        <v>#N/A</v>
      </c>
    </row>
    <row r="1127" spans="1:3" x14ac:dyDescent="0.3">
      <c r="A1127" t="e">
        <f>INDEX(resultados!$A$2:$ZZ$2290, 1121, MATCH($B$1, resultados!$A$1:$ZZ$1, 0))</f>
        <v>#N/A</v>
      </c>
      <c r="B1127" t="e">
        <f>INDEX(resultados!$A$2:$ZZ$2290, 1121, MATCH($B$2, resultados!$A$1:$ZZ$1, 0))</f>
        <v>#N/A</v>
      </c>
      <c r="C1127" t="e">
        <f>INDEX(resultados!$A$2:$ZZ$2290, 1121, MATCH($B$3, resultados!$A$1:$ZZ$1, 0))</f>
        <v>#N/A</v>
      </c>
    </row>
    <row r="1128" spans="1:3" x14ac:dyDescent="0.3">
      <c r="A1128" t="e">
        <f>INDEX(resultados!$A$2:$ZZ$2290, 1122, MATCH($B$1, resultados!$A$1:$ZZ$1, 0))</f>
        <v>#N/A</v>
      </c>
      <c r="B1128" t="e">
        <f>INDEX(resultados!$A$2:$ZZ$2290, 1122, MATCH($B$2, resultados!$A$1:$ZZ$1, 0))</f>
        <v>#N/A</v>
      </c>
      <c r="C1128" t="e">
        <f>INDEX(resultados!$A$2:$ZZ$2290, 1122, MATCH($B$3, resultados!$A$1:$ZZ$1, 0))</f>
        <v>#N/A</v>
      </c>
    </row>
    <row r="1129" spans="1:3" x14ac:dyDescent="0.3">
      <c r="A1129" t="e">
        <f>INDEX(resultados!$A$2:$ZZ$2290, 1123, MATCH($B$1, resultados!$A$1:$ZZ$1, 0))</f>
        <v>#N/A</v>
      </c>
      <c r="B1129" t="e">
        <f>INDEX(resultados!$A$2:$ZZ$2290, 1123, MATCH($B$2, resultados!$A$1:$ZZ$1, 0))</f>
        <v>#N/A</v>
      </c>
      <c r="C1129" t="e">
        <f>INDEX(resultados!$A$2:$ZZ$2290, 1123, MATCH($B$3, resultados!$A$1:$ZZ$1, 0))</f>
        <v>#N/A</v>
      </c>
    </row>
    <row r="1130" spans="1:3" x14ac:dyDescent="0.3">
      <c r="A1130" t="e">
        <f>INDEX(resultados!$A$2:$ZZ$2290, 1124, MATCH($B$1, resultados!$A$1:$ZZ$1, 0))</f>
        <v>#N/A</v>
      </c>
      <c r="B1130" t="e">
        <f>INDEX(resultados!$A$2:$ZZ$2290, 1124, MATCH($B$2, resultados!$A$1:$ZZ$1, 0))</f>
        <v>#N/A</v>
      </c>
      <c r="C1130" t="e">
        <f>INDEX(resultados!$A$2:$ZZ$2290, 1124, MATCH($B$3, resultados!$A$1:$ZZ$1, 0))</f>
        <v>#N/A</v>
      </c>
    </row>
    <row r="1131" spans="1:3" x14ac:dyDescent="0.3">
      <c r="A1131" t="e">
        <f>INDEX(resultados!$A$2:$ZZ$2290, 1125, MATCH($B$1, resultados!$A$1:$ZZ$1, 0))</f>
        <v>#N/A</v>
      </c>
      <c r="B1131" t="e">
        <f>INDEX(resultados!$A$2:$ZZ$2290, 1125, MATCH($B$2, resultados!$A$1:$ZZ$1, 0))</f>
        <v>#N/A</v>
      </c>
      <c r="C1131" t="e">
        <f>INDEX(resultados!$A$2:$ZZ$2290, 1125, MATCH($B$3, resultados!$A$1:$ZZ$1, 0))</f>
        <v>#N/A</v>
      </c>
    </row>
    <row r="1132" spans="1:3" x14ac:dyDescent="0.3">
      <c r="A1132" t="e">
        <f>INDEX(resultados!$A$2:$ZZ$2290, 1126, MATCH($B$1, resultados!$A$1:$ZZ$1, 0))</f>
        <v>#N/A</v>
      </c>
      <c r="B1132" t="e">
        <f>INDEX(resultados!$A$2:$ZZ$2290, 1126, MATCH($B$2, resultados!$A$1:$ZZ$1, 0))</f>
        <v>#N/A</v>
      </c>
      <c r="C1132" t="e">
        <f>INDEX(resultados!$A$2:$ZZ$2290, 1126, MATCH($B$3, resultados!$A$1:$ZZ$1, 0))</f>
        <v>#N/A</v>
      </c>
    </row>
    <row r="1133" spans="1:3" x14ac:dyDescent="0.3">
      <c r="A1133" t="e">
        <f>INDEX(resultados!$A$2:$ZZ$2290, 1127, MATCH($B$1, resultados!$A$1:$ZZ$1, 0))</f>
        <v>#N/A</v>
      </c>
      <c r="B1133" t="e">
        <f>INDEX(resultados!$A$2:$ZZ$2290, 1127, MATCH($B$2, resultados!$A$1:$ZZ$1, 0))</f>
        <v>#N/A</v>
      </c>
      <c r="C1133" t="e">
        <f>INDEX(resultados!$A$2:$ZZ$2290, 1127, MATCH($B$3, resultados!$A$1:$ZZ$1, 0))</f>
        <v>#N/A</v>
      </c>
    </row>
    <row r="1134" spans="1:3" x14ac:dyDescent="0.3">
      <c r="A1134" t="e">
        <f>INDEX(resultados!$A$2:$ZZ$2290, 1128, MATCH($B$1, resultados!$A$1:$ZZ$1, 0))</f>
        <v>#N/A</v>
      </c>
      <c r="B1134" t="e">
        <f>INDEX(resultados!$A$2:$ZZ$2290, 1128, MATCH($B$2, resultados!$A$1:$ZZ$1, 0))</f>
        <v>#N/A</v>
      </c>
      <c r="C1134" t="e">
        <f>INDEX(resultados!$A$2:$ZZ$2290, 1128, MATCH($B$3, resultados!$A$1:$ZZ$1, 0))</f>
        <v>#N/A</v>
      </c>
    </row>
    <row r="1135" spans="1:3" x14ac:dyDescent="0.3">
      <c r="A1135" t="e">
        <f>INDEX(resultados!$A$2:$ZZ$2290, 1129, MATCH($B$1, resultados!$A$1:$ZZ$1, 0))</f>
        <v>#N/A</v>
      </c>
      <c r="B1135" t="e">
        <f>INDEX(resultados!$A$2:$ZZ$2290, 1129, MATCH($B$2, resultados!$A$1:$ZZ$1, 0))</f>
        <v>#N/A</v>
      </c>
      <c r="C1135" t="e">
        <f>INDEX(resultados!$A$2:$ZZ$2290, 1129, MATCH($B$3, resultados!$A$1:$ZZ$1, 0))</f>
        <v>#N/A</v>
      </c>
    </row>
    <row r="1136" spans="1:3" x14ac:dyDescent="0.3">
      <c r="A1136" t="e">
        <f>INDEX(resultados!$A$2:$ZZ$2290, 1130, MATCH($B$1, resultados!$A$1:$ZZ$1, 0))</f>
        <v>#N/A</v>
      </c>
      <c r="B1136" t="e">
        <f>INDEX(resultados!$A$2:$ZZ$2290, 1130, MATCH($B$2, resultados!$A$1:$ZZ$1, 0))</f>
        <v>#N/A</v>
      </c>
      <c r="C1136" t="e">
        <f>INDEX(resultados!$A$2:$ZZ$2290, 1130, MATCH($B$3, resultados!$A$1:$ZZ$1, 0))</f>
        <v>#N/A</v>
      </c>
    </row>
    <row r="1137" spans="1:3" x14ac:dyDescent="0.3">
      <c r="A1137" t="e">
        <f>INDEX(resultados!$A$2:$ZZ$2290, 1131, MATCH($B$1, resultados!$A$1:$ZZ$1, 0))</f>
        <v>#N/A</v>
      </c>
      <c r="B1137" t="e">
        <f>INDEX(resultados!$A$2:$ZZ$2290, 1131, MATCH($B$2, resultados!$A$1:$ZZ$1, 0))</f>
        <v>#N/A</v>
      </c>
      <c r="C1137" t="e">
        <f>INDEX(resultados!$A$2:$ZZ$2290, 1131, MATCH($B$3, resultados!$A$1:$ZZ$1, 0))</f>
        <v>#N/A</v>
      </c>
    </row>
    <row r="1138" spans="1:3" x14ac:dyDescent="0.3">
      <c r="A1138" t="e">
        <f>INDEX(resultados!$A$2:$ZZ$2290, 1132, MATCH($B$1, resultados!$A$1:$ZZ$1, 0))</f>
        <v>#N/A</v>
      </c>
      <c r="B1138" t="e">
        <f>INDEX(resultados!$A$2:$ZZ$2290, 1132, MATCH($B$2, resultados!$A$1:$ZZ$1, 0))</f>
        <v>#N/A</v>
      </c>
      <c r="C1138" t="e">
        <f>INDEX(resultados!$A$2:$ZZ$2290, 1132, MATCH($B$3, resultados!$A$1:$ZZ$1, 0))</f>
        <v>#N/A</v>
      </c>
    </row>
    <row r="1139" spans="1:3" x14ac:dyDescent="0.3">
      <c r="A1139" t="e">
        <f>INDEX(resultados!$A$2:$ZZ$2290, 1133, MATCH($B$1, resultados!$A$1:$ZZ$1, 0))</f>
        <v>#N/A</v>
      </c>
      <c r="B1139" t="e">
        <f>INDEX(resultados!$A$2:$ZZ$2290, 1133, MATCH($B$2, resultados!$A$1:$ZZ$1, 0))</f>
        <v>#N/A</v>
      </c>
      <c r="C1139" t="e">
        <f>INDEX(resultados!$A$2:$ZZ$2290, 1133, MATCH($B$3, resultados!$A$1:$ZZ$1, 0))</f>
        <v>#N/A</v>
      </c>
    </row>
    <row r="1140" spans="1:3" x14ac:dyDescent="0.3">
      <c r="A1140" t="e">
        <f>INDEX(resultados!$A$2:$ZZ$2290, 1134, MATCH($B$1, resultados!$A$1:$ZZ$1, 0))</f>
        <v>#N/A</v>
      </c>
      <c r="B1140" t="e">
        <f>INDEX(resultados!$A$2:$ZZ$2290, 1134, MATCH($B$2, resultados!$A$1:$ZZ$1, 0))</f>
        <v>#N/A</v>
      </c>
      <c r="C1140" t="e">
        <f>INDEX(resultados!$A$2:$ZZ$2290, 1134, MATCH($B$3, resultados!$A$1:$ZZ$1, 0))</f>
        <v>#N/A</v>
      </c>
    </row>
    <row r="1141" spans="1:3" x14ac:dyDescent="0.3">
      <c r="A1141" t="e">
        <f>INDEX(resultados!$A$2:$ZZ$2290, 1135, MATCH($B$1, resultados!$A$1:$ZZ$1, 0))</f>
        <v>#N/A</v>
      </c>
      <c r="B1141" t="e">
        <f>INDEX(resultados!$A$2:$ZZ$2290, 1135, MATCH($B$2, resultados!$A$1:$ZZ$1, 0))</f>
        <v>#N/A</v>
      </c>
      <c r="C1141" t="e">
        <f>INDEX(resultados!$A$2:$ZZ$2290, 1135, MATCH($B$3, resultados!$A$1:$ZZ$1, 0))</f>
        <v>#N/A</v>
      </c>
    </row>
    <row r="1142" spans="1:3" x14ac:dyDescent="0.3">
      <c r="A1142" t="e">
        <f>INDEX(resultados!$A$2:$ZZ$2290, 1136, MATCH($B$1, resultados!$A$1:$ZZ$1, 0))</f>
        <v>#N/A</v>
      </c>
      <c r="B1142" t="e">
        <f>INDEX(resultados!$A$2:$ZZ$2290, 1136, MATCH($B$2, resultados!$A$1:$ZZ$1, 0))</f>
        <v>#N/A</v>
      </c>
      <c r="C1142" t="e">
        <f>INDEX(resultados!$A$2:$ZZ$2290, 1136, MATCH($B$3, resultados!$A$1:$ZZ$1, 0))</f>
        <v>#N/A</v>
      </c>
    </row>
    <row r="1143" spans="1:3" x14ac:dyDescent="0.3">
      <c r="A1143" t="e">
        <f>INDEX(resultados!$A$2:$ZZ$2290, 1137, MATCH($B$1, resultados!$A$1:$ZZ$1, 0))</f>
        <v>#N/A</v>
      </c>
      <c r="B1143" t="e">
        <f>INDEX(resultados!$A$2:$ZZ$2290, 1137, MATCH($B$2, resultados!$A$1:$ZZ$1, 0))</f>
        <v>#N/A</v>
      </c>
      <c r="C1143" t="e">
        <f>INDEX(resultados!$A$2:$ZZ$2290, 1137, MATCH($B$3, resultados!$A$1:$ZZ$1, 0))</f>
        <v>#N/A</v>
      </c>
    </row>
    <row r="1144" spans="1:3" x14ac:dyDescent="0.3">
      <c r="A1144" t="e">
        <f>INDEX(resultados!$A$2:$ZZ$2290, 1138, MATCH($B$1, resultados!$A$1:$ZZ$1, 0))</f>
        <v>#N/A</v>
      </c>
      <c r="B1144" t="e">
        <f>INDEX(resultados!$A$2:$ZZ$2290, 1138, MATCH($B$2, resultados!$A$1:$ZZ$1, 0))</f>
        <v>#N/A</v>
      </c>
      <c r="C1144" t="e">
        <f>INDEX(resultados!$A$2:$ZZ$2290, 1138, MATCH($B$3, resultados!$A$1:$ZZ$1, 0))</f>
        <v>#N/A</v>
      </c>
    </row>
    <row r="1145" spans="1:3" x14ac:dyDescent="0.3">
      <c r="A1145" t="e">
        <f>INDEX(resultados!$A$2:$ZZ$2290, 1139, MATCH($B$1, resultados!$A$1:$ZZ$1, 0))</f>
        <v>#N/A</v>
      </c>
      <c r="B1145" t="e">
        <f>INDEX(resultados!$A$2:$ZZ$2290, 1139, MATCH($B$2, resultados!$A$1:$ZZ$1, 0))</f>
        <v>#N/A</v>
      </c>
      <c r="C1145" t="e">
        <f>INDEX(resultados!$A$2:$ZZ$2290, 1139, MATCH($B$3, resultados!$A$1:$ZZ$1, 0))</f>
        <v>#N/A</v>
      </c>
    </row>
    <row r="1146" spans="1:3" x14ac:dyDescent="0.3">
      <c r="A1146" t="e">
        <f>INDEX(resultados!$A$2:$ZZ$2290, 1140, MATCH($B$1, resultados!$A$1:$ZZ$1, 0))</f>
        <v>#N/A</v>
      </c>
      <c r="B1146" t="e">
        <f>INDEX(resultados!$A$2:$ZZ$2290, 1140, MATCH($B$2, resultados!$A$1:$ZZ$1, 0))</f>
        <v>#N/A</v>
      </c>
      <c r="C1146" t="e">
        <f>INDEX(resultados!$A$2:$ZZ$2290, 1140, MATCH($B$3, resultados!$A$1:$ZZ$1, 0))</f>
        <v>#N/A</v>
      </c>
    </row>
    <row r="1147" spans="1:3" x14ac:dyDescent="0.3">
      <c r="A1147" t="e">
        <f>INDEX(resultados!$A$2:$ZZ$2290, 1141, MATCH($B$1, resultados!$A$1:$ZZ$1, 0))</f>
        <v>#N/A</v>
      </c>
      <c r="B1147" t="e">
        <f>INDEX(resultados!$A$2:$ZZ$2290, 1141, MATCH($B$2, resultados!$A$1:$ZZ$1, 0))</f>
        <v>#N/A</v>
      </c>
      <c r="C1147" t="e">
        <f>INDEX(resultados!$A$2:$ZZ$2290, 1141, MATCH($B$3, resultados!$A$1:$ZZ$1, 0))</f>
        <v>#N/A</v>
      </c>
    </row>
    <row r="1148" spans="1:3" x14ac:dyDescent="0.3">
      <c r="A1148" t="e">
        <f>INDEX(resultados!$A$2:$ZZ$2290, 1142, MATCH($B$1, resultados!$A$1:$ZZ$1, 0))</f>
        <v>#N/A</v>
      </c>
      <c r="B1148" t="e">
        <f>INDEX(resultados!$A$2:$ZZ$2290, 1142, MATCH($B$2, resultados!$A$1:$ZZ$1, 0))</f>
        <v>#N/A</v>
      </c>
      <c r="C1148" t="e">
        <f>INDEX(resultados!$A$2:$ZZ$2290, 1142, MATCH($B$3, resultados!$A$1:$ZZ$1, 0))</f>
        <v>#N/A</v>
      </c>
    </row>
    <row r="1149" spans="1:3" x14ac:dyDescent="0.3">
      <c r="A1149" t="e">
        <f>INDEX(resultados!$A$2:$ZZ$2290, 1143, MATCH($B$1, resultados!$A$1:$ZZ$1, 0))</f>
        <v>#N/A</v>
      </c>
      <c r="B1149" t="e">
        <f>INDEX(resultados!$A$2:$ZZ$2290, 1143, MATCH($B$2, resultados!$A$1:$ZZ$1, 0))</f>
        <v>#N/A</v>
      </c>
      <c r="C1149" t="e">
        <f>INDEX(resultados!$A$2:$ZZ$2290, 1143, MATCH($B$3, resultados!$A$1:$ZZ$1, 0))</f>
        <v>#N/A</v>
      </c>
    </row>
    <row r="1150" spans="1:3" x14ac:dyDescent="0.3">
      <c r="A1150" t="e">
        <f>INDEX(resultados!$A$2:$ZZ$2290, 1144, MATCH($B$1, resultados!$A$1:$ZZ$1, 0))</f>
        <v>#N/A</v>
      </c>
      <c r="B1150" t="e">
        <f>INDEX(resultados!$A$2:$ZZ$2290, 1144, MATCH($B$2, resultados!$A$1:$ZZ$1, 0))</f>
        <v>#N/A</v>
      </c>
      <c r="C1150" t="e">
        <f>INDEX(resultados!$A$2:$ZZ$2290, 1144, MATCH($B$3, resultados!$A$1:$ZZ$1, 0))</f>
        <v>#N/A</v>
      </c>
    </row>
    <row r="1151" spans="1:3" x14ac:dyDescent="0.3">
      <c r="A1151" t="e">
        <f>INDEX(resultados!$A$2:$ZZ$2290, 1145, MATCH($B$1, resultados!$A$1:$ZZ$1, 0))</f>
        <v>#N/A</v>
      </c>
      <c r="B1151" t="e">
        <f>INDEX(resultados!$A$2:$ZZ$2290, 1145, MATCH($B$2, resultados!$A$1:$ZZ$1, 0))</f>
        <v>#N/A</v>
      </c>
      <c r="C1151" t="e">
        <f>INDEX(resultados!$A$2:$ZZ$2290, 1145, MATCH($B$3, resultados!$A$1:$ZZ$1, 0))</f>
        <v>#N/A</v>
      </c>
    </row>
    <row r="1152" spans="1:3" x14ac:dyDescent="0.3">
      <c r="A1152" t="e">
        <f>INDEX(resultados!$A$2:$ZZ$2290, 1146, MATCH($B$1, resultados!$A$1:$ZZ$1, 0))</f>
        <v>#N/A</v>
      </c>
      <c r="B1152" t="e">
        <f>INDEX(resultados!$A$2:$ZZ$2290, 1146, MATCH($B$2, resultados!$A$1:$ZZ$1, 0))</f>
        <v>#N/A</v>
      </c>
      <c r="C1152" t="e">
        <f>INDEX(resultados!$A$2:$ZZ$2290, 1146, MATCH($B$3, resultados!$A$1:$ZZ$1, 0))</f>
        <v>#N/A</v>
      </c>
    </row>
    <row r="1153" spans="1:3" x14ac:dyDescent="0.3">
      <c r="A1153" t="e">
        <f>INDEX(resultados!$A$2:$ZZ$2290, 1147, MATCH($B$1, resultados!$A$1:$ZZ$1, 0))</f>
        <v>#N/A</v>
      </c>
      <c r="B1153" t="e">
        <f>INDEX(resultados!$A$2:$ZZ$2290, 1147, MATCH($B$2, resultados!$A$1:$ZZ$1, 0))</f>
        <v>#N/A</v>
      </c>
      <c r="C1153" t="e">
        <f>INDEX(resultados!$A$2:$ZZ$2290, 1147, MATCH($B$3, resultados!$A$1:$ZZ$1, 0))</f>
        <v>#N/A</v>
      </c>
    </row>
    <row r="1154" spans="1:3" x14ac:dyDescent="0.3">
      <c r="A1154" t="e">
        <f>INDEX(resultados!$A$2:$ZZ$2290, 1148, MATCH($B$1, resultados!$A$1:$ZZ$1, 0))</f>
        <v>#N/A</v>
      </c>
      <c r="B1154" t="e">
        <f>INDEX(resultados!$A$2:$ZZ$2290, 1148, MATCH($B$2, resultados!$A$1:$ZZ$1, 0))</f>
        <v>#N/A</v>
      </c>
      <c r="C1154" t="e">
        <f>INDEX(resultados!$A$2:$ZZ$2290, 1148, MATCH($B$3, resultados!$A$1:$ZZ$1, 0))</f>
        <v>#N/A</v>
      </c>
    </row>
    <row r="1155" spans="1:3" x14ac:dyDescent="0.3">
      <c r="A1155" t="e">
        <f>INDEX(resultados!$A$2:$ZZ$2290, 1149, MATCH($B$1, resultados!$A$1:$ZZ$1, 0))</f>
        <v>#N/A</v>
      </c>
      <c r="B1155" t="e">
        <f>INDEX(resultados!$A$2:$ZZ$2290, 1149, MATCH($B$2, resultados!$A$1:$ZZ$1, 0))</f>
        <v>#N/A</v>
      </c>
      <c r="C1155" t="e">
        <f>INDEX(resultados!$A$2:$ZZ$2290, 1149, MATCH($B$3, resultados!$A$1:$ZZ$1, 0))</f>
        <v>#N/A</v>
      </c>
    </row>
    <row r="1156" spans="1:3" x14ac:dyDescent="0.3">
      <c r="A1156" t="e">
        <f>INDEX(resultados!$A$2:$ZZ$2290, 1150, MATCH($B$1, resultados!$A$1:$ZZ$1, 0))</f>
        <v>#N/A</v>
      </c>
      <c r="B1156" t="e">
        <f>INDEX(resultados!$A$2:$ZZ$2290, 1150, MATCH($B$2, resultados!$A$1:$ZZ$1, 0))</f>
        <v>#N/A</v>
      </c>
      <c r="C1156" t="e">
        <f>INDEX(resultados!$A$2:$ZZ$2290, 1150, MATCH($B$3, resultados!$A$1:$ZZ$1, 0))</f>
        <v>#N/A</v>
      </c>
    </row>
    <row r="1157" spans="1:3" x14ac:dyDescent="0.3">
      <c r="A1157" t="e">
        <f>INDEX(resultados!$A$2:$ZZ$2290, 1151, MATCH($B$1, resultados!$A$1:$ZZ$1, 0))</f>
        <v>#N/A</v>
      </c>
      <c r="B1157" t="e">
        <f>INDEX(resultados!$A$2:$ZZ$2290, 1151, MATCH($B$2, resultados!$A$1:$ZZ$1, 0))</f>
        <v>#N/A</v>
      </c>
      <c r="C1157" t="e">
        <f>INDEX(resultados!$A$2:$ZZ$2290, 1151, MATCH($B$3, resultados!$A$1:$ZZ$1, 0))</f>
        <v>#N/A</v>
      </c>
    </row>
    <row r="1158" spans="1:3" x14ac:dyDescent="0.3">
      <c r="A1158" t="e">
        <f>INDEX(resultados!$A$2:$ZZ$2290, 1152, MATCH($B$1, resultados!$A$1:$ZZ$1, 0))</f>
        <v>#N/A</v>
      </c>
      <c r="B1158" t="e">
        <f>INDEX(resultados!$A$2:$ZZ$2290, 1152, MATCH($B$2, resultados!$A$1:$ZZ$1, 0))</f>
        <v>#N/A</v>
      </c>
      <c r="C1158" t="e">
        <f>INDEX(resultados!$A$2:$ZZ$2290, 1152, MATCH($B$3, resultados!$A$1:$ZZ$1, 0))</f>
        <v>#N/A</v>
      </c>
    </row>
    <row r="1159" spans="1:3" x14ac:dyDescent="0.3">
      <c r="A1159" t="e">
        <f>INDEX(resultados!$A$2:$ZZ$2290, 1153, MATCH($B$1, resultados!$A$1:$ZZ$1, 0))</f>
        <v>#N/A</v>
      </c>
      <c r="B1159" t="e">
        <f>INDEX(resultados!$A$2:$ZZ$2290, 1153, MATCH($B$2, resultados!$A$1:$ZZ$1, 0))</f>
        <v>#N/A</v>
      </c>
      <c r="C1159" t="e">
        <f>INDEX(resultados!$A$2:$ZZ$2290, 1153, MATCH($B$3, resultados!$A$1:$ZZ$1, 0))</f>
        <v>#N/A</v>
      </c>
    </row>
    <row r="1160" spans="1:3" x14ac:dyDescent="0.3">
      <c r="A1160" t="e">
        <f>INDEX(resultados!$A$2:$ZZ$2290, 1154, MATCH($B$1, resultados!$A$1:$ZZ$1, 0))</f>
        <v>#N/A</v>
      </c>
      <c r="B1160" t="e">
        <f>INDEX(resultados!$A$2:$ZZ$2290, 1154, MATCH($B$2, resultados!$A$1:$ZZ$1, 0))</f>
        <v>#N/A</v>
      </c>
      <c r="C1160" t="e">
        <f>INDEX(resultados!$A$2:$ZZ$2290, 1154, MATCH($B$3, resultados!$A$1:$ZZ$1, 0))</f>
        <v>#N/A</v>
      </c>
    </row>
    <row r="1161" spans="1:3" x14ac:dyDescent="0.3">
      <c r="A1161" t="e">
        <f>INDEX(resultados!$A$2:$ZZ$2290, 1155, MATCH($B$1, resultados!$A$1:$ZZ$1, 0))</f>
        <v>#N/A</v>
      </c>
      <c r="B1161" t="e">
        <f>INDEX(resultados!$A$2:$ZZ$2290, 1155, MATCH($B$2, resultados!$A$1:$ZZ$1, 0))</f>
        <v>#N/A</v>
      </c>
      <c r="C1161" t="e">
        <f>INDEX(resultados!$A$2:$ZZ$2290, 1155, MATCH($B$3, resultados!$A$1:$ZZ$1, 0))</f>
        <v>#N/A</v>
      </c>
    </row>
    <row r="1162" spans="1:3" x14ac:dyDescent="0.3">
      <c r="A1162" t="e">
        <f>INDEX(resultados!$A$2:$ZZ$2290, 1156, MATCH($B$1, resultados!$A$1:$ZZ$1, 0))</f>
        <v>#N/A</v>
      </c>
      <c r="B1162" t="e">
        <f>INDEX(resultados!$A$2:$ZZ$2290, 1156, MATCH($B$2, resultados!$A$1:$ZZ$1, 0))</f>
        <v>#N/A</v>
      </c>
      <c r="C1162" t="e">
        <f>INDEX(resultados!$A$2:$ZZ$2290, 1156, MATCH($B$3, resultados!$A$1:$ZZ$1, 0))</f>
        <v>#N/A</v>
      </c>
    </row>
    <row r="1163" spans="1:3" x14ac:dyDescent="0.3">
      <c r="A1163" t="e">
        <f>INDEX(resultados!$A$2:$ZZ$2290, 1157, MATCH($B$1, resultados!$A$1:$ZZ$1, 0))</f>
        <v>#N/A</v>
      </c>
      <c r="B1163" t="e">
        <f>INDEX(resultados!$A$2:$ZZ$2290, 1157, MATCH($B$2, resultados!$A$1:$ZZ$1, 0))</f>
        <v>#N/A</v>
      </c>
      <c r="C1163" t="e">
        <f>INDEX(resultados!$A$2:$ZZ$2290, 1157, MATCH($B$3, resultados!$A$1:$ZZ$1, 0))</f>
        <v>#N/A</v>
      </c>
    </row>
    <row r="1164" spans="1:3" x14ac:dyDescent="0.3">
      <c r="A1164" t="e">
        <f>INDEX(resultados!$A$2:$ZZ$2290, 1158, MATCH($B$1, resultados!$A$1:$ZZ$1, 0))</f>
        <v>#N/A</v>
      </c>
      <c r="B1164" t="e">
        <f>INDEX(resultados!$A$2:$ZZ$2290, 1158, MATCH($B$2, resultados!$A$1:$ZZ$1, 0))</f>
        <v>#N/A</v>
      </c>
      <c r="C1164" t="e">
        <f>INDEX(resultados!$A$2:$ZZ$2290, 1158, MATCH($B$3, resultados!$A$1:$ZZ$1, 0))</f>
        <v>#N/A</v>
      </c>
    </row>
    <row r="1165" spans="1:3" x14ac:dyDescent="0.3">
      <c r="A1165" t="e">
        <f>INDEX(resultados!$A$2:$ZZ$2290, 1159, MATCH($B$1, resultados!$A$1:$ZZ$1, 0))</f>
        <v>#N/A</v>
      </c>
      <c r="B1165" t="e">
        <f>INDEX(resultados!$A$2:$ZZ$2290, 1159, MATCH($B$2, resultados!$A$1:$ZZ$1, 0))</f>
        <v>#N/A</v>
      </c>
      <c r="C1165" t="e">
        <f>INDEX(resultados!$A$2:$ZZ$2290, 1159, MATCH($B$3, resultados!$A$1:$ZZ$1, 0))</f>
        <v>#N/A</v>
      </c>
    </row>
    <row r="1166" spans="1:3" x14ac:dyDescent="0.3">
      <c r="A1166" t="e">
        <f>INDEX(resultados!$A$2:$ZZ$2290, 1160, MATCH($B$1, resultados!$A$1:$ZZ$1, 0))</f>
        <v>#N/A</v>
      </c>
      <c r="B1166" t="e">
        <f>INDEX(resultados!$A$2:$ZZ$2290, 1160, MATCH($B$2, resultados!$A$1:$ZZ$1, 0))</f>
        <v>#N/A</v>
      </c>
      <c r="C1166" t="e">
        <f>INDEX(resultados!$A$2:$ZZ$2290, 1160, MATCH($B$3, resultados!$A$1:$ZZ$1, 0))</f>
        <v>#N/A</v>
      </c>
    </row>
    <row r="1167" spans="1:3" x14ac:dyDescent="0.3">
      <c r="A1167" t="e">
        <f>INDEX(resultados!$A$2:$ZZ$2290, 1161, MATCH($B$1, resultados!$A$1:$ZZ$1, 0))</f>
        <v>#N/A</v>
      </c>
      <c r="B1167" t="e">
        <f>INDEX(resultados!$A$2:$ZZ$2290, 1161, MATCH($B$2, resultados!$A$1:$ZZ$1, 0))</f>
        <v>#N/A</v>
      </c>
      <c r="C1167" t="e">
        <f>INDEX(resultados!$A$2:$ZZ$2290, 1161, MATCH($B$3, resultados!$A$1:$ZZ$1, 0))</f>
        <v>#N/A</v>
      </c>
    </row>
    <row r="1168" spans="1:3" x14ac:dyDescent="0.3">
      <c r="A1168" t="e">
        <f>INDEX(resultados!$A$2:$ZZ$2290, 1162, MATCH($B$1, resultados!$A$1:$ZZ$1, 0))</f>
        <v>#N/A</v>
      </c>
      <c r="B1168" t="e">
        <f>INDEX(resultados!$A$2:$ZZ$2290, 1162, MATCH($B$2, resultados!$A$1:$ZZ$1, 0))</f>
        <v>#N/A</v>
      </c>
      <c r="C1168" t="e">
        <f>INDEX(resultados!$A$2:$ZZ$2290, 1162, MATCH($B$3, resultados!$A$1:$ZZ$1, 0))</f>
        <v>#N/A</v>
      </c>
    </row>
    <row r="1169" spans="1:3" x14ac:dyDescent="0.3">
      <c r="A1169" t="e">
        <f>INDEX(resultados!$A$2:$ZZ$2290, 1163, MATCH($B$1, resultados!$A$1:$ZZ$1, 0))</f>
        <v>#N/A</v>
      </c>
      <c r="B1169" t="e">
        <f>INDEX(resultados!$A$2:$ZZ$2290, 1163, MATCH($B$2, resultados!$A$1:$ZZ$1, 0))</f>
        <v>#N/A</v>
      </c>
      <c r="C1169" t="e">
        <f>INDEX(resultados!$A$2:$ZZ$2290, 1163, MATCH($B$3, resultados!$A$1:$ZZ$1, 0))</f>
        <v>#N/A</v>
      </c>
    </row>
    <row r="1170" spans="1:3" x14ac:dyDescent="0.3">
      <c r="A1170" t="e">
        <f>INDEX(resultados!$A$2:$ZZ$2290, 1164, MATCH($B$1, resultados!$A$1:$ZZ$1, 0))</f>
        <v>#N/A</v>
      </c>
      <c r="B1170" t="e">
        <f>INDEX(resultados!$A$2:$ZZ$2290, 1164, MATCH($B$2, resultados!$A$1:$ZZ$1, 0))</f>
        <v>#N/A</v>
      </c>
      <c r="C1170" t="e">
        <f>INDEX(resultados!$A$2:$ZZ$2290, 1164, MATCH($B$3, resultados!$A$1:$ZZ$1, 0))</f>
        <v>#N/A</v>
      </c>
    </row>
    <row r="1171" spans="1:3" x14ac:dyDescent="0.3">
      <c r="A1171" t="e">
        <f>INDEX(resultados!$A$2:$ZZ$2290, 1165, MATCH($B$1, resultados!$A$1:$ZZ$1, 0))</f>
        <v>#N/A</v>
      </c>
      <c r="B1171" t="e">
        <f>INDEX(resultados!$A$2:$ZZ$2290, 1165, MATCH($B$2, resultados!$A$1:$ZZ$1, 0))</f>
        <v>#N/A</v>
      </c>
      <c r="C1171" t="e">
        <f>INDEX(resultados!$A$2:$ZZ$2290, 1165, MATCH($B$3, resultados!$A$1:$ZZ$1, 0))</f>
        <v>#N/A</v>
      </c>
    </row>
    <row r="1172" spans="1:3" x14ac:dyDescent="0.3">
      <c r="A1172" t="e">
        <f>INDEX(resultados!$A$2:$ZZ$2290, 1166, MATCH($B$1, resultados!$A$1:$ZZ$1, 0))</f>
        <v>#N/A</v>
      </c>
      <c r="B1172" t="e">
        <f>INDEX(resultados!$A$2:$ZZ$2290, 1166, MATCH($B$2, resultados!$A$1:$ZZ$1, 0))</f>
        <v>#N/A</v>
      </c>
      <c r="C1172" t="e">
        <f>INDEX(resultados!$A$2:$ZZ$2290, 1166, MATCH($B$3, resultados!$A$1:$ZZ$1, 0))</f>
        <v>#N/A</v>
      </c>
    </row>
    <row r="1173" spans="1:3" x14ac:dyDescent="0.3">
      <c r="A1173" t="e">
        <f>INDEX(resultados!$A$2:$ZZ$2290, 1167, MATCH($B$1, resultados!$A$1:$ZZ$1, 0))</f>
        <v>#N/A</v>
      </c>
      <c r="B1173" t="e">
        <f>INDEX(resultados!$A$2:$ZZ$2290, 1167, MATCH($B$2, resultados!$A$1:$ZZ$1, 0))</f>
        <v>#N/A</v>
      </c>
      <c r="C1173" t="e">
        <f>INDEX(resultados!$A$2:$ZZ$2290, 1167, MATCH($B$3, resultados!$A$1:$ZZ$1, 0))</f>
        <v>#N/A</v>
      </c>
    </row>
    <row r="1174" spans="1:3" x14ac:dyDescent="0.3">
      <c r="A1174" t="e">
        <f>INDEX(resultados!$A$2:$ZZ$2290, 1168, MATCH($B$1, resultados!$A$1:$ZZ$1, 0))</f>
        <v>#N/A</v>
      </c>
      <c r="B1174" t="e">
        <f>INDEX(resultados!$A$2:$ZZ$2290, 1168, MATCH($B$2, resultados!$A$1:$ZZ$1, 0))</f>
        <v>#N/A</v>
      </c>
      <c r="C1174" t="e">
        <f>INDEX(resultados!$A$2:$ZZ$2290, 1168, MATCH($B$3, resultados!$A$1:$ZZ$1, 0))</f>
        <v>#N/A</v>
      </c>
    </row>
    <row r="1175" spans="1:3" x14ac:dyDescent="0.3">
      <c r="A1175" t="e">
        <f>INDEX(resultados!$A$2:$ZZ$2290, 1169, MATCH($B$1, resultados!$A$1:$ZZ$1, 0))</f>
        <v>#N/A</v>
      </c>
      <c r="B1175" t="e">
        <f>INDEX(resultados!$A$2:$ZZ$2290, 1169, MATCH($B$2, resultados!$A$1:$ZZ$1, 0))</f>
        <v>#N/A</v>
      </c>
      <c r="C1175" t="e">
        <f>INDEX(resultados!$A$2:$ZZ$2290, 1169, MATCH($B$3, resultados!$A$1:$ZZ$1, 0))</f>
        <v>#N/A</v>
      </c>
    </row>
    <row r="1176" spans="1:3" x14ac:dyDescent="0.3">
      <c r="A1176" t="e">
        <f>INDEX(resultados!$A$2:$ZZ$2290, 1170, MATCH($B$1, resultados!$A$1:$ZZ$1, 0))</f>
        <v>#N/A</v>
      </c>
      <c r="B1176" t="e">
        <f>INDEX(resultados!$A$2:$ZZ$2290, 1170, MATCH($B$2, resultados!$A$1:$ZZ$1, 0))</f>
        <v>#N/A</v>
      </c>
      <c r="C1176" t="e">
        <f>INDEX(resultados!$A$2:$ZZ$2290, 1170, MATCH($B$3, resultados!$A$1:$ZZ$1, 0))</f>
        <v>#N/A</v>
      </c>
    </row>
    <row r="1177" spans="1:3" x14ac:dyDescent="0.3">
      <c r="A1177" t="e">
        <f>INDEX(resultados!$A$2:$ZZ$2290, 1171, MATCH($B$1, resultados!$A$1:$ZZ$1, 0))</f>
        <v>#N/A</v>
      </c>
      <c r="B1177" t="e">
        <f>INDEX(resultados!$A$2:$ZZ$2290, 1171, MATCH($B$2, resultados!$A$1:$ZZ$1, 0))</f>
        <v>#N/A</v>
      </c>
      <c r="C1177" t="e">
        <f>INDEX(resultados!$A$2:$ZZ$2290, 1171, MATCH($B$3, resultados!$A$1:$ZZ$1, 0))</f>
        <v>#N/A</v>
      </c>
    </row>
    <row r="1178" spans="1:3" x14ac:dyDescent="0.3">
      <c r="A1178" t="e">
        <f>INDEX(resultados!$A$2:$ZZ$2290, 1172, MATCH($B$1, resultados!$A$1:$ZZ$1, 0))</f>
        <v>#N/A</v>
      </c>
      <c r="B1178" t="e">
        <f>INDEX(resultados!$A$2:$ZZ$2290, 1172, MATCH($B$2, resultados!$A$1:$ZZ$1, 0))</f>
        <v>#N/A</v>
      </c>
      <c r="C1178" t="e">
        <f>INDEX(resultados!$A$2:$ZZ$2290, 1172, MATCH($B$3, resultados!$A$1:$ZZ$1, 0))</f>
        <v>#N/A</v>
      </c>
    </row>
    <row r="1179" spans="1:3" x14ac:dyDescent="0.3">
      <c r="A1179" t="e">
        <f>INDEX(resultados!$A$2:$ZZ$2290, 1173, MATCH($B$1, resultados!$A$1:$ZZ$1, 0))</f>
        <v>#N/A</v>
      </c>
      <c r="B1179" t="e">
        <f>INDEX(resultados!$A$2:$ZZ$2290, 1173, MATCH($B$2, resultados!$A$1:$ZZ$1, 0))</f>
        <v>#N/A</v>
      </c>
      <c r="C1179" t="e">
        <f>INDEX(resultados!$A$2:$ZZ$2290, 1173, MATCH($B$3, resultados!$A$1:$ZZ$1, 0))</f>
        <v>#N/A</v>
      </c>
    </row>
    <row r="1180" spans="1:3" x14ac:dyDescent="0.3">
      <c r="A1180" t="e">
        <f>INDEX(resultados!$A$2:$ZZ$2290, 1174, MATCH($B$1, resultados!$A$1:$ZZ$1, 0))</f>
        <v>#N/A</v>
      </c>
      <c r="B1180" t="e">
        <f>INDEX(resultados!$A$2:$ZZ$2290, 1174, MATCH($B$2, resultados!$A$1:$ZZ$1, 0))</f>
        <v>#N/A</v>
      </c>
      <c r="C1180" t="e">
        <f>INDEX(resultados!$A$2:$ZZ$2290, 1174, MATCH($B$3, resultados!$A$1:$ZZ$1, 0))</f>
        <v>#N/A</v>
      </c>
    </row>
    <row r="1181" spans="1:3" x14ac:dyDescent="0.3">
      <c r="A1181" t="e">
        <f>INDEX(resultados!$A$2:$ZZ$2290, 1175, MATCH($B$1, resultados!$A$1:$ZZ$1, 0))</f>
        <v>#N/A</v>
      </c>
      <c r="B1181" t="e">
        <f>INDEX(resultados!$A$2:$ZZ$2290, 1175, MATCH($B$2, resultados!$A$1:$ZZ$1, 0))</f>
        <v>#N/A</v>
      </c>
      <c r="C1181" t="e">
        <f>INDEX(resultados!$A$2:$ZZ$2290, 1175, MATCH($B$3, resultados!$A$1:$ZZ$1, 0))</f>
        <v>#N/A</v>
      </c>
    </row>
    <row r="1182" spans="1:3" x14ac:dyDescent="0.3">
      <c r="A1182" t="e">
        <f>INDEX(resultados!$A$2:$ZZ$2290, 1176, MATCH($B$1, resultados!$A$1:$ZZ$1, 0))</f>
        <v>#N/A</v>
      </c>
      <c r="B1182" t="e">
        <f>INDEX(resultados!$A$2:$ZZ$2290, 1176, MATCH($B$2, resultados!$A$1:$ZZ$1, 0))</f>
        <v>#N/A</v>
      </c>
      <c r="C1182" t="e">
        <f>INDEX(resultados!$A$2:$ZZ$2290, 1176, MATCH($B$3, resultados!$A$1:$ZZ$1, 0))</f>
        <v>#N/A</v>
      </c>
    </row>
    <row r="1183" spans="1:3" x14ac:dyDescent="0.3">
      <c r="A1183" t="e">
        <f>INDEX(resultados!$A$2:$ZZ$2290, 1177, MATCH($B$1, resultados!$A$1:$ZZ$1, 0))</f>
        <v>#N/A</v>
      </c>
      <c r="B1183" t="e">
        <f>INDEX(resultados!$A$2:$ZZ$2290, 1177, MATCH($B$2, resultados!$A$1:$ZZ$1, 0))</f>
        <v>#N/A</v>
      </c>
      <c r="C1183" t="e">
        <f>INDEX(resultados!$A$2:$ZZ$2290, 1177, MATCH($B$3, resultados!$A$1:$ZZ$1, 0))</f>
        <v>#N/A</v>
      </c>
    </row>
    <row r="1184" spans="1:3" x14ac:dyDescent="0.3">
      <c r="A1184" t="e">
        <f>INDEX(resultados!$A$2:$ZZ$2290, 1178, MATCH($B$1, resultados!$A$1:$ZZ$1, 0))</f>
        <v>#N/A</v>
      </c>
      <c r="B1184" t="e">
        <f>INDEX(resultados!$A$2:$ZZ$2290, 1178, MATCH($B$2, resultados!$A$1:$ZZ$1, 0))</f>
        <v>#N/A</v>
      </c>
      <c r="C1184" t="e">
        <f>INDEX(resultados!$A$2:$ZZ$2290, 1178, MATCH($B$3, resultados!$A$1:$ZZ$1, 0))</f>
        <v>#N/A</v>
      </c>
    </row>
    <row r="1185" spans="1:3" x14ac:dyDescent="0.3">
      <c r="A1185" t="e">
        <f>INDEX(resultados!$A$2:$ZZ$2290, 1179, MATCH($B$1, resultados!$A$1:$ZZ$1, 0))</f>
        <v>#N/A</v>
      </c>
      <c r="B1185" t="e">
        <f>INDEX(resultados!$A$2:$ZZ$2290, 1179, MATCH($B$2, resultados!$A$1:$ZZ$1, 0))</f>
        <v>#N/A</v>
      </c>
      <c r="C1185" t="e">
        <f>INDEX(resultados!$A$2:$ZZ$2290, 1179, MATCH($B$3, resultados!$A$1:$ZZ$1, 0))</f>
        <v>#N/A</v>
      </c>
    </row>
    <row r="1186" spans="1:3" x14ac:dyDescent="0.3">
      <c r="A1186" t="e">
        <f>INDEX(resultados!$A$2:$ZZ$2290, 1180, MATCH($B$1, resultados!$A$1:$ZZ$1, 0))</f>
        <v>#N/A</v>
      </c>
      <c r="B1186" t="e">
        <f>INDEX(resultados!$A$2:$ZZ$2290, 1180, MATCH($B$2, resultados!$A$1:$ZZ$1, 0))</f>
        <v>#N/A</v>
      </c>
      <c r="C1186" t="e">
        <f>INDEX(resultados!$A$2:$ZZ$2290, 1180, MATCH($B$3, resultados!$A$1:$ZZ$1, 0))</f>
        <v>#N/A</v>
      </c>
    </row>
    <row r="1187" spans="1:3" x14ac:dyDescent="0.3">
      <c r="A1187" t="e">
        <f>INDEX(resultados!$A$2:$ZZ$2290, 1181, MATCH($B$1, resultados!$A$1:$ZZ$1, 0))</f>
        <v>#N/A</v>
      </c>
      <c r="B1187" t="e">
        <f>INDEX(resultados!$A$2:$ZZ$2290, 1181, MATCH($B$2, resultados!$A$1:$ZZ$1, 0))</f>
        <v>#N/A</v>
      </c>
      <c r="C1187" t="e">
        <f>INDEX(resultados!$A$2:$ZZ$2290, 1181, MATCH($B$3, resultados!$A$1:$ZZ$1, 0))</f>
        <v>#N/A</v>
      </c>
    </row>
    <row r="1188" spans="1:3" x14ac:dyDescent="0.3">
      <c r="A1188" t="e">
        <f>INDEX(resultados!$A$2:$ZZ$2290, 1182, MATCH($B$1, resultados!$A$1:$ZZ$1, 0))</f>
        <v>#N/A</v>
      </c>
      <c r="B1188" t="e">
        <f>INDEX(resultados!$A$2:$ZZ$2290, 1182, MATCH($B$2, resultados!$A$1:$ZZ$1, 0))</f>
        <v>#N/A</v>
      </c>
      <c r="C1188" t="e">
        <f>INDEX(resultados!$A$2:$ZZ$2290, 1182, MATCH($B$3, resultados!$A$1:$ZZ$1, 0))</f>
        <v>#N/A</v>
      </c>
    </row>
    <row r="1189" spans="1:3" x14ac:dyDescent="0.3">
      <c r="A1189" t="e">
        <f>INDEX(resultados!$A$2:$ZZ$2290, 1183, MATCH($B$1, resultados!$A$1:$ZZ$1, 0))</f>
        <v>#N/A</v>
      </c>
      <c r="B1189" t="e">
        <f>INDEX(resultados!$A$2:$ZZ$2290, 1183, MATCH($B$2, resultados!$A$1:$ZZ$1, 0))</f>
        <v>#N/A</v>
      </c>
      <c r="C1189" t="e">
        <f>INDEX(resultados!$A$2:$ZZ$2290, 1183, MATCH($B$3, resultados!$A$1:$ZZ$1, 0))</f>
        <v>#N/A</v>
      </c>
    </row>
    <row r="1190" spans="1:3" x14ac:dyDescent="0.3">
      <c r="A1190" t="e">
        <f>INDEX(resultados!$A$2:$ZZ$2290, 1184, MATCH($B$1, resultados!$A$1:$ZZ$1, 0))</f>
        <v>#N/A</v>
      </c>
      <c r="B1190" t="e">
        <f>INDEX(resultados!$A$2:$ZZ$2290, 1184, MATCH($B$2, resultados!$A$1:$ZZ$1, 0))</f>
        <v>#N/A</v>
      </c>
      <c r="C1190" t="e">
        <f>INDEX(resultados!$A$2:$ZZ$2290, 1184, MATCH($B$3, resultados!$A$1:$ZZ$1, 0))</f>
        <v>#N/A</v>
      </c>
    </row>
    <row r="1191" spans="1:3" x14ac:dyDescent="0.3">
      <c r="A1191" t="e">
        <f>INDEX(resultados!$A$2:$ZZ$2290, 1185, MATCH($B$1, resultados!$A$1:$ZZ$1, 0))</f>
        <v>#N/A</v>
      </c>
      <c r="B1191" t="e">
        <f>INDEX(resultados!$A$2:$ZZ$2290, 1185, MATCH($B$2, resultados!$A$1:$ZZ$1, 0))</f>
        <v>#N/A</v>
      </c>
      <c r="C1191" t="e">
        <f>INDEX(resultados!$A$2:$ZZ$2290, 1185, MATCH($B$3, resultados!$A$1:$ZZ$1, 0))</f>
        <v>#N/A</v>
      </c>
    </row>
    <row r="1192" spans="1:3" x14ac:dyDescent="0.3">
      <c r="A1192" t="e">
        <f>INDEX(resultados!$A$2:$ZZ$2290, 1186, MATCH($B$1, resultados!$A$1:$ZZ$1, 0))</f>
        <v>#N/A</v>
      </c>
      <c r="B1192" t="e">
        <f>INDEX(resultados!$A$2:$ZZ$2290, 1186, MATCH($B$2, resultados!$A$1:$ZZ$1, 0))</f>
        <v>#N/A</v>
      </c>
      <c r="C1192" t="e">
        <f>INDEX(resultados!$A$2:$ZZ$2290, 1186, MATCH($B$3, resultados!$A$1:$ZZ$1, 0))</f>
        <v>#N/A</v>
      </c>
    </row>
    <row r="1193" spans="1:3" x14ac:dyDescent="0.3">
      <c r="A1193" t="e">
        <f>INDEX(resultados!$A$2:$ZZ$2290, 1187, MATCH($B$1, resultados!$A$1:$ZZ$1, 0))</f>
        <v>#N/A</v>
      </c>
      <c r="B1193" t="e">
        <f>INDEX(resultados!$A$2:$ZZ$2290, 1187, MATCH($B$2, resultados!$A$1:$ZZ$1, 0))</f>
        <v>#N/A</v>
      </c>
      <c r="C1193" t="e">
        <f>INDEX(resultados!$A$2:$ZZ$2290, 1187, MATCH($B$3, resultados!$A$1:$ZZ$1, 0))</f>
        <v>#N/A</v>
      </c>
    </row>
    <row r="1194" spans="1:3" x14ac:dyDescent="0.3">
      <c r="A1194" t="e">
        <f>INDEX(resultados!$A$2:$ZZ$2290, 1188, MATCH($B$1, resultados!$A$1:$ZZ$1, 0))</f>
        <v>#N/A</v>
      </c>
      <c r="B1194" t="e">
        <f>INDEX(resultados!$A$2:$ZZ$2290, 1188, MATCH($B$2, resultados!$A$1:$ZZ$1, 0))</f>
        <v>#N/A</v>
      </c>
      <c r="C1194" t="e">
        <f>INDEX(resultados!$A$2:$ZZ$2290, 1188, MATCH($B$3, resultados!$A$1:$ZZ$1, 0))</f>
        <v>#N/A</v>
      </c>
    </row>
    <row r="1195" spans="1:3" x14ac:dyDescent="0.3">
      <c r="A1195" t="e">
        <f>INDEX(resultados!$A$2:$ZZ$2290, 1189, MATCH($B$1, resultados!$A$1:$ZZ$1, 0))</f>
        <v>#N/A</v>
      </c>
      <c r="B1195" t="e">
        <f>INDEX(resultados!$A$2:$ZZ$2290, 1189, MATCH($B$2, resultados!$A$1:$ZZ$1, 0))</f>
        <v>#N/A</v>
      </c>
      <c r="C1195" t="e">
        <f>INDEX(resultados!$A$2:$ZZ$2290, 1189, MATCH($B$3, resultados!$A$1:$ZZ$1, 0))</f>
        <v>#N/A</v>
      </c>
    </row>
    <row r="1196" spans="1:3" x14ac:dyDescent="0.3">
      <c r="A1196" t="e">
        <f>INDEX(resultados!$A$2:$ZZ$2290, 1190, MATCH($B$1, resultados!$A$1:$ZZ$1, 0))</f>
        <v>#N/A</v>
      </c>
      <c r="B1196" t="e">
        <f>INDEX(resultados!$A$2:$ZZ$2290, 1190, MATCH($B$2, resultados!$A$1:$ZZ$1, 0))</f>
        <v>#N/A</v>
      </c>
      <c r="C1196" t="e">
        <f>INDEX(resultados!$A$2:$ZZ$2290, 1190, MATCH($B$3, resultados!$A$1:$ZZ$1, 0))</f>
        <v>#N/A</v>
      </c>
    </row>
    <row r="1197" spans="1:3" x14ac:dyDescent="0.3">
      <c r="A1197" t="e">
        <f>INDEX(resultados!$A$2:$ZZ$2290, 1191, MATCH($B$1, resultados!$A$1:$ZZ$1, 0))</f>
        <v>#N/A</v>
      </c>
      <c r="B1197" t="e">
        <f>INDEX(resultados!$A$2:$ZZ$2290, 1191, MATCH($B$2, resultados!$A$1:$ZZ$1, 0))</f>
        <v>#N/A</v>
      </c>
      <c r="C1197" t="e">
        <f>INDEX(resultados!$A$2:$ZZ$2290, 1191, MATCH($B$3, resultados!$A$1:$ZZ$1, 0))</f>
        <v>#N/A</v>
      </c>
    </row>
    <row r="1198" spans="1:3" x14ac:dyDescent="0.3">
      <c r="A1198" t="e">
        <f>INDEX(resultados!$A$2:$ZZ$2290, 1192, MATCH($B$1, resultados!$A$1:$ZZ$1, 0))</f>
        <v>#N/A</v>
      </c>
      <c r="B1198" t="e">
        <f>INDEX(resultados!$A$2:$ZZ$2290, 1192, MATCH($B$2, resultados!$A$1:$ZZ$1, 0))</f>
        <v>#N/A</v>
      </c>
      <c r="C1198" t="e">
        <f>INDEX(resultados!$A$2:$ZZ$2290, 1192, MATCH($B$3, resultados!$A$1:$ZZ$1, 0))</f>
        <v>#N/A</v>
      </c>
    </row>
    <row r="1199" spans="1:3" x14ac:dyDescent="0.3">
      <c r="A1199" t="e">
        <f>INDEX(resultados!$A$2:$ZZ$2290, 1193, MATCH($B$1, resultados!$A$1:$ZZ$1, 0))</f>
        <v>#N/A</v>
      </c>
      <c r="B1199" t="e">
        <f>INDEX(resultados!$A$2:$ZZ$2290, 1193, MATCH($B$2, resultados!$A$1:$ZZ$1, 0))</f>
        <v>#N/A</v>
      </c>
      <c r="C1199" t="e">
        <f>INDEX(resultados!$A$2:$ZZ$2290, 1193, MATCH($B$3, resultados!$A$1:$ZZ$1, 0))</f>
        <v>#N/A</v>
      </c>
    </row>
    <row r="1200" spans="1:3" x14ac:dyDescent="0.3">
      <c r="A1200" t="e">
        <f>INDEX(resultados!$A$2:$ZZ$2290, 1194, MATCH($B$1, resultados!$A$1:$ZZ$1, 0))</f>
        <v>#N/A</v>
      </c>
      <c r="B1200" t="e">
        <f>INDEX(resultados!$A$2:$ZZ$2290, 1194, MATCH($B$2, resultados!$A$1:$ZZ$1, 0))</f>
        <v>#N/A</v>
      </c>
      <c r="C1200" t="e">
        <f>INDEX(resultados!$A$2:$ZZ$2290, 1194, MATCH($B$3, resultados!$A$1:$ZZ$1, 0))</f>
        <v>#N/A</v>
      </c>
    </row>
    <row r="1201" spans="1:3" x14ac:dyDescent="0.3">
      <c r="A1201" t="e">
        <f>INDEX(resultados!$A$2:$ZZ$2290, 1195, MATCH($B$1, resultados!$A$1:$ZZ$1, 0))</f>
        <v>#N/A</v>
      </c>
      <c r="B1201" t="e">
        <f>INDEX(resultados!$A$2:$ZZ$2290, 1195, MATCH($B$2, resultados!$A$1:$ZZ$1, 0))</f>
        <v>#N/A</v>
      </c>
      <c r="C1201" t="e">
        <f>INDEX(resultados!$A$2:$ZZ$2290, 1195, MATCH($B$3, resultados!$A$1:$ZZ$1, 0))</f>
        <v>#N/A</v>
      </c>
    </row>
    <row r="1202" spans="1:3" x14ac:dyDescent="0.3">
      <c r="A1202" t="e">
        <f>INDEX(resultados!$A$2:$ZZ$2290, 1196, MATCH($B$1, resultados!$A$1:$ZZ$1, 0))</f>
        <v>#N/A</v>
      </c>
      <c r="B1202" t="e">
        <f>INDEX(resultados!$A$2:$ZZ$2290, 1196, MATCH($B$2, resultados!$A$1:$ZZ$1, 0))</f>
        <v>#N/A</v>
      </c>
      <c r="C1202" t="e">
        <f>INDEX(resultados!$A$2:$ZZ$2290, 1196, MATCH($B$3, resultados!$A$1:$ZZ$1, 0))</f>
        <v>#N/A</v>
      </c>
    </row>
    <row r="1203" spans="1:3" x14ac:dyDescent="0.3">
      <c r="A1203" t="e">
        <f>INDEX(resultados!$A$2:$ZZ$2290, 1197, MATCH($B$1, resultados!$A$1:$ZZ$1, 0))</f>
        <v>#N/A</v>
      </c>
      <c r="B1203" t="e">
        <f>INDEX(resultados!$A$2:$ZZ$2290, 1197, MATCH($B$2, resultados!$A$1:$ZZ$1, 0))</f>
        <v>#N/A</v>
      </c>
      <c r="C1203" t="e">
        <f>INDEX(resultados!$A$2:$ZZ$2290, 1197, MATCH($B$3, resultados!$A$1:$ZZ$1, 0))</f>
        <v>#N/A</v>
      </c>
    </row>
    <row r="1204" spans="1:3" x14ac:dyDescent="0.3">
      <c r="A1204" t="e">
        <f>INDEX(resultados!$A$2:$ZZ$2290, 1198, MATCH($B$1, resultados!$A$1:$ZZ$1, 0))</f>
        <v>#N/A</v>
      </c>
      <c r="B1204" t="e">
        <f>INDEX(resultados!$A$2:$ZZ$2290, 1198, MATCH($B$2, resultados!$A$1:$ZZ$1, 0))</f>
        <v>#N/A</v>
      </c>
      <c r="C1204" t="e">
        <f>INDEX(resultados!$A$2:$ZZ$2290, 1198, MATCH($B$3, resultados!$A$1:$ZZ$1, 0))</f>
        <v>#N/A</v>
      </c>
    </row>
    <row r="1205" spans="1:3" x14ac:dyDescent="0.3">
      <c r="A1205" t="e">
        <f>INDEX(resultados!$A$2:$ZZ$2290, 1199, MATCH($B$1, resultados!$A$1:$ZZ$1, 0))</f>
        <v>#N/A</v>
      </c>
      <c r="B1205" t="e">
        <f>INDEX(resultados!$A$2:$ZZ$2290, 1199, MATCH($B$2, resultados!$A$1:$ZZ$1, 0))</f>
        <v>#N/A</v>
      </c>
      <c r="C1205" t="e">
        <f>INDEX(resultados!$A$2:$ZZ$2290, 1199, MATCH($B$3, resultados!$A$1:$ZZ$1, 0))</f>
        <v>#N/A</v>
      </c>
    </row>
    <row r="1206" spans="1:3" x14ac:dyDescent="0.3">
      <c r="A1206" t="e">
        <f>INDEX(resultados!$A$2:$ZZ$2290, 1200, MATCH($B$1, resultados!$A$1:$ZZ$1, 0))</f>
        <v>#N/A</v>
      </c>
      <c r="B1206" t="e">
        <f>INDEX(resultados!$A$2:$ZZ$2290, 1200, MATCH($B$2, resultados!$A$1:$ZZ$1, 0))</f>
        <v>#N/A</v>
      </c>
      <c r="C1206" t="e">
        <f>INDEX(resultados!$A$2:$ZZ$2290, 1200, MATCH($B$3, resultados!$A$1:$ZZ$1, 0))</f>
        <v>#N/A</v>
      </c>
    </row>
    <row r="1207" spans="1:3" x14ac:dyDescent="0.3">
      <c r="A1207" t="e">
        <f>INDEX(resultados!$A$2:$ZZ$2290, 1201, MATCH($B$1, resultados!$A$1:$ZZ$1, 0))</f>
        <v>#N/A</v>
      </c>
      <c r="B1207" t="e">
        <f>INDEX(resultados!$A$2:$ZZ$2290, 1201, MATCH($B$2, resultados!$A$1:$ZZ$1, 0))</f>
        <v>#N/A</v>
      </c>
      <c r="C1207" t="e">
        <f>INDEX(resultados!$A$2:$ZZ$2290, 1201, MATCH($B$3, resultados!$A$1:$ZZ$1, 0))</f>
        <v>#N/A</v>
      </c>
    </row>
    <row r="1208" spans="1:3" x14ac:dyDescent="0.3">
      <c r="A1208" t="e">
        <f>INDEX(resultados!$A$2:$ZZ$2290, 1202, MATCH($B$1, resultados!$A$1:$ZZ$1, 0))</f>
        <v>#N/A</v>
      </c>
      <c r="B1208" t="e">
        <f>INDEX(resultados!$A$2:$ZZ$2290, 1202, MATCH($B$2, resultados!$A$1:$ZZ$1, 0))</f>
        <v>#N/A</v>
      </c>
      <c r="C1208" t="e">
        <f>INDEX(resultados!$A$2:$ZZ$2290, 1202, MATCH($B$3, resultados!$A$1:$ZZ$1, 0))</f>
        <v>#N/A</v>
      </c>
    </row>
    <row r="1209" spans="1:3" x14ac:dyDescent="0.3">
      <c r="A1209" t="e">
        <f>INDEX(resultados!$A$2:$ZZ$2290, 1203, MATCH($B$1, resultados!$A$1:$ZZ$1, 0))</f>
        <v>#N/A</v>
      </c>
      <c r="B1209" t="e">
        <f>INDEX(resultados!$A$2:$ZZ$2290, 1203, MATCH($B$2, resultados!$A$1:$ZZ$1, 0))</f>
        <v>#N/A</v>
      </c>
      <c r="C1209" t="e">
        <f>INDEX(resultados!$A$2:$ZZ$2290, 1203, MATCH($B$3, resultados!$A$1:$ZZ$1, 0))</f>
        <v>#N/A</v>
      </c>
    </row>
    <row r="1210" spans="1:3" x14ac:dyDescent="0.3">
      <c r="A1210" t="e">
        <f>INDEX(resultados!$A$2:$ZZ$2290, 1204, MATCH($B$1, resultados!$A$1:$ZZ$1, 0))</f>
        <v>#N/A</v>
      </c>
      <c r="B1210" t="e">
        <f>INDEX(resultados!$A$2:$ZZ$2290, 1204, MATCH($B$2, resultados!$A$1:$ZZ$1, 0))</f>
        <v>#N/A</v>
      </c>
      <c r="C1210" t="e">
        <f>INDEX(resultados!$A$2:$ZZ$2290, 1204, MATCH($B$3, resultados!$A$1:$ZZ$1, 0))</f>
        <v>#N/A</v>
      </c>
    </row>
    <row r="1211" spans="1:3" x14ac:dyDescent="0.3">
      <c r="A1211" t="e">
        <f>INDEX(resultados!$A$2:$ZZ$2290, 1205, MATCH($B$1, resultados!$A$1:$ZZ$1, 0))</f>
        <v>#N/A</v>
      </c>
      <c r="B1211" t="e">
        <f>INDEX(resultados!$A$2:$ZZ$2290, 1205, MATCH($B$2, resultados!$A$1:$ZZ$1, 0))</f>
        <v>#N/A</v>
      </c>
      <c r="C1211" t="e">
        <f>INDEX(resultados!$A$2:$ZZ$2290, 1205, MATCH($B$3, resultados!$A$1:$ZZ$1, 0))</f>
        <v>#N/A</v>
      </c>
    </row>
    <row r="1212" spans="1:3" x14ac:dyDescent="0.3">
      <c r="A1212" t="e">
        <f>INDEX(resultados!$A$2:$ZZ$2290, 1206, MATCH($B$1, resultados!$A$1:$ZZ$1, 0))</f>
        <v>#N/A</v>
      </c>
      <c r="B1212" t="e">
        <f>INDEX(resultados!$A$2:$ZZ$2290, 1206, MATCH($B$2, resultados!$A$1:$ZZ$1, 0))</f>
        <v>#N/A</v>
      </c>
      <c r="C1212" t="e">
        <f>INDEX(resultados!$A$2:$ZZ$2290, 1206, MATCH($B$3, resultados!$A$1:$ZZ$1, 0))</f>
        <v>#N/A</v>
      </c>
    </row>
    <row r="1213" spans="1:3" x14ac:dyDescent="0.3">
      <c r="A1213" t="e">
        <f>INDEX(resultados!$A$2:$ZZ$2290, 1207, MATCH($B$1, resultados!$A$1:$ZZ$1, 0))</f>
        <v>#N/A</v>
      </c>
      <c r="B1213" t="e">
        <f>INDEX(resultados!$A$2:$ZZ$2290, 1207, MATCH($B$2, resultados!$A$1:$ZZ$1, 0))</f>
        <v>#N/A</v>
      </c>
      <c r="C1213" t="e">
        <f>INDEX(resultados!$A$2:$ZZ$2290, 1207, MATCH($B$3, resultados!$A$1:$ZZ$1, 0))</f>
        <v>#N/A</v>
      </c>
    </row>
    <row r="1214" spans="1:3" x14ac:dyDescent="0.3">
      <c r="A1214" t="e">
        <f>INDEX(resultados!$A$2:$ZZ$2290, 1208, MATCH($B$1, resultados!$A$1:$ZZ$1, 0))</f>
        <v>#N/A</v>
      </c>
      <c r="B1214" t="e">
        <f>INDEX(resultados!$A$2:$ZZ$2290, 1208, MATCH($B$2, resultados!$A$1:$ZZ$1, 0))</f>
        <v>#N/A</v>
      </c>
      <c r="C1214" t="e">
        <f>INDEX(resultados!$A$2:$ZZ$2290, 1208, MATCH($B$3, resultados!$A$1:$ZZ$1, 0))</f>
        <v>#N/A</v>
      </c>
    </row>
    <row r="1215" spans="1:3" x14ac:dyDescent="0.3">
      <c r="A1215" t="e">
        <f>INDEX(resultados!$A$2:$ZZ$2290, 1209, MATCH($B$1, resultados!$A$1:$ZZ$1, 0))</f>
        <v>#N/A</v>
      </c>
      <c r="B1215" t="e">
        <f>INDEX(resultados!$A$2:$ZZ$2290, 1209, MATCH($B$2, resultados!$A$1:$ZZ$1, 0))</f>
        <v>#N/A</v>
      </c>
      <c r="C1215" t="e">
        <f>INDEX(resultados!$A$2:$ZZ$2290, 1209, MATCH($B$3, resultados!$A$1:$ZZ$1, 0))</f>
        <v>#N/A</v>
      </c>
    </row>
    <row r="1216" spans="1:3" x14ac:dyDescent="0.3">
      <c r="A1216" t="e">
        <f>INDEX(resultados!$A$2:$ZZ$2290, 1210, MATCH($B$1, resultados!$A$1:$ZZ$1, 0))</f>
        <v>#N/A</v>
      </c>
      <c r="B1216" t="e">
        <f>INDEX(resultados!$A$2:$ZZ$2290, 1210, MATCH($B$2, resultados!$A$1:$ZZ$1, 0))</f>
        <v>#N/A</v>
      </c>
      <c r="C1216" t="e">
        <f>INDEX(resultados!$A$2:$ZZ$2290, 1210, MATCH($B$3, resultados!$A$1:$ZZ$1, 0))</f>
        <v>#N/A</v>
      </c>
    </row>
    <row r="1217" spans="1:3" x14ac:dyDescent="0.3">
      <c r="A1217" t="e">
        <f>INDEX(resultados!$A$2:$ZZ$2290, 1211, MATCH($B$1, resultados!$A$1:$ZZ$1, 0))</f>
        <v>#N/A</v>
      </c>
      <c r="B1217" t="e">
        <f>INDEX(resultados!$A$2:$ZZ$2290, 1211, MATCH($B$2, resultados!$A$1:$ZZ$1, 0))</f>
        <v>#N/A</v>
      </c>
      <c r="C1217" t="e">
        <f>INDEX(resultados!$A$2:$ZZ$2290, 1211, MATCH($B$3, resultados!$A$1:$ZZ$1, 0))</f>
        <v>#N/A</v>
      </c>
    </row>
    <row r="1218" spans="1:3" x14ac:dyDescent="0.3">
      <c r="A1218" t="e">
        <f>INDEX(resultados!$A$2:$ZZ$2290, 1212, MATCH($B$1, resultados!$A$1:$ZZ$1, 0))</f>
        <v>#N/A</v>
      </c>
      <c r="B1218" t="e">
        <f>INDEX(resultados!$A$2:$ZZ$2290, 1212, MATCH($B$2, resultados!$A$1:$ZZ$1, 0))</f>
        <v>#N/A</v>
      </c>
      <c r="C1218" t="e">
        <f>INDEX(resultados!$A$2:$ZZ$2290, 1212, MATCH($B$3, resultados!$A$1:$ZZ$1, 0))</f>
        <v>#N/A</v>
      </c>
    </row>
    <row r="1219" spans="1:3" x14ac:dyDescent="0.3">
      <c r="A1219" t="e">
        <f>INDEX(resultados!$A$2:$ZZ$2290, 1213, MATCH($B$1, resultados!$A$1:$ZZ$1, 0))</f>
        <v>#N/A</v>
      </c>
      <c r="B1219" t="e">
        <f>INDEX(resultados!$A$2:$ZZ$2290, 1213, MATCH($B$2, resultados!$A$1:$ZZ$1, 0))</f>
        <v>#N/A</v>
      </c>
      <c r="C1219" t="e">
        <f>INDEX(resultados!$A$2:$ZZ$2290, 1213, MATCH($B$3, resultados!$A$1:$ZZ$1, 0))</f>
        <v>#N/A</v>
      </c>
    </row>
    <row r="1220" spans="1:3" x14ac:dyDescent="0.3">
      <c r="A1220" t="e">
        <f>INDEX(resultados!$A$2:$ZZ$2290, 1214, MATCH($B$1, resultados!$A$1:$ZZ$1, 0))</f>
        <v>#N/A</v>
      </c>
      <c r="B1220" t="e">
        <f>INDEX(resultados!$A$2:$ZZ$2290, 1214, MATCH($B$2, resultados!$A$1:$ZZ$1, 0))</f>
        <v>#N/A</v>
      </c>
      <c r="C1220" t="e">
        <f>INDEX(resultados!$A$2:$ZZ$2290, 1214, MATCH($B$3, resultados!$A$1:$ZZ$1, 0))</f>
        <v>#N/A</v>
      </c>
    </row>
    <row r="1221" spans="1:3" x14ac:dyDescent="0.3">
      <c r="A1221" t="e">
        <f>INDEX(resultados!$A$2:$ZZ$2290, 1215, MATCH($B$1, resultados!$A$1:$ZZ$1, 0))</f>
        <v>#N/A</v>
      </c>
      <c r="B1221" t="e">
        <f>INDEX(resultados!$A$2:$ZZ$2290, 1215, MATCH($B$2, resultados!$A$1:$ZZ$1, 0))</f>
        <v>#N/A</v>
      </c>
      <c r="C1221" t="e">
        <f>INDEX(resultados!$A$2:$ZZ$2290, 1215, MATCH($B$3, resultados!$A$1:$ZZ$1, 0))</f>
        <v>#N/A</v>
      </c>
    </row>
    <row r="1222" spans="1:3" x14ac:dyDescent="0.3">
      <c r="A1222" t="e">
        <f>INDEX(resultados!$A$2:$ZZ$2290, 1216, MATCH($B$1, resultados!$A$1:$ZZ$1, 0))</f>
        <v>#N/A</v>
      </c>
      <c r="B1222" t="e">
        <f>INDEX(resultados!$A$2:$ZZ$2290, 1216, MATCH($B$2, resultados!$A$1:$ZZ$1, 0))</f>
        <v>#N/A</v>
      </c>
      <c r="C1222" t="e">
        <f>INDEX(resultados!$A$2:$ZZ$2290, 1216, MATCH($B$3, resultados!$A$1:$ZZ$1, 0))</f>
        <v>#N/A</v>
      </c>
    </row>
    <row r="1223" spans="1:3" x14ac:dyDescent="0.3">
      <c r="A1223" t="e">
        <f>INDEX(resultados!$A$2:$ZZ$2290, 1217, MATCH($B$1, resultados!$A$1:$ZZ$1, 0))</f>
        <v>#N/A</v>
      </c>
      <c r="B1223" t="e">
        <f>INDEX(resultados!$A$2:$ZZ$2290, 1217, MATCH($B$2, resultados!$A$1:$ZZ$1, 0))</f>
        <v>#N/A</v>
      </c>
      <c r="C1223" t="e">
        <f>INDEX(resultados!$A$2:$ZZ$2290, 1217, MATCH($B$3, resultados!$A$1:$ZZ$1, 0))</f>
        <v>#N/A</v>
      </c>
    </row>
    <row r="1224" spans="1:3" x14ac:dyDescent="0.3">
      <c r="A1224" t="e">
        <f>INDEX(resultados!$A$2:$ZZ$2290, 1218, MATCH($B$1, resultados!$A$1:$ZZ$1, 0))</f>
        <v>#N/A</v>
      </c>
      <c r="B1224" t="e">
        <f>INDEX(resultados!$A$2:$ZZ$2290, 1218, MATCH($B$2, resultados!$A$1:$ZZ$1, 0))</f>
        <v>#N/A</v>
      </c>
      <c r="C1224" t="e">
        <f>INDEX(resultados!$A$2:$ZZ$2290, 1218, MATCH($B$3, resultados!$A$1:$ZZ$1, 0))</f>
        <v>#N/A</v>
      </c>
    </row>
    <row r="1225" spans="1:3" x14ac:dyDescent="0.3">
      <c r="A1225" t="e">
        <f>INDEX(resultados!$A$2:$ZZ$2290, 1219, MATCH($B$1, resultados!$A$1:$ZZ$1, 0))</f>
        <v>#N/A</v>
      </c>
      <c r="B1225" t="e">
        <f>INDEX(resultados!$A$2:$ZZ$2290, 1219, MATCH($B$2, resultados!$A$1:$ZZ$1, 0))</f>
        <v>#N/A</v>
      </c>
      <c r="C1225" t="e">
        <f>INDEX(resultados!$A$2:$ZZ$2290, 1219, MATCH($B$3, resultados!$A$1:$ZZ$1, 0))</f>
        <v>#N/A</v>
      </c>
    </row>
    <row r="1226" spans="1:3" x14ac:dyDescent="0.3">
      <c r="A1226" t="e">
        <f>INDEX(resultados!$A$2:$ZZ$2290, 1220, MATCH($B$1, resultados!$A$1:$ZZ$1, 0))</f>
        <v>#N/A</v>
      </c>
      <c r="B1226" t="e">
        <f>INDEX(resultados!$A$2:$ZZ$2290, 1220, MATCH($B$2, resultados!$A$1:$ZZ$1, 0))</f>
        <v>#N/A</v>
      </c>
      <c r="C1226" t="e">
        <f>INDEX(resultados!$A$2:$ZZ$2290, 1220, MATCH($B$3, resultados!$A$1:$ZZ$1, 0))</f>
        <v>#N/A</v>
      </c>
    </row>
    <row r="1227" spans="1:3" x14ac:dyDescent="0.3">
      <c r="A1227" t="e">
        <f>INDEX(resultados!$A$2:$ZZ$2290, 1221, MATCH($B$1, resultados!$A$1:$ZZ$1, 0))</f>
        <v>#N/A</v>
      </c>
      <c r="B1227" t="e">
        <f>INDEX(resultados!$A$2:$ZZ$2290, 1221, MATCH($B$2, resultados!$A$1:$ZZ$1, 0))</f>
        <v>#N/A</v>
      </c>
      <c r="C1227" t="e">
        <f>INDEX(resultados!$A$2:$ZZ$2290, 1221, MATCH($B$3, resultados!$A$1:$ZZ$1, 0))</f>
        <v>#N/A</v>
      </c>
    </row>
    <row r="1228" spans="1:3" x14ac:dyDescent="0.3">
      <c r="A1228" t="e">
        <f>INDEX(resultados!$A$2:$ZZ$2290, 1222, MATCH($B$1, resultados!$A$1:$ZZ$1, 0))</f>
        <v>#N/A</v>
      </c>
      <c r="B1228" t="e">
        <f>INDEX(resultados!$A$2:$ZZ$2290, 1222, MATCH($B$2, resultados!$A$1:$ZZ$1, 0))</f>
        <v>#N/A</v>
      </c>
      <c r="C1228" t="e">
        <f>INDEX(resultados!$A$2:$ZZ$2290, 1222, MATCH($B$3, resultados!$A$1:$ZZ$1, 0))</f>
        <v>#N/A</v>
      </c>
    </row>
    <row r="1229" spans="1:3" x14ac:dyDescent="0.3">
      <c r="A1229" t="e">
        <f>INDEX(resultados!$A$2:$ZZ$2290, 1223, MATCH($B$1, resultados!$A$1:$ZZ$1, 0))</f>
        <v>#N/A</v>
      </c>
      <c r="B1229" t="e">
        <f>INDEX(resultados!$A$2:$ZZ$2290, 1223, MATCH($B$2, resultados!$A$1:$ZZ$1, 0))</f>
        <v>#N/A</v>
      </c>
      <c r="C1229" t="e">
        <f>INDEX(resultados!$A$2:$ZZ$2290, 1223, MATCH($B$3, resultados!$A$1:$ZZ$1, 0))</f>
        <v>#N/A</v>
      </c>
    </row>
    <row r="1230" spans="1:3" x14ac:dyDescent="0.3">
      <c r="A1230" t="e">
        <f>INDEX(resultados!$A$2:$ZZ$2290, 1224, MATCH($B$1, resultados!$A$1:$ZZ$1, 0))</f>
        <v>#N/A</v>
      </c>
      <c r="B1230" t="e">
        <f>INDEX(resultados!$A$2:$ZZ$2290, 1224, MATCH($B$2, resultados!$A$1:$ZZ$1, 0))</f>
        <v>#N/A</v>
      </c>
      <c r="C1230" t="e">
        <f>INDEX(resultados!$A$2:$ZZ$2290, 1224, MATCH($B$3, resultados!$A$1:$ZZ$1, 0))</f>
        <v>#N/A</v>
      </c>
    </row>
    <row r="1231" spans="1:3" x14ac:dyDescent="0.3">
      <c r="A1231" t="e">
        <f>INDEX(resultados!$A$2:$ZZ$2290, 1225, MATCH($B$1, resultados!$A$1:$ZZ$1, 0))</f>
        <v>#N/A</v>
      </c>
      <c r="B1231" t="e">
        <f>INDEX(resultados!$A$2:$ZZ$2290, 1225, MATCH($B$2, resultados!$A$1:$ZZ$1, 0))</f>
        <v>#N/A</v>
      </c>
      <c r="C1231" t="e">
        <f>INDEX(resultados!$A$2:$ZZ$2290, 1225, MATCH($B$3, resultados!$A$1:$ZZ$1, 0))</f>
        <v>#N/A</v>
      </c>
    </row>
    <row r="1232" spans="1:3" x14ac:dyDescent="0.3">
      <c r="A1232" t="e">
        <f>INDEX(resultados!$A$2:$ZZ$2290, 1226, MATCH($B$1, resultados!$A$1:$ZZ$1, 0))</f>
        <v>#N/A</v>
      </c>
      <c r="B1232" t="e">
        <f>INDEX(resultados!$A$2:$ZZ$2290, 1226, MATCH($B$2, resultados!$A$1:$ZZ$1, 0))</f>
        <v>#N/A</v>
      </c>
      <c r="C1232" t="e">
        <f>INDEX(resultados!$A$2:$ZZ$2290, 1226, MATCH($B$3, resultados!$A$1:$ZZ$1, 0))</f>
        <v>#N/A</v>
      </c>
    </row>
    <row r="1233" spans="1:3" x14ac:dyDescent="0.3">
      <c r="A1233" t="e">
        <f>INDEX(resultados!$A$2:$ZZ$2290, 1227, MATCH($B$1, resultados!$A$1:$ZZ$1, 0))</f>
        <v>#N/A</v>
      </c>
      <c r="B1233" t="e">
        <f>INDEX(resultados!$A$2:$ZZ$2290, 1227, MATCH($B$2, resultados!$A$1:$ZZ$1, 0))</f>
        <v>#N/A</v>
      </c>
      <c r="C1233" t="e">
        <f>INDEX(resultados!$A$2:$ZZ$2290, 1227, MATCH($B$3, resultados!$A$1:$ZZ$1, 0))</f>
        <v>#N/A</v>
      </c>
    </row>
    <row r="1234" spans="1:3" x14ac:dyDescent="0.3">
      <c r="A1234" t="e">
        <f>INDEX(resultados!$A$2:$ZZ$2290, 1228, MATCH($B$1, resultados!$A$1:$ZZ$1, 0))</f>
        <v>#N/A</v>
      </c>
      <c r="B1234" t="e">
        <f>INDEX(resultados!$A$2:$ZZ$2290, 1228, MATCH($B$2, resultados!$A$1:$ZZ$1, 0))</f>
        <v>#N/A</v>
      </c>
      <c r="C1234" t="e">
        <f>INDEX(resultados!$A$2:$ZZ$2290, 1228, MATCH($B$3, resultados!$A$1:$ZZ$1, 0))</f>
        <v>#N/A</v>
      </c>
    </row>
    <row r="1235" spans="1:3" x14ac:dyDescent="0.3">
      <c r="A1235" t="e">
        <f>INDEX(resultados!$A$2:$ZZ$2290, 1229, MATCH($B$1, resultados!$A$1:$ZZ$1, 0))</f>
        <v>#N/A</v>
      </c>
      <c r="B1235" t="e">
        <f>INDEX(resultados!$A$2:$ZZ$2290, 1229, MATCH($B$2, resultados!$A$1:$ZZ$1, 0))</f>
        <v>#N/A</v>
      </c>
      <c r="C1235" t="e">
        <f>INDEX(resultados!$A$2:$ZZ$2290, 1229, MATCH($B$3, resultados!$A$1:$ZZ$1, 0))</f>
        <v>#N/A</v>
      </c>
    </row>
    <row r="1236" spans="1:3" x14ac:dyDescent="0.3">
      <c r="A1236" t="e">
        <f>INDEX(resultados!$A$2:$ZZ$2290, 1230, MATCH($B$1, resultados!$A$1:$ZZ$1, 0))</f>
        <v>#N/A</v>
      </c>
      <c r="B1236" t="e">
        <f>INDEX(resultados!$A$2:$ZZ$2290, 1230, MATCH($B$2, resultados!$A$1:$ZZ$1, 0))</f>
        <v>#N/A</v>
      </c>
      <c r="C1236" t="e">
        <f>INDEX(resultados!$A$2:$ZZ$2290, 1230, MATCH($B$3, resultados!$A$1:$ZZ$1, 0))</f>
        <v>#N/A</v>
      </c>
    </row>
    <row r="1237" spans="1:3" x14ac:dyDescent="0.3">
      <c r="A1237" t="e">
        <f>INDEX(resultados!$A$2:$ZZ$2290, 1231, MATCH($B$1, resultados!$A$1:$ZZ$1, 0))</f>
        <v>#N/A</v>
      </c>
      <c r="B1237" t="e">
        <f>INDEX(resultados!$A$2:$ZZ$2290, 1231, MATCH($B$2, resultados!$A$1:$ZZ$1, 0))</f>
        <v>#N/A</v>
      </c>
      <c r="C1237" t="e">
        <f>INDEX(resultados!$A$2:$ZZ$2290, 1231, MATCH($B$3, resultados!$A$1:$ZZ$1, 0))</f>
        <v>#N/A</v>
      </c>
    </row>
    <row r="1238" spans="1:3" x14ac:dyDescent="0.3">
      <c r="A1238" t="e">
        <f>INDEX(resultados!$A$2:$ZZ$2290, 1232, MATCH($B$1, resultados!$A$1:$ZZ$1, 0))</f>
        <v>#N/A</v>
      </c>
      <c r="B1238" t="e">
        <f>INDEX(resultados!$A$2:$ZZ$2290, 1232, MATCH($B$2, resultados!$A$1:$ZZ$1, 0))</f>
        <v>#N/A</v>
      </c>
      <c r="C1238" t="e">
        <f>INDEX(resultados!$A$2:$ZZ$2290, 1232, MATCH($B$3, resultados!$A$1:$ZZ$1, 0))</f>
        <v>#N/A</v>
      </c>
    </row>
    <row r="1239" spans="1:3" x14ac:dyDescent="0.3">
      <c r="A1239" t="e">
        <f>INDEX(resultados!$A$2:$ZZ$2290, 1233, MATCH($B$1, resultados!$A$1:$ZZ$1, 0))</f>
        <v>#N/A</v>
      </c>
      <c r="B1239" t="e">
        <f>INDEX(resultados!$A$2:$ZZ$2290, 1233, MATCH($B$2, resultados!$A$1:$ZZ$1, 0))</f>
        <v>#N/A</v>
      </c>
      <c r="C1239" t="e">
        <f>INDEX(resultados!$A$2:$ZZ$2290, 1233, MATCH($B$3, resultados!$A$1:$ZZ$1, 0))</f>
        <v>#N/A</v>
      </c>
    </row>
    <row r="1240" spans="1:3" x14ac:dyDescent="0.3">
      <c r="A1240" t="e">
        <f>INDEX(resultados!$A$2:$ZZ$2290, 1234, MATCH($B$1, resultados!$A$1:$ZZ$1, 0))</f>
        <v>#N/A</v>
      </c>
      <c r="B1240" t="e">
        <f>INDEX(resultados!$A$2:$ZZ$2290, 1234, MATCH($B$2, resultados!$A$1:$ZZ$1, 0))</f>
        <v>#N/A</v>
      </c>
      <c r="C1240" t="e">
        <f>INDEX(resultados!$A$2:$ZZ$2290, 1234, MATCH($B$3, resultados!$A$1:$ZZ$1, 0))</f>
        <v>#N/A</v>
      </c>
    </row>
    <row r="1241" spans="1:3" x14ac:dyDescent="0.3">
      <c r="A1241" t="e">
        <f>INDEX(resultados!$A$2:$ZZ$2290, 1235, MATCH($B$1, resultados!$A$1:$ZZ$1, 0))</f>
        <v>#N/A</v>
      </c>
      <c r="B1241" t="e">
        <f>INDEX(resultados!$A$2:$ZZ$2290, 1235, MATCH($B$2, resultados!$A$1:$ZZ$1, 0))</f>
        <v>#N/A</v>
      </c>
      <c r="C1241" t="e">
        <f>INDEX(resultados!$A$2:$ZZ$2290, 1235, MATCH($B$3, resultados!$A$1:$ZZ$1, 0))</f>
        <v>#N/A</v>
      </c>
    </row>
    <row r="1242" spans="1:3" x14ac:dyDescent="0.3">
      <c r="A1242" t="e">
        <f>INDEX(resultados!$A$2:$ZZ$2290, 1236, MATCH($B$1, resultados!$A$1:$ZZ$1, 0))</f>
        <v>#N/A</v>
      </c>
      <c r="B1242" t="e">
        <f>INDEX(resultados!$A$2:$ZZ$2290, 1236, MATCH($B$2, resultados!$A$1:$ZZ$1, 0))</f>
        <v>#N/A</v>
      </c>
      <c r="C1242" t="e">
        <f>INDEX(resultados!$A$2:$ZZ$2290, 1236, MATCH($B$3, resultados!$A$1:$ZZ$1, 0))</f>
        <v>#N/A</v>
      </c>
    </row>
    <row r="1243" spans="1:3" x14ac:dyDescent="0.3">
      <c r="A1243" t="e">
        <f>INDEX(resultados!$A$2:$ZZ$2290, 1237, MATCH($B$1, resultados!$A$1:$ZZ$1, 0))</f>
        <v>#N/A</v>
      </c>
      <c r="B1243" t="e">
        <f>INDEX(resultados!$A$2:$ZZ$2290, 1237, MATCH($B$2, resultados!$A$1:$ZZ$1, 0))</f>
        <v>#N/A</v>
      </c>
      <c r="C1243" t="e">
        <f>INDEX(resultados!$A$2:$ZZ$2290, 1237, MATCH($B$3, resultados!$A$1:$ZZ$1, 0))</f>
        <v>#N/A</v>
      </c>
    </row>
    <row r="1244" spans="1:3" x14ac:dyDescent="0.3">
      <c r="A1244" t="e">
        <f>INDEX(resultados!$A$2:$ZZ$2290, 1238, MATCH($B$1, resultados!$A$1:$ZZ$1, 0))</f>
        <v>#N/A</v>
      </c>
      <c r="B1244" t="e">
        <f>INDEX(resultados!$A$2:$ZZ$2290, 1238, MATCH($B$2, resultados!$A$1:$ZZ$1, 0))</f>
        <v>#N/A</v>
      </c>
      <c r="C1244" t="e">
        <f>INDEX(resultados!$A$2:$ZZ$2290, 1238, MATCH($B$3, resultados!$A$1:$ZZ$1, 0))</f>
        <v>#N/A</v>
      </c>
    </row>
    <row r="1245" spans="1:3" x14ac:dyDescent="0.3">
      <c r="A1245" t="e">
        <f>INDEX(resultados!$A$2:$ZZ$2290, 1239, MATCH($B$1, resultados!$A$1:$ZZ$1, 0))</f>
        <v>#N/A</v>
      </c>
      <c r="B1245" t="e">
        <f>INDEX(resultados!$A$2:$ZZ$2290, 1239, MATCH($B$2, resultados!$A$1:$ZZ$1, 0))</f>
        <v>#N/A</v>
      </c>
      <c r="C1245" t="e">
        <f>INDEX(resultados!$A$2:$ZZ$2290, 1239, MATCH($B$3, resultados!$A$1:$ZZ$1, 0))</f>
        <v>#N/A</v>
      </c>
    </row>
    <row r="1246" spans="1:3" x14ac:dyDescent="0.3">
      <c r="A1246" t="e">
        <f>INDEX(resultados!$A$2:$ZZ$2290, 1240, MATCH($B$1, resultados!$A$1:$ZZ$1, 0))</f>
        <v>#N/A</v>
      </c>
      <c r="B1246" t="e">
        <f>INDEX(resultados!$A$2:$ZZ$2290, 1240, MATCH($B$2, resultados!$A$1:$ZZ$1, 0))</f>
        <v>#N/A</v>
      </c>
      <c r="C1246" t="e">
        <f>INDEX(resultados!$A$2:$ZZ$2290, 1240, MATCH($B$3, resultados!$A$1:$ZZ$1, 0))</f>
        <v>#N/A</v>
      </c>
    </row>
    <row r="1247" spans="1:3" x14ac:dyDescent="0.3">
      <c r="A1247" t="e">
        <f>INDEX(resultados!$A$2:$ZZ$2290, 1241, MATCH($B$1, resultados!$A$1:$ZZ$1, 0))</f>
        <v>#N/A</v>
      </c>
      <c r="B1247" t="e">
        <f>INDEX(resultados!$A$2:$ZZ$2290, 1241, MATCH($B$2, resultados!$A$1:$ZZ$1, 0))</f>
        <v>#N/A</v>
      </c>
      <c r="C1247" t="e">
        <f>INDEX(resultados!$A$2:$ZZ$2290, 1241, MATCH($B$3, resultados!$A$1:$ZZ$1, 0))</f>
        <v>#N/A</v>
      </c>
    </row>
    <row r="1248" spans="1:3" x14ac:dyDescent="0.3">
      <c r="A1248" t="e">
        <f>INDEX(resultados!$A$2:$ZZ$2290, 1242, MATCH($B$1, resultados!$A$1:$ZZ$1, 0))</f>
        <v>#N/A</v>
      </c>
      <c r="B1248" t="e">
        <f>INDEX(resultados!$A$2:$ZZ$2290, 1242, MATCH($B$2, resultados!$A$1:$ZZ$1, 0))</f>
        <v>#N/A</v>
      </c>
      <c r="C1248" t="e">
        <f>INDEX(resultados!$A$2:$ZZ$2290, 1242, MATCH($B$3, resultados!$A$1:$ZZ$1, 0))</f>
        <v>#N/A</v>
      </c>
    </row>
    <row r="1249" spans="1:3" x14ac:dyDescent="0.3">
      <c r="A1249" t="e">
        <f>INDEX(resultados!$A$2:$ZZ$2290, 1243, MATCH($B$1, resultados!$A$1:$ZZ$1, 0))</f>
        <v>#N/A</v>
      </c>
      <c r="B1249" t="e">
        <f>INDEX(resultados!$A$2:$ZZ$2290, 1243, MATCH($B$2, resultados!$A$1:$ZZ$1, 0))</f>
        <v>#N/A</v>
      </c>
      <c r="C1249" t="e">
        <f>INDEX(resultados!$A$2:$ZZ$2290, 1243, MATCH($B$3, resultados!$A$1:$ZZ$1, 0))</f>
        <v>#N/A</v>
      </c>
    </row>
    <row r="1250" spans="1:3" x14ac:dyDescent="0.3">
      <c r="A1250" t="e">
        <f>INDEX(resultados!$A$2:$ZZ$2290, 1244, MATCH($B$1, resultados!$A$1:$ZZ$1, 0))</f>
        <v>#N/A</v>
      </c>
      <c r="B1250" t="e">
        <f>INDEX(resultados!$A$2:$ZZ$2290, 1244, MATCH($B$2, resultados!$A$1:$ZZ$1, 0))</f>
        <v>#N/A</v>
      </c>
      <c r="C1250" t="e">
        <f>INDEX(resultados!$A$2:$ZZ$2290, 1244, MATCH($B$3, resultados!$A$1:$ZZ$1, 0))</f>
        <v>#N/A</v>
      </c>
    </row>
    <row r="1251" spans="1:3" x14ac:dyDescent="0.3">
      <c r="A1251" t="e">
        <f>INDEX(resultados!$A$2:$ZZ$2290, 1245, MATCH($B$1, resultados!$A$1:$ZZ$1, 0))</f>
        <v>#N/A</v>
      </c>
      <c r="B1251" t="e">
        <f>INDEX(resultados!$A$2:$ZZ$2290, 1245, MATCH($B$2, resultados!$A$1:$ZZ$1, 0))</f>
        <v>#N/A</v>
      </c>
      <c r="C1251" t="e">
        <f>INDEX(resultados!$A$2:$ZZ$2290, 1245, MATCH($B$3, resultados!$A$1:$ZZ$1, 0))</f>
        <v>#N/A</v>
      </c>
    </row>
    <row r="1252" spans="1:3" x14ac:dyDescent="0.3">
      <c r="A1252" t="e">
        <f>INDEX(resultados!$A$2:$ZZ$2290, 1246, MATCH($B$1, resultados!$A$1:$ZZ$1, 0))</f>
        <v>#N/A</v>
      </c>
      <c r="B1252" t="e">
        <f>INDEX(resultados!$A$2:$ZZ$2290, 1246, MATCH($B$2, resultados!$A$1:$ZZ$1, 0))</f>
        <v>#N/A</v>
      </c>
      <c r="C1252" t="e">
        <f>INDEX(resultados!$A$2:$ZZ$2290, 1246, MATCH($B$3, resultados!$A$1:$ZZ$1, 0))</f>
        <v>#N/A</v>
      </c>
    </row>
    <row r="1253" spans="1:3" x14ac:dyDescent="0.3">
      <c r="A1253" t="e">
        <f>INDEX(resultados!$A$2:$ZZ$2290, 1247, MATCH($B$1, resultados!$A$1:$ZZ$1, 0))</f>
        <v>#N/A</v>
      </c>
      <c r="B1253" t="e">
        <f>INDEX(resultados!$A$2:$ZZ$2290, 1247, MATCH($B$2, resultados!$A$1:$ZZ$1, 0))</f>
        <v>#N/A</v>
      </c>
      <c r="C1253" t="e">
        <f>INDEX(resultados!$A$2:$ZZ$2290, 1247, MATCH($B$3, resultados!$A$1:$ZZ$1, 0))</f>
        <v>#N/A</v>
      </c>
    </row>
    <row r="1254" spans="1:3" x14ac:dyDescent="0.3">
      <c r="A1254" t="e">
        <f>INDEX(resultados!$A$2:$ZZ$2290, 1248, MATCH($B$1, resultados!$A$1:$ZZ$1, 0))</f>
        <v>#N/A</v>
      </c>
      <c r="B1254" t="e">
        <f>INDEX(resultados!$A$2:$ZZ$2290, 1248, MATCH($B$2, resultados!$A$1:$ZZ$1, 0))</f>
        <v>#N/A</v>
      </c>
      <c r="C1254" t="e">
        <f>INDEX(resultados!$A$2:$ZZ$2290, 1248, MATCH($B$3, resultados!$A$1:$ZZ$1, 0))</f>
        <v>#N/A</v>
      </c>
    </row>
    <row r="1255" spans="1:3" x14ac:dyDescent="0.3">
      <c r="A1255" t="e">
        <f>INDEX(resultados!$A$2:$ZZ$2290, 1249, MATCH($B$1, resultados!$A$1:$ZZ$1, 0))</f>
        <v>#N/A</v>
      </c>
      <c r="B1255" t="e">
        <f>INDEX(resultados!$A$2:$ZZ$2290, 1249, MATCH($B$2, resultados!$A$1:$ZZ$1, 0))</f>
        <v>#N/A</v>
      </c>
      <c r="C1255" t="e">
        <f>INDEX(resultados!$A$2:$ZZ$2290, 1249, MATCH($B$3, resultados!$A$1:$ZZ$1, 0))</f>
        <v>#N/A</v>
      </c>
    </row>
    <row r="1256" spans="1:3" x14ac:dyDescent="0.3">
      <c r="A1256" t="e">
        <f>INDEX(resultados!$A$2:$ZZ$2290, 1250, MATCH($B$1, resultados!$A$1:$ZZ$1, 0))</f>
        <v>#N/A</v>
      </c>
      <c r="B1256" t="e">
        <f>INDEX(resultados!$A$2:$ZZ$2290, 1250, MATCH($B$2, resultados!$A$1:$ZZ$1, 0))</f>
        <v>#N/A</v>
      </c>
      <c r="C1256" t="e">
        <f>INDEX(resultados!$A$2:$ZZ$2290, 1250, MATCH($B$3, resultados!$A$1:$ZZ$1, 0))</f>
        <v>#N/A</v>
      </c>
    </row>
    <row r="1257" spans="1:3" x14ac:dyDescent="0.3">
      <c r="A1257" t="e">
        <f>INDEX(resultados!$A$2:$ZZ$2290, 1251, MATCH($B$1, resultados!$A$1:$ZZ$1, 0))</f>
        <v>#N/A</v>
      </c>
      <c r="B1257" t="e">
        <f>INDEX(resultados!$A$2:$ZZ$2290, 1251, MATCH($B$2, resultados!$A$1:$ZZ$1, 0))</f>
        <v>#N/A</v>
      </c>
      <c r="C1257" t="e">
        <f>INDEX(resultados!$A$2:$ZZ$2290, 1251, MATCH($B$3, resultados!$A$1:$ZZ$1, 0))</f>
        <v>#N/A</v>
      </c>
    </row>
    <row r="1258" spans="1:3" x14ac:dyDescent="0.3">
      <c r="A1258" t="e">
        <f>INDEX(resultados!$A$2:$ZZ$2290, 1252, MATCH($B$1, resultados!$A$1:$ZZ$1, 0))</f>
        <v>#N/A</v>
      </c>
      <c r="B1258" t="e">
        <f>INDEX(resultados!$A$2:$ZZ$2290, 1252, MATCH($B$2, resultados!$A$1:$ZZ$1, 0))</f>
        <v>#N/A</v>
      </c>
      <c r="C1258" t="e">
        <f>INDEX(resultados!$A$2:$ZZ$2290, 1252, MATCH($B$3, resultados!$A$1:$ZZ$1, 0))</f>
        <v>#N/A</v>
      </c>
    </row>
    <row r="1259" spans="1:3" x14ac:dyDescent="0.3">
      <c r="A1259" t="e">
        <f>INDEX(resultados!$A$2:$ZZ$2290, 1253, MATCH($B$1, resultados!$A$1:$ZZ$1, 0))</f>
        <v>#N/A</v>
      </c>
      <c r="B1259" t="e">
        <f>INDEX(resultados!$A$2:$ZZ$2290, 1253, MATCH($B$2, resultados!$A$1:$ZZ$1, 0))</f>
        <v>#N/A</v>
      </c>
      <c r="C1259" t="e">
        <f>INDEX(resultados!$A$2:$ZZ$2290, 1253, MATCH($B$3, resultados!$A$1:$ZZ$1, 0))</f>
        <v>#N/A</v>
      </c>
    </row>
    <row r="1260" spans="1:3" x14ac:dyDescent="0.3">
      <c r="A1260" t="e">
        <f>INDEX(resultados!$A$2:$ZZ$2290, 1254, MATCH($B$1, resultados!$A$1:$ZZ$1, 0))</f>
        <v>#N/A</v>
      </c>
      <c r="B1260" t="e">
        <f>INDEX(resultados!$A$2:$ZZ$2290, 1254, MATCH($B$2, resultados!$A$1:$ZZ$1, 0))</f>
        <v>#N/A</v>
      </c>
      <c r="C1260" t="e">
        <f>INDEX(resultados!$A$2:$ZZ$2290, 1254, MATCH($B$3, resultados!$A$1:$ZZ$1, 0))</f>
        <v>#N/A</v>
      </c>
    </row>
    <row r="1261" spans="1:3" x14ac:dyDescent="0.3">
      <c r="A1261" t="e">
        <f>INDEX(resultados!$A$2:$ZZ$2290, 1255, MATCH($B$1, resultados!$A$1:$ZZ$1, 0))</f>
        <v>#N/A</v>
      </c>
      <c r="B1261" t="e">
        <f>INDEX(resultados!$A$2:$ZZ$2290, 1255, MATCH($B$2, resultados!$A$1:$ZZ$1, 0))</f>
        <v>#N/A</v>
      </c>
      <c r="C1261" t="e">
        <f>INDEX(resultados!$A$2:$ZZ$2290, 1255, MATCH($B$3, resultados!$A$1:$ZZ$1, 0))</f>
        <v>#N/A</v>
      </c>
    </row>
    <row r="1262" spans="1:3" x14ac:dyDescent="0.3">
      <c r="A1262" t="e">
        <f>INDEX(resultados!$A$2:$ZZ$2290, 1256, MATCH($B$1, resultados!$A$1:$ZZ$1, 0))</f>
        <v>#N/A</v>
      </c>
      <c r="B1262" t="e">
        <f>INDEX(resultados!$A$2:$ZZ$2290, 1256, MATCH($B$2, resultados!$A$1:$ZZ$1, 0))</f>
        <v>#N/A</v>
      </c>
      <c r="C1262" t="e">
        <f>INDEX(resultados!$A$2:$ZZ$2290, 1256, MATCH($B$3, resultados!$A$1:$ZZ$1, 0))</f>
        <v>#N/A</v>
      </c>
    </row>
    <row r="1263" spans="1:3" x14ac:dyDescent="0.3">
      <c r="A1263" t="e">
        <f>INDEX(resultados!$A$2:$ZZ$2290, 1257, MATCH($B$1, resultados!$A$1:$ZZ$1, 0))</f>
        <v>#N/A</v>
      </c>
      <c r="B1263" t="e">
        <f>INDEX(resultados!$A$2:$ZZ$2290, 1257, MATCH($B$2, resultados!$A$1:$ZZ$1, 0))</f>
        <v>#N/A</v>
      </c>
      <c r="C1263" t="e">
        <f>INDEX(resultados!$A$2:$ZZ$2290, 1257, MATCH($B$3, resultados!$A$1:$ZZ$1, 0))</f>
        <v>#N/A</v>
      </c>
    </row>
    <row r="1264" spans="1:3" x14ac:dyDescent="0.3">
      <c r="A1264" t="e">
        <f>INDEX(resultados!$A$2:$ZZ$2290, 1258, MATCH($B$1, resultados!$A$1:$ZZ$1, 0))</f>
        <v>#N/A</v>
      </c>
      <c r="B1264" t="e">
        <f>INDEX(resultados!$A$2:$ZZ$2290, 1258, MATCH($B$2, resultados!$A$1:$ZZ$1, 0))</f>
        <v>#N/A</v>
      </c>
      <c r="C1264" t="e">
        <f>INDEX(resultados!$A$2:$ZZ$2290, 1258, MATCH($B$3, resultados!$A$1:$ZZ$1, 0))</f>
        <v>#N/A</v>
      </c>
    </row>
    <row r="1265" spans="1:3" x14ac:dyDescent="0.3">
      <c r="A1265" t="e">
        <f>INDEX(resultados!$A$2:$ZZ$2290, 1259, MATCH($B$1, resultados!$A$1:$ZZ$1, 0))</f>
        <v>#N/A</v>
      </c>
      <c r="B1265" t="e">
        <f>INDEX(resultados!$A$2:$ZZ$2290, 1259, MATCH($B$2, resultados!$A$1:$ZZ$1, 0))</f>
        <v>#N/A</v>
      </c>
      <c r="C1265" t="e">
        <f>INDEX(resultados!$A$2:$ZZ$2290, 1259, MATCH($B$3, resultados!$A$1:$ZZ$1, 0))</f>
        <v>#N/A</v>
      </c>
    </row>
    <row r="1266" spans="1:3" x14ac:dyDescent="0.3">
      <c r="A1266" t="e">
        <f>INDEX(resultados!$A$2:$ZZ$2290, 1260, MATCH($B$1, resultados!$A$1:$ZZ$1, 0))</f>
        <v>#N/A</v>
      </c>
      <c r="B1266" t="e">
        <f>INDEX(resultados!$A$2:$ZZ$2290, 1260, MATCH($B$2, resultados!$A$1:$ZZ$1, 0))</f>
        <v>#N/A</v>
      </c>
      <c r="C1266" t="e">
        <f>INDEX(resultados!$A$2:$ZZ$2290, 1260, MATCH($B$3, resultados!$A$1:$ZZ$1, 0))</f>
        <v>#N/A</v>
      </c>
    </row>
    <row r="1267" spans="1:3" x14ac:dyDescent="0.3">
      <c r="A1267" t="e">
        <f>INDEX(resultados!$A$2:$ZZ$2290, 1261, MATCH($B$1, resultados!$A$1:$ZZ$1, 0))</f>
        <v>#N/A</v>
      </c>
      <c r="B1267" t="e">
        <f>INDEX(resultados!$A$2:$ZZ$2290, 1261, MATCH($B$2, resultados!$A$1:$ZZ$1, 0))</f>
        <v>#N/A</v>
      </c>
      <c r="C1267" t="e">
        <f>INDEX(resultados!$A$2:$ZZ$2290, 1261, MATCH($B$3, resultados!$A$1:$ZZ$1, 0))</f>
        <v>#N/A</v>
      </c>
    </row>
    <row r="1268" spans="1:3" x14ac:dyDescent="0.3">
      <c r="A1268" t="e">
        <f>INDEX(resultados!$A$2:$ZZ$2290, 1262, MATCH($B$1, resultados!$A$1:$ZZ$1, 0))</f>
        <v>#N/A</v>
      </c>
      <c r="B1268" t="e">
        <f>INDEX(resultados!$A$2:$ZZ$2290, 1262, MATCH($B$2, resultados!$A$1:$ZZ$1, 0))</f>
        <v>#N/A</v>
      </c>
      <c r="C1268" t="e">
        <f>INDEX(resultados!$A$2:$ZZ$2290, 1262, MATCH($B$3, resultados!$A$1:$ZZ$1, 0))</f>
        <v>#N/A</v>
      </c>
    </row>
    <row r="1269" spans="1:3" x14ac:dyDescent="0.3">
      <c r="A1269" t="e">
        <f>INDEX(resultados!$A$2:$ZZ$2290, 1263, MATCH($B$1, resultados!$A$1:$ZZ$1, 0))</f>
        <v>#N/A</v>
      </c>
      <c r="B1269" t="e">
        <f>INDEX(resultados!$A$2:$ZZ$2290, 1263, MATCH($B$2, resultados!$A$1:$ZZ$1, 0))</f>
        <v>#N/A</v>
      </c>
      <c r="C1269" t="e">
        <f>INDEX(resultados!$A$2:$ZZ$2290, 1263, MATCH($B$3, resultados!$A$1:$ZZ$1, 0))</f>
        <v>#N/A</v>
      </c>
    </row>
    <row r="1270" spans="1:3" x14ac:dyDescent="0.3">
      <c r="A1270" t="e">
        <f>INDEX(resultados!$A$2:$ZZ$2290, 1264, MATCH($B$1, resultados!$A$1:$ZZ$1, 0))</f>
        <v>#N/A</v>
      </c>
      <c r="B1270" t="e">
        <f>INDEX(resultados!$A$2:$ZZ$2290, 1264, MATCH($B$2, resultados!$A$1:$ZZ$1, 0))</f>
        <v>#N/A</v>
      </c>
      <c r="C1270" t="e">
        <f>INDEX(resultados!$A$2:$ZZ$2290, 1264, MATCH($B$3, resultados!$A$1:$ZZ$1, 0))</f>
        <v>#N/A</v>
      </c>
    </row>
    <row r="1271" spans="1:3" x14ac:dyDescent="0.3">
      <c r="A1271" t="e">
        <f>INDEX(resultados!$A$2:$ZZ$2290, 1265, MATCH($B$1, resultados!$A$1:$ZZ$1, 0))</f>
        <v>#N/A</v>
      </c>
      <c r="B1271" t="e">
        <f>INDEX(resultados!$A$2:$ZZ$2290, 1265, MATCH($B$2, resultados!$A$1:$ZZ$1, 0))</f>
        <v>#N/A</v>
      </c>
      <c r="C1271" t="e">
        <f>INDEX(resultados!$A$2:$ZZ$2290, 1265, MATCH($B$3, resultados!$A$1:$ZZ$1, 0))</f>
        <v>#N/A</v>
      </c>
    </row>
    <row r="1272" spans="1:3" x14ac:dyDescent="0.3">
      <c r="A1272" t="e">
        <f>INDEX(resultados!$A$2:$ZZ$2290, 1266, MATCH($B$1, resultados!$A$1:$ZZ$1, 0))</f>
        <v>#N/A</v>
      </c>
      <c r="B1272" t="e">
        <f>INDEX(resultados!$A$2:$ZZ$2290, 1266, MATCH($B$2, resultados!$A$1:$ZZ$1, 0))</f>
        <v>#N/A</v>
      </c>
      <c r="C1272" t="e">
        <f>INDEX(resultados!$A$2:$ZZ$2290, 1266, MATCH($B$3, resultados!$A$1:$ZZ$1, 0))</f>
        <v>#N/A</v>
      </c>
    </row>
    <row r="1273" spans="1:3" x14ac:dyDescent="0.3">
      <c r="A1273" t="e">
        <f>INDEX(resultados!$A$2:$ZZ$2290, 1267, MATCH($B$1, resultados!$A$1:$ZZ$1, 0))</f>
        <v>#N/A</v>
      </c>
      <c r="B1273" t="e">
        <f>INDEX(resultados!$A$2:$ZZ$2290, 1267, MATCH($B$2, resultados!$A$1:$ZZ$1, 0))</f>
        <v>#N/A</v>
      </c>
      <c r="C1273" t="e">
        <f>INDEX(resultados!$A$2:$ZZ$2290, 1267, MATCH($B$3, resultados!$A$1:$ZZ$1, 0))</f>
        <v>#N/A</v>
      </c>
    </row>
    <row r="1274" spans="1:3" x14ac:dyDescent="0.3">
      <c r="A1274" t="e">
        <f>INDEX(resultados!$A$2:$ZZ$2290, 1268, MATCH($B$1, resultados!$A$1:$ZZ$1, 0))</f>
        <v>#N/A</v>
      </c>
      <c r="B1274" t="e">
        <f>INDEX(resultados!$A$2:$ZZ$2290, 1268, MATCH($B$2, resultados!$A$1:$ZZ$1, 0))</f>
        <v>#N/A</v>
      </c>
      <c r="C1274" t="e">
        <f>INDEX(resultados!$A$2:$ZZ$2290, 1268, MATCH($B$3, resultados!$A$1:$ZZ$1, 0))</f>
        <v>#N/A</v>
      </c>
    </row>
    <row r="1275" spans="1:3" x14ac:dyDescent="0.3">
      <c r="A1275" t="e">
        <f>INDEX(resultados!$A$2:$ZZ$2290, 1269, MATCH($B$1, resultados!$A$1:$ZZ$1, 0))</f>
        <v>#N/A</v>
      </c>
      <c r="B1275" t="e">
        <f>INDEX(resultados!$A$2:$ZZ$2290, 1269, MATCH($B$2, resultados!$A$1:$ZZ$1, 0))</f>
        <v>#N/A</v>
      </c>
      <c r="C1275" t="e">
        <f>INDEX(resultados!$A$2:$ZZ$2290, 1269, MATCH($B$3, resultados!$A$1:$ZZ$1, 0))</f>
        <v>#N/A</v>
      </c>
    </row>
    <row r="1276" spans="1:3" x14ac:dyDescent="0.3">
      <c r="A1276" t="e">
        <f>INDEX(resultados!$A$2:$ZZ$2290, 1270, MATCH($B$1, resultados!$A$1:$ZZ$1, 0))</f>
        <v>#N/A</v>
      </c>
      <c r="B1276" t="e">
        <f>INDEX(resultados!$A$2:$ZZ$2290, 1270, MATCH($B$2, resultados!$A$1:$ZZ$1, 0))</f>
        <v>#N/A</v>
      </c>
      <c r="C1276" t="e">
        <f>INDEX(resultados!$A$2:$ZZ$2290, 1270, MATCH($B$3, resultados!$A$1:$ZZ$1, 0))</f>
        <v>#N/A</v>
      </c>
    </row>
    <row r="1277" spans="1:3" x14ac:dyDescent="0.3">
      <c r="A1277" t="e">
        <f>INDEX(resultados!$A$2:$ZZ$2290, 1271, MATCH($B$1, resultados!$A$1:$ZZ$1, 0))</f>
        <v>#N/A</v>
      </c>
      <c r="B1277" t="e">
        <f>INDEX(resultados!$A$2:$ZZ$2290, 1271, MATCH($B$2, resultados!$A$1:$ZZ$1, 0))</f>
        <v>#N/A</v>
      </c>
      <c r="C1277" t="e">
        <f>INDEX(resultados!$A$2:$ZZ$2290, 1271, MATCH($B$3, resultados!$A$1:$ZZ$1, 0))</f>
        <v>#N/A</v>
      </c>
    </row>
    <row r="1278" spans="1:3" x14ac:dyDescent="0.3">
      <c r="A1278" t="e">
        <f>INDEX(resultados!$A$2:$ZZ$2290, 1272, MATCH($B$1, resultados!$A$1:$ZZ$1, 0))</f>
        <v>#N/A</v>
      </c>
      <c r="B1278" t="e">
        <f>INDEX(resultados!$A$2:$ZZ$2290, 1272, MATCH($B$2, resultados!$A$1:$ZZ$1, 0))</f>
        <v>#N/A</v>
      </c>
      <c r="C1278" t="e">
        <f>INDEX(resultados!$A$2:$ZZ$2290, 1272, MATCH($B$3, resultados!$A$1:$ZZ$1, 0))</f>
        <v>#N/A</v>
      </c>
    </row>
    <row r="1279" spans="1:3" x14ac:dyDescent="0.3">
      <c r="A1279" t="e">
        <f>INDEX(resultados!$A$2:$ZZ$2290, 1273, MATCH($B$1, resultados!$A$1:$ZZ$1, 0))</f>
        <v>#N/A</v>
      </c>
      <c r="B1279" t="e">
        <f>INDEX(resultados!$A$2:$ZZ$2290, 1273, MATCH($B$2, resultados!$A$1:$ZZ$1, 0))</f>
        <v>#N/A</v>
      </c>
      <c r="C1279" t="e">
        <f>INDEX(resultados!$A$2:$ZZ$2290, 1273, MATCH($B$3, resultados!$A$1:$ZZ$1, 0))</f>
        <v>#N/A</v>
      </c>
    </row>
    <row r="1280" spans="1:3" x14ac:dyDescent="0.3">
      <c r="A1280" t="e">
        <f>INDEX(resultados!$A$2:$ZZ$2290, 1274, MATCH($B$1, resultados!$A$1:$ZZ$1, 0))</f>
        <v>#N/A</v>
      </c>
      <c r="B1280" t="e">
        <f>INDEX(resultados!$A$2:$ZZ$2290, 1274, MATCH($B$2, resultados!$A$1:$ZZ$1, 0))</f>
        <v>#N/A</v>
      </c>
      <c r="C1280" t="e">
        <f>INDEX(resultados!$A$2:$ZZ$2290, 1274, MATCH($B$3, resultados!$A$1:$ZZ$1, 0))</f>
        <v>#N/A</v>
      </c>
    </row>
    <row r="1281" spans="1:3" x14ac:dyDescent="0.3">
      <c r="A1281" t="e">
        <f>INDEX(resultados!$A$2:$ZZ$2290, 1275, MATCH($B$1, resultados!$A$1:$ZZ$1, 0))</f>
        <v>#N/A</v>
      </c>
      <c r="B1281" t="e">
        <f>INDEX(resultados!$A$2:$ZZ$2290, 1275, MATCH($B$2, resultados!$A$1:$ZZ$1, 0))</f>
        <v>#N/A</v>
      </c>
      <c r="C1281" t="e">
        <f>INDEX(resultados!$A$2:$ZZ$2290, 1275, MATCH($B$3, resultados!$A$1:$ZZ$1, 0))</f>
        <v>#N/A</v>
      </c>
    </row>
    <row r="1282" spans="1:3" x14ac:dyDescent="0.3">
      <c r="A1282" t="e">
        <f>INDEX(resultados!$A$2:$ZZ$2290, 1276, MATCH($B$1, resultados!$A$1:$ZZ$1, 0))</f>
        <v>#N/A</v>
      </c>
      <c r="B1282" t="e">
        <f>INDEX(resultados!$A$2:$ZZ$2290, 1276, MATCH($B$2, resultados!$A$1:$ZZ$1, 0))</f>
        <v>#N/A</v>
      </c>
      <c r="C1282" t="e">
        <f>INDEX(resultados!$A$2:$ZZ$2290, 1276, MATCH($B$3, resultados!$A$1:$ZZ$1, 0))</f>
        <v>#N/A</v>
      </c>
    </row>
    <row r="1283" spans="1:3" x14ac:dyDescent="0.3">
      <c r="A1283" t="e">
        <f>INDEX(resultados!$A$2:$ZZ$2290, 1277, MATCH($B$1, resultados!$A$1:$ZZ$1, 0))</f>
        <v>#N/A</v>
      </c>
      <c r="B1283" t="e">
        <f>INDEX(resultados!$A$2:$ZZ$2290, 1277, MATCH($B$2, resultados!$A$1:$ZZ$1, 0))</f>
        <v>#N/A</v>
      </c>
      <c r="C1283" t="e">
        <f>INDEX(resultados!$A$2:$ZZ$2290, 1277, MATCH($B$3, resultados!$A$1:$ZZ$1, 0))</f>
        <v>#N/A</v>
      </c>
    </row>
    <row r="1284" spans="1:3" x14ac:dyDescent="0.3">
      <c r="A1284" t="e">
        <f>INDEX(resultados!$A$2:$ZZ$2290, 1278, MATCH($B$1, resultados!$A$1:$ZZ$1, 0))</f>
        <v>#N/A</v>
      </c>
      <c r="B1284" t="e">
        <f>INDEX(resultados!$A$2:$ZZ$2290, 1278, MATCH($B$2, resultados!$A$1:$ZZ$1, 0))</f>
        <v>#N/A</v>
      </c>
      <c r="C1284" t="e">
        <f>INDEX(resultados!$A$2:$ZZ$2290, 1278, MATCH($B$3, resultados!$A$1:$ZZ$1, 0))</f>
        <v>#N/A</v>
      </c>
    </row>
    <row r="1285" spans="1:3" x14ac:dyDescent="0.3">
      <c r="A1285" t="e">
        <f>INDEX(resultados!$A$2:$ZZ$2290, 1279, MATCH($B$1, resultados!$A$1:$ZZ$1, 0))</f>
        <v>#N/A</v>
      </c>
      <c r="B1285" t="e">
        <f>INDEX(resultados!$A$2:$ZZ$2290, 1279, MATCH($B$2, resultados!$A$1:$ZZ$1, 0))</f>
        <v>#N/A</v>
      </c>
      <c r="C1285" t="e">
        <f>INDEX(resultados!$A$2:$ZZ$2290, 1279, MATCH($B$3, resultados!$A$1:$ZZ$1, 0))</f>
        <v>#N/A</v>
      </c>
    </row>
    <row r="1286" spans="1:3" x14ac:dyDescent="0.3">
      <c r="A1286" t="e">
        <f>INDEX(resultados!$A$2:$ZZ$2290, 1280, MATCH($B$1, resultados!$A$1:$ZZ$1, 0))</f>
        <v>#N/A</v>
      </c>
      <c r="B1286" t="e">
        <f>INDEX(resultados!$A$2:$ZZ$2290, 1280, MATCH($B$2, resultados!$A$1:$ZZ$1, 0))</f>
        <v>#N/A</v>
      </c>
      <c r="C1286" t="e">
        <f>INDEX(resultados!$A$2:$ZZ$2290, 1280, MATCH($B$3, resultados!$A$1:$ZZ$1, 0))</f>
        <v>#N/A</v>
      </c>
    </row>
    <row r="1287" spans="1:3" x14ac:dyDescent="0.3">
      <c r="A1287" t="e">
        <f>INDEX(resultados!$A$2:$ZZ$2290, 1281, MATCH($B$1, resultados!$A$1:$ZZ$1, 0))</f>
        <v>#N/A</v>
      </c>
      <c r="B1287" t="e">
        <f>INDEX(resultados!$A$2:$ZZ$2290, 1281, MATCH($B$2, resultados!$A$1:$ZZ$1, 0))</f>
        <v>#N/A</v>
      </c>
      <c r="C1287" t="e">
        <f>INDEX(resultados!$A$2:$ZZ$2290, 1281, MATCH($B$3, resultados!$A$1:$ZZ$1, 0))</f>
        <v>#N/A</v>
      </c>
    </row>
    <row r="1288" spans="1:3" x14ac:dyDescent="0.3">
      <c r="A1288" t="e">
        <f>INDEX(resultados!$A$2:$ZZ$2290, 1282, MATCH($B$1, resultados!$A$1:$ZZ$1, 0))</f>
        <v>#N/A</v>
      </c>
      <c r="B1288" t="e">
        <f>INDEX(resultados!$A$2:$ZZ$2290, 1282, MATCH($B$2, resultados!$A$1:$ZZ$1, 0))</f>
        <v>#N/A</v>
      </c>
      <c r="C1288" t="e">
        <f>INDEX(resultados!$A$2:$ZZ$2290, 1282, MATCH($B$3, resultados!$A$1:$ZZ$1, 0))</f>
        <v>#N/A</v>
      </c>
    </row>
    <row r="1289" spans="1:3" x14ac:dyDescent="0.3">
      <c r="A1289" t="e">
        <f>INDEX(resultados!$A$2:$ZZ$2290, 1283, MATCH($B$1, resultados!$A$1:$ZZ$1, 0))</f>
        <v>#N/A</v>
      </c>
      <c r="B1289" t="e">
        <f>INDEX(resultados!$A$2:$ZZ$2290, 1283, MATCH($B$2, resultados!$A$1:$ZZ$1, 0))</f>
        <v>#N/A</v>
      </c>
      <c r="C1289" t="e">
        <f>INDEX(resultados!$A$2:$ZZ$2290, 1283, MATCH($B$3, resultados!$A$1:$ZZ$1, 0))</f>
        <v>#N/A</v>
      </c>
    </row>
    <row r="1290" spans="1:3" x14ac:dyDescent="0.3">
      <c r="A1290" t="e">
        <f>INDEX(resultados!$A$2:$ZZ$2290, 1284, MATCH($B$1, resultados!$A$1:$ZZ$1, 0))</f>
        <v>#N/A</v>
      </c>
      <c r="B1290" t="e">
        <f>INDEX(resultados!$A$2:$ZZ$2290, 1284, MATCH($B$2, resultados!$A$1:$ZZ$1, 0))</f>
        <v>#N/A</v>
      </c>
      <c r="C1290" t="e">
        <f>INDEX(resultados!$A$2:$ZZ$2290, 1284, MATCH($B$3, resultados!$A$1:$ZZ$1, 0))</f>
        <v>#N/A</v>
      </c>
    </row>
    <row r="1291" spans="1:3" x14ac:dyDescent="0.3">
      <c r="A1291" t="e">
        <f>INDEX(resultados!$A$2:$ZZ$2290, 1285, MATCH($B$1, resultados!$A$1:$ZZ$1, 0))</f>
        <v>#N/A</v>
      </c>
      <c r="B1291" t="e">
        <f>INDEX(resultados!$A$2:$ZZ$2290, 1285, MATCH($B$2, resultados!$A$1:$ZZ$1, 0))</f>
        <v>#N/A</v>
      </c>
      <c r="C1291" t="e">
        <f>INDEX(resultados!$A$2:$ZZ$2290, 1285, MATCH($B$3, resultados!$A$1:$ZZ$1, 0))</f>
        <v>#N/A</v>
      </c>
    </row>
    <row r="1292" spans="1:3" x14ac:dyDescent="0.3">
      <c r="A1292" t="e">
        <f>INDEX(resultados!$A$2:$ZZ$2290, 1286, MATCH($B$1, resultados!$A$1:$ZZ$1, 0))</f>
        <v>#N/A</v>
      </c>
      <c r="B1292" t="e">
        <f>INDEX(resultados!$A$2:$ZZ$2290, 1286, MATCH($B$2, resultados!$A$1:$ZZ$1, 0))</f>
        <v>#N/A</v>
      </c>
      <c r="C1292" t="e">
        <f>INDEX(resultados!$A$2:$ZZ$2290, 1286, MATCH($B$3, resultados!$A$1:$ZZ$1, 0))</f>
        <v>#N/A</v>
      </c>
    </row>
    <row r="1293" spans="1:3" x14ac:dyDescent="0.3">
      <c r="A1293" t="e">
        <f>INDEX(resultados!$A$2:$ZZ$2290, 1287, MATCH($B$1, resultados!$A$1:$ZZ$1, 0))</f>
        <v>#N/A</v>
      </c>
      <c r="B1293" t="e">
        <f>INDEX(resultados!$A$2:$ZZ$2290, 1287, MATCH($B$2, resultados!$A$1:$ZZ$1, 0))</f>
        <v>#N/A</v>
      </c>
      <c r="C1293" t="e">
        <f>INDEX(resultados!$A$2:$ZZ$2290, 1287, MATCH($B$3, resultados!$A$1:$ZZ$1, 0))</f>
        <v>#N/A</v>
      </c>
    </row>
    <row r="1294" spans="1:3" x14ac:dyDescent="0.3">
      <c r="A1294" t="e">
        <f>INDEX(resultados!$A$2:$ZZ$2290, 1288, MATCH($B$1, resultados!$A$1:$ZZ$1, 0))</f>
        <v>#N/A</v>
      </c>
      <c r="B1294" t="e">
        <f>INDEX(resultados!$A$2:$ZZ$2290, 1288, MATCH($B$2, resultados!$A$1:$ZZ$1, 0))</f>
        <v>#N/A</v>
      </c>
      <c r="C1294" t="e">
        <f>INDEX(resultados!$A$2:$ZZ$2290, 1288, MATCH($B$3, resultados!$A$1:$ZZ$1, 0))</f>
        <v>#N/A</v>
      </c>
    </row>
    <row r="1295" spans="1:3" x14ac:dyDescent="0.3">
      <c r="A1295" t="e">
        <f>INDEX(resultados!$A$2:$ZZ$2290, 1289, MATCH($B$1, resultados!$A$1:$ZZ$1, 0))</f>
        <v>#N/A</v>
      </c>
      <c r="B1295" t="e">
        <f>INDEX(resultados!$A$2:$ZZ$2290, 1289, MATCH($B$2, resultados!$A$1:$ZZ$1, 0))</f>
        <v>#N/A</v>
      </c>
      <c r="C1295" t="e">
        <f>INDEX(resultados!$A$2:$ZZ$2290, 1289, MATCH($B$3, resultados!$A$1:$ZZ$1, 0))</f>
        <v>#N/A</v>
      </c>
    </row>
    <row r="1296" spans="1:3" x14ac:dyDescent="0.3">
      <c r="A1296" t="e">
        <f>INDEX(resultados!$A$2:$ZZ$2290, 1290, MATCH($B$1, resultados!$A$1:$ZZ$1, 0))</f>
        <v>#N/A</v>
      </c>
      <c r="B1296" t="e">
        <f>INDEX(resultados!$A$2:$ZZ$2290, 1290, MATCH($B$2, resultados!$A$1:$ZZ$1, 0))</f>
        <v>#N/A</v>
      </c>
      <c r="C1296" t="e">
        <f>INDEX(resultados!$A$2:$ZZ$2290, 1290, MATCH($B$3, resultados!$A$1:$ZZ$1, 0))</f>
        <v>#N/A</v>
      </c>
    </row>
    <row r="1297" spans="1:3" x14ac:dyDescent="0.3">
      <c r="A1297" t="e">
        <f>INDEX(resultados!$A$2:$ZZ$2290, 1291, MATCH($B$1, resultados!$A$1:$ZZ$1, 0))</f>
        <v>#N/A</v>
      </c>
      <c r="B1297" t="e">
        <f>INDEX(resultados!$A$2:$ZZ$2290, 1291, MATCH($B$2, resultados!$A$1:$ZZ$1, 0))</f>
        <v>#N/A</v>
      </c>
      <c r="C1297" t="e">
        <f>INDEX(resultados!$A$2:$ZZ$2290, 1291, MATCH($B$3, resultados!$A$1:$ZZ$1, 0))</f>
        <v>#N/A</v>
      </c>
    </row>
    <row r="1298" spans="1:3" x14ac:dyDescent="0.3">
      <c r="A1298" t="e">
        <f>INDEX(resultados!$A$2:$ZZ$2290, 1292, MATCH($B$1, resultados!$A$1:$ZZ$1, 0))</f>
        <v>#N/A</v>
      </c>
      <c r="B1298" t="e">
        <f>INDEX(resultados!$A$2:$ZZ$2290, 1292, MATCH($B$2, resultados!$A$1:$ZZ$1, 0))</f>
        <v>#N/A</v>
      </c>
      <c r="C1298" t="e">
        <f>INDEX(resultados!$A$2:$ZZ$2290, 1292, MATCH($B$3, resultados!$A$1:$ZZ$1, 0))</f>
        <v>#N/A</v>
      </c>
    </row>
    <row r="1299" spans="1:3" x14ac:dyDescent="0.3">
      <c r="A1299" t="e">
        <f>INDEX(resultados!$A$2:$ZZ$2290, 1293, MATCH($B$1, resultados!$A$1:$ZZ$1, 0))</f>
        <v>#N/A</v>
      </c>
      <c r="B1299" t="e">
        <f>INDEX(resultados!$A$2:$ZZ$2290, 1293, MATCH($B$2, resultados!$A$1:$ZZ$1, 0))</f>
        <v>#N/A</v>
      </c>
      <c r="C1299" t="e">
        <f>INDEX(resultados!$A$2:$ZZ$2290, 1293, MATCH($B$3, resultados!$A$1:$ZZ$1, 0))</f>
        <v>#N/A</v>
      </c>
    </row>
    <row r="1300" spans="1:3" x14ac:dyDescent="0.3">
      <c r="A1300" t="e">
        <f>INDEX(resultados!$A$2:$ZZ$2290, 1294, MATCH($B$1, resultados!$A$1:$ZZ$1, 0))</f>
        <v>#N/A</v>
      </c>
      <c r="B1300" t="e">
        <f>INDEX(resultados!$A$2:$ZZ$2290, 1294, MATCH($B$2, resultados!$A$1:$ZZ$1, 0))</f>
        <v>#N/A</v>
      </c>
      <c r="C1300" t="e">
        <f>INDEX(resultados!$A$2:$ZZ$2290, 1294, MATCH($B$3, resultados!$A$1:$ZZ$1, 0))</f>
        <v>#N/A</v>
      </c>
    </row>
    <row r="1301" spans="1:3" x14ac:dyDescent="0.3">
      <c r="A1301" t="e">
        <f>INDEX(resultados!$A$2:$ZZ$2290, 1295, MATCH($B$1, resultados!$A$1:$ZZ$1, 0))</f>
        <v>#N/A</v>
      </c>
      <c r="B1301" t="e">
        <f>INDEX(resultados!$A$2:$ZZ$2290, 1295, MATCH($B$2, resultados!$A$1:$ZZ$1, 0))</f>
        <v>#N/A</v>
      </c>
      <c r="C1301" t="e">
        <f>INDEX(resultados!$A$2:$ZZ$2290, 1295, MATCH($B$3, resultados!$A$1:$ZZ$1, 0))</f>
        <v>#N/A</v>
      </c>
    </row>
    <row r="1302" spans="1:3" x14ac:dyDescent="0.3">
      <c r="A1302" t="e">
        <f>INDEX(resultados!$A$2:$ZZ$2290, 1296, MATCH($B$1, resultados!$A$1:$ZZ$1, 0))</f>
        <v>#N/A</v>
      </c>
      <c r="B1302" t="e">
        <f>INDEX(resultados!$A$2:$ZZ$2290, 1296, MATCH($B$2, resultados!$A$1:$ZZ$1, 0))</f>
        <v>#N/A</v>
      </c>
      <c r="C1302" t="e">
        <f>INDEX(resultados!$A$2:$ZZ$2290, 1296, MATCH($B$3, resultados!$A$1:$ZZ$1, 0))</f>
        <v>#N/A</v>
      </c>
    </row>
    <row r="1303" spans="1:3" x14ac:dyDescent="0.3">
      <c r="A1303" t="e">
        <f>INDEX(resultados!$A$2:$ZZ$2290, 1297, MATCH($B$1, resultados!$A$1:$ZZ$1, 0))</f>
        <v>#N/A</v>
      </c>
      <c r="B1303" t="e">
        <f>INDEX(resultados!$A$2:$ZZ$2290, 1297, MATCH($B$2, resultados!$A$1:$ZZ$1, 0))</f>
        <v>#N/A</v>
      </c>
      <c r="C1303" t="e">
        <f>INDEX(resultados!$A$2:$ZZ$2290, 1297, MATCH($B$3, resultados!$A$1:$ZZ$1, 0))</f>
        <v>#N/A</v>
      </c>
    </row>
    <row r="1304" spans="1:3" x14ac:dyDescent="0.3">
      <c r="A1304" t="e">
        <f>INDEX(resultados!$A$2:$ZZ$2290, 1298, MATCH($B$1, resultados!$A$1:$ZZ$1, 0))</f>
        <v>#N/A</v>
      </c>
      <c r="B1304" t="e">
        <f>INDEX(resultados!$A$2:$ZZ$2290, 1298, MATCH($B$2, resultados!$A$1:$ZZ$1, 0))</f>
        <v>#N/A</v>
      </c>
      <c r="C1304" t="e">
        <f>INDEX(resultados!$A$2:$ZZ$2290, 1298, MATCH($B$3, resultados!$A$1:$ZZ$1, 0))</f>
        <v>#N/A</v>
      </c>
    </row>
    <row r="1305" spans="1:3" x14ac:dyDescent="0.3">
      <c r="A1305" t="e">
        <f>INDEX(resultados!$A$2:$ZZ$2290, 1299, MATCH($B$1, resultados!$A$1:$ZZ$1, 0))</f>
        <v>#N/A</v>
      </c>
      <c r="B1305" t="e">
        <f>INDEX(resultados!$A$2:$ZZ$2290, 1299, MATCH($B$2, resultados!$A$1:$ZZ$1, 0))</f>
        <v>#N/A</v>
      </c>
      <c r="C1305" t="e">
        <f>INDEX(resultados!$A$2:$ZZ$2290, 1299, MATCH($B$3, resultados!$A$1:$ZZ$1, 0))</f>
        <v>#N/A</v>
      </c>
    </row>
    <row r="1306" spans="1:3" x14ac:dyDescent="0.3">
      <c r="A1306" t="e">
        <f>INDEX(resultados!$A$2:$ZZ$2290, 1300, MATCH($B$1, resultados!$A$1:$ZZ$1, 0))</f>
        <v>#N/A</v>
      </c>
      <c r="B1306" t="e">
        <f>INDEX(resultados!$A$2:$ZZ$2290, 1300, MATCH($B$2, resultados!$A$1:$ZZ$1, 0))</f>
        <v>#N/A</v>
      </c>
      <c r="C1306" t="e">
        <f>INDEX(resultados!$A$2:$ZZ$2290, 1300, MATCH($B$3, resultados!$A$1:$ZZ$1, 0))</f>
        <v>#N/A</v>
      </c>
    </row>
    <row r="1307" spans="1:3" x14ac:dyDescent="0.3">
      <c r="A1307" t="e">
        <f>INDEX(resultados!$A$2:$ZZ$2290, 1301, MATCH($B$1, resultados!$A$1:$ZZ$1, 0))</f>
        <v>#N/A</v>
      </c>
      <c r="B1307" t="e">
        <f>INDEX(resultados!$A$2:$ZZ$2290, 1301, MATCH($B$2, resultados!$A$1:$ZZ$1, 0))</f>
        <v>#N/A</v>
      </c>
      <c r="C1307" t="e">
        <f>INDEX(resultados!$A$2:$ZZ$2290, 1301, MATCH($B$3, resultados!$A$1:$ZZ$1, 0))</f>
        <v>#N/A</v>
      </c>
    </row>
    <row r="1308" spans="1:3" x14ac:dyDescent="0.3">
      <c r="A1308" t="e">
        <f>INDEX(resultados!$A$2:$ZZ$2290, 1302, MATCH($B$1, resultados!$A$1:$ZZ$1, 0))</f>
        <v>#N/A</v>
      </c>
      <c r="B1308" t="e">
        <f>INDEX(resultados!$A$2:$ZZ$2290, 1302, MATCH($B$2, resultados!$A$1:$ZZ$1, 0))</f>
        <v>#N/A</v>
      </c>
      <c r="C1308" t="e">
        <f>INDEX(resultados!$A$2:$ZZ$2290, 1302, MATCH($B$3, resultados!$A$1:$ZZ$1, 0))</f>
        <v>#N/A</v>
      </c>
    </row>
    <row r="1309" spans="1:3" x14ac:dyDescent="0.3">
      <c r="A1309" t="e">
        <f>INDEX(resultados!$A$2:$ZZ$2290, 1303, MATCH($B$1, resultados!$A$1:$ZZ$1, 0))</f>
        <v>#N/A</v>
      </c>
      <c r="B1309" t="e">
        <f>INDEX(resultados!$A$2:$ZZ$2290, 1303, MATCH($B$2, resultados!$A$1:$ZZ$1, 0))</f>
        <v>#N/A</v>
      </c>
      <c r="C1309" t="e">
        <f>INDEX(resultados!$A$2:$ZZ$2290, 1303, MATCH($B$3, resultados!$A$1:$ZZ$1, 0))</f>
        <v>#N/A</v>
      </c>
    </row>
    <row r="1310" spans="1:3" x14ac:dyDescent="0.3">
      <c r="A1310" t="e">
        <f>INDEX(resultados!$A$2:$ZZ$2290, 1304, MATCH($B$1, resultados!$A$1:$ZZ$1, 0))</f>
        <v>#N/A</v>
      </c>
      <c r="B1310" t="e">
        <f>INDEX(resultados!$A$2:$ZZ$2290, 1304, MATCH($B$2, resultados!$A$1:$ZZ$1, 0))</f>
        <v>#N/A</v>
      </c>
      <c r="C1310" t="e">
        <f>INDEX(resultados!$A$2:$ZZ$2290, 1304, MATCH($B$3, resultados!$A$1:$ZZ$1, 0))</f>
        <v>#N/A</v>
      </c>
    </row>
    <row r="1311" spans="1:3" x14ac:dyDescent="0.3">
      <c r="A1311" t="e">
        <f>INDEX(resultados!$A$2:$ZZ$2290, 1305, MATCH($B$1, resultados!$A$1:$ZZ$1, 0))</f>
        <v>#N/A</v>
      </c>
      <c r="B1311" t="e">
        <f>INDEX(resultados!$A$2:$ZZ$2290, 1305, MATCH($B$2, resultados!$A$1:$ZZ$1, 0))</f>
        <v>#N/A</v>
      </c>
      <c r="C1311" t="e">
        <f>INDEX(resultados!$A$2:$ZZ$2290, 1305, MATCH($B$3, resultados!$A$1:$ZZ$1, 0))</f>
        <v>#N/A</v>
      </c>
    </row>
    <row r="1312" spans="1:3" x14ac:dyDescent="0.3">
      <c r="A1312" t="e">
        <f>INDEX(resultados!$A$2:$ZZ$2290, 1306, MATCH($B$1, resultados!$A$1:$ZZ$1, 0))</f>
        <v>#N/A</v>
      </c>
      <c r="B1312" t="e">
        <f>INDEX(resultados!$A$2:$ZZ$2290, 1306, MATCH($B$2, resultados!$A$1:$ZZ$1, 0))</f>
        <v>#N/A</v>
      </c>
      <c r="C1312" t="e">
        <f>INDEX(resultados!$A$2:$ZZ$2290, 1306, MATCH($B$3, resultados!$A$1:$ZZ$1, 0))</f>
        <v>#N/A</v>
      </c>
    </row>
    <row r="1313" spans="1:3" x14ac:dyDescent="0.3">
      <c r="A1313" t="e">
        <f>INDEX(resultados!$A$2:$ZZ$2290, 1307, MATCH($B$1, resultados!$A$1:$ZZ$1, 0))</f>
        <v>#N/A</v>
      </c>
      <c r="B1313" t="e">
        <f>INDEX(resultados!$A$2:$ZZ$2290, 1307, MATCH($B$2, resultados!$A$1:$ZZ$1, 0))</f>
        <v>#N/A</v>
      </c>
      <c r="C1313" t="e">
        <f>INDEX(resultados!$A$2:$ZZ$2290, 1307, MATCH($B$3, resultados!$A$1:$ZZ$1, 0))</f>
        <v>#N/A</v>
      </c>
    </row>
    <row r="1314" spans="1:3" x14ac:dyDescent="0.3">
      <c r="A1314" t="e">
        <f>INDEX(resultados!$A$2:$ZZ$2290, 1308, MATCH($B$1, resultados!$A$1:$ZZ$1, 0))</f>
        <v>#N/A</v>
      </c>
      <c r="B1314" t="e">
        <f>INDEX(resultados!$A$2:$ZZ$2290, 1308, MATCH($B$2, resultados!$A$1:$ZZ$1, 0))</f>
        <v>#N/A</v>
      </c>
      <c r="C1314" t="e">
        <f>INDEX(resultados!$A$2:$ZZ$2290, 1308, MATCH($B$3, resultados!$A$1:$ZZ$1, 0))</f>
        <v>#N/A</v>
      </c>
    </row>
    <row r="1315" spans="1:3" x14ac:dyDescent="0.3">
      <c r="A1315" t="e">
        <f>INDEX(resultados!$A$2:$ZZ$2290, 1309, MATCH($B$1, resultados!$A$1:$ZZ$1, 0))</f>
        <v>#N/A</v>
      </c>
      <c r="B1315" t="e">
        <f>INDEX(resultados!$A$2:$ZZ$2290, 1309, MATCH($B$2, resultados!$A$1:$ZZ$1, 0))</f>
        <v>#N/A</v>
      </c>
      <c r="C1315" t="e">
        <f>INDEX(resultados!$A$2:$ZZ$2290, 1309, MATCH($B$3, resultados!$A$1:$ZZ$1, 0))</f>
        <v>#N/A</v>
      </c>
    </row>
    <row r="1316" spans="1:3" x14ac:dyDescent="0.3">
      <c r="A1316" t="e">
        <f>INDEX(resultados!$A$2:$ZZ$2290, 1310, MATCH($B$1, resultados!$A$1:$ZZ$1, 0))</f>
        <v>#N/A</v>
      </c>
      <c r="B1316" t="e">
        <f>INDEX(resultados!$A$2:$ZZ$2290, 1310, MATCH($B$2, resultados!$A$1:$ZZ$1, 0))</f>
        <v>#N/A</v>
      </c>
      <c r="C1316" t="e">
        <f>INDEX(resultados!$A$2:$ZZ$2290, 1310, MATCH($B$3, resultados!$A$1:$ZZ$1, 0))</f>
        <v>#N/A</v>
      </c>
    </row>
    <row r="1317" spans="1:3" x14ac:dyDescent="0.3">
      <c r="A1317" t="e">
        <f>INDEX(resultados!$A$2:$ZZ$2290, 1311, MATCH($B$1, resultados!$A$1:$ZZ$1, 0))</f>
        <v>#N/A</v>
      </c>
      <c r="B1317" t="e">
        <f>INDEX(resultados!$A$2:$ZZ$2290, 1311, MATCH($B$2, resultados!$A$1:$ZZ$1, 0))</f>
        <v>#N/A</v>
      </c>
      <c r="C1317" t="e">
        <f>INDEX(resultados!$A$2:$ZZ$2290, 1311, MATCH($B$3, resultados!$A$1:$ZZ$1, 0))</f>
        <v>#N/A</v>
      </c>
    </row>
    <row r="1318" spans="1:3" x14ac:dyDescent="0.3">
      <c r="A1318" t="e">
        <f>INDEX(resultados!$A$2:$ZZ$2290, 1312, MATCH($B$1, resultados!$A$1:$ZZ$1, 0))</f>
        <v>#N/A</v>
      </c>
      <c r="B1318" t="e">
        <f>INDEX(resultados!$A$2:$ZZ$2290, 1312, MATCH($B$2, resultados!$A$1:$ZZ$1, 0))</f>
        <v>#N/A</v>
      </c>
      <c r="C1318" t="e">
        <f>INDEX(resultados!$A$2:$ZZ$2290, 1312, MATCH($B$3, resultados!$A$1:$ZZ$1, 0))</f>
        <v>#N/A</v>
      </c>
    </row>
    <row r="1319" spans="1:3" x14ac:dyDescent="0.3">
      <c r="A1319" t="e">
        <f>INDEX(resultados!$A$2:$ZZ$2290, 1313, MATCH($B$1, resultados!$A$1:$ZZ$1, 0))</f>
        <v>#N/A</v>
      </c>
      <c r="B1319" t="e">
        <f>INDEX(resultados!$A$2:$ZZ$2290, 1313, MATCH($B$2, resultados!$A$1:$ZZ$1, 0))</f>
        <v>#N/A</v>
      </c>
      <c r="C1319" t="e">
        <f>INDEX(resultados!$A$2:$ZZ$2290, 1313, MATCH($B$3, resultados!$A$1:$ZZ$1, 0))</f>
        <v>#N/A</v>
      </c>
    </row>
    <row r="1320" spans="1:3" x14ac:dyDescent="0.3">
      <c r="A1320" t="e">
        <f>INDEX(resultados!$A$2:$ZZ$2290, 1314, MATCH($B$1, resultados!$A$1:$ZZ$1, 0))</f>
        <v>#N/A</v>
      </c>
      <c r="B1320" t="e">
        <f>INDEX(resultados!$A$2:$ZZ$2290, 1314, MATCH($B$2, resultados!$A$1:$ZZ$1, 0))</f>
        <v>#N/A</v>
      </c>
      <c r="C1320" t="e">
        <f>INDEX(resultados!$A$2:$ZZ$2290, 1314, MATCH($B$3, resultados!$A$1:$ZZ$1, 0))</f>
        <v>#N/A</v>
      </c>
    </row>
    <row r="1321" spans="1:3" x14ac:dyDescent="0.3">
      <c r="A1321" t="e">
        <f>INDEX(resultados!$A$2:$ZZ$2290, 1315, MATCH($B$1, resultados!$A$1:$ZZ$1, 0))</f>
        <v>#N/A</v>
      </c>
      <c r="B1321" t="e">
        <f>INDEX(resultados!$A$2:$ZZ$2290, 1315, MATCH($B$2, resultados!$A$1:$ZZ$1, 0))</f>
        <v>#N/A</v>
      </c>
      <c r="C1321" t="e">
        <f>INDEX(resultados!$A$2:$ZZ$2290, 1315, MATCH($B$3, resultados!$A$1:$ZZ$1, 0))</f>
        <v>#N/A</v>
      </c>
    </row>
    <row r="1322" spans="1:3" x14ac:dyDescent="0.3">
      <c r="A1322" t="e">
        <f>INDEX(resultados!$A$2:$ZZ$2290, 1316, MATCH($B$1, resultados!$A$1:$ZZ$1, 0))</f>
        <v>#N/A</v>
      </c>
      <c r="B1322" t="e">
        <f>INDEX(resultados!$A$2:$ZZ$2290, 1316, MATCH($B$2, resultados!$A$1:$ZZ$1, 0))</f>
        <v>#N/A</v>
      </c>
      <c r="C1322" t="e">
        <f>INDEX(resultados!$A$2:$ZZ$2290, 1316, MATCH($B$3, resultados!$A$1:$ZZ$1, 0))</f>
        <v>#N/A</v>
      </c>
    </row>
    <row r="1323" spans="1:3" x14ac:dyDescent="0.3">
      <c r="A1323" t="e">
        <f>INDEX(resultados!$A$2:$ZZ$2290, 1317, MATCH($B$1, resultados!$A$1:$ZZ$1, 0))</f>
        <v>#N/A</v>
      </c>
      <c r="B1323" t="e">
        <f>INDEX(resultados!$A$2:$ZZ$2290, 1317, MATCH($B$2, resultados!$A$1:$ZZ$1, 0))</f>
        <v>#N/A</v>
      </c>
      <c r="C1323" t="e">
        <f>INDEX(resultados!$A$2:$ZZ$2290, 1317, MATCH($B$3, resultados!$A$1:$ZZ$1, 0))</f>
        <v>#N/A</v>
      </c>
    </row>
    <row r="1324" spans="1:3" x14ac:dyDescent="0.3">
      <c r="A1324" t="e">
        <f>INDEX(resultados!$A$2:$ZZ$2290, 1318, MATCH($B$1, resultados!$A$1:$ZZ$1, 0))</f>
        <v>#N/A</v>
      </c>
      <c r="B1324" t="e">
        <f>INDEX(resultados!$A$2:$ZZ$2290, 1318, MATCH($B$2, resultados!$A$1:$ZZ$1, 0))</f>
        <v>#N/A</v>
      </c>
      <c r="C1324" t="e">
        <f>INDEX(resultados!$A$2:$ZZ$2290, 1318, MATCH($B$3, resultados!$A$1:$ZZ$1, 0))</f>
        <v>#N/A</v>
      </c>
    </row>
    <row r="1325" spans="1:3" x14ac:dyDescent="0.3">
      <c r="A1325" t="e">
        <f>INDEX(resultados!$A$2:$ZZ$2290, 1319, MATCH($B$1, resultados!$A$1:$ZZ$1, 0))</f>
        <v>#N/A</v>
      </c>
      <c r="B1325" t="e">
        <f>INDEX(resultados!$A$2:$ZZ$2290, 1319, MATCH($B$2, resultados!$A$1:$ZZ$1, 0))</f>
        <v>#N/A</v>
      </c>
      <c r="C1325" t="e">
        <f>INDEX(resultados!$A$2:$ZZ$2290, 1319, MATCH($B$3, resultados!$A$1:$ZZ$1, 0))</f>
        <v>#N/A</v>
      </c>
    </row>
    <row r="1326" spans="1:3" x14ac:dyDescent="0.3">
      <c r="A1326" t="e">
        <f>INDEX(resultados!$A$2:$ZZ$2290, 1320, MATCH($B$1, resultados!$A$1:$ZZ$1, 0))</f>
        <v>#N/A</v>
      </c>
      <c r="B1326" t="e">
        <f>INDEX(resultados!$A$2:$ZZ$2290, 1320, MATCH($B$2, resultados!$A$1:$ZZ$1, 0))</f>
        <v>#N/A</v>
      </c>
      <c r="C1326" t="e">
        <f>INDEX(resultados!$A$2:$ZZ$2290, 1320, MATCH($B$3, resultados!$A$1:$ZZ$1, 0))</f>
        <v>#N/A</v>
      </c>
    </row>
    <row r="1327" spans="1:3" x14ac:dyDescent="0.3">
      <c r="A1327" t="e">
        <f>INDEX(resultados!$A$2:$ZZ$2290, 1321, MATCH($B$1, resultados!$A$1:$ZZ$1, 0))</f>
        <v>#N/A</v>
      </c>
      <c r="B1327" t="e">
        <f>INDEX(resultados!$A$2:$ZZ$2290, 1321, MATCH($B$2, resultados!$A$1:$ZZ$1, 0))</f>
        <v>#N/A</v>
      </c>
      <c r="C1327" t="e">
        <f>INDEX(resultados!$A$2:$ZZ$2290, 1321, MATCH($B$3, resultados!$A$1:$ZZ$1, 0))</f>
        <v>#N/A</v>
      </c>
    </row>
    <row r="1328" spans="1:3" x14ac:dyDescent="0.3">
      <c r="A1328" t="e">
        <f>INDEX(resultados!$A$2:$ZZ$2290, 1322, MATCH($B$1, resultados!$A$1:$ZZ$1, 0))</f>
        <v>#N/A</v>
      </c>
      <c r="B1328" t="e">
        <f>INDEX(resultados!$A$2:$ZZ$2290, 1322, MATCH($B$2, resultados!$A$1:$ZZ$1, 0))</f>
        <v>#N/A</v>
      </c>
      <c r="C1328" t="e">
        <f>INDEX(resultados!$A$2:$ZZ$2290, 1322, MATCH($B$3, resultados!$A$1:$ZZ$1, 0))</f>
        <v>#N/A</v>
      </c>
    </row>
    <row r="1329" spans="1:3" x14ac:dyDescent="0.3">
      <c r="A1329" t="e">
        <f>INDEX(resultados!$A$2:$ZZ$2290, 1323, MATCH($B$1, resultados!$A$1:$ZZ$1, 0))</f>
        <v>#N/A</v>
      </c>
      <c r="B1329" t="e">
        <f>INDEX(resultados!$A$2:$ZZ$2290, 1323, MATCH($B$2, resultados!$A$1:$ZZ$1, 0))</f>
        <v>#N/A</v>
      </c>
      <c r="C1329" t="e">
        <f>INDEX(resultados!$A$2:$ZZ$2290, 1323, MATCH($B$3, resultados!$A$1:$ZZ$1, 0))</f>
        <v>#N/A</v>
      </c>
    </row>
    <row r="1330" spans="1:3" x14ac:dyDescent="0.3">
      <c r="A1330" t="e">
        <f>INDEX(resultados!$A$2:$ZZ$2290, 1324, MATCH($B$1, resultados!$A$1:$ZZ$1, 0))</f>
        <v>#N/A</v>
      </c>
      <c r="B1330" t="e">
        <f>INDEX(resultados!$A$2:$ZZ$2290, 1324, MATCH($B$2, resultados!$A$1:$ZZ$1, 0))</f>
        <v>#N/A</v>
      </c>
      <c r="C1330" t="e">
        <f>INDEX(resultados!$A$2:$ZZ$2290, 1324, MATCH($B$3, resultados!$A$1:$ZZ$1, 0))</f>
        <v>#N/A</v>
      </c>
    </row>
    <row r="1331" spans="1:3" x14ac:dyDescent="0.3">
      <c r="A1331" t="e">
        <f>INDEX(resultados!$A$2:$ZZ$2290, 1325, MATCH($B$1, resultados!$A$1:$ZZ$1, 0))</f>
        <v>#N/A</v>
      </c>
      <c r="B1331" t="e">
        <f>INDEX(resultados!$A$2:$ZZ$2290, 1325, MATCH($B$2, resultados!$A$1:$ZZ$1, 0))</f>
        <v>#N/A</v>
      </c>
      <c r="C1331" t="e">
        <f>INDEX(resultados!$A$2:$ZZ$2290, 1325, MATCH($B$3, resultados!$A$1:$ZZ$1, 0))</f>
        <v>#N/A</v>
      </c>
    </row>
    <row r="1332" spans="1:3" x14ac:dyDescent="0.3">
      <c r="A1332" t="e">
        <f>INDEX(resultados!$A$2:$ZZ$2290, 1326, MATCH($B$1, resultados!$A$1:$ZZ$1, 0))</f>
        <v>#N/A</v>
      </c>
      <c r="B1332" t="e">
        <f>INDEX(resultados!$A$2:$ZZ$2290, 1326, MATCH($B$2, resultados!$A$1:$ZZ$1, 0))</f>
        <v>#N/A</v>
      </c>
      <c r="C1332" t="e">
        <f>INDEX(resultados!$A$2:$ZZ$2290, 1326, MATCH($B$3, resultados!$A$1:$ZZ$1, 0))</f>
        <v>#N/A</v>
      </c>
    </row>
    <row r="1333" spans="1:3" x14ac:dyDescent="0.3">
      <c r="A1333" t="e">
        <f>INDEX(resultados!$A$2:$ZZ$2290, 1327, MATCH($B$1, resultados!$A$1:$ZZ$1, 0))</f>
        <v>#N/A</v>
      </c>
      <c r="B1333" t="e">
        <f>INDEX(resultados!$A$2:$ZZ$2290, 1327, MATCH($B$2, resultados!$A$1:$ZZ$1, 0))</f>
        <v>#N/A</v>
      </c>
      <c r="C1333" t="e">
        <f>INDEX(resultados!$A$2:$ZZ$2290, 1327, MATCH($B$3, resultados!$A$1:$ZZ$1, 0))</f>
        <v>#N/A</v>
      </c>
    </row>
    <row r="1334" spans="1:3" x14ac:dyDescent="0.3">
      <c r="A1334" t="e">
        <f>INDEX(resultados!$A$2:$ZZ$2290, 1328, MATCH($B$1, resultados!$A$1:$ZZ$1, 0))</f>
        <v>#N/A</v>
      </c>
      <c r="B1334" t="e">
        <f>INDEX(resultados!$A$2:$ZZ$2290, 1328, MATCH($B$2, resultados!$A$1:$ZZ$1, 0))</f>
        <v>#N/A</v>
      </c>
      <c r="C1334" t="e">
        <f>INDEX(resultados!$A$2:$ZZ$2290, 1328, MATCH($B$3, resultados!$A$1:$ZZ$1, 0))</f>
        <v>#N/A</v>
      </c>
    </row>
    <row r="1335" spans="1:3" x14ac:dyDescent="0.3">
      <c r="A1335" t="e">
        <f>INDEX(resultados!$A$2:$ZZ$2290, 1329, MATCH($B$1, resultados!$A$1:$ZZ$1, 0))</f>
        <v>#N/A</v>
      </c>
      <c r="B1335" t="e">
        <f>INDEX(resultados!$A$2:$ZZ$2290, 1329, MATCH($B$2, resultados!$A$1:$ZZ$1, 0))</f>
        <v>#N/A</v>
      </c>
      <c r="C1335" t="e">
        <f>INDEX(resultados!$A$2:$ZZ$2290, 1329, MATCH($B$3, resultados!$A$1:$ZZ$1, 0))</f>
        <v>#N/A</v>
      </c>
    </row>
    <row r="1336" spans="1:3" x14ac:dyDescent="0.3">
      <c r="A1336" t="e">
        <f>INDEX(resultados!$A$2:$ZZ$2290, 1330, MATCH($B$1, resultados!$A$1:$ZZ$1, 0))</f>
        <v>#N/A</v>
      </c>
      <c r="B1336" t="e">
        <f>INDEX(resultados!$A$2:$ZZ$2290, 1330, MATCH($B$2, resultados!$A$1:$ZZ$1, 0))</f>
        <v>#N/A</v>
      </c>
      <c r="C1336" t="e">
        <f>INDEX(resultados!$A$2:$ZZ$2290, 1330, MATCH($B$3, resultados!$A$1:$ZZ$1, 0))</f>
        <v>#N/A</v>
      </c>
    </row>
    <row r="1337" spans="1:3" x14ac:dyDescent="0.3">
      <c r="A1337" t="e">
        <f>INDEX(resultados!$A$2:$ZZ$2290, 1331, MATCH($B$1, resultados!$A$1:$ZZ$1, 0))</f>
        <v>#N/A</v>
      </c>
      <c r="B1337" t="e">
        <f>INDEX(resultados!$A$2:$ZZ$2290, 1331, MATCH($B$2, resultados!$A$1:$ZZ$1, 0))</f>
        <v>#N/A</v>
      </c>
      <c r="C1337" t="e">
        <f>INDEX(resultados!$A$2:$ZZ$2290, 1331, MATCH($B$3, resultados!$A$1:$ZZ$1, 0))</f>
        <v>#N/A</v>
      </c>
    </row>
    <row r="1338" spans="1:3" x14ac:dyDescent="0.3">
      <c r="A1338" t="e">
        <f>INDEX(resultados!$A$2:$ZZ$2290, 1332, MATCH($B$1, resultados!$A$1:$ZZ$1, 0))</f>
        <v>#N/A</v>
      </c>
      <c r="B1338" t="e">
        <f>INDEX(resultados!$A$2:$ZZ$2290, 1332, MATCH($B$2, resultados!$A$1:$ZZ$1, 0))</f>
        <v>#N/A</v>
      </c>
      <c r="C1338" t="e">
        <f>INDEX(resultados!$A$2:$ZZ$2290, 1332, MATCH($B$3, resultados!$A$1:$ZZ$1, 0))</f>
        <v>#N/A</v>
      </c>
    </row>
    <row r="1339" spans="1:3" x14ac:dyDescent="0.3">
      <c r="A1339" t="e">
        <f>INDEX(resultados!$A$2:$ZZ$2290, 1333, MATCH($B$1, resultados!$A$1:$ZZ$1, 0))</f>
        <v>#N/A</v>
      </c>
      <c r="B1339" t="e">
        <f>INDEX(resultados!$A$2:$ZZ$2290, 1333, MATCH($B$2, resultados!$A$1:$ZZ$1, 0))</f>
        <v>#N/A</v>
      </c>
      <c r="C1339" t="e">
        <f>INDEX(resultados!$A$2:$ZZ$2290, 1333, MATCH($B$3, resultados!$A$1:$ZZ$1, 0))</f>
        <v>#N/A</v>
      </c>
    </row>
    <row r="1340" spans="1:3" x14ac:dyDescent="0.3">
      <c r="A1340" t="e">
        <f>INDEX(resultados!$A$2:$ZZ$2290, 1334, MATCH($B$1, resultados!$A$1:$ZZ$1, 0))</f>
        <v>#N/A</v>
      </c>
      <c r="B1340" t="e">
        <f>INDEX(resultados!$A$2:$ZZ$2290, 1334, MATCH($B$2, resultados!$A$1:$ZZ$1, 0))</f>
        <v>#N/A</v>
      </c>
      <c r="C1340" t="e">
        <f>INDEX(resultados!$A$2:$ZZ$2290, 1334, MATCH($B$3, resultados!$A$1:$ZZ$1, 0))</f>
        <v>#N/A</v>
      </c>
    </row>
    <row r="1341" spans="1:3" x14ac:dyDescent="0.3">
      <c r="A1341" t="e">
        <f>INDEX(resultados!$A$2:$ZZ$2290, 1335, MATCH($B$1, resultados!$A$1:$ZZ$1, 0))</f>
        <v>#N/A</v>
      </c>
      <c r="B1341" t="e">
        <f>INDEX(resultados!$A$2:$ZZ$2290, 1335, MATCH($B$2, resultados!$A$1:$ZZ$1, 0))</f>
        <v>#N/A</v>
      </c>
      <c r="C1341" t="e">
        <f>INDEX(resultados!$A$2:$ZZ$2290, 1335, MATCH($B$3, resultados!$A$1:$ZZ$1, 0))</f>
        <v>#N/A</v>
      </c>
    </row>
    <row r="1342" spans="1:3" x14ac:dyDescent="0.3">
      <c r="A1342" t="e">
        <f>INDEX(resultados!$A$2:$ZZ$2290, 1336, MATCH($B$1, resultados!$A$1:$ZZ$1, 0))</f>
        <v>#N/A</v>
      </c>
      <c r="B1342" t="e">
        <f>INDEX(resultados!$A$2:$ZZ$2290, 1336, MATCH($B$2, resultados!$A$1:$ZZ$1, 0))</f>
        <v>#N/A</v>
      </c>
      <c r="C1342" t="e">
        <f>INDEX(resultados!$A$2:$ZZ$2290, 1336, MATCH($B$3, resultados!$A$1:$ZZ$1, 0))</f>
        <v>#N/A</v>
      </c>
    </row>
    <row r="1343" spans="1:3" x14ac:dyDescent="0.3">
      <c r="A1343" t="e">
        <f>INDEX(resultados!$A$2:$ZZ$2290, 1337, MATCH($B$1, resultados!$A$1:$ZZ$1, 0))</f>
        <v>#N/A</v>
      </c>
      <c r="B1343" t="e">
        <f>INDEX(resultados!$A$2:$ZZ$2290, 1337, MATCH($B$2, resultados!$A$1:$ZZ$1, 0))</f>
        <v>#N/A</v>
      </c>
      <c r="C1343" t="e">
        <f>INDEX(resultados!$A$2:$ZZ$2290, 1337, MATCH($B$3, resultados!$A$1:$ZZ$1, 0))</f>
        <v>#N/A</v>
      </c>
    </row>
    <row r="1344" spans="1:3" x14ac:dyDescent="0.3">
      <c r="A1344" t="e">
        <f>INDEX(resultados!$A$2:$ZZ$2290, 1338, MATCH($B$1, resultados!$A$1:$ZZ$1, 0))</f>
        <v>#N/A</v>
      </c>
      <c r="B1344" t="e">
        <f>INDEX(resultados!$A$2:$ZZ$2290, 1338, MATCH($B$2, resultados!$A$1:$ZZ$1, 0))</f>
        <v>#N/A</v>
      </c>
      <c r="C1344" t="e">
        <f>INDEX(resultados!$A$2:$ZZ$2290, 1338, MATCH($B$3, resultados!$A$1:$ZZ$1, 0))</f>
        <v>#N/A</v>
      </c>
    </row>
    <row r="1345" spans="1:3" x14ac:dyDescent="0.3">
      <c r="A1345" t="e">
        <f>INDEX(resultados!$A$2:$ZZ$2290, 1339, MATCH($B$1, resultados!$A$1:$ZZ$1, 0))</f>
        <v>#N/A</v>
      </c>
      <c r="B1345" t="e">
        <f>INDEX(resultados!$A$2:$ZZ$2290, 1339, MATCH($B$2, resultados!$A$1:$ZZ$1, 0))</f>
        <v>#N/A</v>
      </c>
      <c r="C1345" t="e">
        <f>INDEX(resultados!$A$2:$ZZ$2290, 1339, MATCH($B$3, resultados!$A$1:$ZZ$1, 0))</f>
        <v>#N/A</v>
      </c>
    </row>
    <row r="1346" spans="1:3" x14ac:dyDescent="0.3">
      <c r="A1346" t="e">
        <f>INDEX(resultados!$A$2:$ZZ$2290, 1340, MATCH($B$1, resultados!$A$1:$ZZ$1, 0))</f>
        <v>#N/A</v>
      </c>
      <c r="B1346" t="e">
        <f>INDEX(resultados!$A$2:$ZZ$2290, 1340, MATCH($B$2, resultados!$A$1:$ZZ$1, 0))</f>
        <v>#N/A</v>
      </c>
      <c r="C1346" t="e">
        <f>INDEX(resultados!$A$2:$ZZ$2290, 1340, MATCH($B$3, resultados!$A$1:$ZZ$1, 0))</f>
        <v>#N/A</v>
      </c>
    </row>
    <row r="1347" spans="1:3" x14ac:dyDescent="0.3">
      <c r="A1347" t="e">
        <f>INDEX(resultados!$A$2:$ZZ$2290, 1341, MATCH($B$1, resultados!$A$1:$ZZ$1, 0))</f>
        <v>#N/A</v>
      </c>
      <c r="B1347" t="e">
        <f>INDEX(resultados!$A$2:$ZZ$2290, 1341, MATCH($B$2, resultados!$A$1:$ZZ$1, 0))</f>
        <v>#N/A</v>
      </c>
      <c r="C1347" t="e">
        <f>INDEX(resultados!$A$2:$ZZ$2290, 1341, MATCH($B$3, resultados!$A$1:$ZZ$1, 0))</f>
        <v>#N/A</v>
      </c>
    </row>
    <row r="1348" spans="1:3" x14ac:dyDescent="0.3">
      <c r="A1348" t="e">
        <f>INDEX(resultados!$A$2:$ZZ$2290, 1342, MATCH($B$1, resultados!$A$1:$ZZ$1, 0))</f>
        <v>#N/A</v>
      </c>
      <c r="B1348" t="e">
        <f>INDEX(resultados!$A$2:$ZZ$2290, 1342, MATCH($B$2, resultados!$A$1:$ZZ$1, 0))</f>
        <v>#N/A</v>
      </c>
      <c r="C1348" t="e">
        <f>INDEX(resultados!$A$2:$ZZ$2290, 1342, MATCH($B$3, resultados!$A$1:$ZZ$1, 0))</f>
        <v>#N/A</v>
      </c>
    </row>
    <row r="1349" spans="1:3" x14ac:dyDescent="0.3">
      <c r="A1349" t="e">
        <f>INDEX(resultados!$A$2:$ZZ$2290, 1343, MATCH($B$1, resultados!$A$1:$ZZ$1, 0))</f>
        <v>#N/A</v>
      </c>
      <c r="B1349" t="e">
        <f>INDEX(resultados!$A$2:$ZZ$2290, 1343, MATCH($B$2, resultados!$A$1:$ZZ$1, 0))</f>
        <v>#N/A</v>
      </c>
      <c r="C1349" t="e">
        <f>INDEX(resultados!$A$2:$ZZ$2290, 1343, MATCH($B$3, resultados!$A$1:$ZZ$1, 0))</f>
        <v>#N/A</v>
      </c>
    </row>
    <row r="1350" spans="1:3" x14ac:dyDescent="0.3">
      <c r="A1350" t="e">
        <f>INDEX(resultados!$A$2:$ZZ$2290, 1344, MATCH($B$1, resultados!$A$1:$ZZ$1, 0))</f>
        <v>#N/A</v>
      </c>
      <c r="B1350" t="e">
        <f>INDEX(resultados!$A$2:$ZZ$2290, 1344, MATCH($B$2, resultados!$A$1:$ZZ$1, 0))</f>
        <v>#N/A</v>
      </c>
      <c r="C1350" t="e">
        <f>INDEX(resultados!$A$2:$ZZ$2290, 1344, MATCH($B$3, resultados!$A$1:$ZZ$1, 0))</f>
        <v>#N/A</v>
      </c>
    </row>
    <row r="1351" spans="1:3" x14ac:dyDescent="0.3">
      <c r="A1351" t="e">
        <f>INDEX(resultados!$A$2:$ZZ$2290, 1345, MATCH($B$1, resultados!$A$1:$ZZ$1, 0))</f>
        <v>#N/A</v>
      </c>
      <c r="B1351" t="e">
        <f>INDEX(resultados!$A$2:$ZZ$2290, 1345, MATCH($B$2, resultados!$A$1:$ZZ$1, 0))</f>
        <v>#N/A</v>
      </c>
      <c r="C1351" t="e">
        <f>INDEX(resultados!$A$2:$ZZ$2290, 1345, MATCH($B$3, resultados!$A$1:$ZZ$1, 0))</f>
        <v>#N/A</v>
      </c>
    </row>
    <row r="1352" spans="1:3" x14ac:dyDescent="0.3">
      <c r="A1352" t="e">
        <f>INDEX(resultados!$A$2:$ZZ$2290, 1346, MATCH($B$1, resultados!$A$1:$ZZ$1, 0))</f>
        <v>#N/A</v>
      </c>
      <c r="B1352" t="e">
        <f>INDEX(resultados!$A$2:$ZZ$2290, 1346, MATCH($B$2, resultados!$A$1:$ZZ$1, 0))</f>
        <v>#N/A</v>
      </c>
      <c r="C1352" t="e">
        <f>INDEX(resultados!$A$2:$ZZ$2290, 1346, MATCH($B$3, resultados!$A$1:$ZZ$1, 0))</f>
        <v>#N/A</v>
      </c>
    </row>
    <row r="1353" spans="1:3" x14ac:dyDescent="0.3">
      <c r="A1353" t="e">
        <f>INDEX(resultados!$A$2:$ZZ$2290, 1347, MATCH($B$1, resultados!$A$1:$ZZ$1, 0))</f>
        <v>#N/A</v>
      </c>
      <c r="B1353" t="e">
        <f>INDEX(resultados!$A$2:$ZZ$2290, 1347, MATCH($B$2, resultados!$A$1:$ZZ$1, 0))</f>
        <v>#N/A</v>
      </c>
      <c r="C1353" t="e">
        <f>INDEX(resultados!$A$2:$ZZ$2290, 1347, MATCH($B$3, resultados!$A$1:$ZZ$1, 0))</f>
        <v>#N/A</v>
      </c>
    </row>
    <row r="1354" spans="1:3" x14ac:dyDescent="0.3">
      <c r="A1354" t="e">
        <f>INDEX(resultados!$A$2:$ZZ$2290, 1348, MATCH($B$1, resultados!$A$1:$ZZ$1, 0))</f>
        <v>#N/A</v>
      </c>
      <c r="B1354" t="e">
        <f>INDEX(resultados!$A$2:$ZZ$2290, 1348, MATCH($B$2, resultados!$A$1:$ZZ$1, 0))</f>
        <v>#N/A</v>
      </c>
      <c r="C1354" t="e">
        <f>INDEX(resultados!$A$2:$ZZ$2290, 1348, MATCH($B$3, resultados!$A$1:$ZZ$1, 0))</f>
        <v>#N/A</v>
      </c>
    </row>
    <row r="1355" spans="1:3" x14ac:dyDescent="0.3">
      <c r="A1355" t="e">
        <f>INDEX(resultados!$A$2:$ZZ$2290, 1349, MATCH($B$1, resultados!$A$1:$ZZ$1, 0))</f>
        <v>#N/A</v>
      </c>
      <c r="B1355" t="e">
        <f>INDEX(resultados!$A$2:$ZZ$2290, 1349, MATCH($B$2, resultados!$A$1:$ZZ$1, 0))</f>
        <v>#N/A</v>
      </c>
      <c r="C1355" t="e">
        <f>INDEX(resultados!$A$2:$ZZ$2290, 1349, MATCH($B$3, resultados!$A$1:$ZZ$1, 0))</f>
        <v>#N/A</v>
      </c>
    </row>
    <row r="1356" spans="1:3" x14ac:dyDescent="0.3">
      <c r="A1356" t="e">
        <f>INDEX(resultados!$A$2:$ZZ$2290, 1350, MATCH($B$1, resultados!$A$1:$ZZ$1, 0))</f>
        <v>#N/A</v>
      </c>
      <c r="B1356" t="e">
        <f>INDEX(resultados!$A$2:$ZZ$2290, 1350, MATCH($B$2, resultados!$A$1:$ZZ$1, 0))</f>
        <v>#N/A</v>
      </c>
      <c r="C1356" t="e">
        <f>INDEX(resultados!$A$2:$ZZ$2290, 1350, MATCH($B$3, resultados!$A$1:$ZZ$1, 0))</f>
        <v>#N/A</v>
      </c>
    </row>
    <row r="1357" spans="1:3" x14ac:dyDescent="0.3">
      <c r="A1357" t="e">
        <f>INDEX(resultados!$A$2:$ZZ$2290, 1351, MATCH($B$1, resultados!$A$1:$ZZ$1, 0))</f>
        <v>#N/A</v>
      </c>
      <c r="B1357" t="e">
        <f>INDEX(resultados!$A$2:$ZZ$2290, 1351, MATCH($B$2, resultados!$A$1:$ZZ$1, 0))</f>
        <v>#N/A</v>
      </c>
      <c r="C1357" t="e">
        <f>INDEX(resultados!$A$2:$ZZ$2290, 1351, MATCH($B$3, resultados!$A$1:$ZZ$1, 0))</f>
        <v>#N/A</v>
      </c>
    </row>
    <row r="1358" spans="1:3" x14ac:dyDescent="0.3">
      <c r="A1358" t="e">
        <f>INDEX(resultados!$A$2:$ZZ$2290, 1352, MATCH($B$1, resultados!$A$1:$ZZ$1, 0))</f>
        <v>#N/A</v>
      </c>
      <c r="B1358" t="e">
        <f>INDEX(resultados!$A$2:$ZZ$2290, 1352, MATCH($B$2, resultados!$A$1:$ZZ$1, 0))</f>
        <v>#N/A</v>
      </c>
      <c r="C1358" t="e">
        <f>INDEX(resultados!$A$2:$ZZ$2290, 1352, MATCH($B$3, resultados!$A$1:$ZZ$1, 0))</f>
        <v>#N/A</v>
      </c>
    </row>
    <row r="1359" spans="1:3" x14ac:dyDescent="0.3">
      <c r="A1359" t="e">
        <f>INDEX(resultados!$A$2:$ZZ$2290, 1353, MATCH($B$1, resultados!$A$1:$ZZ$1, 0))</f>
        <v>#N/A</v>
      </c>
      <c r="B1359" t="e">
        <f>INDEX(resultados!$A$2:$ZZ$2290, 1353, MATCH($B$2, resultados!$A$1:$ZZ$1, 0))</f>
        <v>#N/A</v>
      </c>
      <c r="C1359" t="e">
        <f>INDEX(resultados!$A$2:$ZZ$2290, 1353, MATCH($B$3, resultados!$A$1:$ZZ$1, 0))</f>
        <v>#N/A</v>
      </c>
    </row>
    <row r="1360" spans="1:3" x14ac:dyDescent="0.3">
      <c r="A1360" t="e">
        <f>INDEX(resultados!$A$2:$ZZ$2290, 1354, MATCH($B$1, resultados!$A$1:$ZZ$1, 0))</f>
        <v>#N/A</v>
      </c>
      <c r="B1360" t="e">
        <f>INDEX(resultados!$A$2:$ZZ$2290, 1354, MATCH($B$2, resultados!$A$1:$ZZ$1, 0))</f>
        <v>#N/A</v>
      </c>
      <c r="C1360" t="e">
        <f>INDEX(resultados!$A$2:$ZZ$2290, 1354, MATCH($B$3, resultados!$A$1:$ZZ$1, 0))</f>
        <v>#N/A</v>
      </c>
    </row>
    <row r="1361" spans="1:3" x14ac:dyDescent="0.3">
      <c r="A1361" t="e">
        <f>INDEX(resultados!$A$2:$ZZ$2290, 1355, MATCH($B$1, resultados!$A$1:$ZZ$1, 0))</f>
        <v>#N/A</v>
      </c>
      <c r="B1361" t="e">
        <f>INDEX(resultados!$A$2:$ZZ$2290, 1355, MATCH($B$2, resultados!$A$1:$ZZ$1, 0))</f>
        <v>#N/A</v>
      </c>
      <c r="C1361" t="e">
        <f>INDEX(resultados!$A$2:$ZZ$2290, 1355, MATCH($B$3, resultados!$A$1:$ZZ$1, 0))</f>
        <v>#N/A</v>
      </c>
    </row>
    <row r="1362" spans="1:3" x14ac:dyDescent="0.3">
      <c r="A1362" t="e">
        <f>INDEX(resultados!$A$2:$ZZ$2290, 1356, MATCH($B$1, resultados!$A$1:$ZZ$1, 0))</f>
        <v>#N/A</v>
      </c>
      <c r="B1362" t="e">
        <f>INDEX(resultados!$A$2:$ZZ$2290, 1356, MATCH($B$2, resultados!$A$1:$ZZ$1, 0))</f>
        <v>#N/A</v>
      </c>
      <c r="C1362" t="e">
        <f>INDEX(resultados!$A$2:$ZZ$2290, 1356, MATCH($B$3, resultados!$A$1:$ZZ$1, 0))</f>
        <v>#N/A</v>
      </c>
    </row>
    <row r="1363" spans="1:3" x14ac:dyDescent="0.3">
      <c r="A1363" t="e">
        <f>INDEX(resultados!$A$2:$ZZ$2290, 1357, MATCH($B$1, resultados!$A$1:$ZZ$1, 0))</f>
        <v>#N/A</v>
      </c>
      <c r="B1363" t="e">
        <f>INDEX(resultados!$A$2:$ZZ$2290, 1357, MATCH($B$2, resultados!$A$1:$ZZ$1, 0))</f>
        <v>#N/A</v>
      </c>
      <c r="C1363" t="e">
        <f>INDEX(resultados!$A$2:$ZZ$2290, 1357, MATCH($B$3, resultados!$A$1:$ZZ$1, 0))</f>
        <v>#N/A</v>
      </c>
    </row>
    <row r="1364" spans="1:3" x14ac:dyDescent="0.3">
      <c r="A1364" t="e">
        <f>INDEX(resultados!$A$2:$ZZ$2290, 1358, MATCH($B$1, resultados!$A$1:$ZZ$1, 0))</f>
        <v>#N/A</v>
      </c>
      <c r="B1364" t="e">
        <f>INDEX(resultados!$A$2:$ZZ$2290, 1358, MATCH($B$2, resultados!$A$1:$ZZ$1, 0))</f>
        <v>#N/A</v>
      </c>
      <c r="C1364" t="e">
        <f>INDEX(resultados!$A$2:$ZZ$2290, 1358, MATCH($B$3, resultados!$A$1:$ZZ$1, 0))</f>
        <v>#N/A</v>
      </c>
    </row>
    <row r="1365" spans="1:3" x14ac:dyDescent="0.3">
      <c r="A1365" t="e">
        <f>INDEX(resultados!$A$2:$ZZ$2290, 1359, MATCH($B$1, resultados!$A$1:$ZZ$1, 0))</f>
        <v>#N/A</v>
      </c>
      <c r="B1365" t="e">
        <f>INDEX(resultados!$A$2:$ZZ$2290, 1359, MATCH($B$2, resultados!$A$1:$ZZ$1, 0))</f>
        <v>#N/A</v>
      </c>
      <c r="C1365" t="e">
        <f>INDEX(resultados!$A$2:$ZZ$2290, 1359, MATCH($B$3, resultados!$A$1:$ZZ$1, 0))</f>
        <v>#N/A</v>
      </c>
    </row>
    <row r="1366" spans="1:3" x14ac:dyDescent="0.3">
      <c r="A1366" t="e">
        <f>INDEX(resultados!$A$2:$ZZ$2290, 1360, MATCH($B$1, resultados!$A$1:$ZZ$1, 0))</f>
        <v>#N/A</v>
      </c>
      <c r="B1366" t="e">
        <f>INDEX(resultados!$A$2:$ZZ$2290, 1360, MATCH($B$2, resultados!$A$1:$ZZ$1, 0))</f>
        <v>#N/A</v>
      </c>
      <c r="C1366" t="e">
        <f>INDEX(resultados!$A$2:$ZZ$2290, 1360, MATCH($B$3, resultados!$A$1:$ZZ$1, 0))</f>
        <v>#N/A</v>
      </c>
    </row>
    <row r="1367" spans="1:3" x14ac:dyDescent="0.3">
      <c r="A1367" t="e">
        <f>INDEX(resultados!$A$2:$ZZ$2290, 1361, MATCH($B$1, resultados!$A$1:$ZZ$1, 0))</f>
        <v>#N/A</v>
      </c>
      <c r="B1367" t="e">
        <f>INDEX(resultados!$A$2:$ZZ$2290, 1361, MATCH($B$2, resultados!$A$1:$ZZ$1, 0))</f>
        <v>#N/A</v>
      </c>
      <c r="C1367" t="e">
        <f>INDEX(resultados!$A$2:$ZZ$2290, 1361, MATCH($B$3, resultados!$A$1:$ZZ$1, 0))</f>
        <v>#N/A</v>
      </c>
    </row>
    <row r="1368" spans="1:3" x14ac:dyDescent="0.3">
      <c r="A1368" t="e">
        <f>INDEX(resultados!$A$2:$ZZ$2290, 1362, MATCH($B$1, resultados!$A$1:$ZZ$1, 0))</f>
        <v>#N/A</v>
      </c>
      <c r="B1368" t="e">
        <f>INDEX(resultados!$A$2:$ZZ$2290, 1362, MATCH($B$2, resultados!$A$1:$ZZ$1, 0))</f>
        <v>#N/A</v>
      </c>
      <c r="C1368" t="e">
        <f>INDEX(resultados!$A$2:$ZZ$2290, 1362, MATCH($B$3, resultados!$A$1:$ZZ$1, 0))</f>
        <v>#N/A</v>
      </c>
    </row>
    <row r="1369" spans="1:3" x14ac:dyDescent="0.3">
      <c r="A1369" t="e">
        <f>INDEX(resultados!$A$2:$ZZ$2290, 1363, MATCH($B$1, resultados!$A$1:$ZZ$1, 0))</f>
        <v>#N/A</v>
      </c>
      <c r="B1369" t="e">
        <f>INDEX(resultados!$A$2:$ZZ$2290, 1363, MATCH($B$2, resultados!$A$1:$ZZ$1, 0))</f>
        <v>#N/A</v>
      </c>
      <c r="C1369" t="e">
        <f>INDEX(resultados!$A$2:$ZZ$2290, 1363, MATCH($B$3, resultados!$A$1:$ZZ$1, 0))</f>
        <v>#N/A</v>
      </c>
    </row>
    <row r="1370" spans="1:3" x14ac:dyDescent="0.3">
      <c r="A1370" t="e">
        <f>INDEX(resultados!$A$2:$ZZ$2290, 1364, MATCH($B$1, resultados!$A$1:$ZZ$1, 0))</f>
        <v>#N/A</v>
      </c>
      <c r="B1370" t="e">
        <f>INDEX(resultados!$A$2:$ZZ$2290, 1364, MATCH($B$2, resultados!$A$1:$ZZ$1, 0))</f>
        <v>#N/A</v>
      </c>
      <c r="C1370" t="e">
        <f>INDEX(resultados!$A$2:$ZZ$2290, 1364, MATCH($B$3, resultados!$A$1:$ZZ$1, 0))</f>
        <v>#N/A</v>
      </c>
    </row>
    <row r="1371" spans="1:3" x14ac:dyDescent="0.3">
      <c r="A1371" t="e">
        <f>INDEX(resultados!$A$2:$ZZ$2290, 1365, MATCH($B$1, resultados!$A$1:$ZZ$1, 0))</f>
        <v>#N/A</v>
      </c>
      <c r="B1371" t="e">
        <f>INDEX(resultados!$A$2:$ZZ$2290, 1365, MATCH($B$2, resultados!$A$1:$ZZ$1, 0))</f>
        <v>#N/A</v>
      </c>
      <c r="C1371" t="e">
        <f>INDEX(resultados!$A$2:$ZZ$2290, 1365, MATCH($B$3, resultados!$A$1:$ZZ$1, 0))</f>
        <v>#N/A</v>
      </c>
    </row>
    <row r="1372" spans="1:3" x14ac:dyDescent="0.3">
      <c r="A1372" t="e">
        <f>INDEX(resultados!$A$2:$ZZ$2290, 1366, MATCH($B$1, resultados!$A$1:$ZZ$1, 0))</f>
        <v>#N/A</v>
      </c>
      <c r="B1372" t="e">
        <f>INDEX(resultados!$A$2:$ZZ$2290, 1366, MATCH($B$2, resultados!$A$1:$ZZ$1, 0))</f>
        <v>#N/A</v>
      </c>
      <c r="C1372" t="e">
        <f>INDEX(resultados!$A$2:$ZZ$2290, 1366, MATCH($B$3, resultados!$A$1:$ZZ$1, 0))</f>
        <v>#N/A</v>
      </c>
    </row>
    <row r="1373" spans="1:3" x14ac:dyDescent="0.3">
      <c r="A1373" t="e">
        <f>INDEX(resultados!$A$2:$ZZ$2290, 1367, MATCH($B$1, resultados!$A$1:$ZZ$1, 0))</f>
        <v>#N/A</v>
      </c>
      <c r="B1373" t="e">
        <f>INDEX(resultados!$A$2:$ZZ$2290, 1367, MATCH($B$2, resultados!$A$1:$ZZ$1, 0))</f>
        <v>#N/A</v>
      </c>
      <c r="C1373" t="e">
        <f>INDEX(resultados!$A$2:$ZZ$2290, 1367, MATCH($B$3, resultados!$A$1:$ZZ$1, 0))</f>
        <v>#N/A</v>
      </c>
    </row>
    <row r="1374" spans="1:3" x14ac:dyDescent="0.3">
      <c r="A1374" t="e">
        <f>INDEX(resultados!$A$2:$ZZ$2290, 1368, MATCH($B$1, resultados!$A$1:$ZZ$1, 0))</f>
        <v>#N/A</v>
      </c>
      <c r="B1374" t="e">
        <f>INDEX(resultados!$A$2:$ZZ$2290, 1368, MATCH($B$2, resultados!$A$1:$ZZ$1, 0))</f>
        <v>#N/A</v>
      </c>
      <c r="C1374" t="e">
        <f>INDEX(resultados!$A$2:$ZZ$2290, 1368, MATCH($B$3, resultados!$A$1:$ZZ$1, 0))</f>
        <v>#N/A</v>
      </c>
    </row>
    <row r="1375" spans="1:3" x14ac:dyDescent="0.3">
      <c r="A1375" t="e">
        <f>INDEX(resultados!$A$2:$ZZ$2290, 1369, MATCH($B$1, resultados!$A$1:$ZZ$1, 0))</f>
        <v>#N/A</v>
      </c>
      <c r="B1375" t="e">
        <f>INDEX(resultados!$A$2:$ZZ$2290, 1369, MATCH($B$2, resultados!$A$1:$ZZ$1, 0))</f>
        <v>#N/A</v>
      </c>
      <c r="C1375" t="e">
        <f>INDEX(resultados!$A$2:$ZZ$2290, 1369, MATCH($B$3, resultados!$A$1:$ZZ$1, 0))</f>
        <v>#N/A</v>
      </c>
    </row>
    <row r="1376" spans="1:3" x14ac:dyDescent="0.3">
      <c r="A1376" t="e">
        <f>INDEX(resultados!$A$2:$ZZ$2290, 1370, MATCH($B$1, resultados!$A$1:$ZZ$1, 0))</f>
        <v>#N/A</v>
      </c>
      <c r="B1376" t="e">
        <f>INDEX(resultados!$A$2:$ZZ$2290, 1370, MATCH($B$2, resultados!$A$1:$ZZ$1, 0))</f>
        <v>#N/A</v>
      </c>
      <c r="C1376" t="e">
        <f>INDEX(resultados!$A$2:$ZZ$2290, 1370, MATCH($B$3, resultados!$A$1:$ZZ$1, 0))</f>
        <v>#N/A</v>
      </c>
    </row>
    <row r="1377" spans="1:3" x14ac:dyDescent="0.3">
      <c r="A1377" t="e">
        <f>INDEX(resultados!$A$2:$ZZ$2290, 1371, MATCH($B$1, resultados!$A$1:$ZZ$1, 0))</f>
        <v>#N/A</v>
      </c>
      <c r="B1377" t="e">
        <f>INDEX(resultados!$A$2:$ZZ$2290, 1371, MATCH($B$2, resultados!$A$1:$ZZ$1, 0))</f>
        <v>#N/A</v>
      </c>
      <c r="C1377" t="e">
        <f>INDEX(resultados!$A$2:$ZZ$2290, 1371, MATCH($B$3, resultados!$A$1:$ZZ$1, 0))</f>
        <v>#N/A</v>
      </c>
    </row>
    <row r="1378" spans="1:3" x14ac:dyDescent="0.3">
      <c r="A1378" t="e">
        <f>INDEX(resultados!$A$2:$ZZ$2290, 1372, MATCH($B$1, resultados!$A$1:$ZZ$1, 0))</f>
        <v>#N/A</v>
      </c>
      <c r="B1378" t="e">
        <f>INDEX(resultados!$A$2:$ZZ$2290, 1372, MATCH($B$2, resultados!$A$1:$ZZ$1, 0))</f>
        <v>#N/A</v>
      </c>
      <c r="C1378" t="e">
        <f>INDEX(resultados!$A$2:$ZZ$2290, 1372, MATCH($B$3, resultados!$A$1:$ZZ$1, 0))</f>
        <v>#N/A</v>
      </c>
    </row>
    <row r="1379" spans="1:3" x14ac:dyDescent="0.3">
      <c r="A1379" t="e">
        <f>INDEX(resultados!$A$2:$ZZ$2290, 1373, MATCH($B$1, resultados!$A$1:$ZZ$1, 0))</f>
        <v>#N/A</v>
      </c>
      <c r="B1379" t="e">
        <f>INDEX(resultados!$A$2:$ZZ$2290, 1373, MATCH($B$2, resultados!$A$1:$ZZ$1, 0))</f>
        <v>#N/A</v>
      </c>
      <c r="C1379" t="e">
        <f>INDEX(resultados!$A$2:$ZZ$2290, 1373, MATCH($B$3, resultados!$A$1:$ZZ$1, 0))</f>
        <v>#N/A</v>
      </c>
    </row>
    <row r="1380" spans="1:3" x14ac:dyDescent="0.3">
      <c r="A1380" t="e">
        <f>INDEX(resultados!$A$2:$ZZ$2290, 1374, MATCH($B$1, resultados!$A$1:$ZZ$1, 0))</f>
        <v>#N/A</v>
      </c>
      <c r="B1380" t="e">
        <f>INDEX(resultados!$A$2:$ZZ$2290, 1374, MATCH($B$2, resultados!$A$1:$ZZ$1, 0))</f>
        <v>#N/A</v>
      </c>
      <c r="C1380" t="e">
        <f>INDEX(resultados!$A$2:$ZZ$2290, 1374, MATCH($B$3, resultados!$A$1:$ZZ$1, 0))</f>
        <v>#N/A</v>
      </c>
    </row>
    <row r="1381" spans="1:3" x14ac:dyDescent="0.3">
      <c r="A1381" t="e">
        <f>INDEX(resultados!$A$2:$ZZ$2290, 1375, MATCH($B$1, resultados!$A$1:$ZZ$1, 0))</f>
        <v>#N/A</v>
      </c>
      <c r="B1381" t="e">
        <f>INDEX(resultados!$A$2:$ZZ$2290, 1375, MATCH($B$2, resultados!$A$1:$ZZ$1, 0))</f>
        <v>#N/A</v>
      </c>
      <c r="C1381" t="e">
        <f>INDEX(resultados!$A$2:$ZZ$2290, 1375, MATCH($B$3, resultados!$A$1:$ZZ$1, 0))</f>
        <v>#N/A</v>
      </c>
    </row>
    <row r="1382" spans="1:3" x14ac:dyDescent="0.3">
      <c r="A1382" t="e">
        <f>INDEX(resultados!$A$2:$ZZ$2290, 1376, MATCH($B$1, resultados!$A$1:$ZZ$1, 0))</f>
        <v>#N/A</v>
      </c>
      <c r="B1382" t="e">
        <f>INDEX(resultados!$A$2:$ZZ$2290, 1376, MATCH($B$2, resultados!$A$1:$ZZ$1, 0))</f>
        <v>#N/A</v>
      </c>
      <c r="C1382" t="e">
        <f>INDEX(resultados!$A$2:$ZZ$2290, 1376, MATCH($B$3, resultados!$A$1:$ZZ$1, 0))</f>
        <v>#N/A</v>
      </c>
    </row>
    <row r="1383" spans="1:3" x14ac:dyDescent="0.3">
      <c r="A1383" t="e">
        <f>INDEX(resultados!$A$2:$ZZ$2290, 1377, MATCH($B$1, resultados!$A$1:$ZZ$1, 0))</f>
        <v>#N/A</v>
      </c>
      <c r="B1383" t="e">
        <f>INDEX(resultados!$A$2:$ZZ$2290, 1377, MATCH($B$2, resultados!$A$1:$ZZ$1, 0))</f>
        <v>#N/A</v>
      </c>
      <c r="C1383" t="e">
        <f>INDEX(resultados!$A$2:$ZZ$2290, 1377, MATCH($B$3, resultados!$A$1:$ZZ$1, 0))</f>
        <v>#N/A</v>
      </c>
    </row>
    <row r="1384" spans="1:3" x14ac:dyDescent="0.3">
      <c r="A1384" t="e">
        <f>INDEX(resultados!$A$2:$ZZ$2290, 1378, MATCH($B$1, resultados!$A$1:$ZZ$1, 0))</f>
        <v>#N/A</v>
      </c>
      <c r="B1384" t="e">
        <f>INDEX(resultados!$A$2:$ZZ$2290, 1378, MATCH($B$2, resultados!$A$1:$ZZ$1, 0))</f>
        <v>#N/A</v>
      </c>
      <c r="C1384" t="e">
        <f>INDEX(resultados!$A$2:$ZZ$2290, 1378, MATCH($B$3, resultados!$A$1:$ZZ$1, 0))</f>
        <v>#N/A</v>
      </c>
    </row>
    <row r="1385" spans="1:3" x14ac:dyDescent="0.3">
      <c r="A1385" t="e">
        <f>INDEX(resultados!$A$2:$ZZ$2290, 1379, MATCH($B$1, resultados!$A$1:$ZZ$1, 0))</f>
        <v>#N/A</v>
      </c>
      <c r="B1385" t="e">
        <f>INDEX(resultados!$A$2:$ZZ$2290, 1379, MATCH($B$2, resultados!$A$1:$ZZ$1, 0))</f>
        <v>#N/A</v>
      </c>
      <c r="C1385" t="e">
        <f>INDEX(resultados!$A$2:$ZZ$2290, 1379, MATCH($B$3, resultados!$A$1:$ZZ$1, 0))</f>
        <v>#N/A</v>
      </c>
    </row>
    <row r="1386" spans="1:3" x14ac:dyDescent="0.3">
      <c r="A1386" t="e">
        <f>INDEX(resultados!$A$2:$ZZ$2290, 1380, MATCH($B$1, resultados!$A$1:$ZZ$1, 0))</f>
        <v>#N/A</v>
      </c>
      <c r="B1386" t="e">
        <f>INDEX(resultados!$A$2:$ZZ$2290, 1380, MATCH($B$2, resultados!$A$1:$ZZ$1, 0))</f>
        <v>#N/A</v>
      </c>
      <c r="C1386" t="e">
        <f>INDEX(resultados!$A$2:$ZZ$2290, 1380, MATCH($B$3, resultados!$A$1:$ZZ$1, 0))</f>
        <v>#N/A</v>
      </c>
    </row>
    <row r="1387" spans="1:3" x14ac:dyDescent="0.3">
      <c r="A1387" t="e">
        <f>INDEX(resultados!$A$2:$ZZ$2290, 1381, MATCH($B$1, resultados!$A$1:$ZZ$1, 0))</f>
        <v>#N/A</v>
      </c>
      <c r="B1387" t="e">
        <f>INDEX(resultados!$A$2:$ZZ$2290, 1381, MATCH($B$2, resultados!$A$1:$ZZ$1, 0))</f>
        <v>#N/A</v>
      </c>
      <c r="C1387" t="e">
        <f>INDEX(resultados!$A$2:$ZZ$2290, 1381, MATCH($B$3, resultados!$A$1:$ZZ$1, 0))</f>
        <v>#N/A</v>
      </c>
    </row>
    <row r="1388" spans="1:3" x14ac:dyDescent="0.3">
      <c r="A1388" t="e">
        <f>INDEX(resultados!$A$2:$ZZ$2290, 1382, MATCH($B$1, resultados!$A$1:$ZZ$1, 0))</f>
        <v>#N/A</v>
      </c>
      <c r="B1388" t="e">
        <f>INDEX(resultados!$A$2:$ZZ$2290, 1382, MATCH($B$2, resultados!$A$1:$ZZ$1, 0))</f>
        <v>#N/A</v>
      </c>
      <c r="C1388" t="e">
        <f>INDEX(resultados!$A$2:$ZZ$2290, 1382, MATCH($B$3, resultados!$A$1:$ZZ$1, 0))</f>
        <v>#N/A</v>
      </c>
    </row>
    <row r="1389" spans="1:3" x14ac:dyDescent="0.3">
      <c r="A1389" t="e">
        <f>INDEX(resultados!$A$2:$ZZ$2290, 1383, MATCH($B$1, resultados!$A$1:$ZZ$1, 0))</f>
        <v>#N/A</v>
      </c>
      <c r="B1389" t="e">
        <f>INDEX(resultados!$A$2:$ZZ$2290, 1383, MATCH($B$2, resultados!$A$1:$ZZ$1, 0))</f>
        <v>#N/A</v>
      </c>
      <c r="C1389" t="e">
        <f>INDEX(resultados!$A$2:$ZZ$2290, 1383, MATCH($B$3, resultados!$A$1:$ZZ$1, 0))</f>
        <v>#N/A</v>
      </c>
    </row>
    <row r="1390" spans="1:3" x14ac:dyDescent="0.3">
      <c r="A1390" t="e">
        <f>INDEX(resultados!$A$2:$ZZ$2290, 1384, MATCH($B$1, resultados!$A$1:$ZZ$1, 0))</f>
        <v>#N/A</v>
      </c>
      <c r="B1390" t="e">
        <f>INDEX(resultados!$A$2:$ZZ$2290, 1384, MATCH($B$2, resultados!$A$1:$ZZ$1, 0))</f>
        <v>#N/A</v>
      </c>
      <c r="C1390" t="e">
        <f>INDEX(resultados!$A$2:$ZZ$2290, 1384, MATCH($B$3, resultados!$A$1:$ZZ$1, 0))</f>
        <v>#N/A</v>
      </c>
    </row>
    <row r="1391" spans="1:3" x14ac:dyDescent="0.3">
      <c r="A1391" t="e">
        <f>INDEX(resultados!$A$2:$ZZ$2290, 1385, MATCH($B$1, resultados!$A$1:$ZZ$1, 0))</f>
        <v>#N/A</v>
      </c>
      <c r="B1391" t="e">
        <f>INDEX(resultados!$A$2:$ZZ$2290, 1385, MATCH($B$2, resultados!$A$1:$ZZ$1, 0))</f>
        <v>#N/A</v>
      </c>
      <c r="C1391" t="e">
        <f>INDEX(resultados!$A$2:$ZZ$2290, 1385, MATCH($B$3, resultados!$A$1:$ZZ$1, 0))</f>
        <v>#N/A</v>
      </c>
    </row>
    <row r="1392" spans="1:3" x14ac:dyDescent="0.3">
      <c r="A1392" t="e">
        <f>INDEX(resultados!$A$2:$ZZ$2290, 1386, MATCH($B$1, resultados!$A$1:$ZZ$1, 0))</f>
        <v>#N/A</v>
      </c>
      <c r="B1392" t="e">
        <f>INDEX(resultados!$A$2:$ZZ$2290, 1386, MATCH($B$2, resultados!$A$1:$ZZ$1, 0))</f>
        <v>#N/A</v>
      </c>
      <c r="C1392" t="e">
        <f>INDEX(resultados!$A$2:$ZZ$2290, 1386, MATCH($B$3, resultados!$A$1:$ZZ$1, 0))</f>
        <v>#N/A</v>
      </c>
    </row>
    <row r="1393" spans="1:3" x14ac:dyDescent="0.3">
      <c r="A1393" t="e">
        <f>INDEX(resultados!$A$2:$ZZ$2290, 1387, MATCH($B$1, resultados!$A$1:$ZZ$1, 0))</f>
        <v>#N/A</v>
      </c>
      <c r="B1393" t="e">
        <f>INDEX(resultados!$A$2:$ZZ$2290, 1387, MATCH($B$2, resultados!$A$1:$ZZ$1, 0))</f>
        <v>#N/A</v>
      </c>
      <c r="C1393" t="e">
        <f>INDEX(resultados!$A$2:$ZZ$2290, 1387, MATCH($B$3, resultados!$A$1:$ZZ$1, 0))</f>
        <v>#N/A</v>
      </c>
    </row>
    <row r="1394" spans="1:3" x14ac:dyDescent="0.3">
      <c r="A1394" t="e">
        <f>INDEX(resultados!$A$2:$ZZ$2290, 1388, MATCH($B$1, resultados!$A$1:$ZZ$1, 0))</f>
        <v>#N/A</v>
      </c>
      <c r="B1394" t="e">
        <f>INDEX(resultados!$A$2:$ZZ$2290, 1388, MATCH($B$2, resultados!$A$1:$ZZ$1, 0))</f>
        <v>#N/A</v>
      </c>
      <c r="C1394" t="e">
        <f>INDEX(resultados!$A$2:$ZZ$2290, 1388, MATCH($B$3, resultados!$A$1:$ZZ$1, 0))</f>
        <v>#N/A</v>
      </c>
    </row>
    <row r="1395" spans="1:3" x14ac:dyDescent="0.3">
      <c r="A1395" t="e">
        <f>INDEX(resultados!$A$2:$ZZ$2290, 1389, MATCH($B$1, resultados!$A$1:$ZZ$1, 0))</f>
        <v>#N/A</v>
      </c>
      <c r="B1395" t="e">
        <f>INDEX(resultados!$A$2:$ZZ$2290, 1389, MATCH($B$2, resultados!$A$1:$ZZ$1, 0))</f>
        <v>#N/A</v>
      </c>
      <c r="C1395" t="e">
        <f>INDEX(resultados!$A$2:$ZZ$2290, 1389, MATCH($B$3, resultados!$A$1:$ZZ$1, 0))</f>
        <v>#N/A</v>
      </c>
    </row>
    <row r="1396" spans="1:3" x14ac:dyDescent="0.3">
      <c r="A1396" t="e">
        <f>INDEX(resultados!$A$2:$ZZ$2290, 1390, MATCH($B$1, resultados!$A$1:$ZZ$1, 0))</f>
        <v>#N/A</v>
      </c>
      <c r="B1396" t="e">
        <f>INDEX(resultados!$A$2:$ZZ$2290, 1390, MATCH($B$2, resultados!$A$1:$ZZ$1, 0))</f>
        <v>#N/A</v>
      </c>
      <c r="C1396" t="e">
        <f>INDEX(resultados!$A$2:$ZZ$2290, 1390, MATCH($B$3, resultados!$A$1:$ZZ$1, 0))</f>
        <v>#N/A</v>
      </c>
    </row>
    <row r="1397" spans="1:3" x14ac:dyDescent="0.3">
      <c r="A1397" t="e">
        <f>INDEX(resultados!$A$2:$ZZ$2290, 1391, MATCH($B$1, resultados!$A$1:$ZZ$1, 0))</f>
        <v>#N/A</v>
      </c>
      <c r="B1397" t="e">
        <f>INDEX(resultados!$A$2:$ZZ$2290, 1391, MATCH($B$2, resultados!$A$1:$ZZ$1, 0))</f>
        <v>#N/A</v>
      </c>
      <c r="C1397" t="e">
        <f>INDEX(resultados!$A$2:$ZZ$2290, 1391, MATCH($B$3, resultados!$A$1:$ZZ$1, 0))</f>
        <v>#N/A</v>
      </c>
    </row>
    <row r="1398" spans="1:3" x14ac:dyDescent="0.3">
      <c r="A1398" t="e">
        <f>INDEX(resultados!$A$2:$ZZ$2290, 1392, MATCH($B$1, resultados!$A$1:$ZZ$1, 0))</f>
        <v>#N/A</v>
      </c>
      <c r="B1398" t="e">
        <f>INDEX(resultados!$A$2:$ZZ$2290, 1392, MATCH($B$2, resultados!$A$1:$ZZ$1, 0))</f>
        <v>#N/A</v>
      </c>
      <c r="C1398" t="e">
        <f>INDEX(resultados!$A$2:$ZZ$2290, 1392, MATCH($B$3, resultados!$A$1:$ZZ$1, 0))</f>
        <v>#N/A</v>
      </c>
    </row>
    <row r="1399" spans="1:3" x14ac:dyDescent="0.3">
      <c r="A1399" t="e">
        <f>INDEX(resultados!$A$2:$ZZ$2290, 1393, MATCH($B$1, resultados!$A$1:$ZZ$1, 0))</f>
        <v>#N/A</v>
      </c>
      <c r="B1399" t="e">
        <f>INDEX(resultados!$A$2:$ZZ$2290, 1393, MATCH($B$2, resultados!$A$1:$ZZ$1, 0))</f>
        <v>#N/A</v>
      </c>
      <c r="C1399" t="e">
        <f>INDEX(resultados!$A$2:$ZZ$2290, 1393, MATCH($B$3, resultados!$A$1:$ZZ$1, 0))</f>
        <v>#N/A</v>
      </c>
    </row>
    <row r="1400" spans="1:3" x14ac:dyDescent="0.3">
      <c r="A1400" t="e">
        <f>INDEX(resultados!$A$2:$ZZ$2290, 1394, MATCH($B$1, resultados!$A$1:$ZZ$1, 0))</f>
        <v>#N/A</v>
      </c>
      <c r="B1400" t="e">
        <f>INDEX(resultados!$A$2:$ZZ$2290, 1394, MATCH($B$2, resultados!$A$1:$ZZ$1, 0))</f>
        <v>#N/A</v>
      </c>
      <c r="C1400" t="e">
        <f>INDEX(resultados!$A$2:$ZZ$2290, 1394, MATCH($B$3, resultados!$A$1:$ZZ$1, 0))</f>
        <v>#N/A</v>
      </c>
    </row>
    <row r="1401" spans="1:3" x14ac:dyDescent="0.3">
      <c r="A1401" t="e">
        <f>INDEX(resultados!$A$2:$ZZ$2290, 1395, MATCH($B$1, resultados!$A$1:$ZZ$1, 0))</f>
        <v>#N/A</v>
      </c>
      <c r="B1401" t="e">
        <f>INDEX(resultados!$A$2:$ZZ$2290, 1395, MATCH($B$2, resultados!$A$1:$ZZ$1, 0))</f>
        <v>#N/A</v>
      </c>
      <c r="C1401" t="e">
        <f>INDEX(resultados!$A$2:$ZZ$2290, 1395, MATCH($B$3, resultados!$A$1:$ZZ$1, 0))</f>
        <v>#N/A</v>
      </c>
    </row>
    <row r="1402" spans="1:3" x14ac:dyDescent="0.3">
      <c r="A1402" t="e">
        <f>INDEX(resultados!$A$2:$ZZ$2290, 1396, MATCH($B$1, resultados!$A$1:$ZZ$1, 0))</f>
        <v>#N/A</v>
      </c>
      <c r="B1402" t="e">
        <f>INDEX(resultados!$A$2:$ZZ$2290, 1396, MATCH($B$2, resultados!$A$1:$ZZ$1, 0))</f>
        <v>#N/A</v>
      </c>
      <c r="C1402" t="e">
        <f>INDEX(resultados!$A$2:$ZZ$2290, 1396, MATCH($B$3, resultados!$A$1:$ZZ$1, 0))</f>
        <v>#N/A</v>
      </c>
    </row>
    <row r="1403" spans="1:3" x14ac:dyDescent="0.3">
      <c r="A1403" t="e">
        <f>INDEX(resultados!$A$2:$ZZ$2290, 1397, MATCH($B$1, resultados!$A$1:$ZZ$1, 0))</f>
        <v>#N/A</v>
      </c>
      <c r="B1403" t="e">
        <f>INDEX(resultados!$A$2:$ZZ$2290, 1397, MATCH($B$2, resultados!$A$1:$ZZ$1, 0))</f>
        <v>#N/A</v>
      </c>
      <c r="C1403" t="e">
        <f>INDEX(resultados!$A$2:$ZZ$2290, 1397, MATCH($B$3, resultados!$A$1:$ZZ$1, 0))</f>
        <v>#N/A</v>
      </c>
    </row>
    <row r="1404" spans="1:3" x14ac:dyDescent="0.3">
      <c r="A1404" t="e">
        <f>INDEX(resultados!$A$2:$ZZ$2290, 1398, MATCH($B$1, resultados!$A$1:$ZZ$1, 0))</f>
        <v>#N/A</v>
      </c>
      <c r="B1404" t="e">
        <f>INDEX(resultados!$A$2:$ZZ$2290, 1398, MATCH($B$2, resultados!$A$1:$ZZ$1, 0))</f>
        <v>#N/A</v>
      </c>
      <c r="C1404" t="e">
        <f>INDEX(resultados!$A$2:$ZZ$2290, 1398, MATCH($B$3, resultados!$A$1:$ZZ$1, 0))</f>
        <v>#N/A</v>
      </c>
    </row>
    <row r="1405" spans="1:3" x14ac:dyDescent="0.3">
      <c r="A1405" t="e">
        <f>INDEX(resultados!$A$2:$ZZ$2290, 1399, MATCH($B$1, resultados!$A$1:$ZZ$1, 0))</f>
        <v>#N/A</v>
      </c>
      <c r="B1405" t="e">
        <f>INDEX(resultados!$A$2:$ZZ$2290, 1399, MATCH($B$2, resultados!$A$1:$ZZ$1, 0))</f>
        <v>#N/A</v>
      </c>
      <c r="C1405" t="e">
        <f>INDEX(resultados!$A$2:$ZZ$2290, 1399, MATCH($B$3, resultados!$A$1:$ZZ$1, 0))</f>
        <v>#N/A</v>
      </c>
    </row>
    <row r="1406" spans="1:3" x14ac:dyDescent="0.3">
      <c r="A1406" t="e">
        <f>INDEX(resultados!$A$2:$ZZ$2290, 1400, MATCH($B$1, resultados!$A$1:$ZZ$1, 0))</f>
        <v>#N/A</v>
      </c>
      <c r="B1406" t="e">
        <f>INDEX(resultados!$A$2:$ZZ$2290, 1400, MATCH($B$2, resultados!$A$1:$ZZ$1, 0))</f>
        <v>#N/A</v>
      </c>
      <c r="C1406" t="e">
        <f>INDEX(resultados!$A$2:$ZZ$2290, 1400, MATCH($B$3, resultados!$A$1:$ZZ$1, 0))</f>
        <v>#N/A</v>
      </c>
    </row>
    <row r="1407" spans="1:3" x14ac:dyDescent="0.3">
      <c r="A1407" t="e">
        <f>INDEX(resultados!$A$2:$ZZ$2290, 1401, MATCH($B$1, resultados!$A$1:$ZZ$1, 0))</f>
        <v>#N/A</v>
      </c>
      <c r="B1407" t="e">
        <f>INDEX(resultados!$A$2:$ZZ$2290, 1401, MATCH($B$2, resultados!$A$1:$ZZ$1, 0))</f>
        <v>#N/A</v>
      </c>
      <c r="C1407" t="e">
        <f>INDEX(resultados!$A$2:$ZZ$2290, 1401, MATCH($B$3, resultados!$A$1:$ZZ$1, 0))</f>
        <v>#N/A</v>
      </c>
    </row>
    <row r="1408" spans="1:3" x14ac:dyDescent="0.3">
      <c r="A1408" t="e">
        <f>INDEX(resultados!$A$2:$ZZ$2290, 1402, MATCH($B$1, resultados!$A$1:$ZZ$1, 0))</f>
        <v>#N/A</v>
      </c>
      <c r="B1408" t="e">
        <f>INDEX(resultados!$A$2:$ZZ$2290, 1402, MATCH($B$2, resultados!$A$1:$ZZ$1, 0))</f>
        <v>#N/A</v>
      </c>
      <c r="C1408" t="e">
        <f>INDEX(resultados!$A$2:$ZZ$2290, 1402, MATCH($B$3, resultados!$A$1:$ZZ$1, 0))</f>
        <v>#N/A</v>
      </c>
    </row>
    <row r="1409" spans="1:3" x14ac:dyDescent="0.3">
      <c r="A1409" t="e">
        <f>INDEX(resultados!$A$2:$ZZ$2290, 1403, MATCH($B$1, resultados!$A$1:$ZZ$1, 0))</f>
        <v>#N/A</v>
      </c>
      <c r="B1409" t="e">
        <f>INDEX(resultados!$A$2:$ZZ$2290, 1403, MATCH($B$2, resultados!$A$1:$ZZ$1, 0))</f>
        <v>#N/A</v>
      </c>
      <c r="C1409" t="e">
        <f>INDEX(resultados!$A$2:$ZZ$2290, 1403, MATCH($B$3, resultados!$A$1:$ZZ$1, 0))</f>
        <v>#N/A</v>
      </c>
    </row>
    <row r="1410" spans="1:3" x14ac:dyDescent="0.3">
      <c r="A1410" t="e">
        <f>INDEX(resultados!$A$2:$ZZ$2290, 1404, MATCH($B$1, resultados!$A$1:$ZZ$1, 0))</f>
        <v>#N/A</v>
      </c>
      <c r="B1410" t="e">
        <f>INDEX(resultados!$A$2:$ZZ$2290, 1404, MATCH($B$2, resultados!$A$1:$ZZ$1, 0))</f>
        <v>#N/A</v>
      </c>
      <c r="C1410" t="e">
        <f>INDEX(resultados!$A$2:$ZZ$2290, 1404, MATCH($B$3, resultados!$A$1:$ZZ$1, 0))</f>
        <v>#N/A</v>
      </c>
    </row>
    <row r="1411" spans="1:3" x14ac:dyDescent="0.3">
      <c r="A1411" t="e">
        <f>INDEX(resultados!$A$2:$ZZ$2290, 1405, MATCH($B$1, resultados!$A$1:$ZZ$1, 0))</f>
        <v>#N/A</v>
      </c>
      <c r="B1411" t="e">
        <f>INDEX(resultados!$A$2:$ZZ$2290, 1405, MATCH($B$2, resultados!$A$1:$ZZ$1, 0))</f>
        <v>#N/A</v>
      </c>
      <c r="C1411" t="e">
        <f>INDEX(resultados!$A$2:$ZZ$2290, 1405, MATCH($B$3, resultados!$A$1:$ZZ$1, 0))</f>
        <v>#N/A</v>
      </c>
    </row>
    <row r="1412" spans="1:3" x14ac:dyDescent="0.3">
      <c r="A1412" t="e">
        <f>INDEX(resultados!$A$2:$ZZ$2290, 1406, MATCH($B$1, resultados!$A$1:$ZZ$1, 0))</f>
        <v>#N/A</v>
      </c>
      <c r="B1412" t="e">
        <f>INDEX(resultados!$A$2:$ZZ$2290, 1406, MATCH($B$2, resultados!$A$1:$ZZ$1, 0))</f>
        <v>#N/A</v>
      </c>
      <c r="C1412" t="e">
        <f>INDEX(resultados!$A$2:$ZZ$2290, 1406, MATCH($B$3, resultados!$A$1:$ZZ$1, 0))</f>
        <v>#N/A</v>
      </c>
    </row>
    <row r="1413" spans="1:3" x14ac:dyDescent="0.3">
      <c r="A1413" t="e">
        <f>INDEX(resultados!$A$2:$ZZ$2290, 1407, MATCH($B$1, resultados!$A$1:$ZZ$1, 0))</f>
        <v>#N/A</v>
      </c>
      <c r="B1413" t="e">
        <f>INDEX(resultados!$A$2:$ZZ$2290, 1407, MATCH($B$2, resultados!$A$1:$ZZ$1, 0))</f>
        <v>#N/A</v>
      </c>
      <c r="C1413" t="e">
        <f>INDEX(resultados!$A$2:$ZZ$2290, 1407, MATCH($B$3, resultados!$A$1:$ZZ$1, 0))</f>
        <v>#N/A</v>
      </c>
    </row>
    <row r="1414" spans="1:3" x14ac:dyDescent="0.3">
      <c r="A1414" t="e">
        <f>INDEX(resultados!$A$2:$ZZ$2290, 1408, MATCH($B$1, resultados!$A$1:$ZZ$1, 0))</f>
        <v>#N/A</v>
      </c>
      <c r="B1414" t="e">
        <f>INDEX(resultados!$A$2:$ZZ$2290, 1408, MATCH($B$2, resultados!$A$1:$ZZ$1, 0))</f>
        <v>#N/A</v>
      </c>
      <c r="C1414" t="e">
        <f>INDEX(resultados!$A$2:$ZZ$2290, 1408, MATCH($B$3, resultados!$A$1:$ZZ$1, 0))</f>
        <v>#N/A</v>
      </c>
    </row>
    <row r="1415" spans="1:3" x14ac:dyDescent="0.3">
      <c r="A1415" t="e">
        <f>INDEX(resultados!$A$2:$ZZ$2290, 1409, MATCH($B$1, resultados!$A$1:$ZZ$1, 0))</f>
        <v>#N/A</v>
      </c>
      <c r="B1415" t="e">
        <f>INDEX(resultados!$A$2:$ZZ$2290, 1409, MATCH($B$2, resultados!$A$1:$ZZ$1, 0))</f>
        <v>#N/A</v>
      </c>
      <c r="C1415" t="e">
        <f>INDEX(resultados!$A$2:$ZZ$2290, 1409, MATCH($B$3, resultados!$A$1:$ZZ$1, 0))</f>
        <v>#N/A</v>
      </c>
    </row>
    <row r="1416" spans="1:3" x14ac:dyDescent="0.3">
      <c r="A1416" t="e">
        <f>INDEX(resultados!$A$2:$ZZ$2290, 1410, MATCH($B$1, resultados!$A$1:$ZZ$1, 0))</f>
        <v>#N/A</v>
      </c>
      <c r="B1416" t="e">
        <f>INDEX(resultados!$A$2:$ZZ$2290, 1410, MATCH($B$2, resultados!$A$1:$ZZ$1, 0))</f>
        <v>#N/A</v>
      </c>
      <c r="C1416" t="e">
        <f>INDEX(resultados!$A$2:$ZZ$2290, 1410, MATCH($B$3, resultados!$A$1:$ZZ$1, 0))</f>
        <v>#N/A</v>
      </c>
    </row>
    <row r="1417" spans="1:3" x14ac:dyDescent="0.3">
      <c r="A1417" t="e">
        <f>INDEX(resultados!$A$2:$ZZ$2290, 1411, MATCH($B$1, resultados!$A$1:$ZZ$1, 0))</f>
        <v>#N/A</v>
      </c>
      <c r="B1417" t="e">
        <f>INDEX(resultados!$A$2:$ZZ$2290, 1411, MATCH($B$2, resultados!$A$1:$ZZ$1, 0))</f>
        <v>#N/A</v>
      </c>
      <c r="C1417" t="e">
        <f>INDEX(resultados!$A$2:$ZZ$2290, 1411, MATCH($B$3, resultados!$A$1:$ZZ$1, 0))</f>
        <v>#N/A</v>
      </c>
    </row>
    <row r="1418" spans="1:3" x14ac:dyDescent="0.3">
      <c r="A1418" t="e">
        <f>INDEX(resultados!$A$2:$ZZ$2290, 1412, MATCH($B$1, resultados!$A$1:$ZZ$1, 0))</f>
        <v>#N/A</v>
      </c>
      <c r="B1418" t="e">
        <f>INDEX(resultados!$A$2:$ZZ$2290, 1412, MATCH($B$2, resultados!$A$1:$ZZ$1, 0))</f>
        <v>#N/A</v>
      </c>
      <c r="C1418" t="e">
        <f>INDEX(resultados!$A$2:$ZZ$2290, 1412, MATCH($B$3, resultados!$A$1:$ZZ$1, 0))</f>
        <v>#N/A</v>
      </c>
    </row>
    <row r="1419" spans="1:3" x14ac:dyDescent="0.3">
      <c r="A1419" t="e">
        <f>INDEX(resultados!$A$2:$ZZ$2290, 1413, MATCH($B$1, resultados!$A$1:$ZZ$1, 0))</f>
        <v>#N/A</v>
      </c>
      <c r="B1419" t="e">
        <f>INDEX(resultados!$A$2:$ZZ$2290, 1413, MATCH($B$2, resultados!$A$1:$ZZ$1, 0))</f>
        <v>#N/A</v>
      </c>
      <c r="C1419" t="e">
        <f>INDEX(resultados!$A$2:$ZZ$2290, 1413, MATCH($B$3, resultados!$A$1:$ZZ$1, 0))</f>
        <v>#N/A</v>
      </c>
    </row>
    <row r="1420" spans="1:3" x14ac:dyDescent="0.3">
      <c r="A1420" t="e">
        <f>INDEX(resultados!$A$2:$ZZ$2290, 1414, MATCH($B$1, resultados!$A$1:$ZZ$1, 0))</f>
        <v>#N/A</v>
      </c>
      <c r="B1420" t="e">
        <f>INDEX(resultados!$A$2:$ZZ$2290, 1414, MATCH($B$2, resultados!$A$1:$ZZ$1, 0))</f>
        <v>#N/A</v>
      </c>
      <c r="C1420" t="e">
        <f>INDEX(resultados!$A$2:$ZZ$2290, 1414, MATCH($B$3, resultados!$A$1:$ZZ$1, 0))</f>
        <v>#N/A</v>
      </c>
    </row>
    <row r="1421" spans="1:3" x14ac:dyDescent="0.3">
      <c r="A1421" t="e">
        <f>INDEX(resultados!$A$2:$ZZ$2290, 1415, MATCH($B$1, resultados!$A$1:$ZZ$1, 0))</f>
        <v>#N/A</v>
      </c>
      <c r="B1421" t="e">
        <f>INDEX(resultados!$A$2:$ZZ$2290, 1415, MATCH($B$2, resultados!$A$1:$ZZ$1, 0))</f>
        <v>#N/A</v>
      </c>
      <c r="C1421" t="e">
        <f>INDEX(resultados!$A$2:$ZZ$2290, 1415, MATCH($B$3, resultados!$A$1:$ZZ$1, 0))</f>
        <v>#N/A</v>
      </c>
    </row>
    <row r="1422" spans="1:3" x14ac:dyDescent="0.3">
      <c r="A1422" t="e">
        <f>INDEX(resultados!$A$2:$ZZ$2290, 1416, MATCH($B$1, resultados!$A$1:$ZZ$1, 0))</f>
        <v>#N/A</v>
      </c>
      <c r="B1422" t="e">
        <f>INDEX(resultados!$A$2:$ZZ$2290, 1416, MATCH($B$2, resultados!$A$1:$ZZ$1, 0))</f>
        <v>#N/A</v>
      </c>
      <c r="C1422" t="e">
        <f>INDEX(resultados!$A$2:$ZZ$2290, 1416, MATCH($B$3, resultados!$A$1:$ZZ$1, 0))</f>
        <v>#N/A</v>
      </c>
    </row>
    <row r="1423" spans="1:3" x14ac:dyDescent="0.3">
      <c r="A1423" t="e">
        <f>INDEX(resultados!$A$2:$ZZ$2290, 1417, MATCH($B$1, resultados!$A$1:$ZZ$1, 0))</f>
        <v>#N/A</v>
      </c>
      <c r="B1423" t="e">
        <f>INDEX(resultados!$A$2:$ZZ$2290, 1417, MATCH($B$2, resultados!$A$1:$ZZ$1, 0))</f>
        <v>#N/A</v>
      </c>
      <c r="C1423" t="e">
        <f>INDEX(resultados!$A$2:$ZZ$2290, 1417, MATCH($B$3, resultados!$A$1:$ZZ$1, 0))</f>
        <v>#N/A</v>
      </c>
    </row>
    <row r="1424" spans="1:3" x14ac:dyDescent="0.3">
      <c r="A1424" t="e">
        <f>INDEX(resultados!$A$2:$ZZ$2290, 1418, MATCH($B$1, resultados!$A$1:$ZZ$1, 0))</f>
        <v>#N/A</v>
      </c>
      <c r="B1424" t="e">
        <f>INDEX(resultados!$A$2:$ZZ$2290, 1418, MATCH($B$2, resultados!$A$1:$ZZ$1, 0))</f>
        <v>#N/A</v>
      </c>
      <c r="C1424" t="e">
        <f>INDEX(resultados!$A$2:$ZZ$2290, 1418, MATCH($B$3, resultados!$A$1:$ZZ$1, 0))</f>
        <v>#N/A</v>
      </c>
    </row>
    <row r="1425" spans="1:3" x14ac:dyDescent="0.3">
      <c r="A1425" t="e">
        <f>INDEX(resultados!$A$2:$ZZ$2290, 1419, MATCH($B$1, resultados!$A$1:$ZZ$1, 0))</f>
        <v>#N/A</v>
      </c>
      <c r="B1425" t="e">
        <f>INDEX(resultados!$A$2:$ZZ$2290, 1419, MATCH($B$2, resultados!$A$1:$ZZ$1, 0))</f>
        <v>#N/A</v>
      </c>
      <c r="C1425" t="e">
        <f>INDEX(resultados!$A$2:$ZZ$2290, 1419, MATCH($B$3, resultados!$A$1:$ZZ$1, 0))</f>
        <v>#N/A</v>
      </c>
    </row>
    <row r="1426" spans="1:3" x14ac:dyDescent="0.3">
      <c r="A1426" t="e">
        <f>INDEX(resultados!$A$2:$ZZ$2290, 1420, MATCH($B$1, resultados!$A$1:$ZZ$1, 0))</f>
        <v>#N/A</v>
      </c>
      <c r="B1426" t="e">
        <f>INDEX(resultados!$A$2:$ZZ$2290, 1420, MATCH($B$2, resultados!$A$1:$ZZ$1, 0))</f>
        <v>#N/A</v>
      </c>
      <c r="C1426" t="e">
        <f>INDEX(resultados!$A$2:$ZZ$2290, 1420, MATCH($B$3, resultados!$A$1:$ZZ$1, 0))</f>
        <v>#N/A</v>
      </c>
    </row>
    <row r="1427" spans="1:3" x14ac:dyDescent="0.3">
      <c r="A1427" t="e">
        <f>INDEX(resultados!$A$2:$ZZ$2290, 1421, MATCH($B$1, resultados!$A$1:$ZZ$1, 0))</f>
        <v>#N/A</v>
      </c>
      <c r="B1427" t="e">
        <f>INDEX(resultados!$A$2:$ZZ$2290, 1421, MATCH($B$2, resultados!$A$1:$ZZ$1, 0))</f>
        <v>#N/A</v>
      </c>
      <c r="C1427" t="e">
        <f>INDEX(resultados!$A$2:$ZZ$2290, 1421, MATCH($B$3, resultados!$A$1:$ZZ$1, 0))</f>
        <v>#N/A</v>
      </c>
    </row>
    <row r="1428" spans="1:3" x14ac:dyDescent="0.3">
      <c r="A1428" t="e">
        <f>INDEX(resultados!$A$2:$ZZ$2290, 1422, MATCH($B$1, resultados!$A$1:$ZZ$1, 0))</f>
        <v>#N/A</v>
      </c>
      <c r="B1428" t="e">
        <f>INDEX(resultados!$A$2:$ZZ$2290, 1422, MATCH($B$2, resultados!$A$1:$ZZ$1, 0))</f>
        <v>#N/A</v>
      </c>
      <c r="C1428" t="e">
        <f>INDEX(resultados!$A$2:$ZZ$2290, 1422, MATCH($B$3, resultados!$A$1:$ZZ$1, 0))</f>
        <v>#N/A</v>
      </c>
    </row>
    <row r="1429" spans="1:3" x14ac:dyDescent="0.3">
      <c r="A1429" t="e">
        <f>INDEX(resultados!$A$2:$ZZ$2290, 1423, MATCH($B$1, resultados!$A$1:$ZZ$1, 0))</f>
        <v>#N/A</v>
      </c>
      <c r="B1429" t="e">
        <f>INDEX(resultados!$A$2:$ZZ$2290, 1423, MATCH($B$2, resultados!$A$1:$ZZ$1, 0))</f>
        <v>#N/A</v>
      </c>
      <c r="C1429" t="e">
        <f>INDEX(resultados!$A$2:$ZZ$2290, 1423, MATCH($B$3, resultados!$A$1:$ZZ$1, 0))</f>
        <v>#N/A</v>
      </c>
    </row>
    <row r="1430" spans="1:3" x14ac:dyDescent="0.3">
      <c r="A1430" t="e">
        <f>INDEX(resultados!$A$2:$ZZ$2290, 1424, MATCH($B$1, resultados!$A$1:$ZZ$1, 0))</f>
        <v>#N/A</v>
      </c>
      <c r="B1430" t="e">
        <f>INDEX(resultados!$A$2:$ZZ$2290, 1424, MATCH($B$2, resultados!$A$1:$ZZ$1, 0))</f>
        <v>#N/A</v>
      </c>
      <c r="C1430" t="e">
        <f>INDEX(resultados!$A$2:$ZZ$2290, 1424, MATCH($B$3, resultados!$A$1:$ZZ$1, 0))</f>
        <v>#N/A</v>
      </c>
    </row>
    <row r="1431" spans="1:3" x14ac:dyDescent="0.3">
      <c r="A1431" t="e">
        <f>INDEX(resultados!$A$2:$ZZ$2290, 1425, MATCH($B$1, resultados!$A$1:$ZZ$1, 0))</f>
        <v>#N/A</v>
      </c>
      <c r="B1431" t="e">
        <f>INDEX(resultados!$A$2:$ZZ$2290, 1425, MATCH($B$2, resultados!$A$1:$ZZ$1, 0))</f>
        <v>#N/A</v>
      </c>
      <c r="C1431" t="e">
        <f>INDEX(resultados!$A$2:$ZZ$2290, 1425, MATCH($B$3, resultados!$A$1:$ZZ$1, 0))</f>
        <v>#N/A</v>
      </c>
    </row>
    <row r="1432" spans="1:3" x14ac:dyDescent="0.3">
      <c r="A1432" t="e">
        <f>INDEX(resultados!$A$2:$ZZ$2290, 1426, MATCH($B$1, resultados!$A$1:$ZZ$1, 0))</f>
        <v>#N/A</v>
      </c>
      <c r="B1432" t="e">
        <f>INDEX(resultados!$A$2:$ZZ$2290, 1426, MATCH($B$2, resultados!$A$1:$ZZ$1, 0))</f>
        <v>#N/A</v>
      </c>
      <c r="C1432" t="e">
        <f>INDEX(resultados!$A$2:$ZZ$2290, 1426, MATCH($B$3, resultados!$A$1:$ZZ$1, 0))</f>
        <v>#N/A</v>
      </c>
    </row>
    <row r="1433" spans="1:3" x14ac:dyDescent="0.3">
      <c r="A1433" t="e">
        <f>INDEX(resultados!$A$2:$ZZ$2290, 1427, MATCH($B$1, resultados!$A$1:$ZZ$1, 0))</f>
        <v>#N/A</v>
      </c>
      <c r="B1433" t="e">
        <f>INDEX(resultados!$A$2:$ZZ$2290, 1427, MATCH($B$2, resultados!$A$1:$ZZ$1, 0))</f>
        <v>#N/A</v>
      </c>
      <c r="C1433" t="e">
        <f>INDEX(resultados!$A$2:$ZZ$2290, 1427, MATCH($B$3, resultados!$A$1:$ZZ$1, 0))</f>
        <v>#N/A</v>
      </c>
    </row>
    <row r="1434" spans="1:3" x14ac:dyDescent="0.3">
      <c r="A1434" t="e">
        <f>INDEX(resultados!$A$2:$ZZ$2290, 1428, MATCH($B$1, resultados!$A$1:$ZZ$1, 0))</f>
        <v>#N/A</v>
      </c>
      <c r="B1434" t="e">
        <f>INDEX(resultados!$A$2:$ZZ$2290, 1428, MATCH($B$2, resultados!$A$1:$ZZ$1, 0))</f>
        <v>#N/A</v>
      </c>
      <c r="C1434" t="e">
        <f>INDEX(resultados!$A$2:$ZZ$2290, 1428, MATCH($B$3, resultados!$A$1:$ZZ$1, 0))</f>
        <v>#N/A</v>
      </c>
    </row>
    <row r="1435" spans="1:3" x14ac:dyDescent="0.3">
      <c r="A1435" t="e">
        <f>INDEX(resultados!$A$2:$ZZ$2290, 1429, MATCH($B$1, resultados!$A$1:$ZZ$1, 0))</f>
        <v>#N/A</v>
      </c>
      <c r="B1435" t="e">
        <f>INDEX(resultados!$A$2:$ZZ$2290, 1429, MATCH($B$2, resultados!$A$1:$ZZ$1, 0))</f>
        <v>#N/A</v>
      </c>
      <c r="C1435" t="e">
        <f>INDEX(resultados!$A$2:$ZZ$2290, 1429, MATCH($B$3, resultados!$A$1:$ZZ$1, 0))</f>
        <v>#N/A</v>
      </c>
    </row>
    <row r="1436" spans="1:3" x14ac:dyDescent="0.3">
      <c r="A1436" t="e">
        <f>INDEX(resultados!$A$2:$ZZ$2290, 1430, MATCH($B$1, resultados!$A$1:$ZZ$1, 0))</f>
        <v>#N/A</v>
      </c>
      <c r="B1436" t="e">
        <f>INDEX(resultados!$A$2:$ZZ$2290, 1430, MATCH($B$2, resultados!$A$1:$ZZ$1, 0))</f>
        <v>#N/A</v>
      </c>
      <c r="C1436" t="e">
        <f>INDEX(resultados!$A$2:$ZZ$2290, 1430, MATCH($B$3, resultados!$A$1:$ZZ$1, 0))</f>
        <v>#N/A</v>
      </c>
    </row>
    <row r="1437" spans="1:3" x14ac:dyDescent="0.3">
      <c r="A1437" t="e">
        <f>INDEX(resultados!$A$2:$ZZ$2290, 1431, MATCH($B$1, resultados!$A$1:$ZZ$1, 0))</f>
        <v>#N/A</v>
      </c>
      <c r="B1437" t="e">
        <f>INDEX(resultados!$A$2:$ZZ$2290, 1431, MATCH($B$2, resultados!$A$1:$ZZ$1, 0))</f>
        <v>#N/A</v>
      </c>
      <c r="C1437" t="e">
        <f>INDEX(resultados!$A$2:$ZZ$2290, 1431, MATCH($B$3, resultados!$A$1:$ZZ$1, 0))</f>
        <v>#N/A</v>
      </c>
    </row>
    <row r="1438" spans="1:3" x14ac:dyDescent="0.3">
      <c r="A1438" t="e">
        <f>INDEX(resultados!$A$2:$ZZ$2290, 1432, MATCH($B$1, resultados!$A$1:$ZZ$1, 0))</f>
        <v>#N/A</v>
      </c>
      <c r="B1438" t="e">
        <f>INDEX(resultados!$A$2:$ZZ$2290, 1432, MATCH($B$2, resultados!$A$1:$ZZ$1, 0))</f>
        <v>#N/A</v>
      </c>
      <c r="C1438" t="e">
        <f>INDEX(resultados!$A$2:$ZZ$2290, 1432, MATCH($B$3, resultados!$A$1:$ZZ$1, 0))</f>
        <v>#N/A</v>
      </c>
    </row>
    <row r="1439" spans="1:3" x14ac:dyDescent="0.3">
      <c r="A1439" t="e">
        <f>INDEX(resultados!$A$2:$ZZ$2290, 1433, MATCH($B$1, resultados!$A$1:$ZZ$1, 0))</f>
        <v>#N/A</v>
      </c>
      <c r="B1439" t="e">
        <f>INDEX(resultados!$A$2:$ZZ$2290, 1433, MATCH($B$2, resultados!$A$1:$ZZ$1, 0))</f>
        <v>#N/A</v>
      </c>
      <c r="C1439" t="e">
        <f>INDEX(resultados!$A$2:$ZZ$2290, 1433, MATCH($B$3, resultados!$A$1:$ZZ$1, 0))</f>
        <v>#N/A</v>
      </c>
    </row>
    <row r="1440" spans="1:3" x14ac:dyDescent="0.3">
      <c r="A1440" t="e">
        <f>INDEX(resultados!$A$2:$ZZ$2290, 1434, MATCH($B$1, resultados!$A$1:$ZZ$1, 0))</f>
        <v>#N/A</v>
      </c>
      <c r="B1440" t="e">
        <f>INDEX(resultados!$A$2:$ZZ$2290, 1434, MATCH($B$2, resultados!$A$1:$ZZ$1, 0))</f>
        <v>#N/A</v>
      </c>
      <c r="C1440" t="e">
        <f>INDEX(resultados!$A$2:$ZZ$2290, 1434, MATCH($B$3, resultados!$A$1:$ZZ$1, 0))</f>
        <v>#N/A</v>
      </c>
    </row>
    <row r="1441" spans="1:3" x14ac:dyDescent="0.3">
      <c r="A1441" t="e">
        <f>INDEX(resultados!$A$2:$ZZ$2290, 1435, MATCH($B$1, resultados!$A$1:$ZZ$1, 0))</f>
        <v>#N/A</v>
      </c>
      <c r="B1441" t="e">
        <f>INDEX(resultados!$A$2:$ZZ$2290, 1435, MATCH($B$2, resultados!$A$1:$ZZ$1, 0))</f>
        <v>#N/A</v>
      </c>
      <c r="C1441" t="e">
        <f>INDEX(resultados!$A$2:$ZZ$2290, 1435, MATCH($B$3, resultados!$A$1:$ZZ$1, 0))</f>
        <v>#N/A</v>
      </c>
    </row>
    <row r="1442" spans="1:3" x14ac:dyDescent="0.3">
      <c r="A1442" t="e">
        <f>INDEX(resultados!$A$2:$ZZ$2290, 1436, MATCH($B$1, resultados!$A$1:$ZZ$1, 0))</f>
        <v>#N/A</v>
      </c>
      <c r="B1442" t="e">
        <f>INDEX(resultados!$A$2:$ZZ$2290, 1436, MATCH($B$2, resultados!$A$1:$ZZ$1, 0))</f>
        <v>#N/A</v>
      </c>
      <c r="C1442" t="e">
        <f>INDEX(resultados!$A$2:$ZZ$2290, 1436, MATCH($B$3, resultados!$A$1:$ZZ$1, 0))</f>
        <v>#N/A</v>
      </c>
    </row>
    <row r="1443" spans="1:3" x14ac:dyDescent="0.3">
      <c r="A1443" t="e">
        <f>INDEX(resultados!$A$2:$ZZ$2290, 1437, MATCH($B$1, resultados!$A$1:$ZZ$1, 0))</f>
        <v>#N/A</v>
      </c>
      <c r="B1443" t="e">
        <f>INDEX(resultados!$A$2:$ZZ$2290, 1437, MATCH($B$2, resultados!$A$1:$ZZ$1, 0))</f>
        <v>#N/A</v>
      </c>
      <c r="C1443" t="e">
        <f>INDEX(resultados!$A$2:$ZZ$2290, 1437, MATCH($B$3, resultados!$A$1:$ZZ$1, 0))</f>
        <v>#N/A</v>
      </c>
    </row>
    <row r="1444" spans="1:3" x14ac:dyDescent="0.3">
      <c r="A1444" t="e">
        <f>INDEX(resultados!$A$2:$ZZ$2290, 1438, MATCH($B$1, resultados!$A$1:$ZZ$1, 0))</f>
        <v>#N/A</v>
      </c>
      <c r="B1444" t="e">
        <f>INDEX(resultados!$A$2:$ZZ$2290, 1438, MATCH($B$2, resultados!$A$1:$ZZ$1, 0))</f>
        <v>#N/A</v>
      </c>
      <c r="C1444" t="e">
        <f>INDEX(resultados!$A$2:$ZZ$2290, 1438, MATCH($B$3, resultados!$A$1:$ZZ$1, 0))</f>
        <v>#N/A</v>
      </c>
    </row>
    <row r="1445" spans="1:3" x14ac:dyDescent="0.3">
      <c r="A1445" t="e">
        <f>INDEX(resultados!$A$2:$ZZ$2290, 1439, MATCH($B$1, resultados!$A$1:$ZZ$1, 0))</f>
        <v>#N/A</v>
      </c>
      <c r="B1445" t="e">
        <f>INDEX(resultados!$A$2:$ZZ$2290, 1439, MATCH($B$2, resultados!$A$1:$ZZ$1, 0))</f>
        <v>#N/A</v>
      </c>
      <c r="C1445" t="e">
        <f>INDEX(resultados!$A$2:$ZZ$2290, 1439, MATCH($B$3, resultados!$A$1:$ZZ$1, 0))</f>
        <v>#N/A</v>
      </c>
    </row>
    <row r="1446" spans="1:3" x14ac:dyDescent="0.3">
      <c r="A1446" t="e">
        <f>INDEX(resultados!$A$2:$ZZ$2290, 1440, MATCH($B$1, resultados!$A$1:$ZZ$1, 0))</f>
        <v>#N/A</v>
      </c>
      <c r="B1446" t="e">
        <f>INDEX(resultados!$A$2:$ZZ$2290, 1440, MATCH($B$2, resultados!$A$1:$ZZ$1, 0))</f>
        <v>#N/A</v>
      </c>
      <c r="C1446" t="e">
        <f>INDEX(resultados!$A$2:$ZZ$2290, 1440, MATCH($B$3, resultados!$A$1:$ZZ$1, 0))</f>
        <v>#N/A</v>
      </c>
    </row>
    <row r="1447" spans="1:3" x14ac:dyDescent="0.3">
      <c r="A1447" t="e">
        <f>INDEX(resultados!$A$2:$ZZ$2290, 1441, MATCH($B$1, resultados!$A$1:$ZZ$1, 0))</f>
        <v>#N/A</v>
      </c>
      <c r="B1447" t="e">
        <f>INDEX(resultados!$A$2:$ZZ$2290, 1441, MATCH($B$2, resultados!$A$1:$ZZ$1, 0))</f>
        <v>#N/A</v>
      </c>
      <c r="C1447" t="e">
        <f>INDEX(resultados!$A$2:$ZZ$2290, 1441, MATCH($B$3, resultados!$A$1:$ZZ$1, 0))</f>
        <v>#N/A</v>
      </c>
    </row>
    <row r="1448" spans="1:3" x14ac:dyDescent="0.3">
      <c r="A1448" t="e">
        <f>INDEX(resultados!$A$2:$ZZ$2290, 1442, MATCH($B$1, resultados!$A$1:$ZZ$1, 0))</f>
        <v>#N/A</v>
      </c>
      <c r="B1448" t="e">
        <f>INDEX(resultados!$A$2:$ZZ$2290, 1442, MATCH($B$2, resultados!$A$1:$ZZ$1, 0))</f>
        <v>#N/A</v>
      </c>
      <c r="C1448" t="e">
        <f>INDEX(resultados!$A$2:$ZZ$2290, 1442, MATCH($B$3, resultados!$A$1:$ZZ$1, 0))</f>
        <v>#N/A</v>
      </c>
    </row>
    <row r="1449" spans="1:3" x14ac:dyDescent="0.3">
      <c r="A1449" t="e">
        <f>INDEX(resultados!$A$2:$ZZ$2290, 1443, MATCH($B$1, resultados!$A$1:$ZZ$1, 0))</f>
        <v>#N/A</v>
      </c>
      <c r="B1449" t="e">
        <f>INDEX(resultados!$A$2:$ZZ$2290, 1443, MATCH($B$2, resultados!$A$1:$ZZ$1, 0))</f>
        <v>#N/A</v>
      </c>
      <c r="C1449" t="e">
        <f>INDEX(resultados!$A$2:$ZZ$2290, 1443, MATCH($B$3, resultados!$A$1:$ZZ$1, 0))</f>
        <v>#N/A</v>
      </c>
    </row>
    <row r="1450" spans="1:3" x14ac:dyDescent="0.3">
      <c r="A1450" t="e">
        <f>INDEX(resultados!$A$2:$ZZ$2290, 1444, MATCH($B$1, resultados!$A$1:$ZZ$1, 0))</f>
        <v>#N/A</v>
      </c>
      <c r="B1450" t="e">
        <f>INDEX(resultados!$A$2:$ZZ$2290, 1444, MATCH($B$2, resultados!$A$1:$ZZ$1, 0))</f>
        <v>#N/A</v>
      </c>
      <c r="C1450" t="e">
        <f>INDEX(resultados!$A$2:$ZZ$2290, 1444, MATCH($B$3, resultados!$A$1:$ZZ$1, 0))</f>
        <v>#N/A</v>
      </c>
    </row>
    <row r="1451" spans="1:3" x14ac:dyDescent="0.3">
      <c r="A1451" t="e">
        <f>INDEX(resultados!$A$2:$ZZ$2290, 1445, MATCH($B$1, resultados!$A$1:$ZZ$1, 0))</f>
        <v>#N/A</v>
      </c>
      <c r="B1451" t="e">
        <f>INDEX(resultados!$A$2:$ZZ$2290, 1445, MATCH($B$2, resultados!$A$1:$ZZ$1, 0))</f>
        <v>#N/A</v>
      </c>
      <c r="C1451" t="e">
        <f>INDEX(resultados!$A$2:$ZZ$2290, 1445, MATCH($B$3, resultados!$A$1:$ZZ$1, 0))</f>
        <v>#N/A</v>
      </c>
    </row>
    <row r="1452" spans="1:3" x14ac:dyDescent="0.3">
      <c r="A1452" t="e">
        <f>INDEX(resultados!$A$2:$ZZ$2290, 1446, MATCH($B$1, resultados!$A$1:$ZZ$1, 0))</f>
        <v>#N/A</v>
      </c>
      <c r="B1452" t="e">
        <f>INDEX(resultados!$A$2:$ZZ$2290, 1446, MATCH($B$2, resultados!$A$1:$ZZ$1, 0))</f>
        <v>#N/A</v>
      </c>
      <c r="C1452" t="e">
        <f>INDEX(resultados!$A$2:$ZZ$2290, 1446, MATCH($B$3, resultados!$A$1:$ZZ$1, 0))</f>
        <v>#N/A</v>
      </c>
    </row>
    <row r="1453" spans="1:3" x14ac:dyDescent="0.3">
      <c r="A1453" t="e">
        <f>INDEX(resultados!$A$2:$ZZ$2290, 1447, MATCH($B$1, resultados!$A$1:$ZZ$1, 0))</f>
        <v>#N/A</v>
      </c>
      <c r="B1453" t="e">
        <f>INDEX(resultados!$A$2:$ZZ$2290, 1447, MATCH($B$2, resultados!$A$1:$ZZ$1, 0))</f>
        <v>#N/A</v>
      </c>
      <c r="C1453" t="e">
        <f>INDEX(resultados!$A$2:$ZZ$2290, 1447, MATCH($B$3, resultados!$A$1:$ZZ$1, 0))</f>
        <v>#N/A</v>
      </c>
    </row>
    <row r="1454" spans="1:3" x14ac:dyDescent="0.3">
      <c r="A1454" t="e">
        <f>INDEX(resultados!$A$2:$ZZ$2290, 1448, MATCH($B$1, resultados!$A$1:$ZZ$1, 0))</f>
        <v>#N/A</v>
      </c>
      <c r="B1454" t="e">
        <f>INDEX(resultados!$A$2:$ZZ$2290, 1448, MATCH($B$2, resultados!$A$1:$ZZ$1, 0))</f>
        <v>#N/A</v>
      </c>
      <c r="C1454" t="e">
        <f>INDEX(resultados!$A$2:$ZZ$2290, 1448, MATCH($B$3, resultados!$A$1:$ZZ$1, 0))</f>
        <v>#N/A</v>
      </c>
    </row>
    <row r="1455" spans="1:3" x14ac:dyDescent="0.3">
      <c r="A1455" t="e">
        <f>INDEX(resultados!$A$2:$ZZ$2290, 1449, MATCH($B$1, resultados!$A$1:$ZZ$1, 0))</f>
        <v>#N/A</v>
      </c>
      <c r="B1455" t="e">
        <f>INDEX(resultados!$A$2:$ZZ$2290, 1449, MATCH($B$2, resultados!$A$1:$ZZ$1, 0))</f>
        <v>#N/A</v>
      </c>
      <c r="C1455" t="e">
        <f>INDEX(resultados!$A$2:$ZZ$2290, 1449, MATCH($B$3, resultados!$A$1:$ZZ$1, 0))</f>
        <v>#N/A</v>
      </c>
    </row>
    <row r="1456" spans="1:3" x14ac:dyDescent="0.3">
      <c r="A1456" t="e">
        <f>INDEX(resultados!$A$2:$ZZ$2290, 1450, MATCH($B$1, resultados!$A$1:$ZZ$1, 0))</f>
        <v>#N/A</v>
      </c>
      <c r="B1456" t="e">
        <f>INDEX(resultados!$A$2:$ZZ$2290, 1450, MATCH($B$2, resultados!$A$1:$ZZ$1, 0))</f>
        <v>#N/A</v>
      </c>
      <c r="C1456" t="e">
        <f>INDEX(resultados!$A$2:$ZZ$2290, 1450, MATCH($B$3, resultados!$A$1:$ZZ$1, 0))</f>
        <v>#N/A</v>
      </c>
    </row>
    <row r="1457" spans="1:3" x14ac:dyDescent="0.3">
      <c r="A1457" t="e">
        <f>INDEX(resultados!$A$2:$ZZ$2290, 1451, MATCH($B$1, resultados!$A$1:$ZZ$1, 0))</f>
        <v>#N/A</v>
      </c>
      <c r="B1457" t="e">
        <f>INDEX(resultados!$A$2:$ZZ$2290, 1451, MATCH($B$2, resultados!$A$1:$ZZ$1, 0))</f>
        <v>#N/A</v>
      </c>
      <c r="C1457" t="e">
        <f>INDEX(resultados!$A$2:$ZZ$2290, 1451, MATCH($B$3, resultados!$A$1:$ZZ$1, 0))</f>
        <v>#N/A</v>
      </c>
    </row>
    <row r="1458" spans="1:3" x14ac:dyDescent="0.3">
      <c r="A1458" t="e">
        <f>INDEX(resultados!$A$2:$ZZ$2290, 1452, MATCH($B$1, resultados!$A$1:$ZZ$1, 0))</f>
        <v>#N/A</v>
      </c>
      <c r="B1458" t="e">
        <f>INDEX(resultados!$A$2:$ZZ$2290, 1452, MATCH($B$2, resultados!$A$1:$ZZ$1, 0))</f>
        <v>#N/A</v>
      </c>
      <c r="C1458" t="e">
        <f>INDEX(resultados!$A$2:$ZZ$2290, 1452, MATCH($B$3, resultados!$A$1:$ZZ$1, 0))</f>
        <v>#N/A</v>
      </c>
    </row>
    <row r="1459" spans="1:3" x14ac:dyDescent="0.3">
      <c r="A1459" t="e">
        <f>INDEX(resultados!$A$2:$ZZ$2290, 1453, MATCH($B$1, resultados!$A$1:$ZZ$1, 0))</f>
        <v>#N/A</v>
      </c>
      <c r="B1459" t="e">
        <f>INDEX(resultados!$A$2:$ZZ$2290, 1453, MATCH($B$2, resultados!$A$1:$ZZ$1, 0))</f>
        <v>#N/A</v>
      </c>
      <c r="C1459" t="e">
        <f>INDEX(resultados!$A$2:$ZZ$2290, 1453, MATCH($B$3, resultados!$A$1:$ZZ$1, 0))</f>
        <v>#N/A</v>
      </c>
    </row>
    <row r="1460" spans="1:3" x14ac:dyDescent="0.3">
      <c r="A1460" t="e">
        <f>INDEX(resultados!$A$2:$ZZ$2290, 1454, MATCH($B$1, resultados!$A$1:$ZZ$1, 0))</f>
        <v>#N/A</v>
      </c>
      <c r="B1460" t="e">
        <f>INDEX(resultados!$A$2:$ZZ$2290, 1454, MATCH($B$2, resultados!$A$1:$ZZ$1, 0))</f>
        <v>#N/A</v>
      </c>
      <c r="C1460" t="e">
        <f>INDEX(resultados!$A$2:$ZZ$2290, 1454, MATCH($B$3, resultados!$A$1:$ZZ$1, 0))</f>
        <v>#N/A</v>
      </c>
    </row>
    <row r="1461" spans="1:3" x14ac:dyDescent="0.3">
      <c r="A1461" t="e">
        <f>INDEX(resultados!$A$2:$ZZ$2290, 1455, MATCH($B$1, resultados!$A$1:$ZZ$1, 0))</f>
        <v>#N/A</v>
      </c>
      <c r="B1461" t="e">
        <f>INDEX(resultados!$A$2:$ZZ$2290, 1455, MATCH($B$2, resultados!$A$1:$ZZ$1, 0))</f>
        <v>#N/A</v>
      </c>
      <c r="C1461" t="e">
        <f>INDEX(resultados!$A$2:$ZZ$2290, 1455, MATCH($B$3, resultados!$A$1:$ZZ$1, 0))</f>
        <v>#N/A</v>
      </c>
    </row>
    <row r="1462" spans="1:3" x14ac:dyDescent="0.3">
      <c r="A1462" t="e">
        <f>INDEX(resultados!$A$2:$ZZ$2290, 1456, MATCH($B$1, resultados!$A$1:$ZZ$1, 0))</f>
        <v>#N/A</v>
      </c>
      <c r="B1462" t="e">
        <f>INDEX(resultados!$A$2:$ZZ$2290, 1456, MATCH($B$2, resultados!$A$1:$ZZ$1, 0))</f>
        <v>#N/A</v>
      </c>
      <c r="C1462" t="e">
        <f>INDEX(resultados!$A$2:$ZZ$2290, 1456, MATCH($B$3, resultados!$A$1:$ZZ$1, 0))</f>
        <v>#N/A</v>
      </c>
    </row>
    <row r="1463" spans="1:3" x14ac:dyDescent="0.3">
      <c r="A1463" t="e">
        <f>INDEX(resultados!$A$2:$ZZ$2290, 1457, MATCH($B$1, resultados!$A$1:$ZZ$1, 0))</f>
        <v>#N/A</v>
      </c>
      <c r="B1463" t="e">
        <f>INDEX(resultados!$A$2:$ZZ$2290, 1457, MATCH($B$2, resultados!$A$1:$ZZ$1, 0))</f>
        <v>#N/A</v>
      </c>
      <c r="C1463" t="e">
        <f>INDEX(resultados!$A$2:$ZZ$2290, 1457, MATCH($B$3, resultados!$A$1:$ZZ$1, 0))</f>
        <v>#N/A</v>
      </c>
    </row>
    <row r="1464" spans="1:3" x14ac:dyDescent="0.3">
      <c r="A1464" t="e">
        <f>INDEX(resultados!$A$2:$ZZ$2290, 1458, MATCH($B$1, resultados!$A$1:$ZZ$1, 0))</f>
        <v>#N/A</v>
      </c>
      <c r="B1464" t="e">
        <f>INDEX(resultados!$A$2:$ZZ$2290, 1458, MATCH($B$2, resultados!$A$1:$ZZ$1, 0))</f>
        <v>#N/A</v>
      </c>
      <c r="C1464" t="e">
        <f>INDEX(resultados!$A$2:$ZZ$2290, 1458, MATCH($B$3, resultados!$A$1:$ZZ$1, 0))</f>
        <v>#N/A</v>
      </c>
    </row>
    <row r="1465" spans="1:3" x14ac:dyDescent="0.3">
      <c r="A1465" t="e">
        <f>INDEX(resultados!$A$2:$ZZ$2290, 1459, MATCH($B$1, resultados!$A$1:$ZZ$1, 0))</f>
        <v>#N/A</v>
      </c>
      <c r="B1465" t="e">
        <f>INDEX(resultados!$A$2:$ZZ$2290, 1459, MATCH($B$2, resultados!$A$1:$ZZ$1, 0))</f>
        <v>#N/A</v>
      </c>
      <c r="C1465" t="e">
        <f>INDEX(resultados!$A$2:$ZZ$2290, 1459, MATCH($B$3, resultados!$A$1:$ZZ$1, 0))</f>
        <v>#N/A</v>
      </c>
    </row>
    <row r="1466" spans="1:3" x14ac:dyDescent="0.3">
      <c r="A1466" t="e">
        <f>INDEX(resultados!$A$2:$ZZ$2290, 1460, MATCH($B$1, resultados!$A$1:$ZZ$1, 0))</f>
        <v>#N/A</v>
      </c>
      <c r="B1466" t="e">
        <f>INDEX(resultados!$A$2:$ZZ$2290, 1460, MATCH($B$2, resultados!$A$1:$ZZ$1, 0))</f>
        <v>#N/A</v>
      </c>
      <c r="C1466" t="e">
        <f>INDEX(resultados!$A$2:$ZZ$2290, 1460, MATCH($B$3, resultados!$A$1:$ZZ$1, 0))</f>
        <v>#N/A</v>
      </c>
    </row>
    <row r="1467" spans="1:3" x14ac:dyDescent="0.3">
      <c r="A1467" t="e">
        <f>INDEX(resultados!$A$2:$ZZ$2290, 1461, MATCH($B$1, resultados!$A$1:$ZZ$1, 0))</f>
        <v>#N/A</v>
      </c>
      <c r="B1467" t="e">
        <f>INDEX(resultados!$A$2:$ZZ$2290, 1461, MATCH($B$2, resultados!$A$1:$ZZ$1, 0))</f>
        <v>#N/A</v>
      </c>
      <c r="C1467" t="e">
        <f>INDEX(resultados!$A$2:$ZZ$2290, 1461, MATCH($B$3, resultados!$A$1:$ZZ$1, 0))</f>
        <v>#N/A</v>
      </c>
    </row>
    <row r="1468" spans="1:3" x14ac:dyDescent="0.3">
      <c r="A1468" t="e">
        <f>INDEX(resultados!$A$2:$ZZ$2290, 1462, MATCH($B$1, resultados!$A$1:$ZZ$1, 0))</f>
        <v>#N/A</v>
      </c>
      <c r="B1468" t="e">
        <f>INDEX(resultados!$A$2:$ZZ$2290, 1462, MATCH($B$2, resultados!$A$1:$ZZ$1, 0))</f>
        <v>#N/A</v>
      </c>
      <c r="C1468" t="e">
        <f>INDEX(resultados!$A$2:$ZZ$2290, 1462, MATCH($B$3, resultados!$A$1:$ZZ$1, 0))</f>
        <v>#N/A</v>
      </c>
    </row>
    <row r="1469" spans="1:3" x14ac:dyDescent="0.3">
      <c r="A1469" t="e">
        <f>INDEX(resultados!$A$2:$ZZ$2290, 1463, MATCH($B$1, resultados!$A$1:$ZZ$1, 0))</f>
        <v>#N/A</v>
      </c>
      <c r="B1469" t="e">
        <f>INDEX(resultados!$A$2:$ZZ$2290, 1463, MATCH($B$2, resultados!$A$1:$ZZ$1, 0))</f>
        <v>#N/A</v>
      </c>
      <c r="C1469" t="e">
        <f>INDEX(resultados!$A$2:$ZZ$2290, 1463, MATCH($B$3, resultados!$A$1:$ZZ$1, 0))</f>
        <v>#N/A</v>
      </c>
    </row>
    <row r="1470" spans="1:3" x14ac:dyDescent="0.3">
      <c r="A1470" t="e">
        <f>INDEX(resultados!$A$2:$ZZ$2290, 1464, MATCH($B$1, resultados!$A$1:$ZZ$1, 0))</f>
        <v>#N/A</v>
      </c>
      <c r="B1470" t="e">
        <f>INDEX(resultados!$A$2:$ZZ$2290, 1464, MATCH($B$2, resultados!$A$1:$ZZ$1, 0))</f>
        <v>#N/A</v>
      </c>
      <c r="C1470" t="e">
        <f>INDEX(resultados!$A$2:$ZZ$2290, 1464, MATCH($B$3, resultados!$A$1:$ZZ$1, 0))</f>
        <v>#N/A</v>
      </c>
    </row>
    <row r="1471" spans="1:3" x14ac:dyDescent="0.3">
      <c r="A1471" t="e">
        <f>INDEX(resultados!$A$2:$ZZ$2290, 1465, MATCH($B$1, resultados!$A$1:$ZZ$1, 0))</f>
        <v>#N/A</v>
      </c>
      <c r="B1471" t="e">
        <f>INDEX(resultados!$A$2:$ZZ$2290, 1465, MATCH($B$2, resultados!$A$1:$ZZ$1, 0))</f>
        <v>#N/A</v>
      </c>
      <c r="C1471" t="e">
        <f>INDEX(resultados!$A$2:$ZZ$2290, 1465, MATCH($B$3, resultados!$A$1:$ZZ$1, 0))</f>
        <v>#N/A</v>
      </c>
    </row>
    <row r="1472" spans="1:3" x14ac:dyDescent="0.3">
      <c r="A1472" t="e">
        <f>INDEX(resultados!$A$2:$ZZ$2290, 1466, MATCH($B$1, resultados!$A$1:$ZZ$1, 0))</f>
        <v>#N/A</v>
      </c>
      <c r="B1472" t="e">
        <f>INDEX(resultados!$A$2:$ZZ$2290, 1466, MATCH($B$2, resultados!$A$1:$ZZ$1, 0))</f>
        <v>#N/A</v>
      </c>
      <c r="C1472" t="e">
        <f>INDEX(resultados!$A$2:$ZZ$2290, 1466, MATCH($B$3, resultados!$A$1:$ZZ$1, 0))</f>
        <v>#N/A</v>
      </c>
    </row>
    <row r="1473" spans="1:3" x14ac:dyDescent="0.3">
      <c r="A1473" t="e">
        <f>INDEX(resultados!$A$2:$ZZ$2290, 1467, MATCH($B$1, resultados!$A$1:$ZZ$1, 0))</f>
        <v>#N/A</v>
      </c>
      <c r="B1473" t="e">
        <f>INDEX(resultados!$A$2:$ZZ$2290, 1467, MATCH($B$2, resultados!$A$1:$ZZ$1, 0))</f>
        <v>#N/A</v>
      </c>
      <c r="C1473" t="e">
        <f>INDEX(resultados!$A$2:$ZZ$2290, 1467, MATCH($B$3, resultados!$A$1:$ZZ$1, 0))</f>
        <v>#N/A</v>
      </c>
    </row>
    <row r="1474" spans="1:3" x14ac:dyDescent="0.3">
      <c r="A1474" t="e">
        <f>INDEX(resultados!$A$2:$ZZ$2290, 1468, MATCH($B$1, resultados!$A$1:$ZZ$1, 0))</f>
        <v>#N/A</v>
      </c>
      <c r="B1474" t="e">
        <f>INDEX(resultados!$A$2:$ZZ$2290, 1468, MATCH($B$2, resultados!$A$1:$ZZ$1, 0))</f>
        <v>#N/A</v>
      </c>
      <c r="C1474" t="e">
        <f>INDEX(resultados!$A$2:$ZZ$2290, 1468, MATCH($B$3, resultados!$A$1:$ZZ$1, 0))</f>
        <v>#N/A</v>
      </c>
    </row>
    <row r="1475" spans="1:3" x14ac:dyDescent="0.3">
      <c r="A1475" t="e">
        <f>INDEX(resultados!$A$2:$ZZ$2290, 1469, MATCH($B$1, resultados!$A$1:$ZZ$1, 0))</f>
        <v>#N/A</v>
      </c>
      <c r="B1475" t="e">
        <f>INDEX(resultados!$A$2:$ZZ$2290, 1469, MATCH($B$2, resultados!$A$1:$ZZ$1, 0))</f>
        <v>#N/A</v>
      </c>
      <c r="C1475" t="e">
        <f>INDEX(resultados!$A$2:$ZZ$2290, 1469, MATCH($B$3, resultados!$A$1:$ZZ$1, 0))</f>
        <v>#N/A</v>
      </c>
    </row>
    <row r="1476" spans="1:3" x14ac:dyDescent="0.3">
      <c r="A1476" t="e">
        <f>INDEX(resultados!$A$2:$ZZ$2290, 1470, MATCH($B$1, resultados!$A$1:$ZZ$1, 0))</f>
        <v>#N/A</v>
      </c>
      <c r="B1476" t="e">
        <f>INDEX(resultados!$A$2:$ZZ$2290, 1470, MATCH($B$2, resultados!$A$1:$ZZ$1, 0))</f>
        <v>#N/A</v>
      </c>
      <c r="C1476" t="e">
        <f>INDEX(resultados!$A$2:$ZZ$2290, 1470, MATCH($B$3, resultados!$A$1:$ZZ$1, 0))</f>
        <v>#N/A</v>
      </c>
    </row>
    <row r="1477" spans="1:3" x14ac:dyDescent="0.3">
      <c r="A1477" t="e">
        <f>INDEX(resultados!$A$2:$ZZ$2290, 1471, MATCH($B$1, resultados!$A$1:$ZZ$1, 0))</f>
        <v>#N/A</v>
      </c>
      <c r="B1477" t="e">
        <f>INDEX(resultados!$A$2:$ZZ$2290, 1471, MATCH($B$2, resultados!$A$1:$ZZ$1, 0))</f>
        <v>#N/A</v>
      </c>
      <c r="C1477" t="e">
        <f>INDEX(resultados!$A$2:$ZZ$2290, 1471, MATCH($B$3, resultados!$A$1:$ZZ$1, 0))</f>
        <v>#N/A</v>
      </c>
    </row>
    <row r="1478" spans="1:3" x14ac:dyDescent="0.3">
      <c r="A1478" t="e">
        <f>INDEX(resultados!$A$2:$ZZ$2290, 1472, MATCH($B$1, resultados!$A$1:$ZZ$1, 0))</f>
        <v>#N/A</v>
      </c>
      <c r="B1478" t="e">
        <f>INDEX(resultados!$A$2:$ZZ$2290, 1472, MATCH($B$2, resultados!$A$1:$ZZ$1, 0))</f>
        <v>#N/A</v>
      </c>
      <c r="C1478" t="e">
        <f>INDEX(resultados!$A$2:$ZZ$2290, 1472, MATCH($B$3, resultados!$A$1:$ZZ$1, 0))</f>
        <v>#N/A</v>
      </c>
    </row>
    <row r="1479" spans="1:3" x14ac:dyDescent="0.3">
      <c r="A1479" t="e">
        <f>INDEX(resultados!$A$2:$ZZ$2290, 1473, MATCH($B$1, resultados!$A$1:$ZZ$1, 0))</f>
        <v>#N/A</v>
      </c>
      <c r="B1479" t="e">
        <f>INDEX(resultados!$A$2:$ZZ$2290, 1473, MATCH($B$2, resultados!$A$1:$ZZ$1, 0))</f>
        <v>#N/A</v>
      </c>
      <c r="C1479" t="e">
        <f>INDEX(resultados!$A$2:$ZZ$2290, 1473, MATCH($B$3, resultados!$A$1:$ZZ$1, 0))</f>
        <v>#N/A</v>
      </c>
    </row>
    <row r="1480" spans="1:3" x14ac:dyDescent="0.3">
      <c r="A1480" t="e">
        <f>INDEX(resultados!$A$2:$ZZ$2290, 1474, MATCH($B$1, resultados!$A$1:$ZZ$1, 0))</f>
        <v>#N/A</v>
      </c>
      <c r="B1480" t="e">
        <f>INDEX(resultados!$A$2:$ZZ$2290, 1474, MATCH($B$2, resultados!$A$1:$ZZ$1, 0))</f>
        <v>#N/A</v>
      </c>
      <c r="C1480" t="e">
        <f>INDEX(resultados!$A$2:$ZZ$2290, 1474, MATCH($B$3, resultados!$A$1:$ZZ$1, 0))</f>
        <v>#N/A</v>
      </c>
    </row>
    <row r="1481" spans="1:3" x14ac:dyDescent="0.3">
      <c r="A1481" t="e">
        <f>INDEX(resultados!$A$2:$ZZ$2290, 1475, MATCH($B$1, resultados!$A$1:$ZZ$1, 0))</f>
        <v>#N/A</v>
      </c>
      <c r="B1481" t="e">
        <f>INDEX(resultados!$A$2:$ZZ$2290, 1475, MATCH($B$2, resultados!$A$1:$ZZ$1, 0))</f>
        <v>#N/A</v>
      </c>
      <c r="C1481" t="e">
        <f>INDEX(resultados!$A$2:$ZZ$2290, 1475, MATCH($B$3, resultados!$A$1:$ZZ$1, 0))</f>
        <v>#N/A</v>
      </c>
    </row>
    <row r="1482" spans="1:3" x14ac:dyDescent="0.3">
      <c r="A1482" t="e">
        <f>INDEX(resultados!$A$2:$ZZ$2290, 1476, MATCH($B$1, resultados!$A$1:$ZZ$1, 0))</f>
        <v>#N/A</v>
      </c>
      <c r="B1482" t="e">
        <f>INDEX(resultados!$A$2:$ZZ$2290, 1476, MATCH($B$2, resultados!$A$1:$ZZ$1, 0))</f>
        <v>#N/A</v>
      </c>
      <c r="C1482" t="e">
        <f>INDEX(resultados!$A$2:$ZZ$2290, 1476, MATCH($B$3, resultados!$A$1:$ZZ$1, 0))</f>
        <v>#N/A</v>
      </c>
    </row>
    <row r="1483" spans="1:3" x14ac:dyDescent="0.3">
      <c r="A1483" t="e">
        <f>INDEX(resultados!$A$2:$ZZ$2290, 1477, MATCH($B$1, resultados!$A$1:$ZZ$1, 0))</f>
        <v>#N/A</v>
      </c>
      <c r="B1483" t="e">
        <f>INDEX(resultados!$A$2:$ZZ$2290, 1477, MATCH($B$2, resultados!$A$1:$ZZ$1, 0))</f>
        <v>#N/A</v>
      </c>
      <c r="C1483" t="e">
        <f>INDEX(resultados!$A$2:$ZZ$2290, 1477, MATCH($B$3, resultados!$A$1:$ZZ$1, 0))</f>
        <v>#N/A</v>
      </c>
    </row>
    <row r="1484" spans="1:3" x14ac:dyDescent="0.3">
      <c r="A1484" t="e">
        <f>INDEX(resultados!$A$2:$ZZ$2290, 1478, MATCH($B$1, resultados!$A$1:$ZZ$1, 0))</f>
        <v>#N/A</v>
      </c>
      <c r="B1484" t="e">
        <f>INDEX(resultados!$A$2:$ZZ$2290, 1478, MATCH($B$2, resultados!$A$1:$ZZ$1, 0))</f>
        <v>#N/A</v>
      </c>
      <c r="C1484" t="e">
        <f>INDEX(resultados!$A$2:$ZZ$2290, 1478, MATCH($B$3, resultados!$A$1:$ZZ$1, 0))</f>
        <v>#N/A</v>
      </c>
    </row>
    <row r="1485" spans="1:3" x14ac:dyDescent="0.3">
      <c r="A1485" t="e">
        <f>INDEX(resultados!$A$2:$ZZ$2290, 1479, MATCH($B$1, resultados!$A$1:$ZZ$1, 0))</f>
        <v>#N/A</v>
      </c>
      <c r="B1485" t="e">
        <f>INDEX(resultados!$A$2:$ZZ$2290, 1479, MATCH($B$2, resultados!$A$1:$ZZ$1, 0))</f>
        <v>#N/A</v>
      </c>
      <c r="C1485" t="e">
        <f>INDEX(resultados!$A$2:$ZZ$2290, 1479, MATCH($B$3, resultados!$A$1:$ZZ$1, 0))</f>
        <v>#N/A</v>
      </c>
    </row>
    <row r="1486" spans="1:3" x14ac:dyDescent="0.3">
      <c r="A1486" t="e">
        <f>INDEX(resultados!$A$2:$ZZ$2290, 1480, MATCH($B$1, resultados!$A$1:$ZZ$1, 0))</f>
        <v>#N/A</v>
      </c>
      <c r="B1486" t="e">
        <f>INDEX(resultados!$A$2:$ZZ$2290, 1480, MATCH($B$2, resultados!$A$1:$ZZ$1, 0))</f>
        <v>#N/A</v>
      </c>
      <c r="C1486" t="e">
        <f>INDEX(resultados!$A$2:$ZZ$2290, 1480, MATCH($B$3, resultados!$A$1:$ZZ$1, 0))</f>
        <v>#N/A</v>
      </c>
    </row>
    <row r="1487" spans="1:3" x14ac:dyDescent="0.3">
      <c r="A1487" t="e">
        <f>INDEX(resultados!$A$2:$ZZ$2290, 1481, MATCH($B$1, resultados!$A$1:$ZZ$1, 0))</f>
        <v>#N/A</v>
      </c>
      <c r="B1487" t="e">
        <f>INDEX(resultados!$A$2:$ZZ$2290, 1481, MATCH($B$2, resultados!$A$1:$ZZ$1, 0))</f>
        <v>#N/A</v>
      </c>
      <c r="C1487" t="e">
        <f>INDEX(resultados!$A$2:$ZZ$2290, 1481, MATCH($B$3, resultados!$A$1:$ZZ$1, 0))</f>
        <v>#N/A</v>
      </c>
    </row>
    <row r="1488" spans="1:3" x14ac:dyDescent="0.3">
      <c r="A1488" t="e">
        <f>INDEX(resultados!$A$2:$ZZ$2290, 1482, MATCH($B$1, resultados!$A$1:$ZZ$1, 0))</f>
        <v>#N/A</v>
      </c>
      <c r="B1488" t="e">
        <f>INDEX(resultados!$A$2:$ZZ$2290, 1482, MATCH($B$2, resultados!$A$1:$ZZ$1, 0))</f>
        <v>#N/A</v>
      </c>
      <c r="C1488" t="e">
        <f>INDEX(resultados!$A$2:$ZZ$2290, 1482, MATCH($B$3, resultados!$A$1:$ZZ$1, 0))</f>
        <v>#N/A</v>
      </c>
    </row>
    <row r="1489" spans="1:3" x14ac:dyDescent="0.3">
      <c r="A1489" t="e">
        <f>INDEX(resultados!$A$2:$ZZ$2290, 1483, MATCH($B$1, resultados!$A$1:$ZZ$1, 0))</f>
        <v>#N/A</v>
      </c>
      <c r="B1489" t="e">
        <f>INDEX(resultados!$A$2:$ZZ$2290, 1483, MATCH($B$2, resultados!$A$1:$ZZ$1, 0))</f>
        <v>#N/A</v>
      </c>
      <c r="C1489" t="e">
        <f>INDEX(resultados!$A$2:$ZZ$2290, 1483, MATCH($B$3, resultados!$A$1:$ZZ$1, 0))</f>
        <v>#N/A</v>
      </c>
    </row>
    <row r="1490" spans="1:3" x14ac:dyDescent="0.3">
      <c r="A1490" t="e">
        <f>INDEX(resultados!$A$2:$ZZ$2290, 1484, MATCH($B$1, resultados!$A$1:$ZZ$1, 0))</f>
        <v>#N/A</v>
      </c>
      <c r="B1490" t="e">
        <f>INDEX(resultados!$A$2:$ZZ$2290, 1484, MATCH($B$2, resultados!$A$1:$ZZ$1, 0))</f>
        <v>#N/A</v>
      </c>
      <c r="C1490" t="e">
        <f>INDEX(resultados!$A$2:$ZZ$2290, 1484, MATCH($B$3, resultados!$A$1:$ZZ$1, 0))</f>
        <v>#N/A</v>
      </c>
    </row>
    <row r="1491" spans="1:3" x14ac:dyDescent="0.3">
      <c r="A1491" t="e">
        <f>INDEX(resultados!$A$2:$ZZ$2290, 1485, MATCH($B$1, resultados!$A$1:$ZZ$1, 0))</f>
        <v>#N/A</v>
      </c>
      <c r="B1491" t="e">
        <f>INDEX(resultados!$A$2:$ZZ$2290, 1485, MATCH($B$2, resultados!$A$1:$ZZ$1, 0))</f>
        <v>#N/A</v>
      </c>
      <c r="C1491" t="e">
        <f>INDEX(resultados!$A$2:$ZZ$2290, 1485, MATCH($B$3, resultados!$A$1:$ZZ$1, 0))</f>
        <v>#N/A</v>
      </c>
    </row>
    <row r="1492" spans="1:3" x14ac:dyDescent="0.3">
      <c r="A1492" t="e">
        <f>INDEX(resultados!$A$2:$ZZ$2290, 1486, MATCH($B$1, resultados!$A$1:$ZZ$1, 0))</f>
        <v>#N/A</v>
      </c>
      <c r="B1492" t="e">
        <f>INDEX(resultados!$A$2:$ZZ$2290, 1486, MATCH($B$2, resultados!$A$1:$ZZ$1, 0))</f>
        <v>#N/A</v>
      </c>
      <c r="C1492" t="e">
        <f>INDEX(resultados!$A$2:$ZZ$2290, 1486, MATCH($B$3, resultados!$A$1:$ZZ$1, 0))</f>
        <v>#N/A</v>
      </c>
    </row>
    <row r="1493" spans="1:3" x14ac:dyDescent="0.3">
      <c r="A1493" t="e">
        <f>INDEX(resultados!$A$2:$ZZ$2290, 1487, MATCH($B$1, resultados!$A$1:$ZZ$1, 0))</f>
        <v>#N/A</v>
      </c>
      <c r="B1493" t="e">
        <f>INDEX(resultados!$A$2:$ZZ$2290, 1487, MATCH($B$2, resultados!$A$1:$ZZ$1, 0))</f>
        <v>#N/A</v>
      </c>
      <c r="C1493" t="e">
        <f>INDEX(resultados!$A$2:$ZZ$2290, 1487, MATCH($B$3, resultados!$A$1:$ZZ$1, 0))</f>
        <v>#N/A</v>
      </c>
    </row>
    <row r="1494" spans="1:3" x14ac:dyDescent="0.3">
      <c r="A1494" t="e">
        <f>INDEX(resultados!$A$2:$ZZ$2290, 1488, MATCH($B$1, resultados!$A$1:$ZZ$1, 0))</f>
        <v>#N/A</v>
      </c>
      <c r="B1494" t="e">
        <f>INDEX(resultados!$A$2:$ZZ$2290, 1488, MATCH($B$2, resultados!$A$1:$ZZ$1, 0))</f>
        <v>#N/A</v>
      </c>
      <c r="C1494" t="e">
        <f>INDEX(resultados!$A$2:$ZZ$2290, 1488, MATCH($B$3, resultados!$A$1:$ZZ$1, 0))</f>
        <v>#N/A</v>
      </c>
    </row>
    <row r="1495" spans="1:3" x14ac:dyDescent="0.3">
      <c r="A1495" t="e">
        <f>INDEX(resultados!$A$2:$ZZ$2290, 1489, MATCH($B$1, resultados!$A$1:$ZZ$1, 0))</f>
        <v>#N/A</v>
      </c>
      <c r="B1495" t="e">
        <f>INDEX(resultados!$A$2:$ZZ$2290, 1489, MATCH($B$2, resultados!$A$1:$ZZ$1, 0))</f>
        <v>#N/A</v>
      </c>
      <c r="C1495" t="e">
        <f>INDEX(resultados!$A$2:$ZZ$2290, 1489, MATCH($B$3, resultados!$A$1:$ZZ$1, 0))</f>
        <v>#N/A</v>
      </c>
    </row>
    <row r="1496" spans="1:3" x14ac:dyDescent="0.3">
      <c r="A1496" t="e">
        <f>INDEX(resultados!$A$2:$ZZ$2290, 1490, MATCH($B$1, resultados!$A$1:$ZZ$1, 0))</f>
        <v>#N/A</v>
      </c>
      <c r="B1496" t="e">
        <f>INDEX(resultados!$A$2:$ZZ$2290, 1490, MATCH($B$2, resultados!$A$1:$ZZ$1, 0))</f>
        <v>#N/A</v>
      </c>
      <c r="C1496" t="e">
        <f>INDEX(resultados!$A$2:$ZZ$2290, 1490, MATCH($B$3, resultados!$A$1:$ZZ$1, 0))</f>
        <v>#N/A</v>
      </c>
    </row>
    <row r="1497" spans="1:3" x14ac:dyDescent="0.3">
      <c r="A1497" t="e">
        <f>INDEX(resultados!$A$2:$ZZ$2290, 1491, MATCH($B$1, resultados!$A$1:$ZZ$1, 0))</f>
        <v>#N/A</v>
      </c>
      <c r="B1497" t="e">
        <f>INDEX(resultados!$A$2:$ZZ$2290, 1491, MATCH($B$2, resultados!$A$1:$ZZ$1, 0))</f>
        <v>#N/A</v>
      </c>
      <c r="C1497" t="e">
        <f>INDEX(resultados!$A$2:$ZZ$2290, 1491, MATCH($B$3, resultados!$A$1:$ZZ$1, 0))</f>
        <v>#N/A</v>
      </c>
    </row>
    <row r="1498" spans="1:3" x14ac:dyDescent="0.3">
      <c r="A1498" t="e">
        <f>INDEX(resultados!$A$2:$ZZ$2290, 1492, MATCH($B$1, resultados!$A$1:$ZZ$1, 0))</f>
        <v>#N/A</v>
      </c>
      <c r="B1498" t="e">
        <f>INDEX(resultados!$A$2:$ZZ$2290, 1492, MATCH($B$2, resultados!$A$1:$ZZ$1, 0))</f>
        <v>#N/A</v>
      </c>
      <c r="C1498" t="e">
        <f>INDEX(resultados!$A$2:$ZZ$2290, 1492, MATCH($B$3, resultados!$A$1:$ZZ$1, 0))</f>
        <v>#N/A</v>
      </c>
    </row>
    <row r="1499" spans="1:3" x14ac:dyDescent="0.3">
      <c r="A1499" t="e">
        <f>INDEX(resultados!$A$2:$ZZ$2290, 1493, MATCH($B$1, resultados!$A$1:$ZZ$1, 0))</f>
        <v>#N/A</v>
      </c>
      <c r="B1499" t="e">
        <f>INDEX(resultados!$A$2:$ZZ$2290, 1493, MATCH($B$2, resultados!$A$1:$ZZ$1, 0))</f>
        <v>#N/A</v>
      </c>
      <c r="C1499" t="e">
        <f>INDEX(resultados!$A$2:$ZZ$2290, 1493, MATCH($B$3, resultados!$A$1:$ZZ$1, 0))</f>
        <v>#N/A</v>
      </c>
    </row>
    <row r="1500" spans="1:3" x14ac:dyDescent="0.3">
      <c r="A1500" t="e">
        <f>INDEX(resultados!$A$2:$ZZ$2290, 1494, MATCH($B$1, resultados!$A$1:$ZZ$1, 0))</f>
        <v>#N/A</v>
      </c>
      <c r="B1500" t="e">
        <f>INDEX(resultados!$A$2:$ZZ$2290, 1494, MATCH($B$2, resultados!$A$1:$ZZ$1, 0))</f>
        <v>#N/A</v>
      </c>
      <c r="C1500" t="e">
        <f>INDEX(resultados!$A$2:$ZZ$2290, 1494, MATCH($B$3, resultados!$A$1:$ZZ$1, 0))</f>
        <v>#N/A</v>
      </c>
    </row>
    <row r="1501" spans="1:3" x14ac:dyDescent="0.3">
      <c r="A1501" t="e">
        <f>INDEX(resultados!$A$2:$ZZ$2290, 1495, MATCH($B$1, resultados!$A$1:$ZZ$1, 0))</f>
        <v>#N/A</v>
      </c>
      <c r="B1501" t="e">
        <f>INDEX(resultados!$A$2:$ZZ$2290, 1495, MATCH($B$2, resultados!$A$1:$ZZ$1, 0))</f>
        <v>#N/A</v>
      </c>
      <c r="C1501" t="e">
        <f>INDEX(resultados!$A$2:$ZZ$2290, 1495, MATCH($B$3, resultados!$A$1:$ZZ$1, 0))</f>
        <v>#N/A</v>
      </c>
    </row>
    <row r="1502" spans="1:3" x14ac:dyDescent="0.3">
      <c r="A1502" t="e">
        <f>INDEX(resultados!$A$2:$ZZ$2290, 1496, MATCH($B$1, resultados!$A$1:$ZZ$1, 0))</f>
        <v>#N/A</v>
      </c>
      <c r="B1502" t="e">
        <f>INDEX(resultados!$A$2:$ZZ$2290, 1496, MATCH($B$2, resultados!$A$1:$ZZ$1, 0))</f>
        <v>#N/A</v>
      </c>
      <c r="C1502" t="e">
        <f>INDEX(resultados!$A$2:$ZZ$2290, 1496, MATCH($B$3, resultados!$A$1:$ZZ$1, 0))</f>
        <v>#N/A</v>
      </c>
    </row>
    <row r="1503" spans="1:3" x14ac:dyDescent="0.3">
      <c r="A1503" t="e">
        <f>INDEX(resultados!$A$2:$ZZ$2290, 1497, MATCH($B$1, resultados!$A$1:$ZZ$1, 0))</f>
        <v>#N/A</v>
      </c>
      <c r="B1503" t="e">
        <f>INDEX(resultados!$A$2:$ZZ$2290, 1497, MATCH($B$2, resultados!$A$1:$ZZ$1, 0))</f>
        <v>#N/A</v>
      </c>
      <c r="C1503" t="e">
        <f>INDEX(resultados!$A$2:$ZZ$2290, 1497, MATCH($B$3, resultados!$A$1:$ZZ$1, 0))</f>
        <v>#N/A</v>
      </c>
    </row>
    <row r="1504" spans="1:3" x14ac:dyDescent="0.3">
      <c r="A1504" t="e">
        <f>INDEX(resultados!$A$2:$ZZ$2290, 1498, MATCH($B$1, resultados!$A$1:$ZZ$1, 0))</f>
        <v>#N/A</v>
      </c>
      <c r="B1504" t="e">
        <f>INDEX(resultados!$A$2:$ZZ$2290, 1498, MATCH($B$2, resultados!$A$1:$ZZ$1, 0))</f>
        <v>#N/A</v>
      </c>
      <c r="C1504" t="e">
        <f>INDEX(resultados!$A$2:$ZZ$2290, 1498, MATCH($B$3, resultados!$A$1:$ZZ$1, 0))</f>
        <v>#N/A</v>
      </c>
    </row>
    <row r="1505" spans="1:3" x14ac:dyDescent="0.3">
      <c r="A1505" t="e">
        <f>INDEX(resultados!$A$2:$ZZ$2290, 1499, MATCH($B$1, resultados!$A$1:$ZZ$1, 0))</f>
        <v>#N/A</v>
      </c>
      <c r="B1505" t="e">
        <f>INDEX(resultados!$A$2:$ZZ$2290, 1499, MATCH($B$2, resultados!$A$1:$ZZ$1, 0))</f>
        <v>#N/A</v>
      </c>
      <c r="C1505" t="e">
        <f>INDEX(resultados!$A$2:$ZZ$2290, 1499, MATCH($B$3, resultados!$A$1:$ZZ$1, 0))</f>
        <v>#N/A</v>
      </c>
    </row>
    <row r="1506" spans="1:3" x14ac:dyDescent="0.3">
      <c r="A1506" t="e">
        <f>INDEX(resultados!$A$2:$ZZ$2290, 1500, MATCH($B$1, resultados!$A$1:$ZZ$1, 0))</f>
        <v>#N/A</v>
      </c>
      <c r="B1506" t="e">
        <f>INDEX(resultados!$A$2:$ZZ$2290, 1500, MATCH($B$2, resultados!$A$1:$ZZ$1, 0))</f>
        <v>#N/A</v>
      </c>
      <c r="C1506" t="e">
        <f>INDEX(resultados!$A$2:$ZZ$2290, 1500, MATCH($B$3, resultados!$A$1:$ZZ$1, 0))</f>
        <v>#N/A</v>
      </c>
    </row>
    <row r="1507" spans="1:3" x14ac:dyDescent="0.3">
      <c r="A1507" t="e">
        <f>INDEX(resultados!$A$2:$ZZ$2290, 1501, MATCH($B$1, resultados!$A$1:$ZZ$1, 0))</f>
        <v>#N/A</v>
      </c>
      <c r="B1507" t="e">
        <f>INDEX(resultados!$A$2:$ZZ$2290, 1501, MATCH($B$2, resultados!$A$1:$ZZ$1, 0))</f>
        <v>#N/A</v>
      </c>
      <c r="C1507" t="e">
        <f>INDEX(resultados!$A$2:$ZZ$2290, 1501, MATCH($B$3, resultados!$A$1:$ZZ$1, 0))</f>
        <v>#N/A</v>
      </c>
    </row>
    <row r="1508" spans="1:3" x14ac:dyDescent="0.3">
      <c r="A1508" t="e">
        <f>INDEX(resultados!$A$2:$ZZ$2290, 1502, MATCH($B$1, resultados!$A$1:$ZZ$1, 0))</f>
        <v>#N/A</v>
      </c>
      <c r="B1508" t="e">
        <f>INDEX(resultados!$A$2:$ZZ$2290, 1502, MATCH($B$2, resultados!$A$1:$ZZ$1, 0))</f>
        <v>#N/A</v>
      </c>
      <c r="C1508" t="e">
        <f>INDEX(resultados!$A$2:$ZZ$2290, 1502, MATCH($B$3, resultados!$A$1:$ZZ$1, 0))</f>
        <v>#N/A</v>
      </c>
    </row>
    <row r="1509" spans="1:3" x14ac:dyDescent="0.3">
      <c r="A1509" t="e">
        <f>INDEX(resultados!$A$2:$ZZ$2290, 1503, MATCH($B$1, resultados!$A$1:$ZZ$1, 0))</f>
        <v>#N/A</v>
      </c>
      <c r="B1509" t="e">
        <f>INDEX(resultados!$A$2:$ZZ$2290, 1503, MATCH($B$2, resultados!$A$1:$ZZ$1, 0))</f>
        <v>#N/A</v>
      </c>
      <c r="C1509" t="e">
        <f>INDEX(resultados!$A$2:$ZZ$2290, 1503, MATCH($B$3, resultados!$A$1:$ZZ$1, 0))</f>
        <v>#N/A</v>
      </c>
    </row>
    <row r="1510" spans="1:3" x14ac:dyDescent="0.3">
      <c r="A1510" t="e">
        <f>INDEX(resultados!$A$2:$ZZ$2290, 1504, MATCH($B$1, resultados!$A$1:$ZZ$1, 0))</f>
        <v>#N/A</v>
      </c>
      <c r="B1510" t="e">
        <f>INDEX(resultados!$A$2:$ZZ$2290, 1504, MATCH($B$2, resultados!$A$1:$ZZ$1, 0))</f>
        <v>#N/A</v>
      </c>
      <c r="C1510" t="e">
        <f>INDEX(resultados!$A$2:$ZZ$2290, 1504, MATCH($B$3, resultados!$A$1:$ZZ$1, 0))</f>
        <v>#N/A</v>
      </c>
    </row>
    <row r="1511" spans="1:3" x14ac:dyDescent="0.3">
      <c r="A1511" t="e">
        <f>INDEX(resultados!$A$2:$ZZ$2290, 1505, MATCH($B$1, resultados!$A$1:$ZZ$1, 0))</f>
        <v>#N/A</v>
      </c>
      <c r="B1511" t="e">
        <f>INDEX(resultados!$A$2:$ZZ$2290, 1505, MATCH($B$2, resultados!$A$1:$ZZ$1, 0))</f>
        <v>#N/A</v>
      </c>
      <c r="C1511" t="e">
        <f>INDEX(resultados!$A$2:$ZZ$2290, 1505, MATCH($B$3, resultados!$A$1:$ZZ$1, 0))</f>
        <v>#N/A</v>
      </c>
    </row>
    <row r="1512" spans="1:3" x14ac:dyDescent="0.3">
      <c r="A1512" t="e">
        <f>INDEX(resultados!$A$2:$ZZ$2290, 1506, MATCH($B$1, resultados!$A$1:$ZZ$1, 0))</f>
        <v>#N/A</v>
      </c>
      <c r="B1512" t="e">
        <f>INDEX(resultados!$A$2:$ZZ$2290, 1506, MATCH($B$2, resultados!$A$1:$ZZ$1, 0))</f>
        <v>#N/A</v>
      </c>
      <c r="C1512" t="e">
        <f>INDEX(resultados!$A$2:$ZZ$2290, 1506, MATCH($B$3, resultados!$A$1:$ZZ$1, 0))</f>
        <v>#N/A</v>
      </c>
    </row>
    <row r="1513" spans="1:3" x14ac:dyDescent="0.3">
      <c r="A1513" t="e">
        <f>INDEX(resultados!$A$2:$ZZ$2290, 1507, MATCH($B$1, resultados!$A$1:$ZZ$1, 0))</f>
        <v>#N/A</v>
      </c>
      <c r="B1513" t="e">
        <f>INDEX(resultados!$A$2:$ZZ$2290, 1507, MATCH($B$2, resultados!$A$1:$ZZ$1, 0))</f>
        <v>#N/A</v>
      </c>
      <c r="C1513" t="e">
        <f>INDEX(resultados!$A$2:$ZZ$2290, 1507, MATCH($B$3, resultados!$A$1:$ZZ$1, 0))</f>
        <v>#N/A</v>
      </c>
    </row>
    <row r="1514" spans="1:3" x14ac:dyDescent="0.3">
      <c r="A1514" t="e">
        <f>INDEX(resultados!$A$2:$ZZ$2290, 1508, MATCH($B$1, resultados!$A$1:$ZZ$1, 0))</f>
        <v>#N/A</v>
      </c>
      <c r="B1514" t="e">
        <f>INDEX(resultados!$A$2:$ZZ$2290, 1508, MATCH($B$2, resultados!$A$1:$ZZ$1, 0))</f>
        <v>#N/A</v>
      </c>
      <c r="C1514" t="e">
        <f>INDEX(resultados!$A$2:$ZZ$2290, 1508, MATCH($B$3, resultados!$A$1:$ZZ$1, 0))</f>
        <v>#N/A</v>
      </c>
    </row>
    <row r="1515" spans="1:3" x14ac:dyDescent="0.3">
      <c r="A1515" t="e">
        <f>INDEX(resultados!$A$2:$ZZ$2290, 1509, MATCH($B$1, resultados!$A$1:$ZZ$1, 0))</f>
        <v>#N/A</v>
      </c>
      <c r="B1515" t="e">
        <f>INDEX(resultados!$A$2:$ZZ$2290, 1509, MATCH($B$2, resultados!$A$1:$ZZ$1, 0))</f>
        <v>#N/A</v>
      </c>
      <c r="C1515" t="e">
        <f>INDEX(resultados!$A$2:$ZZ$2290, 1509, MATCH($B$3, resultados!$A$1:$ZZ$1, 0))</f>
        <v>#N/A</v>
      </c>
    </row>
    <row r="1516" spans="1:3" x14ac:dyDescent="0.3">
      <c r="A1516" t="e">
        <f>INDEX(resultados!$A$2:$ZZ$2290, 1510, MATCH($B$1, resultados!$A$1:$ZZ$1, 0))</f>
        <v>#N/A</v>
      </c>
      <c r="B1516" t="e">
        <f>INDEX(resultados!$A$2:$ZZ$2290, 1510, MATCH($B$2, resultados!$A$1:$ZZ$1, 0))</f>
        <v>#N/A</v>
      </c>
      <c r="C1516" t="e">
        <f>INDEX(resultados!$A$2:$ZZ$2290, 1510, MATCH($B$3, resultados!$A$1:$ZZ$1, 0))</f>
        <v>#N/A</v>
      </c>
    </row>
    <row r="1517" spans="1:3" x14ac:dyDescent="0.3">
      <c r="A1517" t="e">
        <f>INDEX(resultados!$A$2:$ZZ$2290, 1511, MATCH($B$1, resultados!$A$1:$ZZ$1, 0))</f>
        <v>#N/A</v>
      </c>
      <c r="B1517" t="e">
        <f>INDEX(resultados!$A$2:$ZZ$2290, 1511, MATCH($B$2, resultados!$A$1:$ZZ$1, 0))</f>
        <v>#N/A</v>
      </c>
      <c r="C1517" t="e">
        <f>INDEX(resultados!$A$2:$ZZ$2290, 1511, MATCH($B$3, resultados!$A$1:$ZZ$1, 0))</f>
        <v>#N/A</v>
      </c>
    </row>
    <row r="1518" spans="1:3" x14ac:dyDescent="0.3">
      <c r="A1518" t="e">
        <f>INDEX(resultados!$A$2:$ZZ$2290, 1512, MATCH($B$1, resultados!$A$1:$ZZ$1, 0))</f>
        <v>#N/A</v>
      </c>
      <c r="B1518" t="e">
        <f>INDEX(resultados!$A$2:$ZZ$2290, 1512, MATCH($B$2, resultados!$A$1:$ZZ$1, 0))</f>
        <v>#N/A</v>
      </c>
      <c r="C1518" t="e">
        <f>INDEX(resultados!$A$2:$ZZ$2290, 1512, MATCH($B$3, resultados!$A$1:$ZZ$1, 0))</f>
        <v>#N/A</v>
      </c>
    </row>
    <row r="1519" spans="1:3" x14ac:dyDescent="0.3">
      <c r="A1519" t="e">
        <f>INDEX(resultados!$A$2:$ZZ$2290, 1513, MATCH($B$1, resultados!$A$1:$ZZ$1, 0))</f>
        <v>#N/A</v>
      </c>
      <c r="B1519" t="e">
        <f>INDEX(resultados!$A$2:$ZZ$2290, 1513, MATCH($B$2, resultados!$A$1:$ZZ$1, 0))</f>
        <v>#N/A</v>
      </c>
      <c r="C1519" t="e">
        <f>INDEX(resultados!$A$2:$ZZ$2290, 1513, MATCH($B$3, resultados!$A$1:$ZZ$1, 0))</f>
        <v>#N/A</v>
      </c>
    </row>
    <row r="1520" spans="1:3" x14ac:dyDescent="0.3">
      <c r="A1520" t="e">
        <f>INDEX(resultados!$A$2:$ZZ$2290, 1514, MATCH($B$1, resultados!$A$1:$ZZ$1, 0))</f>
        <v>#N/A</v>
      </c>
      <c r="B1520" t="e">
        <f>INDEX(resultados!$A$2:$ZZ$2290, 1514, MATCH($B$2, resultados!$A$1:$ZZ$1, 0))</f>
        <v>#N/A</v>
      </c>
      <c r="C1520" t="e">
        <f>INDEX(resultados!$A$2:$ZZ$2290, 1514, MATCH($B$3, resultados!$A$1:$ZZ$1, 0))</f>
        <v>#N/A</v>
      </c>
    </row>
    <row r="1521" spans="1:3" x14ac:dyDescent="0.3">
      <c r="A1521" t="e">
        <f>INDEX(resultados!$A$2:$ZZ$2290, 1515, MATCH($B$1, resultados!$A$1:$ZZ$1, 0))</f>
        <v>#N/A</v>
      </c>
      <c r="B1521" t="e">
        <f>INDEX(resultados!$A$2:$ZZ$2290, 1515, MATCH($B$2, resultados!$A$1:$ZZ$1, 0))</f>
        <v>#N/A</v>
      </c>
      <c r="C1521" t="e">
        <f>INDEX(resultados!$A$2:$ZZ$2290, 1515, MATCH($B$3, resultados!$A$1:$ZZ$1, 0))</f>
        <v>#N/A</v>
      </c>
    </row>
    <row r="1522" spans="1:3" x14ac:dyDescent="0.3">
      <c r="A1522" t="e">
        <f>INDEX(resultados!$A$2:$ZZ$2290, 1516, MATCH($B$1, resultados!$A$1:$ZZ$1, 0))</f>
        <v>#N/A</v>
      </c>
      <c r="B1522" t="e">
        <f>INDEX(resultados!$A$2:$ZZ$2290, 1516, MATCH($B$2, resultados!$A$1:$ZZ$1, 0))</f>
        <v>#N/A</v>
      </c>
      <c r="C1522" t="e">
        <f>INDEX(resultados!$A$2:$ZZ$2290, 1516, MATCH($B$3, resultados!$A$1:$ZZ$1, 0))</f>
        <v>#N/A</v>
      </c>
    </row>
    <row r="1523" spans="1:3" x14ac:dyDescent="0.3">
      <c r="A1523" t="e">
        <f>INDEX(resultados!$A$2:$ZZ$2290, 1517, MATCH($B$1, resultados!$A$1:$ZZ$1, 0))</f>
        <v>#N/A</v>
      </c>
      <c r="B1523" t="e">
        <f>INDEX(resultados!$A$2:$ZZ$2290, 1517, MATCH($B$2, resultados!$A$1:$ZZ$1, 0))</f>
        <v>#N/A</v>
      </c>
      <c r="C1523" t="e">
        <f>INDEX(resultados!$A$2:$ZZ$2290, 1517, MATCH($B$3, resultados!$A$1:$ZZ$1, 0))</f>
        <v>#N/A</v>
      </c>
    </row>
    <row r="1524" spans="1:3" x14ac:dyDescent="0.3">
      <c r="A1524" t="e">
        <f>INDEX(resultados!$A$2:$ZZ$2290, 1518, MATCH($B$1, resultados!$A$1:$ZZ$1, 0))</f>
        <v>#N/A</v>
      </c>
      <c r="B1524" t="e">
        <f>INDEX(resultados!$A$2:$ZZ$2290, 1518, MATCH($B$2, resultados!$A$1:$ZZ$1, 0))</f>
        <v>#N/A</v>
      </c>
      <c r="C1524" t="e">
        <f>INDEX(resultados!$A$2:$ZZ$2290, 1518, MATCH($B$3, resultados!$A$1:$ZZ$1, 0))</f>
        <v>#N/A</v>
      </c>
    </row>
    <row r="1525" spans="1:3" x14ac:dyDescent="0.3">
      <c r="A1525" t="e">
        <f>INDEX(resultados!$A$2:$ZZ$2290, 1519, MATCH($B$1, resultados!$A$1:$ZZ$1, 0))</f>
        <v>#N/A</v>
      </c>
      <c r="B1525" t="e">
        <f>INDEX(resultados!$A$2:$ZZ$2290, 1519, MATCH($B$2, resultados!$A$1:$ZZ$1, 0))</f>
        <v>#N/A</v>
      </c>
      <c r="C1525" t="e">
        <f>INDEX(resultados!$A$2:$ZZ$2290, 1519, MATCH($B$3, resultados!$A$1:$ZZ$1, 0))</f>
        <v>#N/A</v>
      </c>
    </row>
    <row r="1526" spans="1:3" x14ac:dyDescent="0.3">
      <c r="A1526" t="e">
        <f>INDEX(resultados!$A$2:$ZZ$2290, 1520, MATCH($B$1, resultados!$A$1:$ZZ$1, 0))</f>
        <v>#N/A</v>
      </c>
      <c r="B1526" t="e">
        <f>INDEX(resultados!$A$2:$ZZ$2290, 1520, MATCH($B$2, resultados!$A$1:$ZZ$1, 0))</f>
        <v>#N/A</v>
      </c>
      <c r="C1526" t="e">
        <f>INDEX(resultados!$A$2:$ZZ$2290, 1520, MATCH($B$3, resultados!$A$1:$ZZ$1, 0))</f>
        <v>#N/A</v>
      </c>
    </row>
    <row r="1527" spans="1:3" x14ac:dyDescent="0.3">
      <c r="A1527" t="e">
        <f>INDEX(resultados!$A$2:$ZZ$2290, 1521, MATCH($B$1, resultados!$A$1:$ZZ$1, 0))</f>
        <v>#N/A</v>
      </c>
      <c r="B1527" t="e">
        <f>INDEX(resultados!$A$2:$ZZ$2290, 1521, MATCH($B$2, resultados!$A$1:$ZZ$1, 0))</f>
        <v>#N/A</v>
      </c>
      <c r="C1527" t="e">
        <f>INDEX(resultados!$A$2:$ZZ$2290, 1521, MATCH($B$3, resultados!$A$1:$ZZ$1, 0))</f>
        <v>#N/A</v>
      </c>
    </row>
    <row r="1528" spans="1:3" x14ac:dyDescent="0.3">
      <c r="A1528" t="e">
        <f>INDEX(resultados!$A$2:$ZZ$2290, 1522, MATCH($B$1, resultados!$A$1:$ZZ$1, 0))</f>
        <v>#N/A</v>
      </c>
      <c r="B1528" t="e">
        <f>INDEX(resultados!$A$2:$ZZ$2290, 1522, MATCH($B$2, resultados!$A$1:$ZZ$1, 0))</f>
        <v>#N/A</v>
      </c>
      <c r="C1528" t="e">
        <f>INDEX(resultados!$A$2:$ZZ$2290, 1522, MATCH($B$3, resultados!$A$1:$ZZ$1, 0))</f>
        <v>#N/A</v>
      </c>
    </row>
    <row r="1529" spans="1:3" x14ac:dyDescent="0.3">
      <c r="A1529" t="e">
        <f>INDEX(resultados!$A$2:$ZZ$2290, 1523, MATCH($B$1, resultados!$A$1:$ZZ$1, 0))</f>
        <v>#N/A</v>
      </c>
      <c r="B1529" t="e">
        <f>INDEX(resultados!$A$2:$ZZ$2290, 1523, MATCH($B$2, resultados!$A$1:$ZZ$1, 0))</f>
        <v>#N/A</v>
      </c>
      <c r="C1529" t="e">
        <f>INDEX(resultados!$A$2:$ZZ$2290, 1523, MATCH($B$3, resultados!$A$1:$ZZ$1, 0))</f>
        <v>#N/A</v>
      </c>
    </row>
    <row r="1530" spans="1:3" x14ac:dyDescent="0.3">
      <c r="A1530" t="e">
        <f>INDEX(resultados!$A$2:$ZZ$2290, 1524, MATCH($B$1, resultados!$A$1:$ZZ$1, 0))</f>
        <v>#N/A</v>
      </c>
      <c r="B1530" t="e">
        <f>INDEX(resultados!$A$2:$ZZ$2290, 1524, MATCH($B$2, resultados!$A$1:$ZZ$1, 0))</f>
        <v>#N/A</v>
      </c>
      <c r="C1530" t="e">
        <f>INDEX(resultados!$A$2:$ZZ$2290, 1524, MATCH($B$3, resultados!$A$1:$ZZ$1, 0))</f>
        <v>#N/A</v>
      </c>
    </row>
    <row r="1531" spans="1:3" x14ac:dyDescent="0.3">
      <c r="A1531" t="e">
        <f>INDEX(resultados!$A$2:$ZZ$2290, 1525, MATCH($B$1, resultados!$A$1:$ZZ$1, 0))</f>
        <v>#N/A</v>
      </c>
      <c r="B1531" t="e">
        <f>INDEX(resultados!$A$2:$ZZ$2290, 1525, MATCH($B$2, resultados!$A$1:$ZZ$1, 0))</f>
        <v>#N/A</v>
      </c>
      <c r="C1531" t="e">
        <f>INDEX(resultados!$A$2:$ZZ$2290, 1525, MATCH($B$3, resultados!$A$1:$ZZ$1, 0))</f>
        <v>#N/A</v>
      </c>
    </row>
    <row r="1532" spans="1:3" x14ac:dyDescent="0.3">
      <c r="A1532" t="e">
        <f>INDEX(resultados!$A$2:$ZZ$2290, 1526, MATCH($B$1, resultados!$A$1:$ZZ$1, 0))</f>
        <v>#N/A</v>
      </c>
      <c r="B1532" t="e">
        <f>INDEX(resultados!$A$2:$ZZ$2290, 1526, MATCH($B$2, resultados!$A$1:$ZZ$1, 0))</f>
        <v>#N/A</v>
      </c>
      <c r="C1532" t="e">
        <f>INDEX(resultados!$A$2:$ZZ$2290, 1526, MATCH($B$3, resultados!$A$1:$ZZ$1, 0))</f>
        <v>#N/A</v>
      </c>
    </row>
    <row r="1533" spans="1:3" x14ac:dyDescent="0.3">
      <c r="A1533" t="e">
        <f>INDEX(resultados!$A$2:$ZZ$2290, 1527, MATCH($B$1, resultados!$A$1:$ZZ$1, 0))</f>
        <v>#N/A</v>
      </c>
      <c r="B1533" t="e">
        <f>INDEX(resultados!$A$2:$ZZ$2290, 1527, MATCH($B$2, resultados!$A$1:$ZZ$1, 0))</f>
        <v>#N/A</v>
      </c>
      <c r="C1533" t="e">
        <f>INDEX(resultados!$A$2:$ZZ$2290, 1527, MATCH($B$3, resultados!$A$1:$ZZ$1, 0))</f>
        <v>#N/A</v>
      </c>
    </row>
    <row r="1534" spans="1:3" x14ac:dyDescent="0.3">
      <c r="A1534" t="e">
        <f>INDEX(resultados!$A$2:$ZZ$2290, 1528, MATCH($B$1, resultados!$A$1:$ZZ$1, 0))</f>
        <v>#N/A</v>
      </c>
      <c r="B1534" t="e">
        <f>INDEX(resultados!$A$2:$ZZ$2290, 1528, MATCH($B$2, resultados!$A$1:$ZZ$1, 0))</f>
        <v>#N/A</v>
      </c>
      <c r="C1534" t="e">
        <f>INDEX(resultados!$A$2:$ZZ$2290, 1528, MATCH($B$3, resultados!$A$1:$ZZ$1, 0))</f>
        <v>#N/A</v>
      </c>
    </row>
    <row r="1535" spans="1:3" x14ac:dyDescent="0.3">
      <c r="A1535" t="e">
        <f>INDEX(resultados!$A$2:$ZZ$2290, 1529, MATCH($B$1, resultados!$A$1:$ZZ$1, 0))</f>
        <v>#N/A</v>
      </c>
      <c r="B1535" t="e">
        <f>INDEX(resultados!$A$2:$ZZ$2290, 1529, MATCH($B$2, resultados!$A$1:$ZZ$1, 0))</f>
        <v>#N/A</v>
      </c>
      <c r="C1535" t="e">
        <f>INDEX(resultados!$A$2:$ZZ$2290, 1529, MATCH($B$3, resultados!$A$1:$ZZ$1, 0))</f>
        <v>#N/A</v>
      </c>
    </row>
    <row r="1536" spans="1:3" x14ac:dyDescent="0.3">
      <c r="A1536" t="e">
        <f>INDEX(resultados!$A$2:$ZZ$2290, 1530, MATCH($B$1, resultados!$A$1:$ZZ$1, 0))</f>
        <v>#N/A</v>
      </c>
      <c r="B1536" t="e">
        <f>INDEX(resultados!$A$2:$ZZ$2290, 1530, MATCH($B$2, resultados!$A$1:$ZZ$1, 0))</f>
        <v>#N/A</v>
      </c>
      <c r="C1536" t="e">
        <f>INDEX(resultados!$A$2:$ZZ$2290, 1530, MATCH($B$3, resultados!$A$1:$ZZ$1, 0))</f>
        <v>#N/A</v>
      </c>
    </row>
    <row r="1537" spans="1:3" x14ac:dyDescent="0.3">
      <c r="A1537" t="e">
        <f>INDEX(resultados!$A$2:$ZZ$2290, 1531, MATCH($B$1, resultados!$A$1:$ZZ$1, 0))</f>
        <v>#N/A</v>
      </c>
      <c r="B1537" t="e">
        <f>INDEX(resultados!$A$2:$ZZ$2290, 1531, MATCH($B$2, resultados!$A$1:$ZZ$1, 0))</f>
        <v>#N/A</v>
      </c>
      <c r="C1537" t="e">
        <f>INDEX(resultados!$A$2:$ZZ$2290, 1531, MATCH($B$3, resultados!$A$1:$ZZ$1, 0))</f>
        <v>#N/A</v>
      </c>
    </row>
    <row r="1538" spans="1:3" x14ac:dyDescent="0.3">
      <c r="A1538" t="e">
        <f>INDEX(resultados!$A$2:$ZZ$2290, 1532, MATCH($B$1, resultados!$A$1:$ZZ$1, 0))</f>
        <v>#N/A</v>
      </c>
      <c r="B1538" t="e">
        <f>INDEX(resultados!$A$2:$ZZ$2290, 1532, MATCH($B$2, resultados!$A$1:$ZZ$1, 0))</f>
        <v>#N/A</v>
      </c>
      <c r="C1538" t="e">
        <f>INDEX(resultados!$A$2:$ZZ$2290, 1532, MATCH($B$3, resultados!$A$1:$ZZ$1, 0))</f>
        <v>#N/A</v>
      </c>
    </row>
    <row r="1539" spans="1:3" x14ac:dyDescent="0.3">
      <c r="A1539" t="e">
        <f>INDEX(resultados!$A$2:$ZZ$2290, 1533, MATCH($B$1, resultados!$A$1:$ZZ$1, 0))</f>
        <v>#N/A</v>
      </c>
      <c r="B1539" t="e">
        <f>INDEX(resultados!$A$2:$ZZ$2290, 1533, MATCH($B$2, resultados!$A$1:$ZZ$1, 0))</f>
        <v>#N/A</v>
      </c>
      <c r="C1539" t="e">
        <f>INDEX(resultados!$A$2:$ZZ$2290, 1533, MATCH($B$3, resultados!$A$1:$ZZ$1, 0))</f>
        <v>#N/A</v>
      </c>
    </row>
    <row r="1540" spans="1:3" x14ac:dyDescent="0.3">
      <c r="A1540" t="e">
        <f>INDEX(resultados!$A$2:$ZZ$2290, 1534, MATCH($B$1, resultados!$A$1:$ZZ$1, 0))</f>
        <v>#N/A</v>
      </c>
      <c r="B1540" t="e">
        <f>INDEX(resultados!$A$2:$ZZ$2290, 1534, MATCH($B$2, resultados!$A$1:$ZZ$1, 0))</f>
        <v>#N/A</v>
      </c>
      <c r="C1540" t="e">
        <f>INDEX(resultados!$A$2:$ZZ$2290, 1534, MATCH($B$3, resultados!$A$1:$ZZ$1, 0))</f>
        <v>#N/A</v>
      </c>
    </row>
    <row r="1541" spans="1:3" x14ac:dyDescent="0.3">
      <c r="A1541" t="e">
        <f>INDEX(resultados!$A$2:$ZZ$2290, 1535, MATCH($B$1, resultados!$A$1:$ZZ$1, 0))</f>
        <v>#N/A</v>
      </c>
      <c r="B1541" t="e">
        <f>INDEX(resultados!$A$2:$ZZ$2290, 1535, MATCH($B$2, resultados!$A$1:$ZZ$1, 0))</f>
        <v>#N/A</v>
      </c>
      <c r="C1541" t="e">
        <f>INDEX(resultados!$A$2:$ZZ$2290, 1535, MATCH($B$3, resultados!$A$1:$ZZ$1, 0))</f>
        <v>#N/A</v>
      </c>
    </row>
    <row r="1542" spans="1:3" x14ac:dyDescent="0.3">
      <c r="A1542" t="e">
        <f>INDEX(resultados!$A$2:$ZZ$2290, 1536, MATCH($B$1, resultados!$A$1:$ZZ$1, 0))</f>
        <v>#N/A</v>
      </c>
      <c r="B1542" t="e">
        <f>INDEX(resultados!$A$2:$ZZ$2290, 1536, MATCH($B$2, resultados!$A$1:$ZZ$1, 0))</f>
        <v>#N/A</v>
      </c>
      <c r="C1542" t="e">
        <f>INDEX(resultados!$A$2:$ZZ$2290, 1536, MATCH($B$3, resultados!$A$1:$ZZ$1, 0))</f>
        <v>#N/A</v>
      </c>
    </row>
    <row r="1543" spans="1:3" x14ac:dyDescent="0.3">
      <c r="A1543" t="e">
        <f>INDEX(resultados!$A$2:$ZZ$2290, 1537, MATCH($B$1, resultados!$A$1:$ZZ$1, 0))</f>
        <v>#N/A</v>
      </c>
      <c r="B1543" t="e">
        <f>INDEX(resultados!$A$2:$ZZ$2290, 1537, MATCH($B$2, resultados!$A$1:$ZZ$1, 0))</f>
        <v>#N/A</v>
      </c>
      <c r="C1543" t="e">
        <f>INDEX(resultados!$A$2:$ZZ$2290, 1537, MATCH($B$3, resultados!$A$1:$ZZ$1, 0))</f>
        <v>#N/A</v>
      </c>
    </row>
    <row r="1544" spans="1:3" x14ac:dyDescent="0.3">
      <c r="A1544" t="e">
        <f>INDEX(resultados!$A$2:$ZZ$2290, 1538, MATCH($B$1, resultados!$A$1:$ZZ$1, 0))</f>
        <v>#N/A</v>
      </c>
      <c r="B1544" t="e">
        <f>INDEX(resultados!$A$2:$ZZ$2290, 1538, MATCH($B$2, resultados!$A$1:$ZZ$1, 0))</f>
        <v>#N/A</v>
      </c>
      <c r="C1544" t="e">
        <f>INDEX(resultados!$A$2:$ZZ$2290, 1538, MATCH($B$3, resultados!$A$1:$ZZ$1, 0))</f>
        <v>#N/A</v>
      </c>
    </row>
    <row r="1545" spans="1:3" x14ac:dyDescent="0.3">
      <c r="A1545" t="e">
        <f>INDEX(resultados!$A$2:$ZZ$2290, 1539, MATCH($B$1, resultados!$A$1:$ZZ$1, 0))</f>
        <v>#N/A</v>
      </c>
      <c r="B1545" t="e">
        <f>INDEX(resultados!$A$2:$ZZ$2290, 1539, MATCH($B$2, resultados!$A$1:$ZZ$1, 0))</f>
        <v>#N/A</v>
      </c>
      <c r="C1545" t="e">
        <f>INDEX(resultados!$A$2:$ZZ$2290, 1539, MATCH($B$3, resultados!$A$1:$ZZ$1, 0))</f>
        <v>#N/A</v>
      </c>
    </row>
    <row r="1546" spans="1:3" x14ac:dyDescent="0.3">
      <c r="A1546" t="e">
        <f>INDEX(resultados!$A$2:$ZZ$2290, 1540, MATCH($B$1, resultados!$A$1:$ZZ$1, 0))</f>
        <v>#N/A</v>
      </c>
      <c r="B1546" t="e">
        <f>INDEX(resultados!$A$2:$ZZ$2290, 1540, MATCH($B$2, resultados!$A$1:$ZZ$1, 0))</f>
        <v>#N/A</v>
      </c>
      <c r="C1546" t="e">
        <f>INDEX(resultados!$A$2:$ZZ$2290, 1540, MATCH($B$3, resultados!$A$1:$ZZ$1, 0))</f>
        <v>#N/A</v>
      </c>
    </row>
    <row r="1547" spans="1:3" x14ac:dyDescent="0.3">
      <c r="A1547" t="e">
        <f>INDEX(resultados!$A$2:$ZZ$2290, 1541, MATCH($B$1, resultados!$A$1:$ZZ$1, 0))</f>
        <v>#N/A</v>
      </c>
      <c r="B1547" t="e">
        <f>INDEX(resultados!$A$2:$ZZ$2290, 1541, MATCH($B$2, resultados!$A$1:$ZZ$1, 0))</f>
        <v>#N/A</v>
      </c>
      <c r="C1547" t="e">
        <f>INDEX(resultados!$A$2:$ZZ$2290, 1541, MATCH($B$3, resultados!$A$1:$ZZ$1, 0))</f>
        <v>#N/A</v>
      </c>
    </row>
    <row r="1548" spans="1:3" x14ac:dyDescent="0.3">
      <c r="A1548" t="e">
        <f>INDEX(resultados!$A$2:$ZZ$2290, 1542, MATCH($B$1, resultados!$A$1:$ZZ$1, 0))</f>
        <v>#N/A</v>
      </c>
      <c r="B1548" t="e">
        <f>INDEX(resultados!$A$2:$ZZ$2290, 1542, MATCH($B$2, resultados!$A$1:$ZZ$1, 0))</f>
        <v>#N/A</v>
      </c>
      <c r="C1548" t="e">
        <f>INDEX(resultados!$A$2:$ZZ$2290, 1542, MATCH($B$3, resultados!$A$1:$ZZ$1, 0))</f>
        <v>#N/A</v>
      </c>
    </row>
    <row r="1549" spans="1:3" x14ac:dyDescent="0.3">
      <c r="A1549" t="e">
        <f>INDEX(resultados!$A$2:$ZZ$2290, 1543, MATCH($B$1, resultados!$A$1:$ZZ$1, 0))</f>
        <v>#N/A</v>
      </c>
      <c r="B1549" t="e">
        <f>INDEX(resultados!$A$2:$ZZ$2290, 1543, MATCH($B$2, resultados!$A$1:$ZZ$1, 0))</f>
        <v>#N/A</v>
      </c>
      <c r="C1549" t="e">
        <f>INDEX(resultados!$A$2:$ZZ$2290, 1543, MATCH($B$3, resultados!$A$1:$ZZ$1, 0))</f>
        <v>#N/A</v>
      </c>
    </row>
    <row r="1550" spans="1:3" x14ac:dyDescent="0.3">
      <c r="A1550" t="e">
        <f>INDEX(resultados!$A$2:$ZZ$2290, 1544, MATCH($B$1, resultados!$A$1:$ZZ$1, 0))</f>
        <v>#N/A</v>
      </c>
      <c r="B1550" t="e">
        <f>INDEX(resultados!$A$2:$ZZ$2290, 1544, MATCH($B$2, resultados!$A$1:$ZZ$1, 0))</f>
        <v>#N/A</v>
      </c>
      <c r="C1550" t="e">
        <f>INDEX(resultados!$A$2:$ZZ$2290, 1544, MATCH($B$3, resultados!$A$1:$ZZ$1, 0))</f>
        <v>#N/A</v>
      </c>
    </row>
    <row r="1551" spans="1:3" x14ac:dyDescent="0.3">
      <c r="A1551" t="e">
        <f>INDEX(resultados!$A$2:$ZZ$2290, 1545, MATCH($B$1, resultados!$A$1:$ZZ$1, 0))</f>
        <v>#N/A</v>
      </c>
      <c r="B1551" t="e">
        <f>INDEX(resultados!$A$2:$ZZ$2290, 1545, MATCH($B$2, resultados!$A$1:$ZZ$1, 0))</f>
        <v>#N/A</v>
      </c>
      <c r="C1551" t="e">
        <f>INDEX(resultados!$A$2:$ZZ$2290, 1545, MATCH($B$3, resultados!$A$1:$ZZ$1, 0))</f>
        <v>#N/A</v>
      </c>
    </row>
    <row r="1552" spans="1:3" x14ac:dyDescent="0.3">
      <c r="A1552" t="e">
        <f>INDEX(resultados!$A$2:$ZZ$2290, 1546, MATCH($B$1, resultados!$A$1:$ZZ$1, 0))</f>
        <v>#N/A</v>
      </c>
      <c r="B1552" t="e">
        <f>INDEX(resultados!$A$2:$ZZ$2290, 1546, MATCH($B$2, resultados!$A$1:$ZZ$1, 0))</f>
        <v>#N/A</v>
      </c>
      <c r="C1552" t="e">
        <f>INDEX(resultados!$A$2:$ZZ$2290, 1546, MATCH($B$3, resultados!$A$1:$ZZ$1, 0))</f>
        <v>#N/A</v>
      </c>
    </row>
    <row r="1553" spans="1:3" x14ac:dyDescent="0.3">
      <c r="A1553" t="e">
        <f>INDEX(resultados!$A$2:$ZZ$2290, 1547, MATCH($B$1, resultados!$A$1:$ZZ$1, 0))</f>
        <v>#N/A</v>
      </c>
      <c r="B1553" t="e">
        <f>INDEX(resultados!$A$2:$ZZ$2290, 1547, MATCH($B$2, resultados!$A$1:$ZZ$1, 0))</f>
        <v>#N/A</v>
      </c>
      <c r="C1553" t="e">
        <f>INDEX(resultados!$A$2:$ZZ$2290, 1547, MATCH($B$3, resultados!$A$1:$ZZ$1, 0))</f>
        <v>#N/A</v>
      </c>
    </row>
    <row r="1554" spans="1:3" x14ac:dyDescent="0.3">
      <c r="A1554" t="e">
        <f>INDEX(resultados!$A$2:$ZZ$2290, 1548, MATCH($B$1, resultados!$A$1:$ZZ$1, 0))</f>
        <v>#N/A</v>
      </c>
      <c r="B1554" t="e">
        <f>INDEX(resultados!$A$2:$ZZ$2290, 1548, MATCH($B$2, resultados!$A$1:$ZZ$1, 0))</f>
        <v>#N/A</v>
      </c>
      <c r="C1554" t="e">
        <f>INDEX(resultados!$A$2:$ZZ$2290, 1548, MATCH($B$3, resultados!$A$1:$ZZ$1, 0))</f>
        <v>#N/A</v>
      </c>
    </row>
    <row r="1555" spans="1:3" x14ac:dyDescent="0.3">
      <c r="A1555" t="e">
        <f>INDEX(resultados!$A$2:$ZZ$2290, 1549, MATCH($B$1, resultados!$A$1:$ZZ$1, 0))</f>
        <v>#N/A</v>
      </c>
      <c r="B1555" t="e">
        <f>INDEX(resultados!$A$2:$ZZ$2290, 1549, MATCH($B$2, resultados!$A$1:$ZZ$1, 0))</f>
        <v>#N/A</v>
      </c>
      <c r="C1555" t="e">
        <f>INDEX(resultados!$A$2:$ZZ$2290, 1549, MATCH($B$3, resultados!$A$1:$ZZ$1, 0))</f>
        <v>#N/A</v>
      </c>
    </row>
    <row r="1556" spans="1:3" x14ac:dyDescent="0.3">
      <c r="A1556" t="e">
        <f>INDEX(resultados!$A$2:$ZZ$2290, 1550, MATCH($B$1, resultados!$A$1:$ZZ$1, 0))</f>
        <v>#N/A</v>
      </c>
      <c r="B1556" t="e">
        <f>INDEX(resultados!$A$2:$ZZ$2290, 1550, MATCH($B$2, resultados!$A$1:$ZZ$1, 0))</f>
        <v>#N/A</v>
      </c>
      <c r="C1556" t="e">
        <f>INDEX(resultados!$A$2:$ZZ$2290, 1550, MATCH($B$3, resultados!$A$1:$ZZ$1, 0))</f>
        <v>#N/A</v>
      </c>
    </row>
    <row r="1557" spans="1:3" x14ac:dyDescent="0.3">
      <c r="A1557" t="e">
        <f>INDEX(resultados!$A$2:$ZZ$2290, 1551, MATCH($B$1, resultados!$A$1:$ZZ$1, 0))</f>
        <v>#N/A</v>
      </c>
      <c r="B1557" t="e">
        <f>INDEX(resultados!$A$2:$ZZ$2290, 1551, MATCH($B$2, resultados!$A$1:$ZZ$1, 0))</f>
        <v>#N/A</v>
      </c>
      <c r="C1557" t="e">
        <f>INDEX(resultados!$A$2:$ZZ$2290, 1551, MATCH($B$3, resultados!$A$1:$ZZ$1, 0))</f>
        <v>#N/A</v>
      </c>
    </row>
    <row r="1558" spans="1:3" x14ac:dyDescent="0.3">
      <c r="A1558" t="e">
        <f>INDEX(resultados!$A$2:$ZZ$2290, 1552, MATCH($B$1, resultados!$A$1:$ZZ$1, 0))</f>
        <v>#N/A</v>
      </c>
      <c r="B1558" t="e">
        <f>INDEX(resultados!$A$2:$ZZ$2290, 1552, MATCH($B$2, resultados!$A$1:$ZZ$1, 0))</f>
        <v>#N/A</v>
      </c>
      <c r="C1558" t="e">
        <f>INDEX(resultados!$A$2:$ZZ$2290, 1552, MATCH($B$3, resultados!$A$1:$ZZ$1, 0))</f>
        <v>#N/A</v>
      </c>
    </row>
    <row r="1559" spans="1:3" x14ac:dyDescent="0.3">
      <c r="A1559" t="e">
        <f>INDEX(resultados!$A$2:$ZZ$2290, 1553, MATCH($B$1, resultados!$A$1:$ZZ$1, 0))</f>
        <v>#N/A</v>
      </c>
      <c r="B1559" t="e">
        <f>INDEX(resultados!$A$2:$ZZ$2290, 1553, MATCH($B$2, resultados!$A$1:$ZZ$1, 0))</f>
        <v>#N/A</v>
      </c>
      <c r="C1559" t="e">
        <f>INDEX(resultados!$A$2:$ZZ$2290, 1553, MATCH($B$3, resultados!$A$1:$ZZ$1, 0))</f>
        <v>#N/A</v>
      </c>
    </row>
    <row r="1560" spans="1:3" x14ac:dyDescent="0.3">
      <c r="A1560" t="e">
        <f>INDEX(resultados!$A$2:$ZZ$2290, 1554, MATCH($B$1, resultados!$A$1:$ZZ$1, 0))</f>
        <v>#N/A</v>
      </c>
      <c r="B1560" t="e">
        <f>INDEX(resultados!$A$2:$ZZ$2290, 1554, MATCH($B$2, resultados!$A$1:$ZZ$1, 0))</f>
        <v>#N/A</v>
      </c>
      <c r="C1560" t="e">
        <f>INDEX(resultados!$A$2:$ZZ$2290, 1554, MATCH($B$3, resultados!$A$1:$ZZ$1, 0))</f>
        <v>#N/A</v>
      </c>
    </row>
    <row r="1561" spans="1:3" x14ac:dyDescent="0.3">
      <c r="A1561" t="e">
        <f>INDEX(resultados!$A$2:$ZZ$2290, 1555, MATCH($B$1, resultados!$A$1:$ZZ$1, 0))</f>
        <v>#N/A</v>
      </c>
      <c r="B1561" t="e">
        <f>INDEX(resultados!$A$2:$ZZ$2290, 1555, MATCH($B$2, resultados!$A$1:$ZZ$1, 0))</f>
        <v>#N/A</v>
      </c>
      <c r="C1561" t="e">
        <f>INDEX(resultados!$A$2:$ZZ$2290, 1555, MATCH($B$3, resultados!$A$1:$ZZ$1, 0))</f>
        <v>#N/A</v>
      </c>
    </row>
    <row r="1562" spans="1:3" x14ac:dyDescent="0.3">
      <c r="A1562" t="e">
        <f>INDEX(resultados!$A$2:$ZZ$2290, 1556, MATCH($B$1, resultados!$A$1:$ZZ$1, 0))</f>
        <v>#N/A</v>
      </c>
      <c r="B1562" t="e">
        <f>INDEX(resultados!$A$2:$ZZ$2290, 1556, MATCH($B$2, resultados!$A$1:$ZZ$1, 0))</f>
        <v>#N/A</v>
      </c>
      <c r="C1562" t="e">
        <f>INDEX(resultados!$A$2:$ZZ$2290, 1556, MATCH($B$3, resultados!$A$1:$ZZ$1, 0))</f>
        <v>#N/A</v>
      </c>
    </row>
    <row r="1563" spans="1:3" x14ac:dyDescent="0.3">
      <c r="A1563" t="e">
        <f>INDEX(resultados!$A$2:$ZZ$2290, 1557, MATCH($B$1, resultados!$A$1:$ZZ$1, 0))</f>
        <v>#N/A</v>
      </c>
      <c r="B1563" t="e">
        <f>INDEX(resultados!$A$2:$ZZ$2290, 1557, MATCH($B$2, resultados!$A$1:$ZZ$1, 0))</f>
        <v>#N/A</v>
      </c>
      <c r="C1563" t="e">
        <f>INDEX(resultados!$A$2:$ZZ$2290, 1557, MATCH($B$3, resultados!$A$1:$ZZ$1, 0))</f>
        <v>#N/A</v>
      </c>
    </row>
    <row r="1564" spans="1:3" x14ac:dyDescent="0.3">
      <c r="A1564" t="e">
        <f>INDEX(resultados!$A$2:$ZZ$2290, 1558, MATCH($B$1, resultados!$A$1:$ZZ$1, 0))</f>
        <v>#N/A</v>
      </c>
      <c r="B1564" t="e">
        <f>INDEX(resultados!$A$2:$ZZ$2290, 1558, MATCH($B$2, resultados!$A$1:$ZZ$1, 0))</f>
        <v>#N/A</v>
      </c>
      <c r="C1564" t="e">
        <f>INDEX(resultados!$A$2:$ZZ$2290, 1558, MATCH($B$3, resultados!$A$1:$ZZ$1, 0))</f>
        <v>#N/A</v>
      </c>
    </row>
    <row r="1565" spans="1:3" x14ac:dyDescent="0.3">
      <c r="A1565" t="e">
        <f>INDEX(resultados!$A$2:$ZZ$2290, 1559, MATCH($B$1, resultados!$A$1:$ZZ$1, 0))</f>
        <v>#N/A</v>
      </c>
      <c r="B1565" t="e">
        <f>INDEX(resultados!$A$2:$ZZ$2290, 1559, MATCH($B$2, resultados!$A$1:$ZZ$1, 0))</f>
        <v>#N/A</v>
      </c>
      <c r="C1565" t="e">
        <f>INDEX(resultados!$A$2:$ZZ$2290, 1559, MATCH($B$3, resultados!$A$1:$ZZ$1, 0))</f>
        <v>#N/A</v>
      </c>
    </row>
    <row r="1566" spans="1:3" x14ac:dyDescent="0.3">
      <c r="A1566" t="e">
        <f>INDEX(resultados!$A$2:$ZZ$2290, 1560, MATCH($B$1, resultados!$A$1:$ZZ$1, 0))</f>
        <v>#N/A</v>
      </c>
      <c r="B1566" t="e">
        <f>INDEX(resultados!$A$2:$ZZ$2290, 1560, MATCH($B$2, resultados!$A$1:$ZZ$1, 0))</f>
        <v>#N/A</v>
      </c>
      <c r="C1566" t="e">
        <f>INDEX(resultados!$A$2:$ZZ$2290, 1560, MATCH($B$3, resultados!$A$1:$ZZ$1, 0))</f>
        <v>#N/A</v>
      </c>
    </row>
    <row r="1567" spans="1:3" x14ac:dyDescent="0.3">
      <c r="A1567" t="e">
        <f>INDEX(resultados!$A$2:$ZZ$2290, 1561, MATCH($B$1, resultados!$A$1:$ZZ$1, 0))</f>
        <v>#N/A</v>
      </c>
      <c r="B1567" t="e">
        <f>INDEX(resultados!$A$2:$ZZ$2290, 1561, MATCH($B$2, resultados!$A$1:$ZZ$1, 0))</f>
        <v>#N/A</v>
      </c>
      <c r="C1567" t="e">
        <f>INDEX(resultados!$A$2:$ZZ$2290, 1561, MATCH($B$3, resultados!$A$1:$ZZ$1, 0))</f>
        <v>#N/A</v>
      </c>
    </row>
    <row r="1568" spans="1:3" x14ac:dyDescent="0.3">
      <c r="A1568" t="e">
        <f>INDEX(resultados!$A$2:$ZZ$2290, 1562, MATCH($B$1, resultados!$A$1:$ZZ$1, 0))</f>
        <v>#N/A</v>
      </c>
      <c r="B1568" t="e">
        <f>INDEX(resultados!$A$2:$ZZ$2290, 1562, MATCH($B$2, resultados!$A$1:$ZZ$1, 0))</f>
        <v>#N/A</v>
      </c>
      <c r="C1568" t="e">
        <f>INDEX(resultados!$A$2:$ZZ$2290, 1562, MATCH($B$3, resultados!$A$1:$ZZ$1, 0))</f>
        <v>#N/A</v>
      </c>
    </row>
    <row r="1569" spans="1:3" x14ac:dyDescent="0.3">
      <c r="A1569" t="e">
        <f>INDEX(resultados!$A$2:$ZZ$2290, 1563, MATCH($B$1, resultados!$A$1:$ZZ$1, 0))</f>
        <v>#N/A</v>
      </c>
      <c r="B1569" t="e">
        <f>INDEX(resultados!$A$2:$ZZ$2290, 1563, MATCH($B$2, resultados!$A$1:$ZZ$1, 0))</f>
        <v>#N/A</v>
      </c>
      <c r="C1569" t="e">
        <f>INDEX(resultados!$A$2:$ZZ$2290, 1563, MATCH($B$3, resultados!$A$1:$ZZ$1, 0))</f>
        <v>#N/A</v>
      </c>
    </row>
    <row r="1570" spans="1:3" x14ac:dyDescent="0.3">
      <c r="A1570" t="e">
        <f>INDEX(resultados!$A$2:$ZZ$2290, 1564, MATCH($B$1, resultados!$A$1:$ZZ$1, 0))</f>
        <v>#N/A</v>
      </c>
      <c r="B1570" t="e">
        <f>INDEX(resultados!$A$2:$ZZ$2290, 1564, MATCH($B$2, resultados!$A$1:$ZZ$1, 0))</f>
        <v>#N/A</v>
      </c>
      <c r="C1570" t="e">
        <f>INDEX(resultados!$A$2:$ZZ$2290, 1564, MATCH($B$3, resultados!$A$1:$ZZ$1, 0))</f>
        <v>#N/A</v>
      </c>
    </row>
    <row r="1571" spans="1:3" x14ac:dyDescent="0.3">
      <c r="A1571" t="e">
        <f>INDEX(resultados!$A$2:$ZZ$2290, 1565, MATCH($B$1, resultados!$A$1:$ZZ$1, 0))</f>
        <v>#N/A</v>
      </c>
      <c r="B1571" t="e">
        <f>INDEX(resultados!$A$2:$ZZ$2290, 1565, MATCH($B$2, resultados!$A$1:$ZZ$1, 0))</f>
        <v>#N/A</v>
      </c>
      <c r="C1571" t="e">
        <f>INDEX(resultados!$A$2:$ZZ$2290, 1565, MATCH($B$3, resultados!$A$1:$ZZ$1, 0))</f>
        <v>#N/A</v>
      </c>
    </row>
    <row r="1572" spans="1:3" x14ac:dyDescent="0.3">
      <c r="A1572" t="e">
        <f>INDEX(resultados!$A$2:$ZZ$2290, 1566, MATCH($B$1, resultados!$A$1:$ZZ$1, 0))</f>
        <v>#N/A</v>
      </c>
      <c r="B1572" t="e">
        <f>INDEX(resultados!$A$2:$ZZ$2290, 1566, MATCH($B$2, resultados!$A$1:$ZZ$1, 0))</f>
        <v>#N/A</v>
      </c>
      <c r="C1572" t="e">
        <f>INDEX(resultados!$A$2:$ZZ$2290, 1566, MATCH($B$3, resultados!$A$1:$ZZ$1, 0))</f>
        <v>#N/A</v>
      </c>
    </row>
    <row r="1573" spans="1:3" x14ac:dyDescent="0.3">
      <c r="A1573" t="e">
        <f>INDEX(resultados!$A$2:$ZZ$2290, 1567, MATCH($B$1, resultados!$A$1:$ZZ$1, 0))</f>
        <v>#N/A</v>
      </c>
      <c r="B1573" t="e">
        <f>INDEX(resultados!$A$2:$ZZ$2290, 1567, MATCH($B$2, resultados!$A$1:$ZZ$1, 0))</f>
        <v>#N/A</v>
      </c>
      <c r="C1573" t="e">
        <f>INDEX(resultados!$A$2:$ZZ$2290, 1567, MATCH($B$3, resultados!$A$1:$ZZ$1, 0))</f>
        <v>#N/A</v>
      </c>
    </row>
    <row r="1574" spans="1:3" x14ac:dyDescent="0.3">
      <c r="A1574" t="e">
        <f>INDEX(resultados!$A$2:$ZZ$2290, 1568, MATCH($B$1, resultados!$A$1:$ZZ$1, 0))</f>
        <v>#N/A</v>
      </c>
      <c r="B1574" t="e">
        <f>INDEX(resultados!$A$2:$ZZ$2290, 1568, MATCH($B$2, resultados!$A$1:$ZZ$1, 0))</f>
        <v>#N/A</v>
      </c>
      <c r="C1574" t="e">
        <f>INDEX(resultados!$A$2:$ZZ$2290, 1568, MATCH($B$3, resultados!$A$1:$ZZ$1, 0))</f>
        <v>#N/A</v>
      </c>
    </row>
    <row r="1575" spans="1:3" x14ac:dyDescent="0.3">
      <c r="A1575" t="e">
        <f>INDEX(resultados!$A$2:$ZZ$2290, 1569, MATCH($B$1, resultados!$A$1:$ZZ$1, 0))</f>
        <v>#N/A</v>
      </c>
      <c r="B1575" t="e">
        <f>INDEX(resultados!$A$2:$ZZ$2290, 1569, MATCH($B$2, resultados!$A$1:$ZZ$1, 0))</f>
        <v>#N/A</v>
      </c>
      <c r="C1575" t="e">
        <f>INDEX(resultados!$A$2:$ZZ$2290, 1569, MATCH($B$3, resultados!$A$1:$ZZ$1, 0))</f>
        <v>#N/A</v>
      </c>
    </row>
    <row r="1576" spans="1:3" x14ac:dyDescent="0.3">
      <c r="A1576" t="e">
        <f>INDEX(resultados!$A$2:$ZZ$2290, 1570, MATCH($B$1, resultados!$A$1:$ZZ$1, 0))</f>
        <v>#N/A</v>
      </c>
      <c r="B1576" t="e">
        <f>INDEX(resultados!$A$2:$ZZ$2290, 1570, MATCH($B$2, resultados!$A$1:$ZZ$1, 0))</f>
        <v>#N/A</v>
      </c>
      <c r="C1576" t="e">
        <f>INDEX(resultados!$A$2:$ZZ$2290, 1570, MATCH($B$3, resultados!$A$1:$ZZ$1, 0))</f>
        <v>#N/A</v>
      </c>
    </row>
    <row r="1577" spans="1:3" x14ac:dyDescent="0.3">
      <c r="A1577" t="e">
        <f>INDEX(resultados!$A$2:$ZZ$2290, 1571, MATCH($B$1, resultados!$A$1:$ZZ$1, 0))</f>
        <v>#N/A</v>
      </c>
      <c r="B1577" t="e">
        <f>INDEX(resultados!$A$2:$ZZ$2290, 1571, MATCH($B$2, resultados!$A$1:$ZZ$1, 0))</f>
        <v>#N/A</v>
      </c>
      <c r="C1577" t="e">
        <f>INDEX(resultados!$A$2:$ZZ$2290, 1571, MATCH($B$3, resultados!$A$1:$ZZ$1, 0))</f>
        <v>#N/A</v>
      </c>
    </row>
    <row r="1578" spans="1:3" x14ac:dyDescent="0.3">
      <c r="A1578" t="e">
        <f>INDEX(resultados!$A$2:$ZZ$2290, 1572, MATCH($B$1, resultados!$A$1:$ZZ$1, 0))</f>
        <v>#N/A</v>
      </c>
      <c r="B1578" t="e">
        <f>INDEX(resultados!$A$2:$ZZ$2290, 1572, MATCH($B$2, resultados!$A$1:$ZZ$1, 0))</f>
        <v>#N/A</v>
      </c>
      <c r="C1578" t="e">
        <f>INDEX(resultados!$A$2:$ZZ$2290, 1572, MATCH($B$3, resultados!$A$1:$ZZ$1, 0))</f>
        <v>#N/A</v>
      </c>
    </row>
    <row r="1579" spans="1:3" x14ac:dyDescent="0.3">
      <c r="A1579" t="e">
        <f>INDEX(resultados!$A$2:$ZZ$2290, 1573, MATCH($B$1, resultados!$A$1:$ZZ$1, 0))</f>
        <v>#N/A</v>
      </c>
      <c r="B1579" t="e">
        <f>INDEX(resultados!$A$2:$ZZ$2290, 1573, MATCH($B$2, resultados!$A$1:$ZZ$1, 0))</f>
        <v>#N/A</v>
      </c>
      <c r="C1579" t="e">
        <f>INDEX(resultados!$A$2:$ZZ$2290, 1573, MATCH($B$3, resultados!$A$1:$ZZ$1, 0))</f>
        <v>#N/A</v>
      </c>
    </row>
    <row r="1580" spans="1:3" x14ac:dyDescent="0.3">
      <c r="A1580" t="e">
        <f>INDEX(resultados!$A$2:$ZZ$2290, 1574, MATCH($B$1, resultados!$A$1:$ZZ$1, 0))</f>
        <v>#N/A</v>
      </c>
      <c r="B1580" t="e">
        <f>INDEX(resultados!$A$2:$ZZ$2290, 1574, MATCH($B$2, resultados!$A$1:$ZZ$1, 0))</f>
        <v>#N/A</v>
      </c>
      <c r="C1580" t="e">
        <f>INDEX(resultados!$A$2:$ZZ$2290, 1574, MATCH($B$3, resultados!$A$1:$ZZ$1, 0))</f>
        <v>#N/A</v>
      </c>
    </row>
    <row r="1581" spans="1:3" x14ac:dyDescent="0.3">
      <c r="A1581" t="e">
        <f>INDEX(resultados!$A$2:$ZZ$2290, 1575, MATCH($B$1, resultados!$A$1:$ZZ$1, 0))</f>
        <v>#N/A</v>
      </c>
      <c r="B1581" t="e">
        <f>INDEX(resultados!$A$2:$ZZ$2290, 1575, MATCH($B$2, resultados!$A$1:$ZZ$1, 0))</f>
        <v>#N/A</v>
      </c>
      <c r="C1581" t="e">
        <f>INDEX(resultados!$A$2:$ZZ$2290, 1575, MATCH($B$3, resultados!$A$1:$ZZ$1, 0))</f>
        <v>#N/A</v>
      </c>
    </row>
    <row r="1582" spans="1:3" x14ac:dyDescent="0.3">
      <c r="A1582" t="e">
        <f>INDEX(resultados!$A$2:$ZZ$2290, 1576, MATCH($B$1, resultados!$A$1:$ZZ$1, 0))</f>
        <v>#N/A</v>
      </c>
      <c r="B1582" t="e">
        <f>INDEX(resultados!$A$2:$ZZ$2290, 1576, MATCH($B$2, resultados!$A$1:$ZZ$1, 0))</f>
        <v>#N/A</v>
      </c>
      <c r="C1582" t="e">
        <f>INDEX(resultados!$A$2:$ZZ$2290, 1576, MATCH($B$3, resultados!$A$1:$ZZ$1, 0))</f>
        <v>#N/A</v>
      </c>
    </row>
    <row r="1583" spans="1:3" x14ac:dyDescent="0.3">
      <c r="A1583" t="e">
        <f>INDEX(resultados!$A$2:$ZZ$2290, 1577, MATCH($B$1, resultados!$A$1:$ZZ$1, 0))</f>
        <v>#N/A</v>
      </c>
      <c r="B1583" t="e">
        <f>INDEX(resultados!$A$2:$ZZ$2290, 1577, MATCH($B$2, resultados!$A$1:$ZZ$1, 0))</f>
        <v>#N/A</v>
      </c>
      <c r="C1583" t="e">
        <f>INDEX(resultados!$A$2:$ZZ$2290, 1577, MATCH($B$3, resultados!$A$1:$ZZ$1, 0))</f>
        <v>#N/A</v>
      </c>
    </row>
    <row r="1584" spans="1:3" x14ac:dyDescent="0.3">
      <c r="A1584" t="e">
        <f>INDEX(resultados!$A$2:$ZZ$2290, 1578, MATCH($B$1, resultados!$A$1:$ZZ$1, 0))</f>
        <v>#N/A</v>
      </c>
      <c r="B1584" t="e">
        <f>INDEX(resultados!$A$2:$ZZ$2290, 1578, MATCH($B$2, resultados!$A$1:$ZZ$1, 0))</f>
        <v>#N/A</v>
      </c>
      <c r="C1584" t="e">
        <f>INDEX(resultados!$A$2:$ZZ$2290, 1578, MATCH($B$3, resultados!$A$1:$ZZ$1, 0))</f>
        <v>#N/A</v>
      </c>
    </row>
    <row r="1585" spans="1:3" x14ac:dyDescent="0.3">
      <c r="A1585" t="e">
        <f>INDEX(resultados!$A$2:$ZZ$2290, 1579, MATCH($B$1, resultados!$A$1:$ZZ$1, 0))</f>
        <v>#N/A</v>
      </c>
      <c r="B1585" t="e">
        <f>INDEX(resultados!$A$2:$ZZ$2290, 1579, MATCH($B$2, resultados!$A$1:$ZZ$1, 0))</f>
        <v>#N/A</v>
      </c>
      <c r="C1585" t="e">
        <f>INDEX(resultados!$A$2:$ZZ$2290, 1579, MATCH($B$3, resultados!$A$1:$ZZ$1, 0))</f>
        <v>#N/A</v>
      </c>
    </row>
    <row r="1586" spans="1:3" x14ac:dyDescent="0.3">
      <c r="A1586" t="e">
        <f>INDEX(resultados!$A$2:$ZZ$2290, 1580, MATCH($B$1, resultados!$A$1:$ZZ$1, 0))</f>
        <v>#N/A</v>
      </c>
      <c r="B1586" t="e">
        <f>INDEX(resultados!$A$2:$ZZ$2290, 1580, MATCH($B$2, resultados!$A$1:$ZZ$1, 0))</f>
        <v>#N/A</v>
      </c>
      <c r="C1586" t="e">
        <f>INDEX(resultados!$A$2:$ZZ$2290, 1580, MATCH($B$3, resultados!$A$1:$ZZ$1, 0))</f>
        <v>#N/A</v>
      </c>
    </row>
    <row r="1587" spans="1:3" x14ac:dyDescent="0.3">
      <c r="A1587" t="e">
        <f>INDEX(resultados!$A$2:$ZZ$2290, 1581, MATCH($B$1, resultados!$A$1:$ZZ$1, 0))</f>
        <v>#N/A</v>
      </c>
      <c r="B1587" t="e">
        <f>INDEX(resultados!$A$2:$ZZ$2290, 1581, MATCH($B$2, resultados!$A$1:$ZZ$1, 0))</f>
        <v>#N/A</v>
      </c>
      <c r="C1587" t="e">
        <f>INDEX(resultados!$A$2:$ZZ$2290, 1581, MATCH($B$3, resultados!$A$1:$ZZ$1, 0))</f>
        <v>#N/A</v>
      </c>
    </row>
    <row r="1588" spans="1:3" x14ac:dyDescent="0.3">
      <c r="A1588" t="e">
        <f>INDEX(resultados!$A$2:$ZZ$2290, 1582, MATCH($B$1, resultados!$A$1:$ZZ$1, 0))</f>
        <v>#N/A</v>
      </c>
      <c r="B1588" t="e">
        <f>INDEX(resultados!$A$2:$ZZ$2290, 1582, MATCH($B$2, resultados!$A$1:$ZZ$1, 0))</f>
        <v>#N/A</v>
      </c>
      <c r="C1588" t="e">
        <f>INDEX(resultados!$A$2:$ZZ$2290, 1582, MATCH($B$3, resultados!$A$1:$ZZ$1, 0))</f>
        <v>#N/A</v>
      </c>
    </row>
    <row r="1589" spans="1:3" x14ac:dyDescent="0.3">
      <c r="A1589" t="e">
        <f>INDEX(resultados!$A$2:$ZZ$2290, 1583, MATCH($B$1, resultados!$A$1:$ZZ$1, 0))</f>
        <v>#N/A</v>
      </c>
      <c r="B1589" t="e">
        <f>INDEX(resultados!$A$2:$ZZ$2290, 1583, MATCH($B$2, resultados!$A$1:$ZZ$1, 0))</f>
        <v>#N/A</v>
      </c>
      <c r="C1589" t="e">
        <f>INDEX(resultados!$A$2:$ZZ$2290, 1583, MATCH($B$3, resultados!$A$1:$ZZ$1, 0))</f>
        <v>#N/A</v>
      </c>
    </row>
    <row r="1590" spans="1:3" x14ac:dyDescent="0.3">
      <c r="A1590" t="e">
        <f>INDEX(resultados!$A$2:$ZZ$2290, 1584, MATCH($B$1, resultados!$A$1:$ZZ$1, 0))</f>
        <v>#N/A</v>
      </c>
      <c r="B1590" t="e">
        <f>INDEX(resultados!$A$2:$ZZ$2290, 1584, MATCH($B$2, resultados!$A$1:$ZZ$1, 0))</f>
        <v>#N/A</v>
      </c>
      <c r="C1590" t="e">
        <f>INDEX(resultados!$A$2:$ZZ$2290, 1584, MATCH($B$3, resultados!$A$1:$ZZ$1, 0))</f>
        <v>#N/A</v>
      </c>
    </row>
    <row r="1591" spans="1:3" x14ac:dyDescent="0.3">
      <c r="A1591" t="e">
        <f>INDEX(resultados!$A$2:$ZZ$2290, 1585, MATCH($B$1, resultados!$A$1:$ZZ$1, 0))</f>
        <v>#N/A</v>
      </c>
      <c r="B1591" t="e">
        <f>INDEX(resultados!$A$2:$ZZ$2290, 1585, MATCH($B$2, resultados!$A$1:$ZZ$1, 0))</f>
        <v>#N/A</v>
      </c>
      <c r="C1591" t="e">
        <f>INDEX(resultados!$A$2:$ZZ$2290, 1585, MATCH($B$3, resultados!$A$1:$ZZ$1, 0))</f>
        <v>#N/A</v>
      </c>
    </row>
    <row r="1592" spans="1:3" x14ac:dyDescent="0.3">
      <c r="A1592" t="e">
        <f>INDEX(resultados!$A$2:$ZZ$2290, 1586, MATCH($B$1, resultados!$A$1:$ZZ$1, 0))</f>
        <v>#N/A</v>
      </c>
      <c r="B1592" t="e">
        <f>INDEX(resultados!$A$2:$ZZ$2290, 1586, MATCH($B$2, resultados!$A$1:$ZZ$1, 0))</f>
        <v>#N/A</v>
      </c>
      <c r="C1592" t="e">
        <f>INDEX(resultados!$A$2:$ZZ$2290, 1586, MATCH($B$3, resultados!$A$1:$ZZ$1, 0))</f>
        <v>#N/A</v>
      </c>
    </row>
    <row r="1593" spans="1:3" x14ac:dyDescent="0.3">
      <c r="A1593" t="e">
        <f>INDEX(resultados!$A$2:$ZZ$2290, 1587, MATCH($B$1, resultados!$A$1:$ZZ$1, 0))</f>
        <v>#N/A</v>
      </c>
      <c r="B1593" t="e">
        <f>INDEX(resultados!$A$2:$ZZ$2290, 1587, MATCH($B$2, resultados!$A$1:$ZZ$1, 0))</f>
        <v>#N/A</v>
      </c>
      <c r="C1593" t="e">
        <f>INDEX(resultados!$A$2:$ZZ$2290, 1587, MATCH($B$3, resultados!$A$1:$ZZ$1, 0))</f>
        <v>#N/A</v>
      </c>
    </row>
    <row r="1594" spans="1:3" x14ac:dyDescent="0.3">
      <c r="A1594" t="e">
        <f>INDEX(resultados!$A$2:$ZZ$2290, 1588, MATCH($B$1, resultados!$A$1:$ZZ$1, 0))</f>
        <v>#N/A</v>
      </c>
      <c r="B1594" t="e">
        <f>INDEX(resultados!$A$2:$ZZ$2290, 1588, MATCH($B$2, resultados!$A$1:$ZZ$1, 0))</f>
        <v>#N/A</v>
      </c>
      <c r="C1594" t="e">
        <f>INDEX(resultados!$A$2:$ZZ$2290, 1588, MATCH($B$3, resultados!$A$1:$ZZ$1, 0))</f>
        <v>#N/A</v>
      </c>
    </row>
    <row r="1595" spans="1:3" x14ac:dyDescent="0.3">
      <c r="A1595" t="e">
        <f>INDEX(resultados!$A$2:$ZZ$2290, 1589, MATCH($B$1, resultados!$A$1:$ZZ$1, 0))</f>
        <v>#N/A</v>
      </c>
      <c r="B1595" t="e">
        <f>INDEX(resultados!$A$2:$ZZ$2290, 1589, MATCH($B$2, resultados!$A$1:$ZZ$1, 0))</f>
        <v>#N/A</v>
      </c>
      <c r="C1595" t="e">
        <f>INDEX(resultados!$A$2:$ZZ$2290, 1589, MATCH($B$3, resultados!$A$1:$ZZ$1, 0))</f>
        <v>#N/A</v>
      </c>
    </row>
    <row r="1596" spans="1:3" x14ac:dyDescent="0.3">
      <c r="A1596" t="e">
        <f>INDEX(resultados!$A$2:$ZZ$2290, 1590, MATCH($B$1, resultados!$A$1:$ZZ$1, 0))</f>
        <v>#N/A</v>
      </c>
      <c r="B1596" t="e">
        <f>INDEX(resultados!$A$2:$ZZ$2290, 1590, MATCH($B$2, resultados!$A$1:$ZZ$1, 0))</f>
        <v>#N/A</v>
      </c>
      <c r="C1596" t="e">
        <f>INDEX(resultados!$A$2:$ZZ$2290, 1590, MATCH($B$3, resultados!$A$1:$ZZ$1, 0))</f>
        <v>#N/A</v>
      </c>
    </row>
    <row r="1597" spans="1:3" x14ac:dyDescent="0.3">
      <c r="A1597" t="e">
        <f>INDEX(resultados!$A$2:$ZZ$2290, 1591, MATCH($B$1, resultados!$A$1:$ZZ$1, 0))</f>
        <v>#N/A</v>
      </c>
      <c r="B1597" t="e">
        <f>INDEX(resultados!$A$2:$ZZ$2290, 1591, MATCH($B$2, resultados!$A$1:$ZZ$1, 0))</f>
        <v>#N/A</v>
      </c>
      <c r="C1597" t="e">
        <f>INDEX(resultados!$A$2:$ZZ$2290, 1591, MATCH($B$3, resultados!$A$1:$ZZ$1, 0))</f>
        <v>#N/A</v>
      </c>
    </row>
    <row r="1598" spans="1:3" x14ac:dyDescent="0.3">
      <c r="A1598" t="e">
        <f>INDEX(resultados!$A$2:$ZZ$2290, 1592, MATCH($B$1, resultados!$A$1:$ZZ$1, 0))</f>
        <v>#N/A</v>
      </c>
      <c r="B1598" t="e">
        <f>INDEX(resultados!$A$2:$ZZ$2290, 1592, MATCH($B$2, resultados!$A$1:$ZZ$1, 0))</f>
        <v>#N/A</v>
      </c>
      <c r="C1598" t="e">
        <f>INDEX(resultados!$A$2:$ZZ$2290, 1592, MATCH($B$3, resultados!$A$1:$ZZ$1, 0))</f>
        <v>#N/A</v>
      </c>
    </row>
    <row r="1599" spans="1:3" x14ac:dyDescent="0.3">
      <c r="A1599" t="e">
        <f>INDEX(resultados!$A$2:$ZZ$2290, 1593, MATCH($B$1, resultados!$A$1:$ZZ$1, 0))</f>
        <v>#N/A</v>
      </c>
      <c r="B1599" t="e">
        <f>INDEX(resultados!$A$2:$ZZ$2290, 1593, MATCH($B$2, resultados!$A$1:$ZZ$1, 0))</f>
        <v>#N/A</v>
      </c>
      <c r="C1599" t="e">
        <f>INDEX(resultados!$A$2:$ZZ$2290, 1593, MATCH($B$3, resultados!$A$1:$ZZ$1, 0))</f>
        <v>#N/A</v>
      </c>
    </row>
    <row r="1600" spans="1:3" x14ac:dyDescent="0.3">
      <c r="A1600" t="e">
        <f>INDEX(resultados!$A$2:$ZZ$2290, 1594, MATCH($B$1, resultados!$A$1:$ZZ$1, 0))</f>
        <v>#N/A</v>
      </c>
      <c r="B1600" t="e">
        <f>INDEX(resultados!$A$2:$ZZ$2290, 1594, MATCH($B$2, resultados!$A$1:$ZZ$1, 0))</f>
        <v>#N/A</v>
      </c>
      <c r="C1600" t="e">
        <f>INDEX(resultados!$A$2:$ZZ$2290, 1594, MATCH($B$3, resultados!$A$1:$ZZ$1, 0))</f>
        <v>#N/A</v>
      </c>
    </row>
    <row r="1601" spans="1:3" x14ac:dyDescent="0.3">
      <c r="A1601" t="e">
        <f>INDEX(resultados!$A$2:$ZZ$2290, 1595, MATCH($B$1, resultados!$A$1:$ZZ$1, 0))</f>
        <v>#N/A</v>
      </c>
      <c r="B1601" t="e">
        <f>INDEX(resultados!$A$2:$ZZ$2290, 1595, MATCH($B$2, resultados!$A$1:$ZZ$1, 0))</f>
        <v>#N/A</v>
      </c>
      <c r="C1601" t="e">
        <f>INDEX(resultados!$A$2:$ZZ$2290, 1595, MATCH($B$3, resultados!$A$1:$ZZ$1, 0))</f>
        <v>#N/A</v>
      </c>
    </row>
    <row r="1602" spans="1:3" x14ac:dyDescent="0.3">
      <c r="A1602" t="e">
        <f>INDEX(resultados!$A$2:$ZZ$2290, 1596, MATCH($B$1, resultados!$A$1:$ZZ$1, 0))</f>
        <v>#N/A</v>
      </c>
      <c r="B1602" t="e">
        <f>INDEX(resultados!$A$2:$ZZ$2290, 1596, MATCH($B$2, resultados!$A$1:$ZZ$1, 0))</f>
        <v>#N/A</v>
      </c>
      <c r="C1602" t="e">
        <f>INDEX(resultados!$A$2:$ZZ$2290, 1596, MATCH($B$3, resultados!$A$1:$ZZ$1, 0))</f>
        <v>#N/A</v>
      </c>
    </row>
    <row r="1603" spans="1:3" x14ac:dyDescent="0.3">
      <c r="A1603" t="e">
        <f>INDEX(resultados!$A$2:$ZZ$2290, 1597, MATCH($B$1, resultados!$A$1:$ZZ$1, 0))</f>
        <v>#N/A</v>
      </c>
      <c r="B1603" t="e">
        <f>INDEX(resultados!$A$2:$ZZ$2290, 1597, MATCH($B$2, resultados!$A$1:$ZZ$1, 0))</f>
        <v>#N/A</v>
      </c>
      <c r="C1603" t="e">
        <f>INDEX(resultados!$A$2:$ZZ$2290, 1597, MATCH($B$3, resultados!$A$1:$ZZ$1, 0))</f>
        <v>#N/A</v>
      </c>
    </row>
    <row r="1604" spans="1:3" x14ac:dyDescent="0.3">
      <c r="A1604" t="e">
        <f>INDEX(resultados!$A$2:$ZZ$2290, 1598, MATCH($B$1, resultados!$A$1:$ZZ$1, 0))</f>
        <v>#N/A</v>
      </c>
      <c r="B1604" t="e">
        <f>INDEX(resultados!$A$2:$ZZ$2290, 1598, MATCH($B$2, resultados!$A$1:$ZZ$1, 0))</f>
        <v>#N/A</v>
      </c>
      <c r="C1604" t="e">
        <f>INDEX(resultados!$A$2:$ZZ$2290, 1598, MATCH($B$3, resultados!$A$1:$ZZ$1, 0))</f>
        <v>#N/A</v>
      </c>
    </row>
    <row r="1605" spans="1:3" x14ac:dyDescent="0.3">
      <c r="A1605" t="e">
        <f>INDEX(resultados!$A$2:$ZZ$2290, 1599, MATCH($B$1, resultados!$A$1:$ZZ$1, 0))</f>
        <v>#N/A</v>
      </c>
      <c r="B1605" t="e">
        <f>INDEX(resultados!$A$2:$ZZ$2290, 1599, MATCH($B$2, resultados!$A$1:$ZZ$1, 0))</f>
        <v>#N/A</v>
      </c>
      <c r="C1605" t="e">
        <f>INDEX(resultados!$A$2:$ZZ$2290, 1599, MATCH($B$3, resultados!$A$1:$ZZ$1, 0))</f>
        <v>#N/A</v>
      </c>
    </row>
    <row r="1606" spans="1:3" x14ac:dyDescent="0.3">
      <c r="A1606" t="e">
        <f>INDEX(resultados!$A$2:$ZZ$2290, 1600, MATCH($B$1, resultados!$A$1:$ZZ$1, 0))</f>
        <v>#N/A</v>
      </c>
      <c r="B1606" t="e">
        <f>INDEX(resultados!$A$2:$ZZ$2290, 1600, MATCH($B$2, resultados!$A$1:$ZZ$1, 0))</f>
        <v>#N/A</v>
      </c>
      <c r="C1606" t="e">
        <f>INDEX(resultados!$A$2:$ZZ$2290, 1600, MATCH($B$3, resultados!$A$1:$ZZ$1, 0))</f>
        <v>#N/A</v>
      </c>
    </row>
    <row r="1607" spans="1:3" x14ac:dyDescent="0.3">
      <c r="A1607" t="e">
        <f>INDEX(resultados!$A$2:$ZZ$2290, 1601, MATCH($B$1, resultados!$A$1:$ZZ$1, 0))</f>
        <v>#N/A</v>
      </c>
      <c r="B1607" t="e">
        <f>INDEX(resultados!$A$2:$ZZ$2290, 1601, MATCH($B$2, resultados!$A$1:$ZZ$1, 0))</f>
        <v>#N/A</v>
      </c>
      <c r="C1607" t="e">
        <f>INDEX(resultados!$A$2:$ZZ$2290, 1601, MATCH($B$3, resultados!$A$1:$ZZ$1, 0))</f>
        <v>#N/A</v>
      </c>
    </row>
    <row r="1608" spans="1:3" x14ac:dyDescent="0.3">
      <c r="A1608" t="e">
        <f>INDEX(resultados!$A$2:$ZZ$2290, 1602, MATCH($B$1, resultados!$A$1:$ZZ$1, 0))</f>
        <v>#N/A</v>
      </c>
      <c r="B1608" t="e">
        <f>INDEX(resultados!$A$2:$ZZ$2290, 1602, MATCH($B$2, resultados!$A$1:$ZZ$1, 0))</f>
        <v>#N/A</v>
      </c>
      <c r="C1608" t="e">
        <f>INDEX(resultados!$A$2:$ZZ$2290, 1602, MATCH($B$3, resultados!$A$1:$ZZ$1, 0))</f>
        <v>#N/A</v>
      </c>
    </row>
    <row r="1609" spans="1:3" x14ac:dyDescent="0.3">
      <c r="A1609" t="e">
        <f>INDEX(resultados!$A$2:$ZZ$2290, 1603, MATCH($B$1, resultados!$A$1:$ZZ$1, 0))</f>
        <v>#N/A</v>
      </c>
      <c r="B1609" t="e">
        <f>INDEX(resultados!$A$2:$ZZ$2290, 1603, MATCH($B$2, resultados!$A$1:$ZZ$1, 0))</f>
        <v>#N/A</v>
      </c>
      <c r="C1609" t="e">
        <f>INDEX(resultados!$A$2:$ZZ$2290, 1603, MATCH($B$3, resultados!$A$1:$ZZ$1, 0))</f>
        <v>#N/A</v>
      </c>
    </row>
    <row r="1610" spans="1:3" x14ac:dyDescent="0.3">
      <c r="A1610" t="e">
        <f>INDEX(resultados!$A$2:$ZZ$2290, 1604, MATCH($B$1, resultados!$A$1:$ZZ$1, 0))</f>
        <v>#N/A</v>
      </c>
      <c r="B1610" t="e">
        <f>INDEX(resultados!$A$2:$ZZ$2290, 1604, MATCH($B$2, resultados!$A$1:$ZZ$1, 0))</f>
        <v>#N/A</v>
      </c>
      <c r="C1610" t="e">
        <f>INDEX(resultados!$A$2:$ZZ$2290, 1604, MATCH($B$3, resultados!$A$1:$ZZ$1, 0))</f>
        <v>#N/A</v>
      </c>
    </row>
    <row r="1611" spans="1:3" x14ac:dyDescent="0.3">
      <c r="A1611" t="e">
        <f>INDEX(resultados!$A$2:$ZZ$2290, 1605, MATCH($B$1, resultados!$A$1:$ZZ$1, 0))</f>
        <v>#N/A</v>
      </c>
      <c r="B1611" t="e">
        <f>INDEX(resultados!$A$2:$ZZ$2290, 1605, MATCH($B$2, resultados!$A$1:$ZZ$1, 0))</f>
        <v>#N/A</v>
      </c>
      <c r="C1611" t="e">
        <f>INDEX(resultados!$A$2:$ZZ$2290, 1605, MATCH($B$3, resultados!$A$1:$ZZ$1, 0))</f>
        <v>#N/A</v>
      </c>
    </row>
    <row r="1612" spans="1:3" x14ac:dyDescent="0.3">
      <c r="A1612" t="e">
        <f>INDEX(resultados!$A$2:$ZZ$2290, 1606, MATCH($B$1, resultados!$A$1:$ZZ$1, 0))</f>
        <v>#N/A</v>
      </c>
      <c r="B1612" t="e">
        <f>INDEX(resultados!$A$2:$ZZ$2290, 1606, MATCH($B$2, resultados!$A$1:$ZZ$1, 0))</f>
        <v>#N/A</v>
      </c>
      <c r="C1612" t="e">
        <f>INDEX(resultados!$A$2:$ZZ$2290, 1606, MATCH($B$3, resultados!$A$1:$ZZ$1, 0))</f>
        <v>#N/A</v>
      </c>
    </row>
    <row r="1613" spans="1:3" x14ac:dyDescent="0.3">
      <c r="A1613" t="e">
        <f>INDEX(resultados!$A$2:$ZZ$2290, 1607, MATCH($B$1, resultados!$A$1:$ZZ$1, 0))</f>
        <v>#N/A</v>
      </c>
      <c r="B1613" t="e">
        <f>INDEX(resultados!$A$2:$ZZ$2290, 1607, MATCH($B$2, resultados!$A$1:$ZZ$1, 0))</f>
        <v>#N/A</v>
      </c>
      <c r="C1613" t="e">
        <f>INDEX(resultados!$A$2:$ZZ$2290, 1607, MATCH($B$3, resultados!$A$1:$ZZ$1, 0))</f>
        <v>#N/A</v>
      </c>
    </row>
    <row r="1614" spans="1:3" x14ac:dyDescent="0.3">
      <c r="A1614" t="e">
        <f>INDEX(resultados!$A$2:$ZZ$2290, 1608, MATCH($B$1, resultados!$A$1:$ZZ$1, 0))</f>
        <v>#N/A</v>
      </c>
      <c r="B1614" t="e">
        <f>INDEX(resultados!$A$2:$ZZ$2290, 1608, MATCH($B$2, resultados!$A$1:$ZZ$1, 0))</f>
        <v>#N/A</v>
      </c>
      <c r="C1614" t="e">
        <f>INDEX(resultados!$A$2:$ZZ$2290, 1608, MATCH($B$3, resultados!$A$1:$ZZ$1, 0))</f>
        <v>#N/A</v>
      </c>
    </row>
    <row r="1615" spans="1:3" x14ac:dyDescent="0.3">
      <c r="A1615" t="e">
        <f>INDEX(resultados!$A$2:$ZZ$2290, 1609, MATCH($B$1, resultados!$A$1:$ZZ$1, 0))</f>
        <v>#N/A</v>
      </c>
      <c r="B1615" t="e">
        <f>INDEX(resultados!$A$2:$ZZ$2290, 1609, MATCH($B$2, resultados!$A$1:$ZZ$1, 0))</f>
        <v>#N/A</v>
      </c>
      <c r="C1615" t="e">
        <f>INDEX(resultados!$A$2:$ZZ$2290, 1609, MATCH($B$3, resultados!$A$1:$ZZ$1, 0))</f>
        <v>#N/A</v>
      </c>
    </row>
    <row r="1616" spans="1:3" x14ac:dyDescent="0.3">
      <c r="A1616" t="e">
        <f>INDEX(resultados!$A$2:$ZZ$2290, 1610, MATCH($B$1, resultados!$A$1:$ZZ$1, 0))</f>
        <v>#N/A</v>
      </c>
      <c r="B1616" t="e">
        <f>INDEX(resultados!$A$2:$ZZ$2290, 1610, MATCH($B$2, resultados!$A$1:$ZZ$1, 0))</f>
        <v>#N/A</v>
      </c>
      <c r="C1616" t="e">
        <f>INDEX(resultados!$A$2:$ZZ$2290, 1610, MATCH($B$3, resultados!$A$1:$ZZ$1, 0))</f>
        <v>#N/A</v>
      </c>
    </row>
    <row r="1617" spans="1:3" x14ac:dyDescent="0.3">
      <c r="A1617" t="e">
        <f>INDEX(resultados!$A$2:$ZZ$2290, 1611, MATCH($B$1, resultados!$A$1:$ZZ$1, 0))</f>
        <v>#N/A</v>
      </c>
      <c r="B1617" t="e">
        <f>INDEX(resultados!$A$2:$ZZ$2290, 1611, MATCH($B$2, resultados!$A$1:$ZZ$1, 0))</f>
        <v>#N/A</v>
      </c>
      <c r="C1617" t="e">
        <f>INDEX(resultados!$A$2:$ZZ$2290, 1611, MATCH($B$3, resultados!$A$1:$ZZ$1, 0))</f>
        <v>#N/A</v>
      </c>
    </row>
    <row r="1618" spans="1:3" x14ac:dyDescent="0.3">
      <c r="A1618" t="e">
        <f>INDEX(resultados!$A$2:$ZZ$2290, 1612, MATCH($B$1, resultados!$A$1:$ZZ$1, 0))</f>
        <v>#N/A</v>
      </c>
      <c r="B1618" t="e">
        <f>INDEX(resultados!$A$2:$ZZ$2290, 1612, MATCH($B$2, resultados!$A$1:$ZZ$1, 0))</f>
        <v>#N/A</v>
      </c>
      <c r="C1618" t="e">
        <f>INDEX(resultados!$A$2:$ZZ$2290, 1612, MATCH($B$3, resultados!$A$1:$ZZ$1, 0))</f>
        <v>#N/A</v>
      </c>
    </row>
    <row r="1619" spans="1:3" x14ac:dyDescent="0.3">
      <c r="A1619" t="e">
        <f>INDEX(resultados!$A$2:$ZZ$2290, 1613, MATCH($B$1, resultados!$A$1:$ZZ$1, 0))</f>
        <v>#N/A</v>
      </c>
      <c r="B1619" t="e">
        <f>INDEX(resultados!$A$2:$ZZ$2290, 1613, MATCH($B$2, resultados!$A$1:$ZZ$1, 0))</f>
        <v>#N/A</v>
      </c>
      <c r="C1619" t="e">
        <f>INDEX(resultados!$A$2:$ZZ$2290, 1613, MATCH($B$3, resultados!$A$1:$ZZ$1, 0))</f>
        <v>#N/A</v>
      </c>
    </row>
    <row r="1620" spans="1:3" x14ac:dyDescent="0.3">
      <c r="A1620" t="e">
        <f>INDEX(resultados!$A$2:$ZZ$2290, 1614, MATCH($B$1, resultados!$A$1:$ZZ$1, 0))</f>
        <v>#N/A</v>
      </c>
      <c r="B1620" t="e">
        <f>INDEX(resultados!$A$2:$ZZ$2290, 1614, MATCH($B$2, resultados!$A$1:$ZZ$1, 0))</f>
        <v>#N/A</v>
      </c>
      <c r="C1620" t="e">
        <f>INDEX(resultados!$A$2:$ZZ$2290, 1614, MATCH($B$3, resultados!$A$1:$ZZ$1, 0))</f>
        <v>#N/A</v>
      </c>
    </row>
    <row r="1621" spans="1:3" x14ac:dyDescent="0.3">
      <c r="A1621" t="e">
        <f>INDEX(resultados!$A$2:$ZZ$2290, 1615, MATCH($B$1, resultados!$A$1:$ZZ$1, 0))</f>
        <v>#N/A</v>
      </c>
      <c r="B1621" t="e">
        <f>INDEX(resultados!$A$2:$ZZ$2290, 1615, MATCH($B$2, resultados!$A$1:$ZZ$1, 0))</f>
        <v>#N/A</v>
      </c>
      <c r="C1621" t="e">
        <f>INDEX(resultados!$A$2:$ZZ$2290, 1615, MATCH($B$3, resultados!$A$1:$ZZ$1, 0))</f>
        <v>#N/A</v>
      </c>
    </row>
    <row r="1622" spans="1:3" x14ac:dyDescent="0.3">
      <c r="A1622" t="e">
        <f>INDEX(resultados!$A$2:$ZZ$2290, 1616, MATCH($B$1, resultados!$A$1:$ZZ$1, 0))</f>
        <v>#N/A</v>
      </c>
      <c r="B1622" t="e">
        <f>INDEX(resultados!$A$2:$ZZ$2290, 1616, MATCH($B$2, resultados!$A$1:$ZZ$1, 0))</f>
        <v>#N/A</v>
      </c>
      <c r="C1622" t="e">
        <f>INDEX(resultados!$A$2:$ZZ$2290, 1616, MATCH($B$3, resultados!$A$1:$ZZ$1, 0))</f>
        <v>#N/A</v>
      </c>
    </row>
    <row r="1623" spans="1:3" x14ac:dyDescent="0.3">
      <c r="A1623" t="e">
        <f>INDEX(resultados!$A$2:$ZZ$2290, 1617, MATCH($B$1, resultados!$A$1:$ZZ$1, 0))</f>
        <v>#N/A</v>
      </c>
      <c r="B1623" t="e">
        <f>INDEX(resultados!$A$2:$ZZ$2290, 1617, MATCH($B$2, resultados!$A$1:$ZZ$1, 0))</f>
        <v>#N/A</v>
      </c>
      <c r="C1623" t="e">
        <f>INDEX(resultados!$A$2:$ZZ$2290, 1617, MATCH($B$3, resultados!$A$1:$ZZ$1, 0))</f>
        <v>#N/A</v>
      </c>
    </row>
    <row r="1624" spans="1:3" x14ac:dyDescent="0.3">
      <c r="A1624" t="e">
        <f>INDEX(resultados!$A$2:$ZZ$2290, 1618, MATCH($B$1, resultados!$A$1:$ZZ$1, 0))</f>
        <v>#N/A</v>
      </c>
      <c r="B1624" t="e">
        <f>INDEX(resultados!$A$2:$ZZ$2290, 1618, MATCH($B$2, resultados!$A$1:$ZZ$1, 0))</f>
        <v>#N/A</v>
      </c>
      <c r="C1624" t="e">
        <f>INDEX(resultados!$A$2:$ZZ$2290, 1618, MATCH($B$3, resultados!$A$1:$ZZ$1, 0))</f>
        <v>#N/A</v>
      </c>
    </row>
    <row r="1625" spans="1:3" x14ac:dyDescent="0.3">
      <c r="A1625" t="e">
        <f>INDEX(resultados!$A$2:$ZZ$2290, 1619, MATCH($B$1, resultados!$A$1:$ZZ$1, 0))</f>
        <v>#N/A</v>
      </c>
      <c r="B1625" t="e">
        <f>INDEX(resultados!$A$2:$ZZ$2290, 1619, MATCH($B$2, resultados!$A$1:$ZZ$1, 0))</f>
        <v>#N/A</v>
      </c>
      <c r="C1625" t="e">
        <f>INDEX(resultados!$A$2:$ZZ$2290, 1619, MATCH($B$3, resultados!$A$1:$ZZ$1, 0))</f>
        <v>#N/A</v>
      </c>
    </row>
    <row r="1626" spans="1:3" x14ac:dyDescent="0.3">
      <c r="A1626" t="e">
        <f>INDEX(resultados!$A$2:$ZZ$2290, 1620, MATCH($B$1, resultados!$A$1:$ZZ$1, 0))</f>
        <v>#N/A</v>
      </c>
      <c r="B1626" t="e">
        <f>INDEX(resultados!$A$2:$ZZ$2290, 1620, MATCH($B$2, resultados!$A$1:$ZZ$1, 0))</f>
        <v>#N/A</v>
      </c>
      <c r="C1626" t="e">
        <f>INDEX(resultados!$A$2:$ZZ$2290, 1620, MATCH($B$3, resultados!$A$1:$ZZ$1, 0))</f>
        <v>#N/A</v>
      </c>
    </row>
    <row r="1627" spans="1:3" x14ac:dyDescent="0.3">
      <c r="A1627" t="e">
        <f>INDEX(resultados!$A$2:$ZZ$2290, 1621, MATCH($B$1, resultados!$A$1:$ZZ$1, 0))</f>
        <v>#N/A</v>
      </c>
      <c r="B1627" t="e">
        <f>INDEX(resultados!$A$2:$ZZ$2290, 1621, MATCH($B$2, resultados!$A$1:$ZZ$1, 0))</f>
        <v>#N/A</v>
      </c>
      <c r="C1627" t="e">
        <f>INDEX(resultados!$A$2:$ZZ$2290, 1621, MATCH($B$3, resultados!$A$1:$ZZ$1, 0))</f>
        <v>#N/A</v>
      </c>
    </row>
    <row r="1628" spans="1:3" x14ac:dyDescent="0.3">
      <c r="A1628" t="e">
        <f>INDEX(resultados!$A$2:$ZZ$2290, 1622, MATCH($B$1, resultados!$A$1:$ZZ$1, 0))</f>
        <v>#N/A</v>
      </c>
      <c r="B1628" t="e">
        <f>INDEX(resultados!$A$2:$ZZ$2290, 1622, MATCH($B$2, resultados!$A$1:$ZZ$1, 0))</f>
        <v>#N/A</v>
      </c>
      <c r="C1628" t="e">
        <f>INDEX(resultados!$A$2:$ZZ$2290, 1622, MATCH($B$3, resultados!$A$1:$ZZ$1, 0))</f>
        <v>#N/A</v>
      </c>
    </row>
    <row r="1629" spans="1:3" x14ac:dyDescent="0.3">
      <c r="A1629" t="e">
        <f>INDEX(resultados!$A$2:$ZZ$2290, 1623, MATCH($B$1, resultados!$A$1:$ZZ$1, 0))</f>
        <v>#N/A</v>
      </c>
      <c r="B1629" t="e">
        <f>INDEX(resultados!$A$2:$ZZ$2290, 1623, MATCH($B$2, resultados!$A$1:$ZZ$1, 0))</f>
        <v>#N/A</v>
      </c>
      <c r="C1629" t="e">
        <f>INDEX(resultados!$A$2:$ZZ$2290, 1623, MATCH($B$3, resultados!$A$1:$ZZ$1, 0))</f>
        <v>#N/A</v>
      </c>
    </row>
    <row r="1630" spans="1:3" x14ac:dyDescent="0.3">
      <c r="A1630" t="e">
        <f>INDEX(resultados!$A$2:$ZZ$2290, 1624, MATCH($B$1, resultados!$A$1:$ZZ$1, 0))</f>
        <v>#N/A</v>
      </c>
      <c r="B1630" t="e">
        <f>INDEX(resultados!$A$2:$ZZ$2290, 1624, MATCH($B$2, resultados!$A$1:$ZZ$1, 0))</f>
        <v>#N/A</v>
      </c>
      <c r="C1630" t="e">
        <f>INDEX(resultados!$A$2:$ZZ$2290, 1624, MATCH($B$3, resultados!$A$1:$ZZ$1, 0))</f>
        <v>#N/A</v>
      </c>
    </row>
    <row r="1631" spans="1:3" x14ac:dyDescent="0.3">
      <c r="A1631" t="e">
        <f>INDEX(resultados!$A$2:$ZZ$2290, 1625, MATCH($B$1, resultados!$A$1:$ZZ$1, 0))</f>
        <v>#N/A</v>
      </c>
      <c r="B1631" t="e">
        <f>INDEX(resultados!$A$2:$ZZ$2290, 1625, MATCH($B$2, resultados!$A$1:$ZZ$1, 0))</f>
        <v>#N/A</v>
      </c>
      <c r="C1631" t="e">
        <f>INDEX(resultados!$A$2:$ZZ$2290, 1625, MATCH($B$3, resultados!$A$1:$ZZ$1, 0))</f>
        <v>#N/A</v>
      </c>
    </row>
    <row r="1632" spans="1:3" x14ac:dyDescent="0.3">
      <c r="A1632" t="e">
        <f>INDEX(resultados!$A$2:$ZZ$2290, 1626, MATCH($B$1, resultados!$A$1:$ZZ$1, 0))</f>
        <v>#N/A</v>
      </c>
      <c r="B1632" t="e">
        <f>INDEX(resultados!$A$2:$ZZ$2290, 1626, MATCH($B$2, resultados!$A$1:$ZZ$1, 0))</f>
        <v>#N/A</v>
      </c>
      <c r="C1632" t="e">
        <f>INDEX(resultados!$A$2:$ZZ$2290, 1626, MATCH($B$3, resultados!$A$1:$ZZ$1, 0))</f>
        <v>#N/A</v>
      </c>
    </row>
    <row r="1633" spans="1:3" x14ac:dyDescent="0.3">
      <c r="A1633" t="e">
        <f>INDEX(resultados!$A$2:$ZZ$2290, 1627, MATCH($B$1, resultados!$A$1:$ZZ$1, 0))</f>
        <v>#N/A</v>
      </c>
      <c r="B1633" t="e">
        <f>INDEX(resultados!$A$2:$ZZ$2290, 1627, MATCH($B$2, resultados!$A$1:$ZZ$1, 0))</f>
        <v>#N/A</v>
      </c>
      <c r="C1633" t="e">
        <f>INDEX(resultados!$A$2:$ZZ$2290, 1627, MATCH($B$3, resultados!$A$1:$ZZ$1, 0))</f>
        <v>#N/A</v>
      </c>
    </row>
    <row r="1634" spans="1:3" x14ac:dyDescent="0.3">
      <c r="A1634" t="e">
        <f>INDEX(resultados!$A$2:$ZZ$2290, 1628, MATCH($B$1, resultados!$A$1:$ZZ$1, 0))</f>
        <v>#N/A</v>
      </c>
      <c r="B1634" t="e">
        <f>INDEX(resultados!$A$2:$ZZ$2290, 1628, MATCH($B$2, resultados!$A$1:$ZZ$1, 0))</f>
        <v>#N/A</v>
      </c>
      <c r="C1634" t="e">
        <f>INDEX(resultados!$A$2:$ZZ$2290, 1628, MATCH($B$3, resultados!$A$1:$ZZ$1, 0))</f>
        <v>#N/A</v>
      </c>
    </row>
    <row r="1635" spans="1:3" x14ac:dyDescent="0.3">
      <c r="A1635" t="e">
        <f>INDEX(resultados!$A$2:$ZZ$2290, 1629, MATCH($B$1, resultados!$A$1:$ZZ$1, 0))</f>
        <v>#N/A</v>
      </c>
      <c r="B1635" t="e">
        <f>INDEX(resultados!$A$2:$ZZ$2290, 1629, MATCH($B$2, resultados!$A$1:$ZZ$1, 0))</f>
        <v>#N/A</v>
      </c>
      <c r="C1635" t="e">
        <f>INDEX(resultados!$A$2:$ZZ$2290, 1629, MATCH($B$3, resultados!$A$1:$ZZ$1, 0))</f>
        <v>#N/A</v>
      </c>
    </row>
    <row r="1636" spans="1:3" x14ac:dyDescent="0.3">
      <c r="A1636" t="e">
        <f>INDEX(resultados!$A$2:$ZZ$2290, 1630, MATCH($B$1, resultados!$A$1:$ZZ$1, 0))</f>
        <v>#N/A</v>
      </c>
      <c r="B1636" t="e">
        <f>INDEX(resultados!$A$2:$ZZ$2290, 1630, MATCH($B$2, resultados!$A$1:$ZZ$1, 0))</f>
        <v>#N/A</v>
      </c>
      <c r="C1636" t="e">
        <f>INDEX(resultados!$A$2:$ZZ$2290, 1630, MATCH($B$3, resultados!$A$1:$ZZ$1, 0))</f>
        <v>#N/A</v>
      </c>
    </row>
    <row r="1637" spans="1:3" x14ac:dyDescent="0.3">
      <c r="A1637" t="e">
        <f>INDEX(resultados!$A$2:$ZZ$2290, 1631, MATCH($B$1, resultados!$A$1:$ZZ$1, 0))</f>
        <v>#N/A</v>
      </c>
      <c r="B1637" t="e">
        <f>INDEX(resultados!$A$2:$ZZ$2290, 1631, MATCH($B$2, resultados!$A$1:$ZZ$1, 0))</f>
        <v>#N/A</v>
      </c>
      <c r="C1637" t="e">
        <f>INDEX(resultados!$A$2:$ZZ$2290, 1631, MATCH($B$3, resultados!$A$1:$ZZ$1, 0))</f>
        <v>#N/A</v>
      </c>
    </row>
    <row r="1638" spans="1:3" x14ac:dyDescent="0.3">
      <c r="A1638" t="e">
        <f>INDEX(resultados!$A$2:$ZZ$2290, 1632, MATCH($B$1, resultados!$A$1:$ZZ$1, 0))</f>
        <v>#N/A</v>
      </c>
      <c r="B1638" t="e">
        <f>INDEX(resultados!$A$2:$ZZ$2290, 1632, MATCH($B$2, resultados!$A$1:$ZZ$1, 0))</f>
        <v>#N/A</v>
      </c>
      <c r="C1638" t="e">
        <f>INDEX(resultados!$A$2:$ZZ$2290, 1632, MATCH($B$3, resultados!$A$1:$ZZ$1, 0))</f>
        <v>#N/A</v>
      </c>
    </row>
    <row r="1639" spans="1:3" x14ac:dyDescent="0.3">
      <c r="A1639" t="e">
        <f>INDEX(resultados!$A$2:$ZZ$2290, 1633, MATCH($B$1, resultados!$A$1:$ZZ$1, 0))</f>
        <v>#N/A</v>
      </c>
      <c r="B1639" t="e">
        <f>INDEX(resultados!$A$2:$ZZ$2290, 1633, MATCH($B$2, resultados!$A$1:$ZZ$1, 0))</f>
        <v>#N/A</v>
      </c>
      <c r="C1639" t="e">
        <f>INDEX(resultados!$A$2:$ZZ$2290, 1633, MATCH($B$3, resultados!$A$1:$ZZ$1, 0))</f>
        <v>#N/A</v>
      </c>
    </row>
    <row r="1640" spans="1:3" x14ac:dyDescent="0.3">
      <c r="A1640" t="e">
        <f>INDEX(resultados!$A$2:$ZZ$2290, 1634, MATCH($B$1, resultados!$A$1:$ZZ$1, 0))</f>
        <v>#N/A</v>
      </c>
      <c r="B1640" t="e">
        <f>INDEX(resultados!$A$2:$ZZ$2290, 1634, MATCH($B$2, resultados!$A$1:$ZZ$1, 0))</f>
        <v>#N/A</v>
      </c>
      <c r="C1640" t="e">
        <f>INDEX(resultados!$A$2:$ZZ$2290, 1634, MATCH($B$3, resultados!$A$1:$ZZ$1, 0))</f>
        <v>#N/A</v>
      </c>
    </row>
    <row r="1641" spans="1:3" x14ac:dyDescent="0.3">
      <c r="A1641" t="e">
        <f>INDEX(resultados!$A$2:$ZZ$2290, 1635, MATCH($B$1, resultados!$A$1:$ZZ$1, 0))</f>
        <v>#N/A</v>
      </c>
      <c r="B1641" t="e">
        <f>INDEX(resultados!$A$2:$ZZ$2290, 1635, MATCH($B$2, resultados!$A$1:$ZZ$1, 0))</f>
        <v>#N/A</v>
      </c>
      <c r="C1641" t="e">
        <f>INDEX(resultados!$A$2:$ZZ$2290, 1635, MATCH($B$3, resultados!$A$1:$ZZ$1, 0))</f>
        <v>#N/A</v>
      </c>
    </row>
    <row r="1642" spans="1:3" x14ac:dyDescent="0.3">
      <c r="A1642" t="e">
        <f>INDEX(resultados!$A$2:$ZZ$2290, 1636, MATCH($B$1, resultados!$A$1:$ZZ$1, 0))</f>
        <v>#N/A</v>
      </c>
      <c r="B1642" t="e">
        <f>INDEX(resultados!$A$2:$ZZ$2290, 1636, MATCH($B$2, resultados!$A$1:$ZZ$1, 0))</f>
        <v>#N/A</v>
      </c>
      <c r="C1642" t="e">
        <f>INDEX(resultados!$A$2:$ZZ$2290, 1636, MATCH($B$3, resultados!$A$1:$ZZ$1, 0))</f>
        <v>#N/A</v>
      </c>
    </row>
    <row r="1643" spans="1:3" x14ac:dyDescent="0.3">
      <c r="A1643" t="e">
        <f>INDEX(resultados!$A$2:$ZZ$2290, 1637, MATCH($B$1, resultados!$A$1:$ZZ$1, 0))</f>
        <v>#N/A</v>
      </c>
      <c r="B1643" t="e">
        <f>INDEX(resultados!$A$2:$ZZ$2290, 1637, MATCH($B$2, resultados!$A$1:$ZZ$1, 0))</f>
        <v>#N/A</v>
      </c>
      <c r="C1643" t="e">
        <f>INDEX(resultados!$A$2:$ZZ$2290, 1637, MATCH($B$3, resultados!$A$1:$ZZ$1, 0))</f>
        <v>#N/A</v>
      </c>
    </row>
    <row r="1644" spans="1:3" x14ac:dyDescent="0.3">
      <c r="A1644" t="e">
        <f>INDEX(resultados!$A$2:$ZZ$2290, 1638, MATCH($B$1, resultados!$A$1:$ZZ$1, 0))</f>
        <v>#N/A</v>
      </c>
      <c r="B1644" t="e">
        <f>INDEX(resultados!$A$2:$ZZ$2290, 1638, MATCH($B$2, resultados!$A$1:$ZZ$1, 0))</f>
        <v>#N/A</v>
      </c>
      <c r="C1644" t="e">
        <f>INDEX(resultados!$A$2:$ZZ$2290, 1638, MATCH($B$3, resultados!$A$1:$ZZ$1, 0))</f>
        <v>#N/A</v>
      </c>
    </row>
    <row r="1645" spans="1:3" x14ac:dyDescent="0.3">
      <c r="A1645" t="e">
        <f>INDEX(resultados!$A$2:$ZZ$2290, 1639, MATCH($B$1, resultados!$A$1:$ZZ$1, 0))</f>
        <v>#N/A</v>
      </c>
      <c r="B1645" t="e">
        <f>INDEX(resultados!$A$2:$ZZ$2290, 1639, MATCH($B$2, resultados!$A$1:$ZZ$1, 0))</f>
        <v>#N/A</v>
      </c>
      <c r="C1645" t="e">
        <f>INDEX(resultados!$A$2:$ZZ$2290, 1639, MATCH($B$3, resultados!$A$1:$ZZ$1, 0))</f>
        <v>#N/A</v>
      </c>
    </row>
    <row r="1646" spans="1:3" x14ac:dyDescent="0.3">
      <c r="A1646" t="e">
        <f>INDEX(resultados!$A$2:$ZZ$2290, 1640, MATCH($B$1, resultados!$A$1:$ZZ$1, 0))</f>
        <v>#N/A</v>
      </c>
      <c r="B1646" t="e">
        <f>INDEX(resultados!$A$2:$ZZ$2290, 1640, MATCH($B$2, resultados!$A$1:$ZZ$1, 0))</f>
        <v>#N/A</v>
      </c>
      <c r="C1646" t="e">
        <f>INDEX(resultados!$A$2:$ZZ$2290, 1640, MATCH($B$3, resultados!$A$1:$ZZ$1, 0))</f>
        <v>#N/A</v>
      </c>
    </row>
    <row r="1647" spans="1:3" x14ac:dyDescent="0.3">
      <c r="A1647" t="e">
        <f>INDEX(resultados!$A$2:$ZZ$2290, 1641, MATCH($B$1, resultados!$A$1:$ZZ$1, 0))</f>
        <v>#N/A</v>
      </c>
      <c r="B1647" t="e">
        <f>INDEX(resultados!$A$2:$ZZ$2290, 1641, MATCH($B$2, resultados!$A$1:$ZZ$1, 0))</f>
        <v>#N/A</v>
      </c>
      <c r="C1647" t="e">
        <f>INDEX(resultados!$A$2:$ZZ$2290, 1641, MATCH($B$3, resultados!$A$1:$ZZ$1, 0))</f>
        <v>#N/A</v>
      </c>
    </row>
    <row r="1648" spans="1:3" x14ac:dyDescent="0.3">
      <c r="A1648" t="e">
        <f>INDEX(resultados!$A$2:$ZZ$2290, 1642, MATCH($B$1, resultados!$A$1:$ZZ$1, 0))</f>
        <v>#N/A</v>
      </c>
      <c r="B1648" t="e">
        <f>INDEX(resultados!$A$2:$ZZ$2290, 1642, MATCH($B$2, resultados!$A$1:$ZZ$1, 0))</f>
        <v>#N/A</v>
      </c>
      <c r="C1648" t="e">
        <f>INDEX(resultados!$A$2:$ZZ$2290, 1642, MATCH($B$3, resultados!$A$1:$ZZ$1, 0))</f>
        <v>#N/A</v>
      </c>
    </row>
    <row r="1649" spans="1:3" x14ac:dyDescent="0.3">
      <c r="A1649" t="e">
        <f>INDEX(resultados!$A$2:$ZZ$2290, 1643, MATCH($B$1, resultados!$A$1:$ZZ$1, 0))</f>
        <v>#N/A</v>
      </c>
      <c r="B1649" t="e">
        <f>INDEX(resultados!$A$2:$ZZ$2290, 1643, MATCH($B$2, resultados!$A$1:$ZZ$1, 0))</f>
        <v>#N/A</v>
      </c>
      <c r="C1649" t="e">
        <f>INDEX(resultados!$A$2:$ZZ$2290, 1643, MATCH($B$3, resultados!$A$1:$ZZ$1, 0))</f>
        <v>#N/A</v>
      </c>
    </row>
    <row r="1650" spans="1:3" x14ac:dyDescent="0.3">
      <c r="A1650" t="e">
        <f>INDEX(resultados!$A$2:$ZZ$2290, 1644, MATCH($B$1, resultados!$A$1:$ZZ$1, 0))</f>
        <v>#N/A</v>
      </c>
      <c r="B1650" t="e">
        <f>INDEX(resultados!$A$2:$ZZ$2290, 1644, MATCH($B$2, resultados!$A$1:$ZZ$1, 0))</f>
        <v>#N/A</v>
      </c>
      <c r="C1650" t="e">
        <f>INDEX(resultados!$A$2:$ZZ$2290, 1644, MATCH($B$3, resultados!$A$1:$ZZ$1, 0))</f>
        <v>#N/A</v>
      </c>
    </row>
    <row r="1651" spans="1:3" x14ac:dyDescent="0.3">
      <c r="A1651" t="e">
        <f>INDEX(resultados!$A$2:$ZZ$2290, 1645, MATCH($B$1, resultados!$A$1:$ZZ$1, 0))</f>
        <v>#N/A</v>
      </c>
      <c r="B1651" t="e">
        <f>INDEX(resultados!$A$2:$ZZ$2290, 1645, MATCH($B$2, resultados!$A$1:$ZZ$1, 0))</f>
        <v>#N/A</v>
      </c>
      <c r="C1651" t="e">
        <f>INDEX(resultados!$A$2:$ZZ$2290, 1645, MATCH($B$3, resultados!$A$1:$ZZ$1, 0))</f>
        <v>#N/A</v>
      </c>
    </row>
    <row r="1652" spans="1:3" x14ac:dyDescent="0.3">
      <c r="A1652" t="e">
        <f>INDEX(resultados!$A$2:$ZZ$2290, 1646, MATCH($B$1, resultados!$A$1:$ZZ$1, 0))</f>
        <v>#N/A</v>
      </c>
      <c r="B1652" t="e">
        <f>INDEX(resultados!$A$2:$ZZ$2290, 1646, MATCH($B$2, resultados!$A$1:$ZZ$1, 0))</f>
        <v>#N/A</v>
      </c>
      <c r="C1652" t="e">
        <f>INDEX(resultados!$A$2:$ZZ$2290, 1646, MATCH($B$3, resultados!$A$1:$ZZ$1, 0))</f>
        <v>#N/A</v>
      </c>
    </row>
    <row r="1653" spans="1:3" x14ac:dyDescent="0.3">
      <c r="A1653" t="e">
        <f>INDEX(resultados!$A$2:$ZZ$2290, 1647, MATCH($B$1, resultados!$A$1:$ZZ$1, 0))</f>
        <v>#N/A</v>
      </c>
      <c r="B1653" t="e">
        <f>INDEX(resultados!$A$2:$ZZ$2290, 1647, MATCH($B$2, resultados!$A$1:$ZZ$1, 0))</f>
        <v>#N/A</v>
      </c>
      <c r="C1653" t="e">
        <f>INDEX(resultados!$A$2:$ZZ$2290, 1647, MATCH($B$3, resultados!$A$1:$ZZ$1, 0))</f>
        <v>#N/A</v>
      </c>
    </row>
    <row r="1654" spans="1:3" x14ac:dyDescent="0.3">
      <c r="A1654" t="e">
        <f>INDEX(resultados!$A$2:$ZZ$2290, 1648, MATCH($B$1, resultados!$A$1:$ZZ$1, 0))</f>
        <v>#N/A</v>
      </c>
      <c r="B1654" t="e">
        <f>INDEX(resultados!$A$2:$ZZ$2290, 1648, MATCH($B$2, resultados!$A$1:$ZZ$1, 0))</f>
        <v>#N/A</v>
      </c>
      <c r="C1654" t="e">
        <f>INDEX(resultados!$A$2:$ZZ$2290, 1648, MATCH($B$3, resultados!$A$1:$ZZ$1, 0))</f>
        <v>#N/A</v>
      </c>
    </row>
    <row r="1655" spans="1:3" x14ac:dyDescent="0.3">
      <c r="A1655" t="e">
        <f>INDEX(resultados!$A$2:$ZZ$2290, 1649, MATCH($B$1, resultados!$A$1:$ZZ$1, 0))</f>
        <v>#N/A</v>
      </c>
      <c r="B1655" t="e">
        <f>INDEX(resultados!$A$2:$ZZ$2290, 1649, MATCH($B$2, resultados!$A$1:$ZZ$1, 0))</f>
        <v>#N/A</v>
      </c>
      <c r="C1655" t="e">
        <f>INDEX(resultados!$A$2:$ZZ$2290, 1649, MATCH($B$3, resultados!$A$1:$ZZ$1, 0))</f>
        <v>#N/A</v>
      </c>
    </row>
    <row r="1656" spans="1:3" x14ac:dyDescent="0.3">
      <c r="A1656" t="e">
        <f>INDEX(resultados!$A$2:$ZZ$2290, 1650, MATCH($B$1, resultados!$A$1:$ZZ$1, 0))</f>
        <v>#N/A</v>
      </c>
      <c r="B1656" t="e">
        <f>INDEX(resultados!$A$2:$ZZ$2290, 1650, MATCH($B$2, resultados!$A$1:$ZZ$1, 0))</f>
        <v>#N/A</v>
      </c>
      <c r="C1656" t="e">
        <f>INDEX(resultados!$A$2:$ZZ$2290, 1650, MATCH($B$3, resultados!$A$1:$ZZ$1, 0))</f>
        <v>#N/A</v>
      </c>
    </row>
    <row r="1657" spans="1:3" x14ac:dyDescent="0.3">
      <c r="A1657" t="e">
        <f>INDEX(resultados!$A$2:$ZZ$2290, 1651, MATCH($B$1, resultados!$A$1:$ZZ$1, 0))</f>
        <v>#N/A</v>
      </c>
      <c r="B1657" t="e">
        <f>INDEX(resultados!$A$2:$ZZ$2290, 1651, MATCH($B$2, resultados!$A$1:$ZZ$1, 0))</f>
        <v>#N/A</v>
      </c>
      <c r="C1657" t="e">
        <f>INDEX(resultados!$A$2:$ZZ$2290, 1651, MATCH($B$3, resultados!$A$1:$ZZ$1, 0))</f>
        <v>#N/A</v>
      </c>
    </row>
    <row r="1658" spans="1:3" x14ac:dyDescent="0.3">
      <c r="A1658" t="e">
        <f>INDEX(resultados!$A$2:$ZZ$2290, 1652, MATCH($B$1, resultados!$A$1:$ZZ$1, 0))</f>
        <v>#N/A</v>
      </c>
      <c r="B1658" t="e">
        <f>INDEX(resultados!$A$2:$ZZ$2290, 1652, MATCH($B$2, resultados!$A$1:$ZZ$1, 0))</f>
        <v>#N/A</v>
      </c>
      <c r="C1658" t="e">
        <f>INDEX(resultados!$A$2:$ZZ$2290, 1652, MATCH($B$3, resultados!$A$1:$ZZ$1, 0))</f>
        <v>#N/A</v>
      </c>
    </row>
    <row r="1659" spans="1:3" x14ac:dyDescent="0.3">
      <c r="A1659" t="e">
        <f>INDEX(resultados!$A$2:$ZZ$2290, 1653, MATCH($B$1, resultados!$A$1:$ZZ$1, 0))</f>
        <v>#N/A</v>
      </c>
      <c r="B1659" t="e">
        <f>INDEX(resultados!$A$2:$ZZ$2290, 1653, MATCH($B$2, resultados!$A$1:$ZZ$1, 0))</f>
        <v>#N/A</v>
      </c>
      <c r="C1659" t="e">
        <f>INDEX(resultados!$A$2:$ZZ$2290, 1653, MATCH($B$3, resultados!$A$1:$ZZ$1, 0))</f>
        <v>#N/A</v>
      </c>
    </row>
    <row r="1660" spans="1:3" x14ac:dyDescent="0.3">
      <c r="A1660" t="e">
        <f>INDEX(resultados!$A$2:$ZZ$2290, 1654, MATCH($B$1, resultados!$A$1:$ZZ$1, 0))</f>
        <v>#N/A</v>
      </c>
      <c r="B1660" t="e">
        <f>INDEX(resultados!$A$2:$ZZ$2290, 1654, MATCH($B$2, resultados!$A$1:$ZZ$1, 0))</f>
        <v>#N/A</v>
      </c>
      <c r="C1660" t="e">
        <f>INDEX(resultados!$A$2:$ZZ$2290, 1654, MATCH($B$3, resultados!$A$1:$ZZ$1, 0))</f>
        <v>#N/A</v>
      </c>
    </row>
    <row r="1661" spans="1:3" x14ac:dyDescent="0.3">
      <c r="A1661" t="e">
        <f>INDEX(resultados!$A$2:$ZZ$2290, 1655, MATCH($B$1, resultados!$A$1:$ZZ$1, 0))</f>
        <v>#N/A</v>
      </c>
      <c r="B1661" t="e">
        <f>INDEX(resultados!$A$2:$ZZ$2290, 1655, MATCH($B$2, resultados!$A$1:$ZZ$1, 0))</f>
        <v>#N/A</v>
      </c>
      <c r="C1661" t="e">
        <f>INDEX(resultados!$A$2:$ZZ$2290, 1655, MATCH($B$3, resultados!$A$1:$ZZ$1, 0))</f>
        <v>#N/A</v>
      </c>
    </row>
    <row r="1662" spans="1:3" x14ac:dyDescent="0.3">
      <c r="A1662" t="e">
        <f>INDEX(resultados!$A$2:$ZZ$2290, 1656, MATCH($B$1, resultados!$A$1:$ZZ$1, 0))</f>
        <v>#N/A</v>
      </c>
      <c r="B1662" t="e">
        <f>INDEX(resultados!$A$2:$ZZ$2290, 1656, MATCH($B$2, resultados!$A$1:$ZZ$1, 0))</f>
        <v>#N/A</v>
      </c>
      <c r="C1662" t="e">
        <f>INDEX(resultados!$A$2:$ZZ$2290, 1656, MATCH($B$3, resultados!$A$1:$ZZ$1, 0))</f>
        <v>#N/A</v>
      </c>
    </row>
    <row r="1663" spans="1:3" x14ac:dyDescent="0.3">
      <c r="A1663" t="e">
        <f>INDEX(resultados!$A$2:$ZZ$2290, 1657, MATCH($B$1, resultados!$A$1:$ZZ$1, 0))</f>
        <v>#N/A</v>
      </c>
      <c r="B1663" t="e">
        <f>INDEX(resultados!$A$2:$ZZ$2290, 1657, MATCH($B$2, resultados!$A$1:$ZZ$1, 0))</f>
        <v>#N/A</v>
      </c>
      <c r="C1663" t="e">
        <f>INDEX(resultados!$A$2:$ZZ$2290, 1657, MATCH($B$3, resultados!$A$1:$ZZ$1, 0))</f>
        <v>#N/A</v>
      </c>
    </row>
    <row r="1664" spans="1:3" x14ac:dyDescent="0.3">
      <c r="A1664" t="e">
        <f>INDEX(resultados!$A$2:$ZZ$2290, 1658, MATCH($B$1, resultados!$A$1:$ZZ$1, 0))</f>
        <v>#N/A</v>
      </c>
      <c r="B1664" t="e">
        <f>INDEX(resultados!$A$2:$ZZ$2290, 1658, MATCH($B$2, resultados!$A$1:$ZZ$1, 0))</f>
        <v>#N/A</v>
      </c>
      <c r="C1664" t="e">
        <f>INDEX(resultados!$A$2:$ZZ$2290, 1658, MATCH($B$3, resultados!$A$1:$ZZ$1, 0))</f>
        <v>#N/A</v>
      </c>
    </row>
    <row r="1665" spans="1:3" x14ac:dyDescent="0.3">
      <c r="A1665" t="e">
        <f>INDEX(resultados!$A$2:$ZZ$2290, 1659, MATCH($B$1, resultados!$A$1:$ZZ$1, 0))</f>
        <v>#N/A</v>
      </c>
      <c r="B1665" t="e">
        <f>INDEX(resultados!$A$2:$ZZ$2290, 1659, MATCH($B$2, resultados!$A$1:$ZZ$1, 0))</f>
        <v>#N/A</v>
      </c>
      <c r="C1665" t="e">
        <f>INDEX(resultados!$A$2:$ZZ$2290, 1659, MATCH($B$3, resultados!$A$1:$ZZ$1, 0))</f>
        <v>#N/A</v>
      </c>
    </row>
    <row r="1666" spans="1:3" x14ac:dyDescent="0.3">
      <c r="A1666" t="e">
        <f>INDEX(resultados!$A$2:$ZZ$2290, 1660, MATCH($B$1, resultados!$A$1:$ZZ$1, 0))</f>
        <v>#N/A</v>
      </c>
      <c r="B1666" t="e">
        <f>INDEX(resultados!$A$2:$ZZ$2290, 1660, MATCH($B$2, resultados!$A$1:$ZZ$1, 0))</f>
        <v>#N/A</v>
      </c>
      <c r="C1666" t="e">
        <f>INDEX(resultados!$A$2:$ZZ$2290, 1660, MATCH($B$3, resultados!$A$1:$ZZ$1, 0))</f>
        <v>#N/A</v>
      </c>
    </row>
    <row r="1667" spans="1:3" x14ac:dyDescent="0.3">
      <c r="A1667" t="e">
        <f>INDEX(resultados!$A$2:$ZZ$2290, 1661, MATCH($B$1, resultados!$A$1:$ZZ$1, 0))</f>
        <v>#N/A</v>
      </c>
      <c r="B1667" t="e">
        <f>INDEX(resultados!$A$2:$ZZ$2290, 1661, MATCH($B$2, resultados!$A$1:$ZZ$1, 0))</f>
        <v>#N/A</v>
      </c>
      <c r="C1667" t="e">
        <f>INDEX(resultados!$A$2:$ZZ$2290, 1661, MATCH($B$3, resultados!$A$1:$ZZ$1, 0))</f>
        <v>#N/A</v>
      </c>
    </row>
    <row r="1668" spans="1:3" x14ac:dyDescent="0.3">
      <c r="A1668" t="e">
        <f>INDEX(resultados!$A$2:$ZZ$2290, 1662, MATCH($B$1, resultados!$A$1:$ZZ$1, 0))</f>
        <v>#N/A</v>
      </c>
      <c r="B1668" t="e">
        <f>INDEX(resultados!$A$2:$ZZ$2290, 1662, MATCH($B$2, resultados!$A$1:$ZZ$1, 0))</f>
        <v>#N/A</v>
      </c>
      <c r="C1668" t="e">
        <f>INDEX(resultados!$A$2:$ZZ$2290, 1662, MATCH($B$3, resultados!$A$1:$ZZ$1, 0))</f>
        <v>#N/A</v>
      </c>
    </row>
    <row r="1669" spans="1:3" x14ac:dyDescent="0.3">
      <c r="A1669" t="e">
        <f>INDEX(resultados!$A$2:$ZZ$2290, 1663, MATCH($B$1, resultados!$A$1:$ZZ$1, 0))</f>
        <v>#N/A</v>
      </c>
      <c r="B1669" t="e">
        <f>INDEX(resultados!$A$2:$ZZ$2290, 1663, MATCH($B$2, resultados!$A$1:$ZZ$1, 0))</f>
        <v>#N/A</v>
      </c>
      <c r="C1669" t="e">
        <f>INDEX(resultados!$A$2:$ZZ$2290, 1663, MATCH($B$3, resultados!$A$1:$ZZ$1, 0))</f>
        <v>#N/A</v>
      </c>
    </row>
    <row r="1670" spans="1:3" x14ac:dyDescent="0.3">
      <c r="A1670" t="e">
        <f>INDEX(resultados!$A$2:$ZZ$2290, 1664, MATCH($B$1, resultados!$A$1:$ZZ$1, 0))</f>
        <v>#N/A</v>
      </c>
      <c r="B1670" t="e">
        <f>INDEX(resultados!$A$2:$ZZ$2290, 1664, MATCH($B$2, resultados!$A$1:$ZZ$1, 0))</f>
        <v>#N/A</v>
      </c>
      <c r="C1670" t="e">
        <f>INDEX(resultados!$A$2:$ZZ$2290, 1664, MATCH($B$3, resultados!$A$1:$ZZ$1, 0))</f>
        <v>#N/A</v>
      </c>
    </row>
    <row r="1671" spans="1:3" x14ac:dyDescent="0.3">
      <c r="A1671" t="e">
        <f>INDEX(resultados!$A$2:$ZZ$2290, 1665, MATCH($B$1, resultados!$A$1:$ZZ$1, 0))</f>
        <v>#N/A</v>
      </c>
      <c r="B1671" t="e">
        <f>INDEX(resultados!$A$2:$ZZ$2290, 1665, MATCH($B$2, resultados!$A$1:$ZZ$1, 0))</f>
        <v>#N/A</v>
      </c>
      <c r="C1671" t="e">
        <f>INDEX(resultados!$A$2:$ZZ$2290, 1665, MATCH($B$3, resultados!$A$1:$ZZ$1, 0))</f>
        <v>#N/A</v>
      </c>
    </row>
    <row r="1672" spans="1:3" x14ac:dyDescent="0.3">
      <c r="A1672" t="e">
        <f>INDEX(resultados!$A$2:$ZZ$2290, 1666, MATCH($B$1, resultados!$A$1:$ZZ$1, 0))</f>
        <v>#N/A</v>
      </c>
      <c r="B1672" t="e">
        <f>INDEX(resultados!$A$2:$ZZ$2290, 1666, MATCH($B$2, resultados!$A$1:$ZZ$1, 0))</f>
        <v>#N/A</v>
      </c>
      <c r="C1672" t="e">
        <f>INDEX(resultados!$A$2:$ZZ$2290, 1666, MATCH($B$3, resultados!$A$1:$ZZ$1, 0))</f>
        <v>#N/A</v>
      </c>
    </row>
    <row r="1673" spans="1:3" x14ac:dyDescent="0.3">
      <c r="A1673" t="e">
        <f>INDEX(resultados!$A$2:$ZZ$2290, 1667, MATCH($B$1, resultados!$A$1:$ZZ$1, 0))</f>
        <v>#N/A</v>
      </c>
      <c r="B1673" t="e">
        <f>INDEX(resultados!$A$2:$ZZ$2290, 1667, MATCH($B$2, resultados!$A$1:$ZZ$1, 0))</f>
        <v>#N/A</v>
      </c>
      <c r="C1673" t="e">
        <f>INDEX(resultados!$A$2:$ZZ$2290, 1667, MATCH($B$3, resultados!$A$1:$ZZ$1, 0))</f>
        <v>#N/A</v>
      </c>
    </row>
    <row r="1674" spans="1:3" x14ac:dyDescent="0.3">
      <c r="A1674" t="e">
        <f>INDEX(resultados!$A$2:$ZZ$2290, 1668, MATCH($B$1, resultados!$A$1:$ZZ$1, 0))</f>
        <v>#N/A</v>
      </c>
      <c r="B1674" t="e">
        <f>INDEX(resultados!$A$2:$ZZ$2290, 1668, MATCH($B$2, resultados!$A$1:$ZZ$1, 0))</f>
        <v>#N/A</v>
      </c>
      <c r="C1674" t="e">
        <f>INDEX(resultados!$A$2:$ZZ$2290, 1668, MATCH($B$3, resultados!$A$1:$ZZ$1, 0))</f>
        <v>#N/A</v>
      </c>
    </row>
    <row r="1675" spans="1:3" x14ac:dyDescent="0.3">
      <c r="A1675" t="e">
        <f>INDEX(resultados!$A$2:$ZZ$2290, 1669, MATCH($B$1, resultados!$A$1:$ZZ$1, 0))</f>
        <v>#N/A</v>
      </c>
      <c r="B1675" t="e">
        <f>INDEX(resultados!$A$2:$ZZ$2290, 1669, MATCH($B$2, resultados!$A$1:$ZZ$1, 0))</f>
        <v>#N/A</v>
      </c>
      <c r="C1675" t="e">
        <f>INDEX(resultados!$A$2:$ZZ$2290, 1669, MATCH($B$3, resultados!$A$1:$ZZ$1, 0))</f>
        <v>#N/A</v>
      </c>
    </row>
    <row r="1676" spans="1:3" x14ac:dyDescent="0.3">
      <c r="A1676" t="e">
        <f>INDEX(resultados!$A$2:$ZZ$2290, 1670, MATCH($B$1, resultados!$A$1:$ZZ$1, 0))</f>
        <v>#N/A</v>
      </c>
      <c r="B1676" t="e">
        <f>INDEX(resultados!$A$2:$ZZ$2290, 1670, MATCH($B$2, resultados!$A$1:$ZZ$1, 0))</f>
        <v>#N/A</v>
      </c>
      <c r="C1676" t="e">
        <f>INDEX(resultados!$A$2:$ZZ$2290, 1670, MATCH($B$3, resultados!$A$1:$ZZ$1, 0))</f>
        <v>#N/A</v>
      </c>
    </row>
    <row r="1677" spans="1:3" x14ac:dyDescent="0.3">
      <c r="A1677" t="e">
        <f>INDEX(resultados!$A$2:$ZZ$2290, 1671, MATCH($B$1, resultados!$A$1:$ZZ$1, 0))</f>
        <v>#N/A</v>
      </c>
      <c r="B1677" t="e">
        <f>INDEX(resultados!$A$2:$ZZ$2290, 1671, MATCH($B$2, resultados!$A$1:$ZZ$1, 0))</f>
        <v>#N/A</v>
      </c>
      <c r="C1677" t="e">
        <f>INDEX(resultados!$A$2:$ZZ$2290, 1671, MATCH($B$3, resultados!$A$1:$ZZ$1, 0))</f>
        <v>#N/A</v>
      </c>
    </row>
    <row r="1678" spans="1:3" x14ac:dyDescent="0.3">
      <c r="A1678" t="e">
        <f>INDEX(resultados!$A$2:$ZZ$2290, 1672, MATCH($B$1, resultados!$A$1:$ZZ$1, 0))</f>
        <v>#N/A</v>
      </c>
      <c r="B1678" t="e">
        <f>INDEX(resultados!$A$2:$ZZ$2290, 1672, MATCH($B$2, resultados!$A$1:$ZZ$1, 0))</f>
        <v>#N/A</v>
      </c>
      <c r="C1678" t="e">
        <f>INDEX(resultados!$A$2:$ZZ$2290, 1672, MATCH($B$3, resultados!$A$1:$ZZ$1, 0))</f>
        <v>#N/A</v>
      </c>
    </row>
    <row r="1679" spans="1:3" x14ac:dyDescent="0.3">
      <c r="A1679" t="e">
        <f>INDEX(resultados!$A$2:$ZZ$2290, 1673, MATCH($B$1, resultados!$A$1:$ZZ$1, 0))</f>
        <v>#N/A</v>
      </c>
      <c r="B1679" t="e">
        <f>INDEX(resultados!$A$2:$ZZ$2290, 1673, MATCH($B$2, resultados!$A$1:$ZZ$1, 0))</f>
        <v>#N/A</v>
      </c>
      <c r="C1679" t="e">
        <f>INDEX(resultados!$A$2:$ZZ$2290, 1673, MATCH($B$3, resultados!$A$1:$ZZ$1, 0))</f>
        <v>#N/A</v>
      </c>
    </row>
    <row r="1680" spans="1:3" x14ac:dyDescent="0.3">
      <c r="A1680" t="e">
        <f>INDEX(resultados!$A$2:$ZZ$2290, 1674, MATCH($B$1, resultados!$A$1:$ZZ$1, 0))</f>
        <v>#N/A</v>
      </c>
      <c r="B1680" t="e">
        <f>INDEX(resultados!$A$2:$ZZ$2290, 1674, MATCH($B$2, resultados!$A$1:$ZZ$1, 0))</f>
        <v>#N/A</v>
      </c>
      <c r="C1680" t="e">
        <f>INDEX(resultados!$A$2:$ZZ$2290, 1674, MATCH($B$3, resultados!$A$1:$ZZ$1, 0))</f>
        <v>#N/A</v>
      </c>
    </row>
    <row r="1681" spans="1:3" x14ac:dyDescent="0.3">
      <c r="A1681" t="e">
        <f>INDEX(resultados!$A$2:$ZZ$2290, 1675, MATCH($B$1, resultados!$A$1:$ZZ$1, 0))</f>
        <v>#N/A</v>
      </c>
      <c r="B1681" t="e">
        <f>INDEX(resultados!$A$2:$ZZ$2290, 1675, MATCH($B$2, resultados!$A$1:$ZZ$1, 0))</f>
        <v>#N/A</v>
      </c>
      <c r="C1681" t="e">
        <f>INDEX(resultados!$A$2:$ZZ$2290, 1675, MATCH($B$3, resultados!$A$1:$ZZ$1, 0))</f>
        <v>#N/A</v>
      </c>
    </row>
    <row r="1682" spans="1:3" x14ac:dyDescent="0.3">
      <c r="A1682" t="e">
        <f>INDEX(resultados!$A$2:$ZZ$2290, 1676, MATCH($B$1, resultados!$A$1:$ZZ$1, 0))</f>
        <v>#N/A</v>
      </c>
      <c r="B1682" t="e">
        <f>INDEX(resultados!$A$2:$ZZ$2290, 1676, MATCH($B$2, resultados!$A$1:$ZZ$1, 0))</f>
        <v>#N/A</v>
      </c>
      <c r="C1682" t="e">
        <f>INDEX(resultados!$A$2:$ZZ$2290, 1676, MATCH($B$3, resultados!$A$1:$ZZ$1, 0))</f>
        <v>#N/A</v>
      </c>
    </row>
    <row r="1683" spans="1:3" x14ac:dyDescent="0.3">
      <c r="A1683" t="e">
        <f>INDEX(resultados!$A$2:$ZZ$2290, 1677, MATCH($B$1, resultados!$A$1:$ZZ$1, 0))</f>
        <v>#N/A</v>
      </c>
      <c r="B1683" t="e">
        <f>INDEX(resultados!$A$2:$ZZ$2290, 1677, MATCH($B$2, resultados!$A$1:$ZZ$1, 0))</f>
        <v>#N/A</v>
      </c>
      <c r="C1683" t="e">
        <f>INDEX(resultados!$A$2:$ZZ$2290, 1677, MATCH($B$3, resultados!$A$1:$ZZ$1, 0))</f>
        <v>#N/A</v>
      </c>
    </row>
    <row r="1684" spans="1:3" x14ac:dyDescent="0.3">
      <c r="A1684" t="e">
        <f>INDEX(resultados!$A$2:$ZZ$2290, 1678, MATCH($B$1, resultados!$A$1:$ZZ$1, 0))</f>
        <v>#N/A</v>
      </c>
      <c r="B1684" t="e">
        <f>INDEX(resultados!$A$2:$ZZ$2290, 1678, MATCH($B$2, resultados!$A$1:$ZZ$1, 0))</f>
        <v>#N/A</v>
      </c>
      <c r="C1684" t="e">
        <f>INDEX(resultados!$A$2:$ZZ$2290, 1678, MATCH($B$3, resultados!$A$1:$ZZ$1, 0))</f>
        <v>#N/A</v>
      </c>
    </row>
    <row r="1685" spans="1:3" x14ac:dyDescent="0.3">
      <c r="A1685" t="e">
        <f>INDEX(resultados!$A$2:$ZZ$2290, 1679, MATCH($B$1, resultados!$A$1:$ZZ$1, 0))</f>
        <v>#N/A</v>
      </c>
      <c r="B1685" t="e">
        <f>INDEX(resultados!$A$2:$ZZ$2290, 1679, MATCH($B$2, resultados!$A$1:$ZZ$1, 0))</f>
        <v>#N/A</v>
      </c>
      <c r="C1685" t="e">
        <f>INDEX(resultados!$A$2:$ZZ$2290, 1679, MATCH($B$3, resultados!$A$1:$ZZ$1, 0))</f>
        <v>#N/A</v>
      </c>
    </row>
    <row r="1686" spans="1:3" x14ac:dyDescent="0.3">
      <c r="A1686" t="e">
        <f>INDEX(resultados!$A$2:$ZZ$2290, 1680, MATCH($B$1, resultados!$A$1:$ZZ$1, 0))</f>
        <v>#N/A</v>
      </c>
      <c r="B1686" t="e">
        <f>INDEX(resultados!$A$2:$ZZ$2290, 1680, MATCH($B$2, resultados!$A$1:$ZZ$1, 0))</f>
        <v>#N/A</v>
      </c>
      <c r="C1686" t="e">
        <f>INDEX(resultados!$A$2:$ZZ$2290, 1680, MATCH($B$3, resultados!$A$1:$ZZ$1, 0))</f>
        <v>#N/A</v>
      </c>
    </row>
    <row r="1687" spans="1:3" x14ac:dyDescent="0.3">
      <c r="A1687" t="e">
        <f>INDEX(resultados!$A$2:$ZZ$2290, 1681, MATCH($B$1, resultados!$A$1:$ZZ$1, 0))</f>
        <v>#N/A</v>
      </c>
      <c r="B1687" t="e">
        <f>INDEX(resultados!$A$2:$ZZ$2290, 1681, MATCH($B$2, resultados!$A$1:$ZZ$1, 0))</f>
        <v>#N/A</v>
      </c>
      <c r="C1687" t="e">
        <f>INDEX(resultados!$A$2:$ZZ$2290, 1681, MATCH($B$3, resultados!$A$1:$ZZ$1, 0))</f>
        <v>#N/A</v>
      </c>
    </row>
    <row r="1688" spans="1:3" x14ac:dyDescent="0.3">
      <c r="A1688" t="e">
        <f>INDEX(resultados!$A$2:$ZZ$2290, 1682, MATCH($B$1, resultados!$A$1:$ZZ$1, 0))</f>
        <v>#N/A</v>
      </c>
      <c r="B1688" t="e">
        <f>INDEX(resultados!$A$2:$ZZ$2290, 1682, MATCH($B$2, resultados!$A$1:$ZZ$1, 0))</f>
        <v>#N/A</v>
      </c>
      <c r="C1688" t="e">
        <f>INDEX(resultados!$A$2:$ZZ$2290, 1682, MATCH($B$3, resultados!$A$1:$ZZ$1, 0))</f>
        <v>#N/A</v>
      </c>
    </row>
    <row r="1689" spans="1:3" x14ac:dyDescent="0.3">
      <c r="A1689" t="e">
        <f>INDEX(resultados!$A$2:$ZZ$2290, 1683, MATCH($B$1, resultados!$A$1:$ZZ$1, 0))</f>
        <v>#N/A</v>
      </c>
      <c r="B1689" t="e">
        <f>INDEX(resultados!$A$2:$ZZ$2290, 1683, MATCH($B$2, resultados!$A$1:$ZZ$1, 0))</f>
        <v>#N/A</v>
      </c>
      <c r="C1689" t="e">
        <f>INDEX(resultados!$A$2:$ZZ$2290, 1683, MATCH($B$3, resultados!$A$1:$ZZ$1, 0))</f>
        <v>#N/A</v>
      </c>
    </row>
    <row r="1690" spans="1:3" x14ac:dyDescent="0.3">
      <c r="A1690" t="e">
        <f>INDEX(resultados!$A$2:$ZZ$2290, 1684, MATCH($B$1, resultados!$A$1:$ZZ$1, 0))</f>
        <v>#N/A</v>
      </c>
      <c r="B1690" t="e">
        <f>INDEX(resultados!$A$2:$ZZ$2290, 1684, MATCH($B$2, resultados!$A$1:$ZZ$1, 0))</f>
        <v>#N/A</v>
      </c>
      <c r="C1690" t="e">
        <f>INDEX(resultados!$A$2:$ZZ$2290, 1684, MATCH($B$3, resultados!$A$1:$ZZ$1, 0))</f>
        <v>#N/A</v>
      </c>
    </row>
    <row r="1691" spans="1:3" x14ac:dyDescent="0.3">
      <c r="A1691" t="e">
        <f>INDEX(resultados!$A$2:$ZZ$2290, 1685, MATCH($B$1, resultados!$A$1:$ZZ$1, 0))</f>
        <v>#N/A</v>
      </c>
      <c r="B1691" t="e">
        <f>INDEX(resultados!$A$2:$ZZ$2290, 1685, MATCH($B$2, resultados!$A$1:$ZZ$1, 0))</f>
        <v>#N/A</v>
      </c>
      <c r="C1691" t="e">
        <f>INDEX(resultados!$A$2:$ZZ$2290, 1685, MATCH($B$3, resultados!$A$1:$ZZ$1, 0))</f>
        <v>#N/A</v>
      </c>
    </row>
    <row r="1692" spans="1:3" x14ac:dyDescent="0.3">
      <c r="A1692" t="e">
        <f>INDEX(resultados!$A$2:$ZZ$2290, 1686, MATCH($B$1, resultados!$A$1:$ZZ$1, 0))</f>
        <v>#N/A</v>
      </c>
      <c r="B1692" t="e">
        <f>INDEX(resultados!$A$2:$ZZ$2290, 1686, MATCH($B$2, resultados!$A$1:$ZZ$1, 0))</f>
        <v>#N/A</v>
      </c>
      <c r="C1692" t="e">
        <f>INDEX(resultados!$A$2:$ZZ$2290, 1686, MATCH($B$3, resultados!$A$1:$ZZ$1, 0))</f>
        <v>#N/A</v>
      </c>
    </row>
    <row r="1693" spans="1:3" x14ac:dyDescent="0.3">
      <c r="A1693" t="e">
        <f>INDEX(resultados!$A$2:$ZZ$2290, 1687, MATCH($B$1, resultados!$A$1:$ZZ$1, 0))</f>
        <v>#N/A</v>
      </c>
      <c r="B1693" t="e">
        <f>INDEX(resultados!$A$2:$ZZ$2290, 1687, MATCH($B$2, resultados!$A$1:$ZZ$1, 0))</f>
        <v>#N/A</v>
      </c>
      <c r="C1693" t="e">
        <f>INDEX(resultados!$A$2:$ZZ$2290, 1687, MATCH($B$3, resultados!$A$1:$ZZ$1, 0))</f>
        <v>#N/A</v>
      </c>
    </row>
    <row r="1694" spans="1:3" x14ac:dyDescent="0.3">
      <c r="A1694" t="e">
        <f>INDEX(resultados!$A$2:$ZZ$2290, 1688, MATCH($B$1, resultados!$A$1:$ZZ$1, 0))</f>
        <v>#N/A</v>
      </c>
      <c r="B1694" t="e">
        <f>INDEX(resultados!$A$2:$ZZ$2290, 1688, MATCH($B$2, resultados!$A$1:$ZZ$1, 0))</f>
        <v>#N/A</v>
      </c>
      <c r="C1694" t="e">
        <f>INDEX(resultados!$A$2:$ZZ$2290, 1688, MATCH($B$3, resultados!$A$1:$ZZ$1, 0))</f>
        <v>#N/A</v>
      </c>
    </row>
    <row r="1695" spans="1:3" x14ac:dyDescent="0.3">
      <c r="A1695" t="e">
        <f>INDEX(resultados!$A$2:$ZZ$2290, 1689, MATCH($B$1, resultados!$A$1:$ZZ$1, 0))</f>
        <v>#N/A</v>
      </c>
      <c r="B1695" t="e">
        <f>INDEX(resultados!$A$2:$ZZ$2290, 1689, MATCH($B$2, resultados!$A$1:$ZZ$1, 0))</f>
        <v>#N/A</v>
      </c>
      <c r="C1695" t="e">
        <f>INDEX(resultados!$A$2:$ZZ$2290, 1689, MATCH($B$3, resultados!$A$1:$ZZ$1, 0))</f>
        <v>#N/A</v>
      </c>
    </row>
    <row r="1696" spans="1:3" x14ac:dyDescent="0.3">
      <c r="A1696" t="e">
        <f>INDEX(resultados!$A$2:$ZZ$2290, 1690, MATCH($B$1, resultados!$A$1:$ZZ$1, 0))</f>
        <v>#N/A</v>
      </c>
      <c r="B1696" t="e">
        <f>INDEX(resultados!$A$2:$ZZ$2290, 1690, MATCH($B$2, resultados!$A$1:$ZZ$1, 0))</f>
        <v>#N/A</v>
      </c>
      <c r="C1696" t="e">
        <f>INDEX(resultados!$A$2:$ZZ$2290, 1690, MATCH($B$3, resultados!$A$1:$ZZ$1, 0))</f>
        <v>#N/A</v>
      </c>
    </row>
    <row r="1697" spans="1:3" x14ac:dyDescent="0.3">
      <c r="A1697" t="e">
        <f>INDEX(resultados!$A$2:$ZZ$2290, 1691, MATCH($B$1, resultados!$A$1:$ZZ$1, 0))</f>
        <v>#N/A</v>
      </c>
      <c r="B1697" t="e">
        <f>INDEX(resultados!$A$2:$ZZ$2290, 1691, MATCH($B$2, resultados!$A$1:$ZZ$1, 0))</f>
        <v>#N/A</v>
      </c>
      <c r="C1697" t="e">
        <f>INDEX(resultados!$A$2:$ZZ$2290, 1691, MATCH($B$3, resultados!$A$1:$ZZ$1, 0))</f>
        <v>#N/A</v>
      </c>
    </row>
    <row r="1698" spans="1:3" x14ac:dyDescent="0.3">
      <c r="A1698" t="e">
        <f>INDEX(resultados!$A$2:$ZZ$2290, 1692, MATCH($B$1, resultados!$A$1:$ZZ$1, 0))</f>
        <v>#N/A</v>
      </c>
      <c r="B1698" t="e">
        <f>INDEX(resultados!$A$2:$ZZ$2290, 1692, MATCH($B$2, resultados!$A$1:$ZZ$1, 0))</f>
        <v>#N/A</v>
      </c>
      <c r="C1698" t="e">
        <f>INDEX(resultados!$A$2:$ZZ$2290, 1692, MATCH($B$3, resultados!$A$1:$ZZ$1, 0))</f>
        <v>#N/A</v>
      </c>
    </row>
    <row r="1699" spans="1:3" x14ac:dyDescent="0.3">
      <c r="A1699" t="e">
        <f>INDEX(resultados!$A$2:$ZZ$2290, 1693, MATCH($B$1, resultados!$A$1:$ZZ$1, 0))</f>
        <v>#N/A</v>
      </c>
      <c r="B1699" t="e">
        <f>INDEX(resultados!$A$2:$ZZ$2290, 1693, MATCH($B$2, resultados!$A$1:$ZZ$1, 0))</f>
        <v>#N/A</v>
      </c>
      <c r="C1699" t="e">
        <f>INDEX(resultados!$A$2:$ZZ$2290, 1693, MATCH($B$3, resultados!$A$1:$ZZ$1, 0))</f>
        <v>#N/A</v>
      </c>
    </row>
    <row r="1700" spans="1:3" x14ac:dyDescent="0.3">
      <c r="A1700" t="e">
        <f>INDEX(resultados!$A$2:$ZZ$2290, 1694, MATCH($B$1, resultados!$A$1:$ZZ$1, 0))</f>
        <v>#N/A</v>
      </c>
      <c r="B1700" t="e">
        <f>INDEX(resultados!$A$2:$ZZ$2290, 1694, MATCH($B$2, resultados!$A$1:$ZZ$1, 0))</f>
        <v>#N/A</v>
      </c>
      <c r="C1700" t="e">
        <f>INDEX(resultados!$A$2:$ZZ$2290, 1694, MATCH($B$3, resultados!$A$1:$ZZ$1, 0))</f>
        <v>#N/A</v>
      </c>
    </row>
    <row r="1701" spans="1:3" x14ac:dyDescent="0.3">
      <c r="A1701" t="e">
        <f>INDEX(resultados!$A$2:$ZZ$2290, 1695, MATCH($B$1, resultados!$A$1:$ZZ$1, 0))</f>
        <v>#N/A</v>
      </c>
      <c r="B1701" t="e">
        <f>INDEX(resultados!$A$2:$ZZ$2290, 1695, MATCH($B$2, resultados!$A$1:$ZZ$1, 0))</f>
        <v>#N/A</v>
      </c>
      <c r="C1701" t="e">
        <f>INDEX(resultados!$A$2:$ZZ$2290, 1695, MATCH($B$3, resultados!$A$1:$ZZ$1, 0))</f>
        <v>#N/A</v>
      </c>
    </row>
    <row r="1702" spans="1:3" x14ac:dyDescent="0.3">
      <c r="A1702" t="e">
        <f>INDEX(resultados!$A$2:$ZZ$2290, 1696, MATCH($B$1, resultados!$A$1:$ZZ$1, 0))</f>
        <v>#N/A</v>
      </c>
      <c r="B1702" t="e">
        <f>INDEX(resultados!$A$2:$ZZ$2290, 1696, MATCH($B$2, resultados!$A$1:$ZZ$1, 0))</f>
        <v>#N/A</v>
      </c>
      <c r="C1702" t="e">
        <f>INDEX(resultados!$A$2:$ZZ$2290, 1696, MATCH($B$3, resultados!$A$1:$ZZ$1, 0))</f>
        <v>#N/A</v>
      </c>
    </row>
    <row r="1703" spans="1:3" x14ac:dyDescent="0.3">
      <c r="A1703" t="e">
        <f>INDEX(resultados!$A$2:$ZZ$2290, 1697, MATCH($B$1, resultados!$A$1:$ZZ$1, 0))</f>
        <v>#N/A</v>
      </c>
      <c r="B1703" t="e">
        <f>INDEX(resultados!$A$2:$ZZ$2290, 1697, MATCH($B$2, resultados!$A$1:$ZZ$1, 0))</f>
        <v>#N/A</v>
      </c>
      <c r="C1703" t="e">
        <f>INDEX(resultados!$A$2:$ZZ$2290, 1697, MATCH($B$3, resultados!$A$1:$ZZ$1, 0))</f>
        <v>#N/A</v>
      </c>
    </row>
    <row r="1704" spans="1:3" x14ac:dyDescent="0.3">
      <c r="A1704" t="e">
        <f>INDEX(resultados!$A$2:$ZZ$2290, 1698, MATCH($B$1, resultados!$A$1:$ZZ$1, 0))</f>
        <v>#N/A</v>
      </c>
      <c r="B1704" t="e">
        <f>INDEX(resultados!$A$2:$ZZ$2290, 1698, MATCH($B$2, resultados!$A$1:$ZZ$1, 0))</f>
        <v>#N/A</v>
      </c>
      <c r="C1704" t="e">
        <f>INDEX(resultados!$A$2:$ZZ$2290, 1698, MATCH($B$3, resultados!$A$1:$ZZ$1, 0))</f>
        <v>#N/A</v>
      </c>
    </row>
    <row r="1705" spans="1:3" x14ac:dyDescent="0.3">
      <c r="A1705" t="e">
        <f>INDEX(resultados!$A$2:$ZZ$2290, 1699, MATCH($B$1, resultados!$A$1:$ZZ$1, 0))</f>
        <v>#N/A</v>
      </c>
      <c r="B1705" t="e">
        <f>INDEX(resultados!$A$2:$ZZ$2290, 1699, MATCH($B$2, resultados!$A$1:$ZZ$1, 0))</f>
        <v>#N/A</v>
      </c>
      <c r="C1705" t="e">
        <f>INDEX(resultados!$A$2:$ZZ$2290, 1699, MATCH($B$3, resultados!$A$1:$ZZ$1, 0))</f>
        <v>#N/A</v>
      </c>
    </row>
    <row r="1706" spans="1:3" x14ac:dyDescent="0.3">
      <c r="A1706" t="e">
        <f>INDEX(resultados!$A$2:$ZZ$2290, 1700, MATCH($B$1, resultados!$A$1:$ZZ$1, 0))</f>
        <v>#N/A</v>
      </c>
      <c r="B1706" t="e">
        <f>INDEX(resultados!$A$2:$ZZ$2290, 1700, MATCH($B$2, resultados!$A$1:$ZZ$1, 0))</f>
        <v>#N/A</v>
      </c>
      <c r="C1706" t="e">
        <f>INDEX(resultados!$A$2:$ZZ$2290, 1700, MATCH($B$3, resultados!$A$1:$ZZ$1, 0))</f>
        <v>#N/A</v>
      </c>
    </row>
    <row r="1707" spans="1:3" x14ac:dyDescent="0.3">
      <c r="A1707" t="e">
        <f>INDEX(resultados!$A$2:$ZZ$2290, 1701, MATCH($B$1, resultados!$A$1:$ZZ$1, 0))</f>
        <v>#N/A</v>
      </c>
      <c r="B1707" t="e">
        <f>INDEX(resultados!$A$2:$ZZ$2290, 1701, MATCH($B$2, resultados!$A$1:$ZZ$1, 0))</f>
        <v>#N/A</v>
      </c>
      <c r="C1707" t="e">
        <f>INDEX(resultados!$A$2:$ZZ$2290, 1701, MATCH($B$3, resultados!$A$1:$ZZ$1, 0))</f>
        <v>#N/A</v>
      </c>
    </row>
    <row r="1708" spans="1:3" x14ac:dyDescent="0.3">
      <c r="A1708" t="e">
        <f>INDEX(resultados!$A$2:$ZZ$2290, 1702, MATCH($B$1, resultados!$A$1:$ZZ$1, 0))</f>
        <v>#N/A</v>
      </c>
      <c r="B1708" t="e">
        <f>INDEX(resultados!$A$2:$ZZ$2290, 1702, MATCH($B$2, resultados!$A$1:$ZZ$1, 0))</f>
        <v>#N/A</v>
      </c>
      <c r="C1708" t="e">
        <f>INDEX(resultados!$A$2:$ZZ$2290, 1702, MATCH($B$3, resultados!$A$1:$ZZ$1, 0))</f>
        <v>#N/A</v>
      </c>
    </row>
    <row r="1709" spans="1:3" x14ac:dyDescent="0.3">
      <c r="A1709" t="e">
        <f>INDEX(resultados!$A$2:$ZZ$2290, 1703, MATCH($B$1, resultados!$A$1:$ZZ$1, 0))</f>
        <v>#N/A</v>
      </c>
      <c r="B1709" t="e">
        <f>INDEX(resultados!$A$2:$ZZ$2290, 1703, MATCH($B$2, resultados!$A$1:$ZZ$1, 0))</f>
        <v>#N/A</v>
      </c>
      <c r="C1709" t="e">
        <f>INDEX(resultados!$A$2:$ZZ$2290, 1703, MATCH($B$3, resultados!$A$1:$ZZ$1, 0))</f>
        <v>#N/A</v>
      </c>
    </row>
    <row r="1710" spans="1:3" x14ac:dyDescent="0.3">
      <c r="A1710" t="e">
        <f>INDEX(resultados!$A$2:$ZZ$2290, 1704, MATCH($B$1, resultados!$A$1:$ZZ$1, 0))</f>
        <v>#N/A</v>
      </c>
      <c r="B1710" t="e">
        <f>INDEX(resultados!$A$2:$ZZ$2290, 1704, MATCH($B$2, resultados!$A$1:$ZZ$1, 0))</f>
        <v>#N/A</v>
      </c>
      <c r="C1710" t="e">
        <f>INDEX(resultados!$A$2:$ZZ$2290, 1704, MATCH($B$3, resultados!$A$1:$ZZ$1, 0))</f>
        <v>#N/A</v>
      </c>
    </row>
    <row r="1711" spans="1:3" x14ac:dyDescent="0.3">
      <c r="A1711" t="e">
        <f>INDEX(resultados!$A$2:$ZZ$2290, 1705, MATCH($B$1, resultados!$A$1:$ZZ$1, 0))</f>
        <v>#N/A</v>
      </c>
      <c r="B1711" t="e">
        <f>INDEX(resultados!$A$2:$ZZ$2290, 1705, MATCH($B$2, resultados!$A$1:$ZZ$1, 0))</f>
        <v>#N/A</v>
      </c>
      <c r="C1711" t="e">
        <f>INDEX(resultados!$A$2:$ZZ$2290, 1705, MATCH($B$3, resultados!$A$1:$ZZ$1, 0))</f>
        <v>#N/A</v>
      </c>
    </row>
    <row r="1712" spans="1:3" x14ac:dyDescent="0.3">
      <c r="A1712" t="e">
        <f>INDEX(resultados!$A$2:$ZZ$2290, 1706, MATCH($B$1, resultados!$A$1:$ZZ$1, 0))</f>
        <v>#N/A</v>
      </c>
      <c r="B1712" t="e">
        <f>INDEX(resultados!$A$2:$ZZ$2290, 1706, MATCH($B$2, resultados!$A$1:$ZZ$1, 0))</f>
        <v>#N/A</v>
      </c>
      <c r="C1712" t="e">
        <f>INDEX(resultados!$A$2:$ZZ$2290, 1706, MATCH($B$3, resultados!$A$1:$ZZ$1, 0))</f>
        <v>#N/A</v>
      </c>
    </row>
    <row r="1713" spans="1:3" x14ac:dyDescent="0.3">
      <c r="A1713" t="e">
        <f>INDEX(resultados!$A$2:$ZZ$2290, 1707, MATCH($B$1, resultados!$A$1:$ZZ$1, 0))</f>
        <v>#N/A</v>
      </c>
      <c r="B1713" t="e">
        <f>INDEX(resultados!$A$2:$ZZ$2290, 1707, MATCH($B$2, resultados!$A$1:$ZZ$1, 0))</f>
        <v>#N/A</v>
      </c>
      <c r="C1713" t="e">
        <f>INDEX(resultados!$A$2:$ZZ$2290, 1707, MATCH($B$3, resultados!$A$1:$ZZ$1, 0))</f>
        <v>#N/A</v>
      </c>
    </row>
    <row r="1714" spans="1:3" x14ac:dyDescent="0.3">
      <c r="A1714" t="e">
        <f>INDEX(resultados!$A$2:$ZZ$2290, 1708, MATCH($B$1, resultados!$A$1:$ZZ$1, 0))</f>
        <v>#N/A</v>
      </c>
      <c r="B1714" t="e">
        <f>INDEX(resultados!$A$2:$ZZ$2290, 1708, MATCH($B$2, resultados!$A$1:$ZZ$1, 0))</f>
        <v>#N/A</v>
      </c>
      <c r="C1714" t="e">
        <f>INDEX(resultados!$A$2:$ZZ$2290, 1708, MATCH($B$3, resultados!$A$1:$ZZ$1, 0))</f>
        <v>#N/A</v>
      </c>
    </row>
    <row r="1715" spans="1:3" x14ac:dyDescent="0.3">
      <c r="A1715" t="e">
        <f>INDEX(resultados!$A$2:$ZZ$2290, 1709, MATCH($B$1, resultados!$A$1:$ZZ$1, 0))</f>
        <v>#N/A</v>
      </c>
      <c r="B1715" t="e">
        <f>INDEX(resultados!$A$2:$ZZ$2290, 1709, MATCH($B$2, resultados!$A$1:$ZZ$1, 0))</f>
        <v>#N/A</v>
      </c>
      <c r="C1715" t="e">
        <f>INDEX(resultados!$A$2:$ZZ$2290, 1709, MATCH($B$3, resultados!$A$1:$ZZ$1, 0))</f>
        <v>#N/A</v>
      </c>
    </row>
    <row r="1716" spans="1:3" x14ac:dyDescent="0.3">
      <c r="A1716" t="e">
        <f>INDEX(resultados!$A$2:$ZZ$2290, 1710, MATCH($B$1, resultados!$A$1:$ZZ$1, 0))</f>
        <v>#N/A</v>
      </c>
      <c r="B1716" t="e">
        <f>INDEX(resultados!$A$2:$ZZ$2290, 1710, MATCH($B$2, resultados!$A$1:$ZZ$1, 0))</f>
        <v>#N/A</v>
      </c>
      <c r="C1716" t="e">
        <f>INDEX(resultados!$A$2:$ZZ$2290, 1710, MATCH($B$3, resultados!$A$1:$ZZ$1, 0))</f>
        <v>#N/A</v>
      </c>
    </row>
    <row r="1717" spans="1:3" x14ac:dyDescent="0.3">
      <c r="A1717" t="e">
        <f>INDEX(resultados!$A$2:$ZZ$2290, 1711, MATCH($B$1, resultados!$A$1:$ZZ$1, 0))</f>
        <v>#N/A</v>
      </c>
      <c r="B1717" t="e">
        <f>INDEX(resultados!$A$2:$ZZ$2290, 1711, MATCH($B$2, resultados!$A$1:$ZZ$1, 0))</f>
        <v>#N/A</v>
      </c>
      <c r="C1717" t="e">
        <f>INDEX(resultados!$A$2:$ZZ$2290, 1711, MATCH($B$3, resultados!$A$1:$ZZ$1, 0))</f>
        <v>#N/A</v>
      </c>
    </row>
    <row r="1718" spans="1:3" x14ac:dyDescent="0.3">
      <c r="A1718" t="e">
        <f>INDEX(resultados!$A$2:$ZZ$2290, 1712, MATCH($B$1, resultados!$A$1:$ZZ$1, 0))</f>
        <v>#N/A</v>
      </c>
      <c r="B1718" t="e">
        <f>INDEX(resultados!$A$2:$ZZ$2290, 1712, MATCH($B$2, resultados!$A$1:$ZZ$1, 0))</f>
        <v>#N/A</v>
      </c>
      <c r="C1718" t="e">
        <f>INDEX(resultados!$A$2:$ZZ$2290, 1712, MATCH($B$3, resultados!$A$1:$ZZ$1, 0))</f>
        <v>#N/A</v>
      </c>
    </row>
    <row r="1719" spans="1:3" x14ac:dyDescent="0.3">
      <c r="A1719" t="e">
        <f>INDEX(resultados!$A$2:$ZZ$2290, 1713, MATCH($B$1, resultados!$A$1:$ZZ$1, 0))</f>
        <v>#N/A</v>
      </c>
      <c r="B1719" t="e">
        <f>INDEX(resultados!$A$2:$ZZ$2290, 1713, MATCH($B$2, resultados!$A$1:$ZZ$1, 0))</f>
        <v>#N/A</v>
      </c>
      <c r="C1719" t="e">
        <f>INDEX(resultados!$A$2:$ZZ$2290, 1713, MATCH($B$3, resultados!$A$1:$ZZ$1, 0))</f>
        <v>#N/A</v>
      </c>
    </row>
    <row r="1720" spans="1:3" x14ac:dyDescent="0.3">
      <c r="A1720" t="e">
        <f>INDEX(resultados!$A$2:$ZZ$2290, 1714, MATCH($B$1, resultados!$A$1:$ZZ$1, 0))</f>
        <v>#N/A</v>
      </c>
      <c r="B1720" t="e">
        <f>INDEX(resultados!$A$2:$ZZ$2290, 1714, MATCH($B$2, resultados!$A$1:$ZZ$1, 0))</f>
        <v>#N/A</v>
      </c>
      <c r="C1720" t="e">
        <f>INDEX(resultados!$A$2:$ZZ$2290, 1714, MATCH($B$3, resultados!$A$1:$ZZ$1, 0))</f>
        <v>#N/A</v>
      </c>
    </row>
    <row r="1721" spans="1:3" x14ac:dyDescent="0.3">
      <c r="A1721" t="e">
        <f>INDEX(resultados!$A$2:$ZZ$2290, 1715, MATCH($B$1, resultados!$A$1:$ZZ$1, 0))</f>
        <v>#N/A</v>
      </c>
      <c r="B1721" t="e">
        <f>INDEX(resultados!$A$2:$ZZ$2290, 1715, MATCH($B$2, resultados!$A$1:$ZZ$1, 0))</f>
        <v>#N/A</v>
      </c>
      <c r="C1721" t="e">
        <f>INDEX(resultados!$A$2:$ZZ$2290, 1715, MATCH($B$3, resultados!$A$1:$ZZ$1, 0))</f>
        <v>#N/A</v>
      </c>
    </row>
    <row r="1722" spans="1:3" x14ac:dyDescent="0.3">
      <c r="A1722" t="e">
        <f>INDEX(resultados!$A$2:$ZZ$2290, 1716, MATCH($B$1, resultados!$A$1:$ZZ$1, 0))</f>
        <v>#N/A</v>
      </c>
      <c r="B1722" t="e">
        <f>INDEX(resultados!$A$2:$ZZ$2290, 1716, MATCH($B$2, resultados!$A$1:$ZZ$1, 0))</f>
        <v>#N/A</v>
      </c>
      <c r="C1722" t="e">
        <f>INDEX(resultados!$A$2:$ZZ$2290, 1716, MATCH($B$3, resultados!$A$1:$ZZ$1, 0))</f>
        <v>#N/A</v>
      </c>
    </row>
    <row r="1723" spans="1:3" x14ac:dyDescent="0.3">
      <c r="A1723" t="e">
        <f>INDEX(resultados!$A$2:$ZZ$2290, 1717, MATCH($B$1, resultados!$A$1:$ZZ$1, 0))</f>
        <v>#N/A</v>
      </c>
      <c r="B1723" t="e">
        <f>INDEX(resultados!$A$2:$ZZ$2290, 1717, MATCH($B$2, resultados!$A$1:$ZZ$1, 0))</f>
        <v>#N/A</v>
      </c>
      <c r="C1723" t="e">
        <f>INDEX(resultados!$A$2:$ZZ$2290, 1717, MATCH($B$3, resultados!$A$1:$ZZ$1, 0))</f>
        <v>#N/A</v>
      </c>
    </row>
    <row r="1724" spans="1:3" x14ac:dyDescent="0.3">
      <c r="A1724" t="e">
        <f>INDEX(resultados!$A$2:$ZZ$2290, 1718, MATCH($B$1, resultados!$A$1:$ZZ$1, 0))</f>
        <v>#N/A</v>
      </c>
      <c r="B1724" t="e">
        <f>INDEX(resultados!$A$2:$ZZ$2290, 1718, MATCH($B$2, resultados!$A$1:$ZZ$1, 0))</f>
        <v>#N/A</v>
      </c>
      <c r="C1724" t="e">
        <f>INDEX(resultados!$A$2:$ZZ$2290, 1718, MATCH($B$3, resultados!$A$1:$ZZ$1, 0))</f>
        <v>#N/A</v>
      </c>
    </row>
    <row r="1725" spans="1:3" x14ac:dyDescent="0.3">
      <c r="A1725" t="e">
        <f>INDEX(resultados!$A$2:$ZZ$2290, 1719, MATCH($B$1, resultados!$A$1:$ZZ$1, 0))</f>
        <v>#N/A</v>
      </c>
      <c r="B1725" t="e">
        <f>INDEX(resultados!$A$2:$ZZ$2290, 1719, MATCH($B$2, resultados!$A$1:$ZZ$1, 0))</f>
        <v>#N/A</v>
      </c>
      <c r="C1725" t="e">
        <f>INDEX(resultados!$A$2:$ZZ$2290, 1719, MATCH($B$3, resultados!$A$1:$ZZ$1, 0))</f>
        <v>#N/A</v>
      </c>
    </row>
    <row r="1726" spans="1:3" x14ac:dyDescent="0.3">
      <c r="A1726" t="e">
        <f>INDEX(resultados!$A$2:$ZZ$2290, 1720, MATCH($B$1, resultados!$A$1:$ZZ$1, 0))</f>
        <v>#N/A</v>
      </c>
      <c r="B1726" t="e">
        <f>INDEX(resultados!$A$2:$ZZ$2290, 1720, MATCH($B$2, resultados!$A$1:$ZZ$1, 0))</f>
        <v>#N/A</v>
      </c>
      <c r="C1726" t="e">
        <f>INDEX(resultados!$A$2:$ZZ$2290, 1720, MATCH($B$3, resultados!$A$1:$ZZ$1, 0))</f>
        <v>#N/A</v>
      </c>
    </row>
    <row r="1727" spans="1:3" x14ac:dyDescent="0.3">
      <c r="A1727" t="e">
        <f>INDEX(resultados!$A$2:$ZZ$2290, 1721, MATCH($B$1, resultados!$A$1:$ZZ$1, 0))</f>
        <v>#N/A</v>
      </c>
      <c r="B1727" t="e">
        <f>INDEX(resultados!$A$2:$ZZ$2290, 1721, MATCH($B$2, resultados!$A$1:$ZZ$1, 0))</f>
        <v>#N/A</v>
      </c>
      <c r="C1727" t="e">
        <f>INDEX(resultados!$A$2:$ZZ$2290, 1721, MATCH($B$3, resultados!$A$1:$ZZ$1, 0))</f>
        <v>#N/A</v>
      </c>
    </row>
    <row r="1728" spans="1:3" x14ac:dyDescent="0.3">
      <c r="A1728" t="e">
        <f>INDEX(resultados!$A$2:$ZZ$2290, 1722, MATCH($B$1, resultados!$A$1:$ZZ$1, 0))</f>
        <v>#N/A</v>
      </c>
      <c r="B1728" t="e">
        <f>INDEX(resultados!$A$2:$ZZ$2290, 1722, MATCH($B$2, resultados!$A$1:$ZZ$1, 0))</f>
        <v>#N/A</v>
      </c>
      <c r="C1728" t="e">
        <f>INDEX(resultados!$A$2:$ZZ$2290, 1722, MATCH($B$3, resultados!$A$1:$ZZ$1, 0))</f>
        <v>#N/A</v>
      </c>
    </row>
    <row r="1729" spans="1:3" x14ac:dyDescent="0.3">
      <c r="A1729" t="e">
        <f>INDEX(resultados!$A$2:$ZZ$2290, 1723, MATCH($B$1, resultados!$A$1:$ZZ$1, 0))</f>
        <v>#N/A</v>
      </c>
      <c r="B1729" t="e">
        <f>INDEX(resultados!$A$2:$ZZ$2290, 1723, MATCH($B$2, resultados!$A$1:$ZZ$1, 0))</f>
        <v>#N/A</v>
      </c>
      <c r="C1729" t="e">
        <f>INDEX(resultados!$A$2:$ZZ$2290, 1723, MATCH($B$3, resultados!$A$1:$ZZ$1, 0))</f>
        <v>#N/A</v>
      </c>
    </row>
    <row r="1730" spans="1:3" x14ac:dyDescent="0.3">
      <c r="A1730" t="e">
        <f>INDEX(resultados!$A$2:$ZZ$2290, 1724, MATCH($B$1, resultados!$A$1:$ZZ$1, 0))</f>
        <v>#N/A</v>
      </c>
      <c r="B1730" t="e">
        <f>INDEX(resultados!$A$2:$ZZ$2290, 1724, MATCH($B$2, resultados!$A$1:$ZZ$1, 0))</f>
        <v>#N/A</v>
      </c>
      <c r="C1730" t="e">
        <f>INDEX(resultados!$A$2:$ZZ$2290, 1724, MATCH($B$3, resultados!$A$1:$ZZ$1, 0))</f>
        <v>#N/A</v>
      </c>
    </row>
    <row r="1731" spans="1:3" x14ac:dyDescent="0.3">
      <c r="A1731" t="e">
        <f>INDEX(resultados!$A$2:$ZZ$2290, 1725, MATCH($B$1, resultados!$A$1:$ZZ$1, 0))</f>
        <v>#N/A</v>
      </c>
      <c r="B1731" t="e">
        <f>INDEX(resultados!$A$2:$ZZ$2290, 1725, MATCH($B$2, resultados!$A$1:$ZZ$1, 0))</f>
        <v>#N/A</v>
      </c>
      <c r="C1731" t="e">
        <f>INDEX(resultados!$A$2:$ZZ$2290, 1725, MATCH($B$3, resultados!$A$1:$ZZ$1, 0))</f>
        <v>#N/A</v>
      </c>
    </row>
    <row r="1732" spans="1:3" x14ac:dyDescent="0.3">
      <c r="A1732" t="e">
        <f>INDEX(resultados!$A$2:$ZZ$2290, 1726, MATCH($B$1, resultados!$A$1:$ZZ$1, 0))</f>
        <v>#N/A</v>
      </c>
      <c r="B1732" t="e">
        <f>INDEX(resultados!$A$2:$ZZ$2290, 1726, MATCH($B$2, resultados!$A$1:$ZZ$1, 0))</f>
        <v>#N/A</v>
      </c>
      <c r="C1732" t="e">
        <f>INDEX(resultados!$A$2:$ZZ$2290, 1726, MATCH($B$3, resultados!$A$1:$ZZ$1, 0))</f>
        <v>#N/A</v>
      </c>
    </row>
    <row r="1733" spans="1:3" x14ac:dyDescent="0.3">
      <c r="A1733" t="e">
        <f>INDEX(resultados!$A$2:$ZZ$2290, 1727, MATCH($B$1, resultados!$A$1:$ZZ$1, 0))</f>
        <v>#N/A</v>
      </c>
      <c r="B1733" t="e">
        <f>INDEX(resultados!$A$2:$ZZ$2290, 1727, MATCH($B$2, resultados!$A$1:$ZZ$1, 0))</f>
        <v>#N/A</v>
      </c>
      <c r="C1733" t="e">
        <f>INDEX(resultados!$A$2:$ZZ$2290, 1727, MATCH($B$3, resultados!$A$1:$ZZ$1, 0))</f>
        <v>#N/A</v>
      </c>
    </row>
    <row r="1734" spans="1:3" x14ac:dyDescent="0.3">
      <c r="A1734" t="e">
        <f>INDEX(resultados!$A$2:$ZZ$2290, 1728, MATCH($B$1, resultados!$A$1:$ZZ$1, 0))</f>
        <v>#N/A</v>
      </c>
      <c r="B1734" t="e">
        <f>INDEX(resultados!$A$2:$ZZ$2290, 1728, MATCH($B$2, resultados!$A$1:$ZZ$1, 0))</f>
        <v>#N/A</v>
      </c>
      <c r="C1734" t="e">
        <f>INDEX(resultados!$A$2:$ZZ$2290, 1728, MATCH($B$3, resultados!$A$1:$ZZ$1, 0))</f>
        <v>#N/A</v>
      </c>
    </row>
    <row r="1735" spans="1:3" x14ac:dyDescent="0.3">
      <c r="A1735" t="e">
        <f>INDEX(resultados!$A$2:$ZZ$2290, 1729, MATCH($B$1, resultados!$A$1:$ZZ$1, 0))</f>
        <v>#N/A</v>
      </c>
      <c r="B1735" t="e">
        <f>INDEX(resultados!$A$2:$ZZ$2290, 1729, MATCH($B$2, resultados!$A$1:$ZZ$1, 0))</f>
        <v>#N/A</v>
      </c>
      <c r="C1735" t="e">
        <f>INDEX(resultados!$A$2:$ZZ$2290, 1729, MATCH($B$3, resultados!$A$1:$ZZ$1, 0))</f>
        <v>#N/A</v>
      </c>
    </row>
    <row r="1736" spans="1:3" x14ac:dyDescent="0.3">
      <c r="A1736" t="e">
        <f>INDEX(resultados!$A$2:$ZZ$2290, 1730, MATCH($B$1, resultados!$A$1:$ZZ$1, 0))</f>
        <v>#N/A</v>
      </c>
      <c r="B1736" t="e">
        <f>INDEX(resultados!$A$2:$ZZ$2290, 1730, MATCH($B$2, resultados!$A$1:$ZZ$1, 0))</f>
        <v>#N/A</v>
      </c>
      <c r="C1736" t="e">
        <f>INDEX(resultados!$A$2:$ZZ$2290, 1730, MATCH($B$3, resultados!$A$1:$ZZ$1, 0))</f>
        <v>#N/A</v>
      </c>
    </row>
    <row r="1737" spans="1:3" x14ac:dyDescent="0.3">
      <c r="A1737" t="e">
        <f>INDEX(resultados!$A$2:$ZZ$2290, 1731, MATCH($B$1, resultados!$A$1:$ZZ$1, 0))</f>
        <v>#N/A</v>
      </c>
      <c r="B1737" t="e">
        <f>INDEX(resultados!$A$2:$ZZ$2290, 1731, MATCH($B$2, resultados!$A$1:$ZZ$1, 0))</f>
        <v>#N/A</v>
      </c>
      <c r="C1737" t="e">
        <f>INDEX(resultados!$A$2:$ZZ$2290, 1731, MATCH($B$3, resultados!$A$1:$ZZ$1, 0))</f>
        <v>#N/A</v>
      </c>
    </row>
    <row r="1738" spans="1:3" x14ac:dyDescent="0.3">
      <c r="A1738" t="e">
        <f>INDEX(resultados!$A$2:$ZZ$2290, 1732, MATCH($B$1, resultados!$A$1:$ZZ$1, 0))</f>
        <v>#N/A</v>
      </c>
      <c r="B1738" t="e">
        <f>INDEX(resultados!$A$2:$ZZ$2290, 1732, MATCH($B$2, resultados!$A$1:$ZZ$1, 0))</f>
        <v>#N/A</v>
      </c>
      <c r="C1738" t="e">
        <f>INDEX(resultados!$A$2:$ZZ$2290, 1732, MATCH($B$3, resultados!$A$1:$ZZ$1, 0))</f>
        <v>#N/A</v>
      </c>
    </row>
    <row r="1739" spans="1:3" x14ac:dyDescent="0.3">
      <c r="A1739" t="e">
        <f>INDEX(resultados!$A$2:$ZZ$2290, 1733, MATCH($B$1, resultados!$A$1:$ZZ$1, 0))</f>
        <v>#N/A</v>
      </c>
      <c r="B1739" t="e">
        <f>INDEX(resultados!$A$2:$ZZ$2290, 1733, MATCH($B$2, resultados!$A$1:$ZZ$1, 0))</f>
        <v>#N/A</v>
      </c>
      <c r="C1739" t="e">
        <f>INDEX(resultados!$A$2:$ZZ$2290, 1733, MATCH($B$3, resultados!$A$1:$ZZ$1, 0))</f>
        <v>#N/A</v>
      </c>
    </row>
    <row r="1740" spans="1:3" x14ac:dyDescent="0.3">
      <c r="A1740" t="e">
        <f>INDEX(resultados!$A$2:$ZZ$2290, 1734, MATCH($B$1, resultados!$A$1:$ZZ$1, 0))</f>
        <v>#N/A</v>
      </c>
      <c r="B1740" t="e">
        <f>INDEX(resultados!$A$2:$ZZ$2290, 1734, MATCH($B$2, resultados!$A$1:$ZZ$1, 0))</f>
        <v>#N/A</v>
      </c>
      <c r="C1740" t="e">
        <f>INDEX(resultados!$A$2:$ZZ$2290, 1734, MATCH($B$3, resultados!$A$1:$ZZ$1, 0))</f>
        <v>#N/A</v>
      </c>
    </row>
    <row r="1741" spans="1:3" x14ac:dyDescent="0.3">
      <c r="A1741" t="e">
        <f>INDEX(resultados!$A$2:$ZZ$2290, 1735, MATCH($B$1, resultados!$A$1:$ZZ$1, 0))</f>
        <v>#N/A</v>
      </c>
      <c r="B1741" t="e">
        <f>INDEX(resultados!$A$2:$ZZ$2290, 1735, MATCH($B$2, resultados!$A$1:$ZZ$1, 0))</f>
        <v>#N/A</v>
      </c>
      <c r="C1741" t="e">
        <f>INDEX(resultados!$A$2:$ZZ$2290, 1735, MATCH($B$3, resultados!$A$1:$ZZ$1, 0))</f>
        <v>#N/A</v>
      </c>
    </row>
    <row r="1742" spans="1:3" x14ac:dyDescent="0.3">
      <c r="A1742" t="e">
        <f>INDEX(resultados!$A$2:$ZZ$2290, 1736, MATCH($B$1, resultados!$A$1:$ZZ$1, 0))</f>
        <v>#N/A</v>
      </c>
      <c r="B1742" t="e">
        <f>INDEX(resultados!$A$2:$ZZ$2290, 1736, MATCH($B$2, resultados!$A$1:$ZZ$1, 0))</f>
        <v>#N/A</v>
      </c>
      <c r="C1742" t="e">
        <f>INDEX(resultados!$A$2:$ZZ$2290, 1736, MATCH($B$3, resultados!$A$1:$ZZ$1, 0))</f>
        <v>#N/A</v>
      </c>
    </row>
    <row r="1743" spans="1:3" x14ac:dyDescent="0.3">
      <c r="A1743" t="e">
        <f>INDEX(resultados!$A$2:$ZZ$2290, 1737, MATCH($B$1, resultados!$A$1:$ZZ$1, 0))</f>
        <v>#N/A</v>
      </c>
      <c r="B1743" t="e">
        <f>INDEX(resultados!$A$2:$ZZ$2290, 1737, MATCH($B$2, resultados!$A$1:$ZZ$1, 0))</f>
        <v>#N/A</v>
      </c>
      <c r="C1743" t="e">
        <f>INDEX(resultados!$A$2:$ZZ$2290, 1737, MATCH($B$3, resultados!$A$1:$ZZ$1, 0))</f>
        <v>#N/A</v>
      </c>
    </row>
    <row r="1744" spans="1:3" x14ac:dyDescent="0.3">
      <c r="A1744" t="e">
        <f>INDEX(resultados!$A$2:$ZZ$2290, 1738, MATCH($B$1, resultados!$A$1:$ZZ$1, 0))</f>
        <v>#N/A</v>
      </c>
      <c r="B1744" t="e">
        <f>INDEX(resultados!$A$2:$ZZ$2290, 1738, MATCH($B$2, resultados!$A$1:$ZZ$1, 0))</f>
        <v>#N/A</v>
      </c>
      <c r="C1744" t="e">
        <f>INDEX(resultados!$A$2:$ZZ$2290, 1738, MATCH($B$3, resultados!$A$1:$ZZ$1, 0))</f>
        <v>#N/A</v>
      </c>
    </row>
    <row r="1745" spans="1:3" x14ac:dyDescent="0.3">
      <c r="A1745" t="e">
        <f>INDEX(resultados!$A$2:$ZZ$2290, 1739, MATCH($B$1, resultados!$A$1:$ZZ$1, 0))</f>
        <v>#N/A</v>
      </c>
      <c r="B1745" t="e">
        <f>INDEX(resultados!$A$2:$ZZ$2290, 1739, MATCH($B$2, resultados!$A$1:$ZZ$1, 0))</f>
        <v>#N/A</v>
      </c>
      <c r="C1745" t="e">
        <f>INDEX(resultados!$A$2:$ZZ$2290, 1739, MATCH($B$3, resultados!$A$1:$ZZ$1, 0))</f>
        <v>#N/A</v>
      </c>
    </row>
    <row r="1746" spans="1:3" x14ac:dyDescent="0.3">
      <c r="A1746" t="e">
        <f>INDEX(resultados!$A$2:$ZZ$2290, 1740, MATCH($B$1, resultados!$A$1:$ZZ$1, 0))</f>
        <v>#N/A</v>
      </c>
      <c r="B1746" t="e">
        <f>INDEX(resultados!$A$2:$ZZ$2290, 1740, MATCH($B$2, resultados!$A$1:$ZZ$1, 0))</f>
        <v>#N/A</v>
      </c>
      <c r="C1746" t="e">
        <f>INDEX(resultados!$A$2:$ZZ$2290, 1740, MATCH($B$3, resultados!$A$1:$ZZ$1, 0))</f>
        <v>#N/A</v>
      </c>
    </row>
    <row r="1747" spans="1:3" x14ac:dyDescent="0.3">
      <c r="A1747" t="e">
        <f>INDEX(resultados!$A$2:$ZZ$2290, 1741, MATCH($B$1, resultados!$A$1:$ZZ$1, 0))</f>
        <v>#N/A</v>
      </c>
      <c r="B1747" t="e">
        <f>INDEX(resultados!$A$2:$ZZ$2290, 1741, MATCH($B$2, resultados!$A$1:$ZZ$1, 0))</f>
        <v>#N/A</v>
      </c>
      <c r="C1747" t="e">
        <f>INDEX(resultados!$A$2:$ZZ$2290, 1741, MATCH($B$3, resultados!$A$1:$ZZ$1, 0))</f>
        <v>#N/A</v>
      </c>
    </row>
    <row r="1748" spans="1:3" x14ac:dyDescent="0.3">
      <c r="A1748" t="e">
        <f>INDEX(resultados!$A$2:$ZZ$2290, 1742, MATCH($B$1, resultados!$A$1:$ZZ$1, 0))</f>
        <v>#N/A</v>
      </c>
      <c r="B1748" t="e">
        <f>INDEX(resultados!$A$2:$ZZ$2290, 1742, MATCH($B$2, resultados!$A$1:$ZZ$1, 0))</f>
        <v>#N/A</v>
      </c>
      <c r="C1748" t="e">
        <f>INDEX(resultados!$A$2:$ZZ$2290, 1742, MATCH($B$3, resultados!$A$1:$ZZ$1, 0))</f>
        <v>#N/A</v>
      </c>
    </row>
    <row r="1749" spans="1:3" x14ac:dyDescent="0.3">
      <c r="A1749" t="e">
        <f>INDEX(resultados!$A$2:$ZZ$2290, 1743, MATCH($B$1, resultados!$A$1:$ZZ$1, 0))</f>
        <v>#N/A</v>
      </c>
      <c r="B1749" t="e">
        <f>INDEX(resultados!$A$2:$ZZ$2290, 1743, MATCH($B$2, resultados!$A$1:$ZZ$1, 0))</f>
        <v>#N/A</v>
      </c>
      <c r="C1749" t="e">
        <f>INDEX(resultados!$A$2:$ZZ$2290, 1743, MATCH($B$3, resultados!$A$1:$ZZ$1, 0))</f>
        <v>#N/A</v>
      </c>
    </row>
    <row r="1750" spans="1:3" x14ac:dyDescent="0.3">
      <c r="A1750" t="e">
        <f>INDEX(resultados!$A$2:$ZZ$2290, 1744, MATCH($B$1, resultados!$A$1:$ZZ$1, 0))</f>
        <v>#N/A</v>
      </c>
      <c r="B1750" t="e">
        <f>INDEX(resultados!$A$2:$ZZ$2290, 1744, MATCH($B$2, resultados!$A$1:$ZZ$1, 0))</f>
        <v>#N/A</v>
      </c>
      <c r="C1750" t="e">
        <f>INDEX(resultados!$A$2:$ZZ$2290, 1744, MATCH($B$3, resultados!$A$1:$ZZ$1, 0))</f>
        <v>#N/A</v>
      </c>
    </row>
    <row r="1751" spans="1:3" x14ac:dyDescent="0.3">
      <c r="A1751" t="e">
        <f>INDEX(resultados!$A$2:$ZZ$2290, 1745, MATCH($B$1, resultados!$A$1:$ZZ$1, 0))</f>
        <v>#N/A</v>
      </c>
      <c r="B1751" t="e">
        <f>INDEX(resultados!$A$2:$ZZ$2290, 1745, MATCH($B$2, resultados!$A$1:$ZZ$1, 0))</f>
        <v>#N/A</v>
      </c>
      <c r="C1751" t="e">
        <f>INDEX(resultados!$A$2:$ZZ$2290, 1745, MATCH($B$3, resultados!$A$1:$ZZ$1, 0))</f>
        <v>#N/A</v>
      </c>
    </row>
    <row r="1752" spans="1:3" x14ac:dyDescent="0.3">
      <c r="A1752" t="e">
        <f>INDEX(resultados!$A$2:$ZZ$2290, 1746, MATCH($B$1, resultados!$A$1:$ZZ$1, 0))</f>
        <v>#N/A</v>
      </c>
      <c r="B1752" t="e">
        <f>INDEX(resultados!$A$2:$ZZ$2290, 1746, MATCH($B$2, resultados!$A$1:$ZZ$1, 0))</f>
        <v>#N/A</v>
      </c>
      <c r="C1752" t="e">
        <f>INDEX(resultados!$A$2:$ZZ$2290, 1746, MATCH($B$3, resultados!$A$1:$ZZ$1, 0))</f>
        <v>#N/A</v>
      </c>
    </row>
    <row r="1753" spans="1:3" x14ac:dyDescent="0.3">
      <c r="A1753" t="e">
        <f>INDEX(resultados!$A$2:$ZZ$2290, 1747, MATCH($B$1, resultados!$A$1:$ZZ$1, 0))</f>
        <v>#N/A</v>
      </c>
      <c r="B1753" t="e">
        <f>INDEX(resultados!$A$2:$ZZ$2290, 1747, MATCH($B$2, resultados!$A$1:$ZZ$1, 0))</f>
        <v>#N/A</v>
      </c>
      <c r="C1753" t="e">
        <f>INDEX(resultados!$A$2:$ZZ$2290, 1747, MATCH($B$3, resultados!$A$1:$ZZ$1, 0))</f>
        <v>#N/A</v>
      </c>
    </row>
    <row r="1754" spans="1:3" x14ac:dyDescent="0.3">
      <c r="A1754" t="e">
        <f>INDEX(resultados!$A$2:$ZZ$2290, 1748, MATCH($B$1, resultados!$A$1:$ZZ$1, 0))</f>
        <v>#N/A</v>
      </c>
      <c r="B1754" t="e">
        <f>INDEX(resultados!$A$2:$ZZ$2290, 1748, MATCH($B$2, resultados!$A$1:$ZZ$1, 0))</f>
        <v>#N/A</v>
      </c>
      <c r="C1754" t="e">
        <f>INDEX(resultados!$A$2:$ZZ$2290, 1748, MATCH($B$3, resultados!$A$1:$ZZ$1, 0))</f>
        <v>#N/A</v>
      </c>
    </row>
    <row r="1755" spans="1:3" x14ac:dyDescent="0.3">
      <c r="A1755" t="e">
        <f>INDEX(resultados!$A$2:$ZZ$2290, 1749, MATCH($B$1, resultados!$A$1:$ZZ$1, 0))</f>
        <v>#N/A</v>
      </c>
      <c r="B1755" t="e">
        <f>INDEX(resultados!$A$2:$ZZ$2290, 1749, MATCH($B$2, resultados!$A$1:$ZZ$1, 0))</f>
        <v>#N/A</v>
      </c>
      <c r="C1755" t="e">
        <f>INDEX(resultados!$A$2:$ZZ$2290, 1749, MATCH($B$3, resultados!$A$1:$ZZ$1, 0))</f>
        <v>#N/A</v>
      </c>
    </row>
    <row r="1756" spans="1:3" x14ac:dyDescent="0.3">
      <c r="A1756" t="e">
        <f>INDEX(resultados!$A$2:$ZZ$2290, 1750, MATCH($B$1, resultados!$A$1:$ZZ$1, 0))</f>
        <v>#N/A</v>
      </c>
      <c r="B1756" t="e">
        <f>INDEX(resultados!$A$2:$ZZ$2290, 1750, MATCH($B$2, resultados!$A$1:$ZZ$1, 0))</f>
        <v>#N/A</v>
      </c>
      <c r="C1756" t="e">
        <f>INDEX(resultados!$A$2:$ZZ$2290, 1750, MATCH($B$3, resultados!$A$1:$ZZ$1, 0))</f>
        <v>#N/A</v>
      </c>
    </row>
    <row r="1757" spans="1:3" x14ac:dyDescent="0.3">
      <c r="A1757" t="e">
        <f>INDEX(resultados!$A$2:$ZZ$2290, 1751, MATCH($B$1, resultados!$A$1:$ZZ$1, 0))</f>
        <v>#N/A</v>
      </c>
      <c r="B1757" t="e">
        <f>INDEX(resultados!$A$2:$ZZ$2290, 1751, MATCH($B$2, resultados!$A$1:$ZZ$1, 0))</f>
        <v>#N/A</v>
      </c>
      <c r="C1757" t="e">
        <f>INDEX(resultados!$A$2:$ZZ$2290, 1751, MATCH($B$3, resultados!$A$1:$ZZ$1, 0))</f>
        <v>#N/A</v>
      </c>
    </row>
    <row r="1758" spans="1:3" x14ac:dyDescent="0.3">
      <c r="A1758" t="e">
        <f>INDEX(resultados!$A$2:$ZZ$2290, 1752, MATCH($B$1, resultados!$A$1:$ZZ$1, 0))</f>
        <v>#N/A</v>
      </c>
      <c r="B1758" t="e">
        <f>INDEX(resultados!$A$2:$ZZ$2290, 1752, MATCH($B$2, resultados!$A$1:$ZZ$1, 0))</f>
        <v>#N/A</v>
      </c>
      <c r="C1758" t="e">
        <f>INDEX(resultados!$A$2:$ZZ$2290, 1752, MATCH($B$3, resultados!$A$1:$ZZ$1, 0))</f>
        <v>#N/A</v>
      </c>
    </row>
    <row r="1759" spans="1:3" x14ac:dyDescent="0.3">
      <c r="A1759" t="e">
        <f>INDEX(resultados!$A$2:$ZZ$2290, 1753, MATCH($B$1, resultados!$A$1:$ZZ$1, 0))</f>
        <v>#N/A</v>
      </c>
      <c r="B1759" t="e">
        <f>INDEX(resultados!$A$2:$ZZ$2290, 1753, MATCH($B$2, resultados!$A$1:$ZZ$1, 0))</f>
        <v>#N/A</v>
      </c>
      <c r="C1759" t="e">
        <f>INDEX(resultados!$A$2:$ZZ$2290, 1753, MATCH($B$3, resultados!$A$1:$ZZ$1, 0))</f>
        <v>#N/A</v>
      </c>
    </row>
    <row r="1760" spans="1:3" x14ac:dyDescent="0.3">
      <c r="A1760" t="e">
        <f>INDEX(resultados!$A$2:$ZZ$2290, 1754, MATCH($B$1, resultados!$A$1:$ZZ$1, 0))</f>
        <v>#N/A</v>
      </c>
      <c r="B1760" t="e">
        <f>INDEX(resultados!$A$2:$ZZ$2290, 1754, MATCH($B$2, resultados!$A$1:$ZZ$1, 0))</f>
        <v>#N/A</v>
      </c>
      <c r="C1760" t="e">
        <f>INDEX(resultados!$A$2:$ZZ$2290, 1754, MATCH($B$3, resultados!$A$1:$ZZ$1, 0))</f>
        <v>#N/A</v>
      </c>
    </row>
    <row r="1761" spans="1:3" x14ac:dyDescent="0.3">
      <c r="A1761" t="e">
        <f>INDEX(resultados!$A$2:$ZZ$2290, 1755, MATCH($B$1, resultados!$A$1:$ZZ$1, 0))</f>
        <v>#N/A</v>
      </c>
      <c r="B1761" t="e">
        <f>INDEX(resultados!$A$2:$ZZ$2290, 1755, MATCH($B$2, resultados!$A$1:$ZZ$1, 0))</f>
        <v>#N/A</v>
      </c>
      <c r="C1761" t="e">
        <f>INDEX(resultados!$A$2:$ZZ$2290, 1755, MATCH($B$3, resultados!$A$1:$ZZ$1, 0))</f>
        <v>#N/A</v>
      </c>
    </row>
    <row r="1762" spans="1:3" x14ac:dyDescent="0.3">
      <c r="A1762" t="e">
        <f>INDEX(resultados!$A$2:$ZZ$2290, 1756, MATCH($B$1, resultados!$A$1:$ZZ$1, 0))</f>
        <v>#N/A</v>
      </c>
      <c r="B1762" t="e">
        <f>INDEX(resultados!$A$2:$ZZ$2290, 1756, MATCH($B$2, resultados!$A$1:$ZZ$1, 0))</f>
        <v>#N/A</v>
      </c>
      <c r="C1762" t="e">
        <f>INDEX(resultados!$A$2:$ZZ$2290, 1756, MATCH($B$3, resultados!$A$1:$ZZ$1, 0))</f>
        <v>#N/A</v>
      </c>
    </row>
    <row r="1763" spans="1:3" x14ac:dyDescent="0.3">
      <c r="A1763" t="e">
        <f>INDEX(resultados!$A$2:$ZZ$2290, 1757, MATCH($B$1, resultados!$A$1:$ZZ$1, 0))</f>
        <v>#N/A</v>
      </c>
      <c r="B1763" t="e">
        <f>INDEX(resultados!$A$2:$ZZ$2290, 1757, MATCH($B$2, resultados!$A$1:$ZZ$1, 0))</f>
        <v>#N/A</v>
      </c>
      <c r="C1763" t="e">
        <f>INDEX(resultados!$A$2:$ZZ$2290, 1757, MATCH($B$3, resultados!$A$1:$ZZ$1, 0))</f>
        <v>#N/A</v>
      </c>
    </row>
    <row r="1764" spans="1:3" x14ac:dyDescent="0.3">
      <c r="A1764" t="e">
        <f>INDEX(resultados!$A$2:$ZZ$2290, 1758, MATCH($B$1, resultados!$A$1:$ZZ$1, 0))</f>
        <v>#N/A</v>
      </c>
      <c r="B1764" t="e">
        <f>INDEX(resultados!$A$2:$ZZ$2290, 1758, MATCH($B$2, resultados!$A$1:$ZZ$1, 0))</f>
        <v>#N/A</v>
      </c>
      <c r="C1764" t="e">
        <f>INDEX(resultados!$A$2:$ZZ$2290, 1758, MATCH($B$3, resultados!$A$1:$ZZ$1, 0))</f>
        <v>#N/A</v>
      </c>
    </row>
    <row r="1765" spans="1:3" x14ac:dyDescent="0.3">
      <c r="A1765" t="e">
        <f>INDEX(resultados!$A$2:$ZZ$2290, 1759, MATCH($B$1, resultados!$A$1:$ZZ$1, 0))</f>
        <v>#N/A</v>
      </c>
      <c r="B1765" t="e">
        <f>INDEX(resultados!$A$2:$ZZ$2290, 1759, MATCH($B$2, resultados!$A$1:$ZZ$1, 0))</f>
        <v>#N/A</v>
      </c>
      <c r="C1765" t="e">
        <f>INDEX(resultados!$A$2:$ZZ$2290, 1759, MATCH($B$3, resultados!$A$1:$ZZ$1, 0))</f>
        <v>#N/A</v>
      </c>
    </row>
    <row r="1766" spans="1:3" x14ac:dyDescent="0.3">
      <c r="A1766" t="e">
        <f>INDEX(resultados!$A$2:$ZZ$2290, 1760, MATCH($B$1, resultados!$A$1:$ZZ$1, 0))</f>
        <v>#N/A</v>
      </c>
      <c r="B1766" t="e">
        <f>INDEX(resultados!$A$2:$ZZ$2290, 1760, MATCH($B$2, resultados!$A$1:$ZZ$1, 0))</f>
        <v>#N/A</v>
      </c>
      <c r="C1766" t="e">
        <f>INDEX(resultados!$A$2:$ZZ$2290, 1760, MATCH($B$3, resultados!$A$1:$ZZ$1, 0))</f>
        <v>#N/A</v>
      </c>
    </row>
    <row r="1767" spans="1:3" x14ac:dyDescent="0.3">
      <c r="A1767" t="e">
        <f>INDEX(resultados!$A$2:$ZZ$2290, 1761, MATCH($B$1, resultados!$A$1:$ZZ$1, 0))</f>
        <v>#N/A</v>
      </c>
      <c r="B1767" t="e">
        <f>INDEX(resultados!$A$2:$ZZ$2290, 1761, MATCH($B$2, resultados!$A$1:$ZZ$1, 0))</f>
        <v>#N/A</v>
      </c>
      <c r="C1767" t="e">
        <f>INDEX(resultados!$A$2:$ZZ$2290, 1761, MATCH($B$3, resultados!$A$1:$ZZ$1, 0))</f>
        <v>#N/A</v>
      </c>
    </row>
    <row r="1768" spans="1:3" x14ac:dyDescent="0.3">
      <c r="A1768" t="e">
        <f>INDEX(resultados!$A$2:$ZZ$2290, 1762, MATCH($B$1, resultados!$A$1:$ZZ$1, 0))</f>
        <v>#N/A</v>
      </c>
      <c r="B1768" t="e">
        <f>INDEX(resultados!$A$2:$ZZ$2290, 1762, MATCH($B$2, resultados!$A$1:$ZZ$1, 0))</f>
        <v>#N/A</v>
      </c>
      <c r="C1768" t="e">
        <f>INDEX(resultados!$A$2:$ZZ$2290, 1762, MATCH($B$3, resultados!$A$1:$ZZ$1, 0))</f>
        <v>#N/A</v>
      </c>
    </row>
    <row r="1769" spans="1:3" x14ac:dyDescent="0.3">
      <c r="A1769" t="e">
        <f>INDEX(resultados!$A$2:$ZZ$2290, 1763, MATCH($B$1, resultados!$A$1:$ZZ$1, 0))</f>
        <v>#N/A</v>
      </c>
      <c r="B1769" t="e">
        <f>INDEX(resultados!$A$2:$ZZ$2290, 1763, MATCH($B$2, resultados!$A$1:$ZZ$1, 0))</f>
        <v>#N/A</v>
      </c>
      <c r="C1769" t="e">
        <f>INDEX(resultados!$A$2:$ZZ$2290, 1763, MATCH($B$3, resultados!$A$1:$ZZ$1, 0))</f>
        <v>#N/A</v>
      </c>
    </row>
    <row r="1770" spans="1:3" x14ac:dyDescent="0.3">
      <c r="A1770" t="e">
        <f>INDEX(resultados!$A$2:$ZZ$2290, 1764, MATCH($B$1, resultados!$A$1:$ZZ$1, 0))</f>
        <v>#N/A</v>
      </c>
      <c r="B1770" t="e">
        <f>INDEX(resultados!$A$2:$ZZ$2290, 1764, MATCH($B$2, resultados!$A$1:$ZZ$1, 0))</f>
        <v>#N/A</v>
      </c>
      <c r="C1770" t="e">
        <f>INDEX(resultados!$A$2:$ZZ$2290, 1764, MATCH($B$3, resultados!$A$1:$ZZ$1, 0))</f>
        <v>#N/A</v>
      </c>
    </row>
    <row r="1771" spans="1:3" x14ac:dyDescent="0.3">
      <c r="A1771" t="e">
        <f>INDEX(resultados!$A$2:$ZZ$2290, 1765, MATCH($B$1, resultados!$A$1:$ZZ$1, 0))</f>
        <v>#N/A</v>
      </c>
      <c r="B1771" t="e">
        <f>INDEX(resultados!$A$2:$ZZ$2290, 1765, MATCH($B$2, resultados!$A$1:$ZZ$1, 0))</f>
        <v>#N/A</v>
      </c>
      <c r="C1771" t="e">
        <f>INDEX(resultados!$A$2:$ZZ$2290, 1765, MATCH($B$3, resultados!$A$1:$ZZ$1, 0))</f>
        <v>#N/A</v>
      </c>
    </row>
    <row r="1772" spans="1:3" x14ac:dyDescent="0.3">
      <c r="A1772" t="e">
        <f>INDEX(resultados!$A$2:$ZZ$2290, 1766, MATCH($B$1, resultados!$A$1:$ZZ$1, 0))</f>
        <v>#N/A</v>
      </c>
      <c r="B1772" t="e">
        <f>INDEX(resultados!$A$2:$ZZ$2290, 1766, MATCH($B$2, resultados!$A$1:$ZZ$1, 0))</f>
        <v>#N/A</v>
      </c>
      <c r="C1772" t="e">
        <f>INDEX(resultados!$A$2:$ZZ$2290, 1766, MATCH($B$3, resultados!$A$1:$ZZ$1, 0))</f>
        <v>#N/A</v>
      </c>
    </row>
    <row r="1773" spans="1:3" x14ac:dyDescent="0.3">
      <c r="A1773" t="e">
        <f>INDEX(resultados!$A$2:$ZZ$2290, 1767, MATCH($B$1, resultados!$A$1:$ZZ$1, 0))</f>
        <v>#N/A</v>
      </c>
      <c r="B1773" t="e">
        <f>INDEX(resultados!$A$2:$ZZ$2290, 1767, MATCH($B$2, resultados!$A$1:$ZZ$1, 0))</f>
        <v>#N/A</v>
      </c>
      <c r="C1773" t="e">
        <f>INDEX(resultados!$A$2:$ZZ$2290, 1767, MATCH($B$3, resultados!$A$1:$ZZ$1, 0))</f>
        <v>#N/A</v>
      </c>
    </row>
    <row r="1774" spans="1:3" x14ac:dyDescent="0.3">
      <c r="A1774" t="e">
        <f>INDEX(resultados!$A$2:$ZZ$2290, 1768, MATCH($B$1, resultados!$A$1:$ZZ$1, 0))</f>
        <v>#N/A</v>
      </c>
      <c r="B1774" t="e">
        <f>INDEX(resultados!$A$2:$ZZ$2290, 1768, MATCH($B$2, resultados!$A$1:$ZZ$1, 0))</f>
        <v>#N/A</v>
      </c>
      <c r="C1774" t="e">
        <f>INDEX(resultados!$A$2:$ZZ$2290, 1768, MATCH($B$3, resultados!$A$1:$ZZ$1, 0))</f>
        <v>#N/A</v>
      </c>
    </row>
    <row r="1775" spans="1:3" x14ac:dyDescent="0.3">
      <c r="A1775" t="e">
        <f>INDEX(resultados!$A$2:$ZZ$2290, 1769, MATCH($B$1, resultados!$A$1:$ZZ$1, 0))</f>
        <v>#N/A</v>
      </c>
      <c r="B1775" t="e">
        <f>INDEX(resultados!$A$2:$ZZ$2290, 1769, MATCH($B$2, resultados!$A$1:$ZZ$1, 0))</f>
        <v>#N/A</v>
      </c>
      <c r="C1775" t="e">
        <f>INDEX(resultados!$A$2:$ZZ$2290, 1769, MATCH($B$3, resultados!$A$1:$ZZ$1, 0))</f>
        <v>#N/A</v>
      </c>
    </row>
    <row r="1776" spans="1:3" x14ac:dyDescent="0.3">
      <c r="A1776" t="e">
        <f>INDEX(resultados!$A$2:$ZZ$2290, 1770, MATCH($B$1, resultados!$A$1:$ZZ$1, 0))</f>
        <v>#N/A</v>
      </c>
      <c r="B1776" t="e">
        <f>INDEX(resultados!$A$2:$ZZ$2290, 1770, MATCH($B$2, resultados!$A$1:$ZZ$1, 0))</f>
        <v>#N/A</v>
      </c>
      <c r="C1776" t="e">
        <f>INDEX(resultados!$A$2:$ZZ$2290, 1770, MATCH($B$3, resultados!$A$1:$ZZ$1, 0))</f>
        <v>#N/A</v>
      </c>
    </row>
    <row r="1777" spans="1:3" x14ac:dyDescent="0.3">
      <c r="A1777" t="e">
        <f>INDEX(resultados!$A$2:$ZZ$2290, 1771, MATCH($B$1, resultados!$A$1:$ZZ$1, 0))</f>
        <v>#N/A</v>
      </c>
      <c r="B1777" t="e">
        <f>INDEX(resultados!$A$2:$ZZ$2290, 1771, MATCH($B$2, resultados!$A$1:$ZZ$1, 0))</f>
        <v>#N/A</v>
      </c>
      <c r="C1777" t="e">
        <f>INDEX(resultados!$A$2:$ZZ$2290, 1771, MATCH($B$3, resultados!$A$1:$ZZ$1, 0))</f>
        <v>#N/A</v>
      </c>
    </row>
    <row r="1778" spans="1:3" x14ac:dyDescent="0.3">
      <c r="A1778" t="e">
        <f>INDEX(resultados!$A$2:$ZZ$2290, 1772, MATCH($B$1, resultados!$A$1:$ZZ$1, 0))</f>
        <v>#N/A</v>
      </c>
      <c r="B1778" t="e">
        <f>INDEX(resultados!$A$2:$ZZ$2290, 1772, MATCH($B$2, resultados!$A$1:$ZZ$1, 0))</f>
        <v>#N/A</v>
      </c>
      <c r="C1778" t="e">
        <f>INDEX(resultados!$A$2:$ZZ$2290, 1772, MATCH($B$3, resultados!$A$1:$ZZ$1, 0))</f>
        <v>#N/A</v>
      </c>
    </row>
    <row r="1779" spans="1:3" x14ac:dyDescent="0.3">
      <c r="A1779" t="e">
        <f>INDEX(resultados!$A$2:$ZZ$2290, 1773, MATCH($B$1, resultados!$A$1:$ZZ$1, 0))</f>
        <v>#N/A</v>
      </c>
      <c r="B1779" t="e">
        <f>INDEX(resultados!$A$2:$ZZ$2290, 1773, MATCH($B$2, resultados!$A$1:$ZZ$1, 0))</f>
        <v>#N/A</v>
      </c>
      <c r="C1779" t="e">
        <f>INDEX(resultados!$A$2:$ZZ$2290, 1773, MATCH($B$3, resultados!$A$1:$ZZ$1, 0))</f>
        <v>#N/A</v>
      </c>
    </row>
    <row r="1780" spans="1:3" x14ac:dyDescent="0.3">
      <c r="A1780" t="e">
        <f>INDEX(resultados!$A$2:$ZZ$2290, 1774, MATCH($B$1, resultados!$A$1:$ZZ$1, 0))</f>
        <v>#N/A</v>
      </c>
      <c r="B1780" t="e">
        <f>INDEX(resultados!$A$2:$ZZ$2290, 1774, MATCH($B$2, resultados!$A$1:$ZZ$1, 0))</f>
        <v>#N/A</v>
      </c>
      <c r="C1780" t="e">
        <f>INDEX(resultados!$A$2:$ZZ$2290, 1774, MATCH($B$3, resultados!$A$1:$ZZ$1, 0))</f>
        <v>#N/A</v>
      </c>
    </row>
    <row r="1781" spans="1:3" x14ac:dyDescent="0.3">
      <c r="A1781" t="e">
        <f>INDEX(resultados!$A$2:$ZZ$2290, 1775, MATCH($B$1, resultados!$A$1:$ZZ$1, 0))</f>
        <v>#N/A</v>
      </c>
      <c r="B1781" t="e">
        <f>INDEX(resultados!$A$2:$ZZ$2290, 1775, MATCH($B$2, resultados!$A$1:$ZZ$1, 0))</f>
        <v>#N/A</v>
      </c>
      <c r="C1781" t="e">
        <f>INDEX(resultados!$A$2:$ZZ$2290, 1775, MATCH($B$3, resultados!$A$1:$ZZ$1, 0))</f>
        <v>#N/A</v>
      </c>
    </row>
    <row r="1782" spans="1:3" x14ac:dyDescent="0.3">
      <c r="A1782" t="e">
        <f>INDEX(resultados!$A$2:$ZZ$2290, 1776, MATCH($B$1, resultados!$A$1:$ZZ$1, 0))</f>
        <v>#N/A</v>
      </c>
      <c r="B1782" t="e">
        <f>INDEX(resultados!$A$2:$ZZ$2290, 1776, MATCH($B$2, resultados!$A$1:$ZZ$1, 0))</f>
        <v>#N/A</v>
      </c>
      <c r="C1782" t="e">
        <f>INDEX(resultados!$A$2:$ZZ$2290, 1776, MATCH($B$3, resultados!$A$1:$ZZ$1, 0))</f>
        <v>#N/A</v>
      </c>
    </row>
    <row r="1783" spans="1:3" x14ac:dyDescent="0.3">
      <c r="A1783" t="e">
        <f>INDEX(resultados!$A$2:$ZZ$2290, 1777, MATCH($B$1, resultados!$A$1:$ZZ$1, 0))</f>
        <v>#N/A</v>
      </c>
      <c r="B1783" t="e">
        <f>INDEX(resultados!$A$2:$ZZ$2290, 1777, MATCH($B$2, resultados!$A$1:$ZZ$1, 0))</f>
        <v>#N/A</v>
      </c>
      <c r="C1783" t="e">
        <f>INDEX(resultados!$A$2:$ZZ$2290, 1777, MATCH($B$3, resultados!$A$1:$ZZ$1, 0))</f>
        <v>#N/A</v>
      </c>
    </row>
    <row r="1784" spans="1:3" x14ac:dyDescent="0.3">
      <c r="A1784" t="e">
        <f>INDEX(resultados!$A$2:$ZZ$2290, 1778, MATCH($B$1, resultados!$A$1:$ZZ$1, 0))</f>
        <v>#N/A</v>
      </c>
      <c r="B1784" t="e">
        <f>INDEX(resultados!$A$2:$ZZ$2290, 1778, MATCH($B$2, resultados!$A$1:$ZZ$1, 0))</f>
        <v>#N/A</v>
      </c>
      <c r="C1784" t="e">
        <f>INDEX(resultados!$A$2:$ZZ$2290, 1778, MATCH($B$3, resultados!$A$1:$ZZ$1, 0))</f>
        <v>#N/A</v>
      </c>
    </row>
    <row r="1785" spans="1:3" x14ac:dyDescent="0.3">
      <c r="A1785" t="e">
        <f>INDEX(resultados!$A$2:$ZZ$2290, 1779, MATCH($B$1, resultados!$A$1:$ZZ$1, 0))</f>
        <v>#N/A</v>
      </c>
      <c r="B1785" t="e">
        <f>INDEX(resultados!$A$2:$ZZ$2290, 1779, MATCH($B$2, resultados!$A$1:$ZZ$1, 0))</f>
        <v>#N/A</v>
      </c>
      <c r="C1785" t="e">
        <f>INDEX(resultados!$A$2:$ZZ$2290, 1779, MATCH($B$3, resultados!$A$1:$ZZ$1, 0))</f>
        <v>#N/A</v>
      </c>
    </row>
    <row r="1786" spans="1:3" x14ac:dyDescent="0.3">
      <c r="A1786" t="e">
        <f>INDEX(resultados!$A$2:$ZZ$2290, 1780, MATCH($B$1, resultados!$A$1:$ZZ$1, 0))</f>
        <v>#N/A</v>
      </c>
      <c r="B1786" t="e">
        <f>INDEX(resultados!$A$2:$ZZ$2290, 1780, MATCH($B$2, resultados!$A$1:$ZZ$1, 0))</f>
        <v>#N/A</v>
      </c>
      <c r="C1786" t="e">
        <f>INDEX(resultados!$A$2:$ZZ$2290, 1780, MATCH($B$3, resultados!$A$1:$ZZ$1, 0))</f>
        <v>#N/A</v>
      </c>
    </row>
    <row r="1787" spans="1:3" x14ac:dyDescent="0.3">
      <c r="A1787" t="e">
        <f>INDEX(resultados!$A$2:$ZZ$2290, 1781, MATCH($B$1, resultados!$A$1:$ZZ$1, 0))</f>
        <v>#N/A</v>
      </c>
      <c r="B1787" t="e">
        <f>INDEX(resultados!$A$2:$ZZ$2290, 1781, MATCH($B$2, resultados!$A$1:$ZZ$1, 0))</f>
        <v>#N/A</v>
      </c>
      <c r="C1787" t="e">
        <f>INDEX(resultados!$A$2:$ZZ$2290, 1781, MATCH($B$3, resultados!$A$1:$ZZ$1, 0))</f>
        <v>#N/A</v>
      </c>
    </row>
    <row r="1788" spans="1:3" x14ac:dyDescent="0.3">
      <c r="A1788" t="e">
        <f>INDEX(resultados!$A$2:$ZZ$2290, 1782, MATCH($B$1, resultados!$A$1:$ZZ$1, 0))</f>
        <v>#N/A</v>
      </c>
      <c r="B1788" t="e">
        <f>INDEX(resultados!$A$2:$ZZ$2290, 1782, MATCH($B$2, resultados!$A$1:$ZZ$1, 0))</f>
        <v>#N/A</v>
      </c>
      <c r="C1788" t="e">
        <f>INDEX(resultados!$A$2:$ZZ$2290, 1782, MATCH($B$3, resultados!$A$1:$ZZ$1, 0))</f>
        <v>#N/A</v>
      </c>
    </row>
    <row r="1789" spans="1:3" x14ac:dyDescent="0.3">
      <c r="A1789" t="e">
        <f>INDEX(resultados!$A$2:$ZZ$2290, 1783, MATCH($B$1, resultados!$A$1:$ZZ$1, 0))</f>
        <v>#N/A</v>
      </c>
      <c r="B1789" t="e">
        <f>INDEX(resultados!$A$2:$ZZ$2290, 1783, MATCH($B$2, resultados!$A$1:$ZZ$1, 0))</f>
        <v>#N/A</v>
      </c>
      <c r="C1789" t="e">
        <f>INDEX(resultados!$A$2:$ZZ$2290, 1783, MATCH($B$3, resultados!$A$1:$ZZ$1, 0))</f>
        <v>#N/A</v>
      </c>
    </row>
    <row r="1790" spans="1:3" x14ac:dyDescent="0.3">
      <c r="A1790" t="e">
        <f>INDEX(resultados!$A$2:$ZZ$2290, 1784, MATCH($B$1, resultados!$A$1:$ZZ$1, 0))</f>
        <v>#N/A</v>
      </c>
      <c r="B1790" t="e">
        <f>INDEX(resultados!$A$2:$ZZ$2290, 1784, MATCH($B$2, resultados!$A$1:$ZZ$1, 0))</f>
        <v>#N/A</v>
      </c>
      <c r="C1790" t="e">
        <f>INDEX(resultados!$A$2:$ZZ$2290, 1784, MATCH($B$3, resultados!$A$1:$ZZ$1, 0))</f>
        <v>#N/A</v>
      </c>
    </row>
    <row r="1791" spans="1:3" x14ac:dyDescent="0.3">
      <c r="A1791" t="e">
        <f>INDEX(resultados!$A$2:$ZZ$2290, 1785, MATCH($B$1, resultados!$A$1:$ZZ$1, 0))</f>
        <v>#N/A</v>
      </c>
      <c r="B1791" t="e">
        <f>INDEX(resultados!$A$2:$ZZ$2290, 1785, MATCH($B$2, resultados!$A$1:$ZZ$1, 0))</f>
        <v>#N/A</v>
      </c>
      <c r="C1791" t="e">
        <f>INDEX(resultados!$A$2:$ZZ$2290, 1785, MATCH($B$3, resultados!$A$1:$ZZ$1, 0))</f>
        <v>#N/A</v>
      </c>
    </row>
    <row r="1792" spans="1:3" x14ac:dyDescent="0.3">
      <c r="A1792" t="e">
        <f>INDEX(resultados!$A$2:$ZZ$2290, 1786, MATCH($B$1, resultados!$A$1:$ZZ$1, 0))</f>
        <v>#N/A</v>
      </c>
      <c r="B1792" t="e">
        <f>INDEX(resultados!$A$2:$ZZ$2290, 1786, MATCH($B$2, resultados!$A$1:$ZZ$1, 0))</f>
        <v>#N/A</v>
      </c>
      <c r="C1792" t="e">
        <f>INDEX(resultados!$A$2:$ZZ$2290, 1786, MATCH($B$3, resultados!$A$1:$ZZ$1, 0))</f>
        <v>#N/A</v>
      </c>
    </row>
    <row r="1793" spans="1:3" x14ac:dyDescent="0.3">
      <c r="A1793" t="e">
        <f>INDEX(resultados!$A$2:$ZZ$2290, 1787, MATCH($B$1, resultados!$A$1:$ZZ$1, 0))</f>
        <v>#N/A</v>
      </c>
      <c r="B1793" t="e">
        <f>INDEX(resultados!$A$2:$ZZ$2290, 1787, MATCH($B$2, resultados!$A$1:$ZZ$1, 0))</f>
        <v>#N/A</v>
      </c>
      <c r="C1793" t="e">
        <f>INDEX(resultados!$A$2:$ZZ$2290, 1787, MATCH($B$3, resultados!$A$1:$ZZ$1, 0))</f>
        <v>#N/A</v>
      </c>
    </row>
    <row r="1794" spans="1:3" x14ac:dyDescent="0.3">
      <c r="A1794" t="e">
        <f>INDEX(resultados!$A$2:$ZZ$2290, 1788, MATCH($B$1, resultados!$A$1:$ZZ$1, 0))</f>
        <v>#N/A</v>
      </c>
      <c r="B1794" t="e">
        <f>INDEX(resultados!$A$2:$ZZ$2290, 1788, MATCH($B$2, resultados!$A$1:$ZZ$1, 0))</f>
        <v>#N/A</v>
      </c>
      <c r="C1794" t="e">
        <f>INDEX(resultados!$A$2:$ZZ$2290, 1788, MATCH($B$3, resultados!$A$1:$ZZ$1, 0))</f>
        <v>#N/A</v>
      </c>
    </row>
    <row r="1795" spans="1:3" x14ac:dyDescent="0.3">
      <c r="A1795" t="e">
        <f>INDEX(resultados!$A$2:$ZZ$2290, 1789, MATCH($B$1, resultados!$A$1:$ZZ$1, 0))</f>
        <v>#N/A</v>
      </c>
      <c r="B1795" t="e">
        <f>INDEX(resultados!$A$2:$ZZ$2290, 1789, MATCH($B$2, resultados!$A$1:$ZZ$1, 0))</f>
        <v>#N/A</v>
      </c>
      <c r="C1795" t="e">
        <f>INDEX(resultados!$A$2:$ZZ$2290, 1789, MATCH($B$3, resultados!$A$1:$ZZ$1, 0))</f>
        <v>#N/A</v>
      </c>
    </row>
    <row r="1796" spans="1:3" x14ac:dyDescent="0.3">
      <c r="A1796" t="e">
        <f>INDEX(resultados!$A$2:$ZZ$2290, 1790, MATCH($B$1, resultados!$A$1:$ZZ$1, 0))</f>
        <v>#N/A</v>
      </c>
      <c r="B1796" t="e">
        <f>INDEX(resultados!$A$2:$ZZ$2290, 1790, MATCH($B$2, resultados!$A$1:$ZZ$1, 0))</f>
        <v>#N/A</v>
      </c>
      <c r="C1796" t="e">
        <f>INDEX(resultados!$A$2:$ZZ$2290, 1790, MATCH($B$3, resultados!$A$1:$ZZ$1, 0))</f>
        <v>#N/A</v>
      </c>
    </row>
    <row r="1797" spans="1:3" x14ac:dyDescent="0.3">
      <c r="A1797" t="e">
        <f>INDEX(resultados!$A$2:$ZZ$2290, 1791, MATCH($B$1, resultados!$A$1:$ZZ$1, 0))</f>
        <v>#N/A</v>
      </c>
      <c r="B1797" t="e">
        <f>INDEX(resultados!$A$2:$ZZ$2290, 1791, MATCH($B$2, resultados!$A$1:$ZZ$1, 0))</f>
        <v>#N/A</v>
      </c>
      <c r="C1797" t="e">
        <f>INDEX(resultados!$A$2:$ZZ$2290, 1791, MATCH($B$3, resultados!$A$1:$ZZ$1, 0))</f>
        <v>#N/A</v>
      </c>
    </row>
    <row r="1798" spans="1:3" x14ac:dyDescent="0.3">
      <c r="A1798" t="e">
        <f>INDEX(resultados!$A$2:$ZZ$2290, 1792, MATCH($B$1, resultados!$A$1:$ZZ$1, 0))</f>
        <v>#N/A</v>
      </c>
      <c r="B1798" t="e">
        <f>INDEX(resultados!$A$2:$ZZ$2290, 1792, MATCH($B$2, resultados!$A$1:$ZZ$1, 0))</f>
        <v>#N/A</v>
      </c>
      <c r="C1798" t="e">
        <f>INDEX(resultados!$A$2:$ZZ$2290, 1792, MATCH($B$3, resultados!$A$1:$ZZ$1, 0))</f>
        <v>#N/A</v>
      </c>
    </row>
    <row r="1799" spans="1:3" x14ac:dyDescent="0.3">
      <c r="A1799" t="e">
        <f>INDEX(resultados!$A$2:$ZZ$2290, 1793, MATCH($B$1, resultados!$A$1:$ZZ$1, 0))</f>
        <v>#N/A</v>
      </c>
      <c r="B1799" t="e">
        <f>INDEX(resultados!$A$2:$ZZ$2290, 1793, MATCH($B$2, resultados!$A$1:$ZZ$1, 0))</f>
        <v>#N/A</v>
      </c>
      <c r="C1799" t="e">
        <f>INDEX(resultados!$A$2:$ZZ$2290, 1793, MATCH($B$3, resultados!$A$1:$ZZ$1, 0))</f>
        <v>#N/A</v>
      </c>
    </row>
    <row r="1800" spans="1:3" x14ac:dyDescent="0.3">
      <c r="A1800" t="e">
        <f>INDEX(resultados!$A$2:$ZZ$2290, 1794, MATCH($B$1, resultados!$A$1:$ZZ$1, 0))</f>
        <v>#N/A</v>
      </c>
      <c r="B1800" t="e">
        <f>INDEX(resultados!$A$2:$ZZ$2290, 1794, MATCH($B$2, resultados!$A$1:$ZZ$1, 0))</f>
        <v>#N/A</v>
      </c>
      <c r="C1800" t="e">
        <f>INDEX(resultados!$A$2:$ZZ$2290, 1794, MATCH($B$3, resultados!$A$1:$ZZ$1, 0))</f>
        <v>#N/A</v>
      </c>
    </row>
    <row r="1801" spans="1:3" x14ac:dyDescent="0.3">
      <c r="A1801" t="e">
        <f>INDEX(resultados!$A$2:$ZZ$2290, 1795, MATCH($B$1, resultados!$A$1:$ZZ$1, 0))</f>
        <v>#N/A</v>
      </c>
      <c r="B1801" t="e">
        <f>INDEX(resultados!$A$2:$ZZ$2290, 1795, MATCH($B$2, resultados!$A$1:$ZZ$1, 0))</f>
        <v>#N/A</v>
      </c>
      <c r="C1801" t="e">
        <f>INDEX(resultados!$A$2:$ZZ$2290, 1795, MATCH($B$3, resultados!$A$1:$ZZ$1, 0))</f>
        <v>#N/A</v>
      </c>
    </row>
    <row r="1802" spans="1:3" x14ac:dyDescent="0.3">
      <c r="A1802" t="e">
        <f>INDEX(resultados!$A$2:$ZZ$2290, 1796, MATCH($B$1, resultados!$A$1:$ZZ$1, 0))</f>
        <v>#N/A</v>
      </c>
      <c r="B1802" t="e">
        <f>INDEX(resultados!$A$2:$ZZ$2290, 1796, MATCH($B$2, resultados!$A$1:$ZZ$1, 0))</f>
        <v>#N/A</v>
      </c>
      <c r="C1802" t="e">
        <f>INDEX(resultados!$A$2:$ZZ$2290, 1796, MATCH($B$3, resultados!$A$1:$ZZ$1, 0))</f>
        <v>#N/A</v>
      </c>
    </row>
    <row r="1803" spans="1:3" x14ac:dyDescent="0.3">
      <c r="A1803" t="e">
        <f>INDEX(resultados!$A$2:$ZZ$2290, 1797, MATCH($B$1, resultados!$A$1:$ZZ$1, 0))</f>
        <v>#N/A</v>
      </c>
      <c r="B1803" t="e">
        <f>INDEX(resultados!$A$2:$ZZ$2290, 1797, MATCH($B$2, resultados!$A$1:$ZZ$1, 0))</f>
        <v>#N/A</v>
      </c>
      <c r="C1803" t="e">
        <f>INDEX(resultados!$A$2:$ZZ$2290, 1797, MATCH($B$3, resultados!$A$1:$ZZ$1, 0))</f>
        <v>#N/A</v>
      </c>
    </row>
    <row r="1804" spans="1:3" x14ac:dyDescent="0.3">
      <c r="A1804" t="e">
        <f>INDEX(resultados!$A$2:$ZZ$2290, 1798, MATCH($B$1, resultados!$A$1:$ZZ$1, 0))</f>
        <v>#N/A</v>
      </c>
      <c r="B1804" t="e">
        <f>INDEX(resultados!$A$2:$ZZ$2290, 1798, MATCH($B$2, resultados!$A$1:$ZZ$1, 0))</f>
        <v>#N/A</v>
      </c>
      <c r="C1804" t="e">
        <f>INDEX(resultados!$A$2:$ZZ$2290, 1798, MATCH($B$3, resultados!$A$1:$ZZ$1, 0))</f>
        <v>#N/A</v>
      </c>
    </row>
    <row r="1805" spans="1:3" x14ac:dyDescent="0.3">
      <c r="A1805" t="e">
        <f>INDEX(resultados!$A$2:$ZZ$2290, 1799, MATCH($B$1, resultados!$A$1:$ZZ$1, 0))</f>
        <v>#N/A</v>
      </c>
      <c r="B1805" t="e">
        <f>INDEX(resultados!$A$2:$ZZ$2290, 1799, MATCH($B$2, resultados!$A$1:$ZZ$1, 0))</f>
        <v>#N/A</v>
      </c>
      <c r="C1805" t="e">
        <f>INDEX(resultados!$A$2:$ZZ$2290, 1799, MATCH($B$3, resultados!$A$1:$ZZ$1, 0))</f>
        <v>#N/A</v>
      </c>
    </row>
    <row r="1806" spans="1:3" x14ac:dyDescent="0.3">
      <c r="A1806" t="e">
        <f>INDEX(resultados!$A$2:$ZZ$2290, 1800, MATCH($B$1, resultados!$A$1:$ZZ$1, 0))</f>
        <v>#N/A</v>
      </c>
      <c r="B1806" t="e">
        <f>INDEX(resultados!$A$2:$ZZ$2290, 1800, MATCH($B$2, resultados!$A$1:$ZZ$1, 0))</f>
        <v>#N/A</v>
      </c>
      <c r="C1806" t="e">
        <f>INDEX(resultados!$A$2:$ZZ$2290, 1800, MATCH($B$3, resultados!$A$1:$ZZ$1, 0))</f>
        <v>#N/A</v>
      </c>
    </row>
    <row r="1807" spans="1:3" x14ac:dyDescent="0.3">
      <c r="A1807" t="e">
        <f>INDEX(resultados!$A$2:$ZZ$2290, 1801, MATCH($B$1, resultados!$A$1:$ZZ$1, 0))</f>
        <v>#N/A</v>
      </c>
      <c r="B1807" t="e">
        <f>INDEX(resultados!$A$2:$ZZ$2290, 1801, MATCH($B$2, resultados!$A$1:$ZZ$1, 0))</f>
        <v>#N/A</v>
      </c>
      <c r="C1807" t="e">
        <f>INDEX(resultados!$A$2:$ZZ$2290, 1801, MATCH($B$3, resultados!$A$1:$ZZ$1, 0))</f>
        <v>#N/A</v>
      </c>
    </row>
    <row r="1808" spans="1:3" x14ac:dyDescent="0.3">
      <c r="A1808" t="e">
        <f>INDEX(resultados!$A$2:$ZZ$2290, 1802, MATCH($B$1, resultados!$A$1:$ZZ$1, 0))</f>
        <v>#N/A</v>
      </c>
      <c r="B1808" t="e">
        <f>INDEX(resultados!$A$2:$ZZ$2290, 1802, MATCH($B$2, resultados!$A$1:$ZZ$1, 0))</f>
        <v>#N/A</v>
      </c>
      <c r="C1808" t="e">
        <f>INDEX(resultados!$A$2:$ZZ$2290, 1802, MATCH($B$3, resultados!$A$1:$ZZ$1, 0))</f>
        <v>#N/A</v>
      </c>
    </row>
    <row r="1809" spans="1:3" x14ac:dyDescent="0.3">
      <c r="A1809" t="e">
        <f>INDEX(resultados!$A$2:$ZZ$2290, 1803, MATCH($B$1, resultados!$A$1:$ZZ$1, 0))</f>
        <v>#N/A</v>
      </c>
      <c r="B1809" t="e">
        <f>INDEX(resultados!$A$2:$ZZ$2290, 1803, MATCH($B$2, resultados!$A$1:$ZZ$1, 0))</f>
        <v>#N/A</v>
      </c>
      <c r="C1809" t="e">
        <f>INDEX(resultados!$A$2:$ZZ$2290, 1803, MATCH($B$3, resultados!$A$1:$ZZ$1, 0))</f>
        <v>#N/A</v>
      </c>
    </row>
    <row r="1810" spans="1:3" x14ac:dyDescent="0.3">
      <c r="A1810" t="e">
        <f>INDEX(resultados!$A$2:$ZZ$2290, 1804, MATCH($B$1, resultados!$A$1:$ZZ$1, 0))</f>
        <v>#N/A</v>
      </c>
      <c r="B1810" t="e">
        <f>INDEX(resultados!$A$2:$ZZ$2290, 1804, MATCH($B$2, resultados!$A$1:$ZZ$1, 0))</f>
        <v>#N/A</v>
      </c>
      <c r="C1810" t="e">
        <f>INDEX(resultados!$A$2:$ZZ$2290, 1804, MATCH($B$3, resultados!$A$1:$ZZ$1, 0))</f>
        <v>#N/A</v>
      </c>
    </row>
    <row r="1811" spans="1:3" x14ac:dyDescent="0.3">
      <c r="A1811" t="e">
        <f>INDEX(resultados!$A$2:$ZZ$2290, 1805, MATCH($B$1, resultados!$A$1:$ZZ$1, 0))</f>
        <v>#N/A</v>
      </c>
      <c r="B1811" t="e">
        <f>INDEX(resultados!$A$2:$ZZ$2290, 1805, MATCH($B$2, resultados!$A$1:$ZZ$1, 0))</f>
        <v>#N/A</v>
      </c>
      <c r="C1811" t="e">
        <f>INDEX(resultados!$A$2:$ZZ$2290, 1805, MATCH($B$3, resultados!$A$1:$ZZ$1, 0))</f>
        <v>#N/A</v>
      </c>
    </row>
    <row r="1812" spans="1:3" x14ac:dyDescent="0.3">
      <c r="A1812" t="e">
        <f>INDEX(resultados!$A$2:$ZZ$2290, 1806, MATCH($B$1, resultados!$A$1:$ZZ$1, 0))</f>
        <v>#N/A</v>
      </c>
      <c r="B1812" t="e">
        <f>INDEX(resultados!$A$2:$ZZ$2290, 1806, MATCH($B$2, resultados!$A$1:$ZZ$1, 0))</f>
        <v>#N/A</v>
      </c>
      <c r="C1812" t="e">
        <f>INDEX(resultados!$A$2:$ZZ$2290, 1806, MATCH($B$3, resultados!$A$1:$ZZ$1, 0))</f>
        <v>#N/A</v>
      </c>
    </row>
    <row r="1813" spans="1:3" x14ac:dyDescent="0.3">
      <c r="A1813" t="e">
        <f>INDEX(resultados!$A$2:$ZZ$2290, 1807, MATCH($B$1, resultados!$A$1:$ZZ$1, 0))</f>
        <v>#N/A</v>
      </c>
      <c r="B1813" t="e">
        <f>INDEX(resultados!$A$2:$ZZ$2290, 1807, MATCH($B$2, resultados!$A$1:$ZZ$1, 0))</f>
        <v>#N/A</v>
      </c>
      <c r="C1813" t="e">
        <f>INDEX(resultados!$A$2:$ZZ$2290, 1807, MATCH($B$3, resultados!$A$1:$ZZ$1, 0))</f>
        <v>#N/A</v>
      </c>
    </row>
    <row r="1814" spans="1:3" x14ac:dyDescent="0.3">
      <c r="A1814" t="e">
        <f>INDEX(resultados!$A$2:$ZZ$2290, 1808, MATCH($B$1, resultados!$A$1:$ZZ$1, 0))</f>
        <v>#N/A</v>
      </c>
      <c r="B1814" t="e">
        <f>INDEX(resultados!$A$2:$ZZ$2290, 1808, MATCH($B$2, resultados!$A$1:$ZZ$1, 0))</f>
        <v>#N/A</v>
      </c>
      <c r="C1814" t="e">
        <f>INDEX(resultados!$A$2:$ZZ$2290, 1808, MATCH($B$3, resultados!$A$1:$ZZ$1, 0))</f>
        <v>#N/A</v>
      </c>
    </row>
    <row r="1815" spans="1:3" x14ac:dyDescent="0.3">
      <c r="A1815" t="e">
        <f>INDEX(resultados!$A$2:$ZZ$2290, 1809, MATCH($B$1, resultados!$A$1:$ZZ$1, 0))</f>
        <v>#N/A</v>
      </c>
      <c r="B1815" t="e">
        <f>INDEX(resultados!$A$2:$ZZ$2290, 1809, MATCH($B$2, resultados!$A$1:$ZZ$1, 0))</f>
        <v>#N/A</v>
      </c>
      <c r="C1815" t="e">
        <f>INDEX(resultados!$A$2:$ZZ$2290, 1809, MATCH($B$3, resultados!$A$1:$ZZ$1, 0))</f>
        <v>#N/A</v>
      </c>
    </row>
    <row r="1816" spans="1:3" x14ac:dyDescent="0.3">
      <c r="A1816" t="e">
        <f>INDEX(resultados!$A$2:$ZZ$2290, 1810, MATCH($B$1, resultados!$A$1:$ZZ$1, 0))</f>
        <v>#N/A</v>
      </c>
      <c r="B1816" t="e">
        <f>INDEX(resultados!$A$2:$ZZ$2290, 1810, MATCH($B$2, resultados!$A$1:$ZZ$1, 0))</f>
        <v>#N/A</v>
      </c>
      <c r="C1816" t="e">
        <f>INDEX(resultados!$A$2:$ZZ$2290, 1810, MATCH($B$3, resultados!$A$1:$ZZ$1, 0))</f>
        <v>#N/A</v>
      </c>
    </row>
    <row r="1817" spans="1:3" x14ac:dyDescent="0.3">
      <c r="A1817" t="e">
        <f>INDEX(resultados!$A$2:$ZZ$2290, 1811, MATCH($B$1, resultados!$A$1:$ZZ$1, 0))</f>
        <v>#N/A</v>
      </c>
      <c r="B1817" t="e">
        <f>INDEX(resultados!$A$2:$ZZ$2290, 1811, MATCH($B$2, resultados!$A$1:$ZZ$1, 0))</f>
        <v>#N/A</v>
      </c>
      <c r="C1817" t="e">
        <f>INDEX(resultados!$A$2:$ZZ$2290, 1811, MATCH($B$3, resultados!$A$1:$ZZ$1, 0))</f>
        <v>#N/A</v>
      </c>
    </row>
    <row r="1818" spans="1:3" x14ac:dyDescent="0.3">
      <c r="A1818" t="e">
        <f>INDEX(resultados!$A$2:$ZZ$2290, 1812, MATCH($B$1, resultados!$A$1:$ZZ$1, 0))</f>
        <v>#N/A</v>
      </c>
      <c r="B1818" t="e">
        <f>INDEX(resultados!$A$2:$ZZ$2290, 1812, MATCH($B$2, resultados!$A$1:$ZZ$1, 0))</f>
        <v>#N/A</v>
      </c>
      <c r="C1818" t="e">
        <f>INDEX(resultados!$A$2:$ZZ$2290, 1812, MATCH($B$3, resultados!$A$1:$ZZ$1, 0))</f>
        <v>#N/A</v>
      </c>
    </row>
    <row r="1819" spans="1:3" x14ac:dyDescent="0.3">
      <c r="A1819" t="e">
        <f>INDEX(resultados!$A$2:$ZZ$2290, 1813, MATCH($B$1, resultados!$A$1:$ZZ$1, 0))</f>
        <v>#N/A</v>
      </c>
      <c r="B1819" t="e">
        <f>INDEX(resultados!$A$2:$ZZ$2290, 1813, MATCH($B$2, resultados!$A$1:$ZZ$1, 0))</f>
        <v>#N/A</v>
      </c>
      <c r="C1819" t="e">
        <f>INDEX(resultados!$A$2:$ZZ$2290, 1813, MATCH($B$3, resultados!$A$1:$ZZ$1, 0))</f>
        <v>#N/A</v>
      </c>
    </row>
    <row r="1820" spans="1:3" x14ac:dyDescent="0.3">
      <c r="A1820" t="e">
        <f>INDEX(resultados!$A$2:$ZZ$2290, 1814, MATCH($B$1, resultados!$A$1:$ZZ$1, 0))</f>
        <v>#N/A</v>
      </c>
      <c r="B1820" t="e">
        <f>INDEX(resultados!$A$2:$ZZ$2290, 1814, MATCH($B$2, resultados!$A$1:$ZZ$1, 0))</f>
        <v>#N/A</v>
      </c>
      <c r="C1820" t="e">
        <f>INDEX(resultados!$A$2:$ZZ$2290, 1814, MATCH($B$3, resultados!$A$1:$ZZ$1, 0))</f>
        <v>#N/A</v>
      </c>
    </row>
    <row r="1821" spans="1:3" x14ac:dyDescent="0.3">
      <c r="A1821" t="e">
        <f>INDEX(resultados!$A$2:$ZZ$2290, 1815, MATCH($B$1, resultados!$A$1:$ZZ$1, 0))</f>
        <v>#N/A</v>
      </c>
      <c r="B1821" t="e">
        <f>INDEX(resultados!$A$2:$ZZ$2290, 1815, MATCH($B$2, resultados!$A$1:$ZZ$1, 0))</f>
        <v>#N/A</v>
      </c>
      <c r="C1821" t="e">
        <f>INDEX(resultados!$A$2:$ZZ$2290, 1815, MATCH($B$3, resultados!$A$1:$ZZ$1, 0))</f>
        <v>#N/A</v>
      </c>
    </row>
    <row r="1822" spans="1:3" x14ac:dyDescent="0.3">
      <c r="A1822" t="e">
        <f>INDEX(resultados!$A$2:$ZZ$2290, 1816, MATCH($B$1, resultados!$A$1:$ZZ$1, 0))</f>
        <v>#N/A</v>
      </c>
      <c r="B1822" t="e">
        <f>INDEX(resultados!$A$2:$ZZ$2290, 1816, MATCH($B$2, resultados!$A$1:$ZZ$1, 0))</f>
        <v>#N/A</v>
      </c>
      <c r="C1822" t="e">
        <f>INDEX(resultados!$A$2:$ZZ$2290, 1816, MATCH($B$3, resultados!$A$1:$ZZ$1, 0))</f>
        <v>#N/A</v>
      </c>
    </row>
    <row r="1823" spans="1:3" x14ac:dyDescent="0.3">
      <c r="A1823" t="e">
        <f>INDEX(resultados!$A$2:$ZZ$2290, 1817, MATCH($B$1, resultados!$A$1:$ZZ$1, 0))</f>
        <v>#N/A</v>
      </c>
      <c r="B1823" t="e">
        <f>INDEX(resultados!$A$2:$ZZ$2290, 1817, MATCH($B$2, resultados!$A$1:$ZZ$1, 0))</f>
        <v>#N/A</v>
      </c>
      <c r="C1823" t="e">
        <f>INDEX(resultados!$A$2:$ZZ$2290, 1817, MATCH($B$3, resultados!$A$1:$ZZ$1, 0))</f>
        <v>#N/A</v>
      </c>
    </row>
    <row r="1824" spans="1:3" x14ac:dyDescent="0.3">
      <c r="A1824" t="e">
        <f>INDEX(resultados!$A$2:$ZZ$2290, 1818, MATCH($B$1, resultados!$A$1:$ZZ$1, 0))</f>
        <v>#N/A</v>
      </c>
      <c r="B1824" t="e">
        <f>INDEX(resultados!$A$2:$ZZ$2290, 1818, MATCH($B$2, resultados!$A$1:$ZZ$1, 0))</f>
        <v>#N/A</v>
      </c>
      <c r="C1824" t="e">
        <f>INDEX(resultados!$A$2:$ZZ$2290, 1818, MATCH($B$3, resultados!$A$1:$ZZ$1, 0))</f>
        <v>#N/A</v>
      </c>
    </row>
    <row r="1825" spans="1:3" x14ac:dyDescent="0.3">
      <c r="A1825" t="e">
        <f>INDEX(resultados!$A$2:$ZZ$2290, 1819, MATCH($B$1, resultados!$A$1:$ZZ$1, 0))</f>
        <v>#N/A</v>
      </c>
      <c r="B1825" t="e">
        <f>INDEX(resultados!$A$2:$ZZ$2290, 1819, MATCH($B$2, resultados!$A$1:$ZZ$1, 0))</f>
        <v>#N/A</v>
      </c>
      <c r="C1825" t="e">
        <f>INDEX(resultados!$A$2:$ZZ$2290, 1819, MATCH($B$3, resultados!$A$1:$ZZ$1, 0))</f>
        <v>#N/A</v>
      </c>
    </row>
    <row r="1826" spans="1:3" x14ac:dyDescent="0.3">
      <c r="A1826" t="e">
        <f>INDEX(resultados!$A$2:$ZZ$2290, 1820, MATCH($B$1, resultados!$A$1:$ZZ$1, 0))</f>
        <v>#N/A</v>
      </c>
      <c r="B1826" t="e">
        <f>INDEX(resultados!$A$2:$ZZ$2290, 1820, MATCH($B$2, resultados!$A$1:$ZZ$1, 0))</f>
        <v>#N/A</v>
      </c>
      <c r="C1826" t="e">
        <f>INDEX(resultados!$A$2:$ZZ$2290, 1820, MATCH($B$3, resultados!$A$1:$ZZ$1, 0))</f>
        <v>#N/A</v>
      </c>
    </row>
    <row r="1827" spans="1:3" x14ac:dyDescent="0.3">
      <c r="A1827" t="e">
        <f>INDEX(resultados!$A$2:$ZZ$2290, 1821, MATCH($B$1, resultados!$A$1:$ZZ$1, 0))</f>
        <v>#N/A</v>
      </c>
      <c r="B1827" t="e">
        <f>INDEX(resultados!$A$2:$ZZ$2290, 1821, MATCH($B$2, resultados!$A$1:$ZZ$1, 0))</f>
        <v>#N/A</v>
      </c>
      <c r="C1827" t="e">
        <f>INDEX(resultados!$A$2:$ZZ$2290, 1821, MATCH($B$3, resultados!$A$1:$ZZ$1, 0))</f>
        <v>#N/A</v>
      </c>
    </row>
    <row r="1828" spans="1:3" x14ac:dyDescent="0.3">
      <c r="A1828" t="e">
        <f>INDEX(resultados!$A$2:$ZZ$2290, 1822, MATCH($B$1, resultados!$A$1:$ZZ$1, 0))</f>
        <v>#N/A</v>
      </c>
      <c r="B1828" t="e">
        <f>INDEX(resultados!$A$2:$ZZ$2290, 1822, MATCH($B$2, resultados!$A$1:$ZZ$1, 0))</f>
        <v>#N/A</v>
      </c>
      <c r="C1828" t="e">
        <f>INDEX(resultados!$A$2:$ZZ$2290, 1822, MATCH($B$3, resultados!$A$1:$ZZ$1, 0))</f>
        <v>#N/A</v>
      </c>
    </row>
    <row r="1829" spans="1:3" x14ac:dyDescent="0.3">
      <c r="A1829" t="e">
        <f>INDEX(resultados!$A$2:$ZZ$2290, 1823, MATCH($B$1, resultados!$A$1:$ZZ$1, 0))</f>
        <v>#N/A</v>
      </c>
      <c r="B1829" t="e">
        <f>INDEX(resultados!$A$2:$ZZ$2290, 1823, MATCH($B$2, resultados!$A$1:$ZZ$1, 0))</f>
        <v>#N/A</v>
      </c>
      <c r="C1829" t="e">
        <f>INDEX(resultados!$A$2:$ZZ$2290, 1823, MATCH($B$3, resultados!$A$1:$ZZ$1, 0))</f>
        <v>#N/A</v>
      </c>
    </row>
    <row r="1830" spans="1:3" x14ac:dyDescent="0.3">
      <c r="A1830" t="e">
        <f>INDEX(resultados!$A$2:$ZZ$2290, 1824, MATCH($B$1, resultados!$A$1:$ZZ$1, 0))</f>
        <v>#N/A</v>
      </c>
      <c r="B1830" t="e">
        <f>INDEX(resultados!$A$2:$ZZ$2290, 1824, MATCH($B$2, resultados!$A$1:$ZZ$1, 0))</f>
        <v>#N/A</v>
      </c>
      <c r="C1830" t="e">
        <f>INDEX(resultados!$A$2:$ZZ$2290, 1824, MATCH($B$3, resultados!$A$1:$ZZ$1, 0))</f>
        <v>#N/A</v>
      </c>
    </row>
    <row r="1831" spans="1:3" x14ac:dyDescent="0.3">
      <c r="A1831" t="e">
        <f>INDEX(resultados!$A$2:$ZZ$2290, 1825, MATCH($B$1, resultados!$A$1:$ZZ$1, 0))</f>
        <v>#N/A</v>
      </c>
      <c r="B1831" t="e">
        <f>INDEX(resultados!$A$2:$ZZ$2290, 1825, MATCH($B$2, resultados!$A$1:$ZZ$1, 0))</f>
        <v>#N/A</v>
      </c>
      <c r="C1831" t="e">
        <f>INDEX(resultados!$A$2:$ZZ$2290, 1825, MATCH($B$3, resultados!$A$1:$ZZ$1, 0))</f>
        <v>#N/A</v>
      </c>
    </row>
    <row r="1832" spans="1:3" x14ac:dyDescent="0.3">
      <c r="A1832" t="e">
        <f>INDEX(resultados!$A$2:$ZZ$2290, 1826, MATCH($B$1, resultados!$A$1:$ZZ$1, 0))</f>
        <v>#N/A</v>
      </c>
      <c r="B1832" t="e">
        <f>INDEX(resultados!$A$2:$ZZ$2290, 1826, MATCH($B$2, resultados!$A$1:$ZZ$1, 0))</f>
        <v>#N/A</v>
      </c>
      <c r="C1832" t="e">
        <f>INDEX(resultados!$A$2:$ZZ$2290, 1826, MATCH($B$3, resultados!$A$1:$ZZ$1, 0))</f>
        <v>#N/A</v>
      </c>
    </row>
    <row r="1833" spans="1:3" x14ac:dyDescent="0.3">
      <c r="A1833" t="e">
        <f>INDEX(resultados!$A$2:$ZZ$2290, 1827, MATCH($B$1, resultados!$A$1:$ZZ$1, 0))</f>
        <v>#N/A</v>
      </c>
      <c r="B1833" t="e">
        <f>INDEX(resultados!$A$2:$ZZ$2290, 1827, MATCH($B$2, resultados!$A$1:$ZZ$1, 0))</f>
        <v>#N/A</v>
      </c>
      <c r="C1833" t="e">
        <f>INDEX(resultados!$A$2:$ZZ$2290, 1827, MATCH($B$3, resultados!$A$1:$ZZ$1, 0))</f>
        <v>#N/A</v>
      </c>
    </row>
    <row r="1834" spans="1:3" x14ac:dyDescent="0.3">
      <c r="A1834" t="e">
        <f>INDEX(resultados!$A$2:$ZZ$2290, 1828, MATCH($B$1, resultados!$A$1:$ZZ$1, 0))</f>
        <v>#N/A</v>
      </c>
      <c r="B1834" t="e">
        <f>INDEX(resultados!$A$2:$ZZ$2290, 1828, MATCH($B$2, resultados!$A$1:$ZZ$1, 0))</f>
        <v>#N/A</v>
      </c>
      <c r="C1834" t="e">
        <f>INDEX(resultados!$A$2:$ZZ$2290, 1828, MATCH($B$3, resultados!$A$1:$ZZ$1, 0))</f>
        <v>#N/A</v>
      </c>
    </row>
    <row r="1835" spans="1:3" x14ac:dyDescent="0.3">
      <c r="A1835" t="e">
        <f>INDEX(resultados!$A$2:$ZZ$2290, 1829, MATCH($B$1, resultados!$A$1:$ZZ$1, 0))</f>
        <v>#N/A</v>
      </c>
      <c r="B1835" t="e">
        <f>INDEX(resultados!$A$2:$ZZ$2290, 1829, MATCH($B$2, resultados!$A$1:$ZZ$1, 0))</f>
        <v>#N/A</v>
      </c>
      <c r="C1835" t="e">
        <f>INDEX(resultados!$A$2:$ZZ$2290, 1829, MATCH($B$3, resultados!$A$1:$ZZ$1, 0))</f>
        <v>#N/A</v>
      </c>
    </row>
    <row r="1836" spans="1:3" x14ac:dyDescent="0.3">
      <c r="A1836" t="e">
        <f>INDEX(resultados!$A$2:$ZZ$2290, 1830, MATCH($B$1, resultados!$A$1:$ZZ$1, 0))</f>
        <v>#N/A</v>
      </c>
      <c r="B1836" t="e">
        <f>INDEX(resultados!$A$2:$ZZ$2290, 1830, MATCH($B$2, resultados!$A$1:$ZZ$1, 0))</f>
        <v>#N/A</v>
      </c>
      <c r="C1836" t="e">
        <f>INDEX(resultados!$A$2:$ZZ$2290, 1830, MATCH($B$3, resultados!$A$1:$ZZ$1, 0))</f>
        <v>#N/A</v>
      </c>
    </row>
    <row r="1837" spans="1:3" x14ac:dyDescent="0.3">
      <c r="A1837" t="e">
        <f>INDEX(resultados!$A$2:$ZZ$2290, 1831, MATCH($B$1, resultados!$A$1:$ZZ$1, 0))</f>
        <v>#N/A</v>
      </c>
      <c r="B1837" t="e">
        <f>INDEX(resultados!$A$2:$ZZ$2290, 1831, MATCH($B$2, resultados!$A$1:$ZZ$1, 0))</f>
        <v>#N/A</v>
      </c>
      <c r="C1837" t="e">
        <f>INDEX(resultados!$A$2:$ZZ$2290, 1831, MATCH($B$3, resultados!$A$1:$ZZ$1, 0))</f>
        <v>#N/A</v>
      </c>
    </row>
    <row r="1838" spans="1:3" x14ac:dyDescent="0.3">
      <c r="A1838" t="e">
        <f>INDEX(resultados!$A$2:$ZZ$2290, 1832, MATCH($B$1, resultados!$A$1:$ZZ$1, 0))</f>
        <v>#N/A</v>
      </c>
      <c r="B1838" t="e">
        <f>INDEX(resultados!$A$2:$ZZ$2290, 1832, MATCH($B$2, resultados!$A$1:$ZZ$1, 0))</f>
        <v>#N/A</v>
      </c>
      <c r="C1838" t="e">
        <f>INDEX(resultados!$A$2:$ZZ$2290, 1832, MATCH($B$3, resultados!$A$1:$ZZ$1, 0))</f>
        <v>#N/A</v>
      </c>
    </row>
    <row r="1839" spans="1:3" x14ac:dyDescent="0.3">
      <c r="A1839" t="e">
        <f>INDEX(resultados!$A$2:$ZZ$2290, 1833, MATCH($B$1, resultados!$A$1:$ZZ$1, 0))</f>
        <v>#N/A</v>
      </c>
      <c r="B1839" t="e">
        <f>INDEX(resultados!$A$2:$ZZ$2290, 1833, MATCH($B$2, resultados!$A$1:$ZZ$1, 0))</f>
        <v>#N/A</v>
      </c>
      <c r="C1839" t="e">
        <f>INDEX(resultados!$A$2:$ZZ$2290, 1833, MATCH($B$3, resultados!$A$1:$ZZ$1, 0))</f>
        <v>#N/A</v>
      </c>
    </row>
    <row r="1840" spans="1:3" x14ac:dyDescent="0.3">
      <c r="A1840" t="e">
        <f>INDEX(resultados!$A$2:$ZZ$2290, 1834, MATCH($B$1, resultados!$A$1:$ZZ$1, 0))</f>
        <v>#N/A</v>
      </c>
      <c r="B1840" t="e">
        <f>INDEX(resultados!$A$2:$ZZ$2290, 1834, MATCH($B$2, resultados!$A$1:$ZZ$1, 0))</f>
        <v>#N/A</v>
      </c>
      <c r="C1840" t="e">
        <f>INDEX(resultados!$A$2:$ZZ$2290, 1834, MATCH($B$3, resultados!$A$1:$ZZ$1, 0))</f>
        <v>#N/A</v>
      </c>
    </row>
    <row r="1841" spans="1:3" x14ac:dyDescent="0.3">
      <c r="A1841" t="e">
        <f>INDEX(resultados!$A$2:$ZZ$2290, 1835, MATCH($B$1, resultados!$A$1:$ZZ$1, 0))</f>
        <v>#N/A</v>
      </c>
      <c r="B1841" t="e">
        <f>INDEX(resultados!$A$2:$ZZ$2290, 1835, MATCH($B$2, resultados!$A$1:$ZZ$1, 0))</f>
        <v>#N/A</v>
      </c>
      <c r="C1841" t="e">
        <f>INDEX(resultados!$A$2:$ZZ$2290, 1835, MATCH($B$3, resultados!$A$1:$ZZ$1, 0))</f>
        <v>#N/A</v>
      </c>
    </row>
    <row r="1842" spans="1:3" x14ac:dyDescent="0.3">
      <c r="A1842" t="e">
        <f>INDEX(resultados!$A$2:$ZZ$2290, 1836, MATCH($B$1, resultados!$A$1:$ZZ$1, 0))</f>
        <v>#N/A</v>
      </c>
      <c r="B1842" t="e">
        <f>INDEX(resultados!$A$2:$ZZ$2290, 1836, MATCH($B$2, resultados!$A$1:$ZZ$1, 0))</f>
        <v>#N/A</v>
      </c>
      <c r="C1842" t="e">
        <f>INDEX(resultados!$A$2:$ZZ$2290, 1836, MATCH($B$3, resultados!$A$1:$ZZ$1, 0))</f>
        <v>#N/A</v>
      </c>
    </row>
    <row r="1843" spans="1:3" x14ac:dyDescent="0.3">
      <c r="A1843" t="e">
        <f>INDEX(resultados!$A$2:$ZZ$2290, 1837, MATCH($B$1, resultados!$A$1:$ZZ$1, 0))</f>
        <v>#N/A</v>
      </c>
      <c r="B1843" t="e">
        <f>INDEX(resultados!$A$2:$ZZ$2290, 1837, MATCH($B$2, resultados!$A$1:$ZZ$1, 0))</f>
        <v>#N/A</v>
      </c>
      <c r="C1843" t="e">
        <f>INDEX(resultados!$A$2:$ZZ$2290, 1837, MATCH($B$3, resultados!$A$1:$ZZ$1, 0))</f>
        <v>#N/A</v>
      </c>
    </row>
    <row r="1844" spans="1:3" x14ac:dyDescent="0.3">
      <c r="A1844" t="e">
        <f>INDEX(resultados!$A$2:$ZZ$2290, 1838, MATCH($B$1, resultados!$A$1:$ZZ$1, 0))</f>
        <v>#N/A</v>
      </c>
      <c r="B1844" t="e">
        <f>INDEX(resultados!$A$2:$ZZ$2290, 1838, MATCH($B$2, resultados!$A$1:$ZZ$1, 0))</f>
        <v>#N/A</v>
      </c>
      <c r="C1844" t="e">
        <f>INDEX(resultados!$A$2:$ZZ$2290, 1838, MATCH($B$3, resultados!$A$1:$ZZ$1, 0))</f>
        <v>#N/A</v>
      </c>
    </row>
    <row r="1845" spans="1:3" x14ac:dyDescent="0.3">
      <c r="A1845" t="e">
        <f>INDEX(resultados!$A$2:$ZZ$2290, 1839, MATCH($B$1, resultados!$A$1:$ZZ$1, 0))</f>
        <v>#N/A</v>
      </c>
      <c r="B1845" t="e">
        <f>INDEX(resultados!$A$2:$ZZ$2290, 1839, MATCH($B$2, resultados!$A$1:$ZZ$1, 0))</f>
        <v>#N/A</v>
      </c>
      <c r="C1845" t="e">
        <f>INDEX(resultados!$A$2:$ZZ$2290, 1839, MATCH($B$3, resultados!$A$1:$ZZ$1, 0))</f>
        <v>#N/A</v>
      </c>
    </row>
    <row r="1846" spans="1:3" x14ac:dyDescent="0.3">
      <c r="A1846" t="e">
        <f>INDEX(resultados!$A$2:$ZZ$2290, 1840, MATCH($B$1, resultados!$A$1:$ZZ$1, 0))</f>
        <v>#N/A</v>
      </c>
      <c r="B1846" t="e">
        <f>INDEX(resultados!$A$2:$ZZ$2290, 1840, MATCH($B$2, resultados!$A$1:$ZZ$1, 0))</f>
        <v>#N/A</v>
      </c>
      <c r="C1846" t="e">
        <f>INDEX(resultados!$A$2:$ZZ$2290, 1840, MATCH($B$3, resultados!$A$1:$ZZ$1, 0))</f>
        <v>#N/A</v>
      </c>
    </row>
    <row r="1847" spans="1:3" x14ac:dyDescent="0.3">
      <c r="A1847" t="e">
        <f>INDEX(resultados!$A$2:$ZZ$2290, 1841, MATCH($B$1, resultados!$A$1:$ZZ$1, 0))</f>
        <v>#N/A</v>
      </c>
      <c r="B1847" t="e">
        <f>INDEX(resultados!$A$2:$ZZ$2290, 1841, MATCH($B$2, resultados!$A$1:$ZZ$1, 0))</f>
        <v>#N/A</v>
      </c>
      <c r="C1847" t="e">
        <f>INDEX(resultados!$A$2:$ZZ$2290, 1841, MATCH($B$3, resultados!$A$1:$ZZ$1, 0))</f>
        <v>#N/A</v>
      </c>
    </row>
    <row r="1848" spans="1:3" x14ac:dyDescent="0.3">
      <c r="A1848" t="e">
        <f>INDEX(resultados!$A$2:$ZZ$2290, 1842, MATCH($B$1, resultados!$A$1:$ZZ$1, 0))</f>
        <v>#N/A</v>
      </c>
      <c r="B1848" t="e">
        <f>INDEX(resultados!$A$2:$ZZ$2290, 1842, MATCH($B$2, resultados!$A$1:$ZZ$1, 0))</f>
        <v>#N/A</v>
      </c>
      <c r="C1848" t="e">
        <f>INDEX(resultados!$A$2:$ZZ$2290, 1842, MATCH($B$3, resultados!$A$1:$ZZ$1, 0))</f>
        <v>#N/A</v>
      </c>
    </row>
    <row r="1849" spans="1:3" x14ac:dyDescent="0.3">
      <c r="A1849" t="e">
        <f>INDEX(resultados!$A$2:$ZZ$2290, 1843, MATCH($B$1, resultados!$A$1:$ZZ$1, 0))</f>
        <v>#N/A</v>
      </c>
      <c r="B1849" t="e">
        <f>INDEX(resultados!$A$2:$ZZ$2290, 1843, MATCH($B$2, resultados!$A$1:$ZZ$1, 0))</f>
        <v>#N/A</v>
      </c>
      <c r="C1849" t="e">
        <f>INDEX(resultados!$A$2:$ZZ$2290, 1843, MATCH($B$3, resultados!$A$1:$ZZ$1, 0))</f>
        <v>#N/A</v>
      </c>
    </row>
    <row r="1850" spans="1:3" x14ac:dyDescent="0.3">
      <c r="A1850" t="e">
        <f>INDEX(resultados!$A$2:$ZZ$2290, 1844, MATCH($B$1, resultados!$A$1:$ZZ$1, 0))</f>
        <v>#N/A</v>
      </c>
      <c r="B1850" t="e">
        <f>INDEX(resultados!$A$2:$ZZ$2290, 1844, MATCH($B$2, resultados!$A$1:$ZZ$1, 0))</f>
        <v>#N/A</v>
      </c>
      <c r="C1850" t="e">
        <f>INDEX(resultados!$A$2:$ZZ$2290, 1844, MATCH($B$3, resultados!$A$1:$ZZ$1, 0))</f>
        <v>#N/A</v>
      </c>
    </row>
    <row r="1851" spans="1:3" x14ac:dyDescent="0.3">
      <c r="A1851" t="e">
        <f>INDEX(resultados!$A$2:$ZZ$2290, 1845, MATCH($B$1, resultados!$A$1:$ZZ$1, 0))</f>
        <v>#N/A</v>
      </c>
      <c r="B1851" t="e">
        <f>INDEX(resultados!$A$2:$ZZ$2290, 1845, MATCH($B$2, resultados!$A$1:$ZZ$1, 0))</f>
        <v>#N/A</v>
      </c>
      <c r="C1851" t="e">
        <f>INDEX(resultados!$A$2:$ZZ$2290, 1845, MATCH($B$3, resultados!$A$1:$ZZ$1, 0))</f>
        <v>#N/A</v>
      </c>
    </row>
    <row r="1852" spans="1:3" x14ac:dyDescent="0.3">
      <c r="A1852" t="e">
        <f>INDEX(resultados!$A$2:$ZZ$2290, 1846, MATCH($B$1, resultados!$A$1:$ZZ$1, 0))</f>
        <v>#N/A</v>
      </c>
      <c r="B1852" t="e">
        <f>INDEX(resultados!$A$2:$ZZ$2290, 1846, MATCH($B$2, resultados!$A$1:$ZZ$1, 0))</f>
        <v>#N/A</v>
      </c>
      <c r="C1852" t="e">
        <f>INDEX(resultados!$A$2:$ZZ$2290, 1846, MATCH($B$3, resultados!$A$1:$ZZ$1, 0))</f>
        <v>#N/A</v>
      </c>
    </row>
    <row r="1853" spans="1:3" x14ac:dyDescent="0.3">
      <c r="A1853" t="e">
        <f>INDEX(resultados!$A$2:$ZZ$2290, 1847, MATCH($B$1, resultados!$A$1:$ZZ$1, 0))</f>
        <v>#N/A</v>
      </c>
      <c r="B1853" t="e">
        <f>INDEX(resultados!$A$2:$ZZ$2290, 1847, MATCH($B$2, resultados!$A$1:$ZZ$1, 0))</f>
        <v>#N/A</v>
      </c>
      <c r="C1853" t="e">
        <f>INDEX(resultados!$A$2:$ZZ$2290, 1847, MATCH($B$3, resultados!$A$1:$ZZ$1, 0))</f>
        <v>#N/A</v>
      </c>
    </row>
    <row r="1854" spans="1:3" x14ac:dyDescent="0.3">
      <c r="A1854" t="e">
        <f>INDEX(resultados!$A$2:$ZZ$2290, 1848, MATCH($B$1, resultados!$A$1:$ZZ$1, 0))</f>
        <v>#N/A</v>
      </c>
      <c r="B1854" t="e">
        <f>INDEX(resultados!$A$2:$ZZ$2290, 1848, MATCH($B$2, resultados!$A$1:$ZZ$1, 0))</f>
        <v>#N/A</v>
      </c>
      <c r="C1854" t="e">
        <f>INDEX(resultados!$A$2:$ZZ$2290, 1848, MATCH($B$3, resultados!$A$1:$ZZ$1, 0))</f>
        <v>#N/A</v>
      </c>
    </row>
    <row r="1855" spans="1:3" x14ac:dyDescent="0.3">
      <c r="A1855" t="e">
        <f>INDEX(resultados!$A$2:$ZZ$2290, 1849, MATCH($B$1, resultados!$A$1:$ZZ$1, 0))</f>
        <v>#N/A</v>
      </c>
      <c r="B1855" t="e">
        <f>INDEX(resultados!$A$2:$ZZ$2290, 1849, MATCH($B$2, resultados!$A$1:$ZZ$1, 0))</f>
        <v>#N/A</v>
      </c>
      <c r="C1855" t="e">
        <f>INDEX(resultados!$A$2:$ZZ$2290, 1849, MATCH($B$3, resultados!$A$1:$ZZ$1, 0))</f>
        <v>#N/A</v>
      </c>
    </row>
    <row r="1856" spans="1:3" x14ac:dyDescent="0.3">
      <c r="A1856" t="e">
        <f>INDEX(resultados!$A$2:$ZZ$2290, 1850, MATCH($B$1, resultados!$A$1:$ZZ$1, 0))</f>
        <v>#N/A</v>
      </c>
      <c r="B1856" t="e">
        <f>INDEX(resultados!$A$2:$ZZ$2290, 1850, MATCH($B$2, resultados!$A$1:$ZZ$1, 0))</f>
        <v>#N/A</v>
      </c>
      <c r="C1856" t="e">
        <f>INDEX(resultados!$A$2:$ZZ$2290, 1850, MATCH($B$3, resultados!$A$1:$ZZ$1, 0))</f>
        <v>#N/A</v>
      </c>
    </row>
    <row r="1857" spans="1:3" x14ac:dyDescent="0.3">
      <c r="A1857" t="e">
        <f>INDEX(resultados!$A$2:$ZZ$2290, 1851, MATCH($B$1, resultados!$A$1:$ZZ$1, 0))</f>
        <v>#N/A</v>
      </c>
      <c r="B1857" t="e">
        <f>INDEX(resultados!$A$2:$ZZ$2290, 1851, MATCH($B$2, resultados!$A$1:$ZZ$1, 0))</f>
        <v>#N/A</v>
      </c>
      <c r="C1857" t="e">
        <f>INDEX(resultados!$A$2:$ZZ$2290, 1851, MATCH($B$3, resultados!$A$1:$ZZ$1, 0))</f>
        <v>#N/A</v>
      </c>
    </row>
    <row r="1858" spans="1:3" x14ac:dyDescent="0.3">
      <c r="A1858" t="e">
        <f>INDEX(resultados!$A$2:$ZZ$2290, 1852, MATCH($B$1, resultados!$A$1:$ZZ$1, 0))</f>
        <v>#N/A</v>
      </c>
      <c r="B1858" t="e">
        <f>INDEX(resultados!$A$2:$ZZ$2290, 1852, MATCH($B$2, resultados!$A$1:$ZZ$1, 0))</f>
        <v>#N/A</v>
      </c>
      <c r="C1858" t="e">
        <f>INDEX(resultados!$A$2:$ZZ$2290, 1852, MATCH($B$3, resultados!$A$1:$ZZ$1, 0))</f>
        <v>#N/A</v>
      </c>
    </row>
    <row r="1859" spans="1:3" x14ac:dyDescent="0.3">
      <c r="A1859" t="e">
        <f>INDEX(resultados!$A$2:$ZZ$2290, 1853, MATCH($B$1, resultados!$A$1:$ZZ$1, 0))</f>
        <v>#N/A</v>
      </c>
      <c r="B1859" t="e">
        <f>INDEX(resultados!$A$2:$ZZ$2290, 1853, MATCH($B$2, resultados!$A$1:$ZZ$1, 0))</f>
        <v>#N/A</v>
      </c>
      <c r="C1859" t="e">
        <f>INDEX(resultados!$A$2:$ZZ$2290, 1853, MATCH($B$3, resultados!$A$1:$ZZ$1, 0))</f>
        <v>#N/A</v>
      </c>
    </row>
    <row r="1860" spans="1:3" x14ac:dyDescent="0.3">
      <c r="A1860" t="e">
        <f>INDEX(resultados!$A$2:$ZZ$2290, 1854, MATCH($B$1, resultados!$A$1:$ZZ$1, 0))</f>
        <v>#N/A</v>
      </c>
      <c r="B1860" t="e">
        <f>INDEX(resultados!$A$2:$ZZ$2290, 1854, MATCH($B$2, resultados!$A$1:$ZZ$1, 0))</f>
        <v>#N/A</v>
      </c>
      <c r="C1860" t="e">
        <f>INDEX(resultados!$A$2:$ZZ$2290, 1854, MATCH($B$3, resultados!$A$1:$ZZ$1, 0))</f>
        <v>#N/A</v>
      </c>
    </row>
    <row r="1861" spans="1:3" x14ac:dyDescent="0.3">
      <c r="A1861" t="e">
        <f>INDEX(resultados!$A$2:$ZZ$2290, 1855, MATCH($B$1, resultados!$A$1:$ZZ$1, 0))</f>
        <v>#N/A</v>
      </c>
      <c r="B1861" t="e">
        <f>INDEX(resultados!$A$2:$ZZ$2290, 1855, MATCH($B$2, resultados!$A$1:$ZZ$1, 0))</f>
        <v>#N/A</v>
      </c>
      <c r="C1861" t="e">
        <f>INDEX(resultados!$A$2:$ZZ$2290, 1855, MATCH($B$3, resultados!$A$1:$ZZ$1, 0))</f>
        <v>#N/A</v>
      </c>
    </row>
    <row r="1862" spans="1:3" x14ac:dyDescent="0.3">
      <c r="A1862" t="e">
        <f>INDEX(resultados!$A$2:$ZZ$2290, 1856, MATCH($B$1, resultados!$A$1:$ZZ$1, 0))</f>
        <v>#N/A</v>
      </c>
      <c r="B1862" t="e">
        <f>INDEX(resultados!$A$2:$ZZ$2290, 1856, MATCH($B$2, resultados!$A$1:$ZZ$1, 0))</f>
        <v>#N/A</v>
      </c>
      <c r="C1862" t="e">
        <f>INDEX(resultados!$A$2:$ZZ$2290, 1856, MATCH($B$3, resultados!$A$1:$ZZ$1, 0))</f>
        <v>#N/A</v>
      </c>
    </row>
    <row r="1863" spans="1:3" x14ac:dyDescent="0.3">
      <c r="A1863" t="e">
        <f>INDEX(resultados!$A$2:$ZZ$2290, 1857, MATCH($B$1, resultados!$A$1:$ZZ$1, 0))</f>
        <v>#N/A</v>
      </c>
      <c r="B1863" t="e">
        <f>INDEX(resultados!$A$2:$ZZ$2290, 1857, MATCH($B$2, resultados!$A$1:$ZZ$1, 0))</f>
        <v>#N/A</v>
      </c>
      <c r="C1863" t="e">
        <f>INDEX(resultados!$A$2:$ZZ$2290, 1857, MATCH($B$3, resultados!$A$1:$ZZ$1, 0))</f>
        <v>#N/A</v>
      </c>
    </row>
    <row r="1864" spans="1:3" x14ac:dyDescent="0.3">
      <c r="A1864" t="e">
        <f>INDEX(resultados!$A$2:$ZZ$2290, 1858, MATCH($B$1, resultados!$A$1:$ZZ$1, 0))</f>
        <v>#N/A</v>
      </c>
      <c r="B1864" t="e">
        <f>INDEX(resultados!$A$2:$ZZ$2290, 1858, MATCH($B$2, resultados!$A$1:$ZZ$1, 0))</f>
        <v>#N/A</v>
      </c>
      <c r="C1864" t="e">
        <f>INDEX(resultados!$A$2:$ZZ$2290, 1858, MATCH($B$3, resultados!$A$1:$ZZ$1, 0))</f>
        <v>#N/A</v>
      </c>
    </row>
    <row r="1865" spans="1:3" x14ac:dyDescent="0.3">
      <c r="A1865" t="e">
        <f>INDEX(resultados!$A$2:$ZZ$2290, 1859, MATCH($B$1, resultados!$A$1:$ZZ$1, 0))</f>
        <v>#N/A</v>
      </c>
      <c r="B1865" t="e">
        <f>INDEX(resultados!$A$2:$ZZ$2290, 1859, MATCH($B$2, resultados!$A$1:$ZZ$1, 0))</f>
        <v>#N/A</v>
      </c>
      <c r="C1865" t="e">
        <f>INDEX(resultados!$A$2:$ZZ$2290, 1859, MATCH($B$3, resultados!$A$1:$ZZ$1, 0))</f>
        <v>#N/A</v>
      </c>
    </row>
    <row r="1866" spans="1:3" x14ac:dyDescent="0.3">
      <c r="A1866" t="e">
        <f>INDEX(resultados!$A$2:$ZZ$2290, 1860, MATCH($B$1, resultados!$A$1:$ZZ$1, 0))</f>
        <v>#N/A</v>
      </c>
      <c r="B1866" t="e">
        <f>INDEX(resultados!$A$2:$ZZ$2290, 1860, MATCH($B$2, resultados!$A$1:$ZZ$1, 0))</f>
        <v>#N/A</v>
      </c>
      <c r="C1866" t="e">
        <f>INDEX(resultados!$A$2:$ZZ$2290, 1860, MATCH($B$3, resultados!$A$1:$ZZ$1, 0))</f>
        <v>#N/A</v>
      </c>
    </row>
    <row r="1867" spans="1:3" x14ac:dyDescent="0.3">
      <c r="A1867" t="e">
        <f>INDEX(resultados!$A$2:$ZZ$2290, 1861, MATCH($B$1, resultados!$A$1:$ZZ$1, 0))</f>
        <v>#N/A</v>
      </c>
      <c r="B1867" t="e">
        <f>INDEX(resultados!$A$2:$ZZ$2290, 1861, MATCH($B$2, resultados!$A$1:$ZZ$1, 0))</f>
        <v>#N/A</v>
      </c>
      <c r="C1867" t="e">
        <f>INDEX(resultados!$A$2:$ZZ$2290, 1861, MATCH($B$3, resultados!$A$1:$ZZ$1, 0))</f>
        <v>#N/A</v>
      </c>
    </row>
    <row r="1868" spans="1:3" x14ac:dyDescent="0.3">
      <c r="A1868" t="e">
        <f>INDEX(resultados!$A$2:$ZZ$2290, 1862, MATCH($B$1, resultados!$A$1:$ZZ$1, 0))</f>
        <v>#N/A</v>
      </c>
      <c r="B1868" t="e">
        <f>INDEX(resultados!$A$2:$ZZ$2290, 1862, MATCH($B$2, resultados!$A$1:$ZZ$1, 0))</f>
        <v>#N/A</v>
      </c>
      <c r="C1868" t="e">
        <f>INDEX(resultados!$A$2:$ZZ$2290, 1862, MATCH($B$3, resultados!$A$1:$ZZ$1, 0))</f>
        <v>#N/A</v>
      </c>
    </row>
    <row r="1869" spans="1:3" x14ac:dyDescent="0.3">
      <c r="A1869" t="e">
        <f>INDEX(resultados!$A$2:$ZZ$2290, 1863, MATCH($B$1, resultados!$A$1:$ZZ$1, 0))</f>
        <v>#N/A</v>
      </c>
      <c r="B1869" t="e">
        <f>INDEX(resultados!$A$2:$ZZ$2290, 1863, MATCH($B$2, resultados!$A$1:$ZZ$1, 0))</f>
        <v>#N/A</v>
      </c>
      <c r="C1869" t="e">
        <f>INDEX(resultados!$A$2:$ZZ$2290, 1863, MATCH($B$3, resultados!$A$1:$ZZ$1, 0))</f>
        <v>#N/A</v>
      </c>
    </row>
    <row r="1870" spans="1:3" x14ac:dyDescent="0.3">
      <c r="A1870" t="e">
        <f>INDEX(resultados!$A$2:$ZZ$2290, 1864, MATCH($B$1, resultados!$A$1:$ZZ$1, 0))</f>
        <v>#N/A</v>
      </c>
      <c r="B1870" t="e">
        <f>INDEX(resultados!$A$2:$ZZ$2290, 1864, MATCH($B$2, resultados!$A$1:$ZZ$1, 0))</f>
        <v>#N/A</v>
      </c>
      <c r="C1870" t="e">
        <f>INDEX(resultados!$A$2:$ZZ$2290, 1864, MATCH($B$3, resultados!$A$1:$ZZ$1, 0))</f>
        <v>#N/A</v>
      </c>
    </row>
    <row r="1871" spans="1:3" x14ac:dyDescent="0.3">
      <c r="A1871" t="e">
        <f>INDEX(resultados!$A$2:$ZZ$2290, 1865, MATCH($B$1, resultados!$A$1:$ZZ$1, 0))</f>
        <v>#N/A</v>
      </c>
      <c r="B1871" t="e">
        <f>INDEX(resultados!$A$2:$ZZ$2290, 1865, MATCH($B$2, resultados!$A$1:$ZZ$1, 0))</f>
        <v>#N/A</v>
      </c>
      <c r="C1871" t="e">
        <f>INDEX(resultados!$A$2:$ZZ$2290, 1865, MATCH($B$3, resultados!$A$1:$ZZ$1, 0))</f>
        <v>#N/A</v>
      </c>
    </row>
    <row r="1872" spans="1:3" x14ac:dyDescent="0.3">
      <c r="A1872" t="e">
        <f>INDEX(resultados!$A$2:$ZZ$2290, 1866, MATCH($B$1, resultados!$A$1:$ZZ$1, 0))</f>
        <v>#N/A</v>
      </c>
      <c r="B1872" t="e">
        <f>INDEX(resultados!$A$2:$ZZ$2290, 1866, MATCH($B$2, resultados!$A$1:$ZZ$1, 0))</f>
        <v>#N/A</v>
      </c>
      <c r="C1872" t="e">
        <f>INDEX(resultados!$A$2:$ZZ$2290, 1866, MATCH($B$3, resultados!$A$1:$ZZ$1, 0))</f>
        <v>#N/A</v>
      </c>
    </row>
    <row r="1873" spans="1:3" x14ac:dyDescent="0.3">
      <c r="A1873" t="e">
        <f>INDEX(resultados!$A$2:$ZZ$2290, 1867, MATCH($B$1, resultados!$A$1:$ZZ$1, 0))</f>
        <v>#N/A</v>
      </c>
      <c r="B1873" t="e">
        <f>INDEX(resultados!$A$2:$ZZ$2290, 1867, MATCH($B$2, resultados!$A$1:$ZZ$1, 0))</f>
        <v>#N/A</v>
      </c>
      <c r="C1873" t="e">
        <f>INDEX(resultados!$A$2:$ZZ$2290, 1867, MATCH($B$3, resultados!$A$1:$ZZ$1, 0))</f>
        <v>#N/A</v>
      </c>
    </row>
    <row r="1874" spans="1:3" x14ac:dyDescent="0.3">
      <c r="A1874" t="e">
        <f>INDEX(resultados!$A$2:$ZZ$2290, 1868, MATCH($B$1, resultados!$A$1:$ZZ$1, 0))</f>
        <v>#N/A</v>
      </c>
      <c r="B1874" t="e">
        <f>INDEX(resultados!$A$2:$ZZ$2290, 1868, MATCH($B$2, resultados!$A$1:$ZZ$1, 0))</f>
        <v>#N/A</v>
      </c>
      <c r="C1874" t="e">
        <f>INDEX(resultados!$A$2:$ZZ$2290, 1868, MATCH($B$3, resultados!$A$1:$ZZ$1, 0))</f>
        <v>#N/A</v>
      </c>
    </row>
    <row r="1875" spans="1:3" x14ac:dyDescent="0.3">
      <c r="A1875" t="e">
        <f>INDEX(resultados!$A$2:$ZZ$2290, 1869, MATCH($B$1, resultados!$A$1:$ZZ$1, 0))</f>
        <v>#N/A</v>
      </c>
      <c r="B1875" t="e">
        <f>INDEX(resultados!$A$2:$ZZ$2290, 1869, MATCH($B$2, resultados!$A$1:$ZZ$1, 0))</f>
        <v>#N/A</v>
      </c>
      <c r="C1875" t="e">
        <f>INDEX(resultados!$A$2:$ZZ$2290, 1869, MATCH($B$3, resultados!$A$1:$ZZ$1, 0))</f>
        <v>#N/A</v>
      </c>
    </row>
    <row r="1876" spans="1:3" x14ac:dyDescent="0.3">
      <c r="A1876" t="e">
        <f>INDEX(resultados!$A$2:$ZZ$2290, 1870, MATCH($B$1, resultados!$A$1:$ZZ$1, 0))</f>
        <v>#N/A</v>
      </c>
      <c r="B1876" t="e">
        <f>INDEX(resultados!$A$2:$ZZ$2290, 1870, MATCH($B$2, resultados!$A$1:$ZZ$1, 0))</f>
        <v>#N/A</v>
      </c>
      <c r="C1876" t="e">
        <f>INDEX(resultados!$A$2:$ZZ$2290, 1870, MATCH($B$3, resultados!$A$1:$ZZ$1, 0))</f>
        <v>#N/A</v>
      </c>
    </row>
    <row r="1877" spans="1:3" x14ac:dyDescent="0.3">
      <c r="A1877" t="e">
        <f>INDEX(resultados!$A$2:$ZZ$2290, 1871, MATCH($B$1, resultados!$A$1:$ZZ$1, 0))</f>
        <v>#N/A</v>
      </c>
      <c r="B1877" t="e">
        <f>INDEX(resultados!$A$2:$ZZ$2290, 1871, MATCH($B$2, resultados!$A$1:$ZZ$1, 0))</f>
        <v>#N/A</v>
      </c>
      <c r="C1877" t="e">
        <f>INDEX(resultados!$A$2:$ZZ$2290, 1871, MATCH($B$3, resultados!$A$1:$ZZ$1, 0))</f>
        <v>#N/A</v>
      </c>
    </row>
    <row r="1878" spans="1:3" x14ac:dyDescent="0.3">
      <c r="A1878" t="e">
        <f>INDEX(resultados!$A$2:$ZZ$2290, 1872, MATCH($B$1, resultados!$A$1:$ZZ$1, 0))</f>
        <v>#N/A</v>
      </c>
      <c r="B1878" t="e">
        <f>INDEX(resultados!$A$2:$ZZ$2290, 1872, MATCH($B$2, resultados!$A$1:$ZZ$1, 0))</f>
        <v>#N/A</v>
      </c>
      <c r="C1878" t="e">
        <f>INDEX(resultados!$A$2:$ZZ$2290, 1872, MATCH($B$3, resultados!$A$1:$ZZ$1, 0))</f>
        <v>#N/A</v>
      </c>
    </row>
    <row r="1879" spans="1:3" x14ac:dyDescent="0.3">
      <c r="A1879" t="e">
        <f>INDEX(resultados!$A$2:$ZZ$2290, 1873, MATCH($B$1, resultados!$A$1:$ZZ$1, 0))</f>
        <v>#N/A</v>
      </c>
      <c r="B1879" t="e">
        <f>INDEX(resultados!$A$2:$ZZ$2290, 1873, MATCH($B$2, resultados!$A$1:$ZZ$1, 0))</f>
        <v>#N/A</v>
      </c>
      <c r="C1879" t="e">
        <f>INDEX(resultados!$A$2:$ZZ$2290, 1873, MATCH($B$3, resultados!$A$1:$ZZ$1, 0))</f>
        <v>#N/A</v>
      </c>
    </row>
    <row r="1880" spans="1:3" x14ac:dyDescent="0.3">
      <c r="A1880" t="e">
        <f>INDEX(resultados!$A$2:$ZZ$2290, 1874, MATCH($B$1, resultados!$A$1:$ZZ$1, 0))</f>
        <v>#N/A</v>
      </c>
      <c r="B1880" t="e">
        <f>INDEX(resultados!$A$2:$ZZ$2290, 1874, MATCH($B$2, resultados!$A$1:$ZZ$1, 0))</f>
        <v>#N/A</v>
      </c>
      <c r="C1880" t="e">
        <f>INDEX(resultados!$A$2:$ZZ$2290, 1874, MATCH($B$3, resultados!$A$1:$ZZ$1, 0))</f>
        <v>#N/A</v>
      </c>
    </row>
    <row r="1881" spans="1:3" x14ac:dyDescent="0.3">
      <c r="A1881" t="e">
        <f>INDEX(resultados!$A$2:$ZZ$2290, 1875, MATCH($B$1, resultados!$A$1:$ZZ$1, 0))</f>
        <v>#N/A</v>
      </c>
      <c r="B1881" t="e">
        <f>INDEX(resultados!$A$2:$ZZ$2290, 1875, MATCH($B$2, resultados!$A$1:$ZZ$1, 0))</f>
        <v>#N/A</v>
      </c>
      <c r="C1881" t="e">
        <f>INDEX(resultados!$A$2:$ZZ$2290, 1875, MATCH($B$3, resultados!$A$1:$ZZ$1, 0))</f>
        <v>#N/A</v>
      </c>
    </row>
    <row r="1882" spans="1:3" x14ac:dyDescent="0.3">
      <c r="A1882" t="e">
        <f>INDEX(resultados!$A$2:$ZZ$2290, 1876, MATCH($B$1, resultados!$A$1:$ZZ$1, 0))</f>
        <v>#N/A</v>
      </c>
      <c r="B1882" t="e">
        <f>INDEX(resultados!$A$2:$ZZ$2290, 1876, MATCH($B$2, resultados!$A$1:$ZZ$1, 0))</f>
        <v>#N/A</v>
      </c>
      <c r="C1882" t="e">
        <f>INDEX(resultados!$A$2:$ZZ$2290, 1876, MATCH($B$3, resultados!$A$1:$ZZ$1, 0))</f>
        <v>#N/A</v>
      </c>
    </row>
    <row r="1883" spans="1:3" x14ac:dyDescent="0.3">
      <c r="A1883" t="e">
        <f>INDEX(resultados!$A$2:$ZZ$2290, 1877, MATCH($B$1, resultados!$A$1:$ZZ$1, 0))</f>
        <v>#N/A</v>
      </c>
      <c r="B1883" t="e">
        <f>INDEX(resultados!$A$2:$ZZ$2290, 1877, MATCH($B$2, resultados!$A$1:$ZZ$1, 0))</f>
        <v>#N/A</v>
      </c>
      <c r="C1883" t="e">
        <f>INDEX(resultados!$A$2:$ZZ$2290, 1877, MATCH($B$3, resultados!$A$1:$ZZ$1, 0))</f>
        <v>#N/A</v>
      </c>
    </row>
    <row r="1884" spans="1:3" x14ac:dyDescent="0.3">
      <c r="A1884" t="e">
        <f>INDEX(resultados!$A$2:$ZZ$2290, 1878, MATCH($B$1, resultados!$A$1:$ZZ$1, 0))</f>
        <v>#N/A</v>
      </c>
      <c r="B1884" t="e">
        <f>INDEX(resultados!$A$2:$ZZ$2290, 1878, MATCH($B$2, resultados!$A$1:$ZZ$1, 0))</f>
        <v>#N/A</v>
      </c>
      <c r="C1884" t="e">
        <f>INDEX(resultados!$A$2:$ZZ$2290, 1878, MATCH($B$3, resultados!$A$1:$ZZ$1, 0))</f>
        <v>#N/A</v>
      </c>
    </row>
    <row r="1885" spans="1:3" x14ac:dyDescent="0.3">
      <c r="A1885" t="e">
        <f>INDEX(resultados!$A$2:$ZZ$2290, 1879, MATCH($B$1, resultados!$A$1:$ZZ$1, 0))</f>
        <v>#N/A</v>
      </c>
      <c r="B1885" t="e">
        <f>INDEX(resultados!$A$2:$ZZ$2290, 1879, MATCH($B$2, resultados!$A$1:$ZZ$1, 0))</f>
        <v>#N/A</v>
      </c>
      <c r="C1885" t="e">
        <f>INDEX(resultados!$A$2:$ZZ$2290, 1879, MATCH($B$3, resultados!$A$1:$ZZ$1, 0))</f>
        <v>#N/A</v>
      </c>
    </row>
    <row r="1886" spans="1:3" x14ac:dyDescent="0.3">
      <c r="A1886" t="e">
        <f>INDEX(resultados!$A$2:$ZZ$2290, 1880, MATCH($B$1, resultados!$A$1:$ZZ$1, 0))</f>
        <v>#N/A</v>
      </c>
      <c r="B1886" t="e">
        <f>INDEX(resultados!$A$2:$ZZ$2290, 1880, MATCH($B$2, resultados!$A$1:$ZZ$1, 0))</f>
        <v>#N/A</v>
      </c>
      <c r="C1886" t="e">
        <f>INDEX(resultados!$A$2:$ZZ$2290, 1880, MATCH($B$3, resultados!$A$1:$ZZ$1, 0))</f>
        <v>#N/A</v>
      </c>
    </row>
    <row r="1887" spans="1:3" x14ac:dyDescent="0.3">
      <c r="A1887" t="e">
        <f>INDEX(resultados!$A$2:$ZZ$2290, 1881, MATCH($B$1, resultados!$A$1:$ZZ$1, 0))</f>
        <v>#N/A</v>
      </c>
      <c r="B1887" t="e">
        <f>INDEX(resultados!$A$2:$ZZ$2290, 1881, MATCH($B$2, resultados!$A$1:$ZZ$1, 0))</f>
        <v>#N/A</v>
      </c>
      <c r="C1887" t="e">
        <f>INDEX(resultados!$A$2:$ZZ$2290, 1881, MATCH($B$3, resultados!$A$1:$ZZ$1, 0))</f>
        <v>#N/A</v>
      </c>
    </row>
    <row r="1888" spans="1:3" x14ac:dyDescent="0.3">
      <c r="A1888" t="e">
        <f>INDEX(resultados!$A$2:$ZZ$2290, 1882, MATCH($B$1, resultados!$A$1:$ZZ$1, 0))</f>
        <v>#N/A</v>
      </c>
      <c r="B1888" t="e">
        <f>INDEX(resultados!$A$2:$ZZ$2290, 1882, MATCH($B$2, resultados!$A$1:$ZZ$1, 0))</f>
        <v>#N/A</v>
      </c>
      <c r="C1888" t="e">
        <f>INDEX(resultados!$A$2:$ZZ$2290, 1882, MATCH($B$3, resultados!$A$1:$ZZ$1, 0))</f>
        <v>#N/A</v>
      </c>
    </row>
    <row r="1889" spans="1:3" x14ac:dyDescent="0.3">
      <c r="A1889" t="e">
        <f>INDEX(resultados!$A$2:$ZZ$2290, 1883, MATCH($B$1, resultados!$A$1:$ZZ$1, 0))</f>
        <v>#N/A</v>
      </c>
      <c r="B1889" t="e">
        <f>INDEX(resultados!$A$2:$ZZ$2290, 1883, MATCH($B$2, resultados!$A$1:$ZZ$1, 0))</f>
        <v>#N/A</v>
      </c>
      <c r="C1889" t="e">
        <f>INDEX(resultados!$A$2:$ZZ$2290, 1883, MATCH($B$3, resultados!$A$1:$ZZ$1, 0))</f>
        <v>#N/A</v>
      </c>
    </row>
    <row r="1890" spans="1:3" x14ac:dyDescent="0.3">
      <c r="A1890" t="e">
        <f>INDEX(resultados!$A$2:$ZZ$2290, 1884, MATCH($B$1, resultados!$A$1:$ZZ$1, 0))</f>
        <v>#N/A</v>
      </c>
      <c r="B1890" t="e">
        <f>INDEX(resultados!$A$2:$ZZ$2290, 1884, MATCH($B$2, resultados!$A$1:$ZZ$1, 0))</f>
        <v>#N/A</v>
      </c>
      <c r="C1890" t="e">
        <f>INDEX(resultados!$A$2:$ZZ$2290, 1884, MATCH($B$3, resultados!$A$1:$ZZ$1, 0))</f>
        <v>#N/A</v>
      </c>
    </row>
    <row r="1891" spans="1:3" x14ac:dyDescent="0.3">
      <c r="A1891" t="e">
        <f>INDEX(resultados!$A$2:$ZZ$2290, 1885, MATCH($B$1, resultados!$A$1:$ZZ$1, 0))</f>
        <v>#N/A</v>
      </c>
      <c r="B1891" t="e">
        <f>INDEX(resultados!$A$2:$ZZ$2290, 1885, MATCH($B$2, resultados!$A$1:$ZZ$1, 0))</f>
        <v>#N/A</v>
      </c>
      <c r="C1891" t="e">
        <f>INDEX(resultados!$A$2:$ZZ$2290, 1885, MATCH($B$3, resultados!$A$1:$ZZ$1, 0))</f>
        <v>#N/A</v>
      </c>
    </row>
    <row r="1892" spans="1:3" x14ac:dyDescent="0.3">
      <c r="A1892" t="e">
        <f>INDEX(resultados!$A$2:$ZZ$2290, 1886, MATCH($B$1, resultados!$A$1:$ZZ$1, 0))</f>
        <v>#N/A</v>
      </c>
      <c r="B1892" t="e">
        <f>INDEX(resultados!$A$2:$ZZ$2290, 1886, MATCH($B$2, resultados!$A$1:$ZZ$1, 0))</f>
        <v>#N/A</v>
      </c>
      <c r="C1892" t="e">
        <f>INDEX(resultados!$A$2:$ZZ$2290, 1886, MATCH($B$3, resultados!$A$1:$ZZ$1, 0))</f>
        <v>#N/A</v>
      </c>
    </row>
    <row r="1893" spans="1:3" x14ac:dyDescent="0.3">
      <c r="A1893" t="e">
        <f>INDEX(resultados!$A$2:$ZZ$2290, 1887, MATCH($B$1, resultados!$A$1:$ZZ$1, 0))</f>
        <v>#N/A</v>
      </c>
      <c r="B1893" t="e">
        <f>INDEX(resultados!$A$2:$ZZ$2290, 1887, MATCH($B$2, resultados!$A$1:$ZZ$1, 0))</f>
        <v>#N/A</v>
      </c>
      <c r="C1893" t="e">
        <f>INDEX(resultados!$A$2:$ZZ$2290, 1887, MATCH($B$3, resultados!$A$1:$ZZ$1, 0))</f>
        <v>#N/A</v>
      </c>
    </row>
    <row r="1894" spans="1:3" x14ac:dyDescent="0.3">
      <c r="A1894" t="e">
        <f>INDEX(resultados!$A$2:$ZZ$2290, 1888, MATCH($B$1, resultados!$A$1:$ZZ$1, 0))</f>
        <v>#N/A</v>
      </c>
      <c r="B1894" t="e">
        <f>INDEX(resultados!$A$2:$ZZ$2290, 1888, MATCH($B$2, resultados!$A$1:$ZZ$1, 0))</f>
        <v>#N/A</v>
      </c>
      <c r="C1894" t="e">
        <f>INDEX(resultados!$A$2:$ZZ$2290, 1888, MATCH($B$3, resultados!$A$1:$ZZ$1, 0))</f>
        <v>#N/A</v>
      </c>
    </row>
    <row r="1895" spans="1:3" x14ac:dyDescent="0.3">
      <c r="A1895" t="e">
        <f>INDEX(resultados!$A$2:$ZZ$2290, 1889, MATCH($B$1, resultados!$A$1:$ZZ$1, 0))</f>
        <v>#N/A</v>
      </c>
      <c r="B1895" t="e">
        <f>INDEX(resultados!$A$2:$ZZ$2290, 1889, MATCH($B$2, resultados!$A$1:$ZZ$1, 0))</f>
        <v>#N/A</v>
      </c>
      <c r="C1895" t="e">
        <f>INDEX(resultados!$A$2:$ZZ$2290, 1889, MATCH($B$3, resultados!$A$1:$ZZ$1, 0))</f>
        <v>#N/A</v>
      </c>
    </row>
    <row r="1896" spans="1:3" x14ac:dyDescent="0.3">
      <c r="A1896" t="e">
        <f>INDEX(resultados!$A$2:$ZZ$2290, 1890, MATCH($B$1, resultados!$A$1:$ZZ$1, 0))</f>
        <v>#N/A</v>
      </c>
      <c r="B1896" t="e">
        <f>INDEX(resultados!$A$2:$ZZ$2290, 1890, MATCH($B$2, resultados!$A$1:$ZZ$1, 0))</f>
        <v>#N/A</v>
      </c>
      <c r="C1896" t="e">
        <f>INDEX(resultados!$A$2:$ZZ$2290, 1890, MATCH($B$3, resultados!$A$1:$ZZ$1, 0))</f>
        <v>#N/A</v>
      </c>
    </row>
    <row r="1897" spans="1:3" x14ac:dyDescent="0.3">
      <c r="A1897" t="e">
        <f>INDEX(resultados!$A$2:$ZZ$2290, 1891, MATCH($B$1, resultados!$A$1:$ZZ$1, 0))</f>
        <v>#N/A</v>
      </c>
      <c r="B1897" t="e">
        <f>INDEX(resultados!$A$2:$ZZ$2290, 1891, MATCH($B$2, resultados!$A$1:$ZZ$1, 0))</f>
        <v>#N/A</v>
      </c>
      <c r="C1897" t="e">
        <f>INDEX(resultados!$A$2:$ZZ$2290, 1891, MATCH($B$3, resultados!$A$1:$ZZ$1, 0))</f>
        <v>#N/A</v>
      </c>
    </row>
    <row r="1898" spans="1:3" x14ac:dyDescent="0.3">
      <c r="A1898" t="e">
        <f>INDEX(resultados!$A$2:$ZZ$2290, 1892, MATCH($B$1, resultados!$A$1:$ZZ$1, 0))</f>
        <v>#N/A</v>
      </c>
      <c r="B1898" t="e">
        <f>INDEX(resultados!$A$2:$ZZ$2290, 1892, MATCH($B$2, resultados!$A$1:$ZZ$1, 0))</f>
        <v>#N/A</v>
      </c>
      <c r="C1898" t="e">
        <f>INDEX(resultados!$A$2:$ZZ$2290, 1892, MATCH($B$3, resultados!$A$1:$ZZ$1, 0))</f>
        <v>#N/A</v>
      </c>
    </row>
    <row r="1899" spans="1:3" x14ac:dyDescent="0.3">
      <c r="A1899" t="e">
        <f>INDEX(resultados!$A$2:$ZZ$2290, 1893, MATCH($B$1, resultados!$A$1:$ZZ$1, 0))</f>
        <v>#N/A</v>
      </c>
      <c r="B1899" t="e">
        <f>INDEX(resultados!$A$2:$ZZ$2290, 1893, MATCH($B$2, resultados!$A$1:$ZZ$1, 0))</f>
        <v>#N/A</v>
      </c>
      <c r="C1899" t="e">
        <f>INDEX(resultados!$A$2:$ZZ$2290, 1893, MATCH($B$3, resultados!$A$1:$ZZ$1, 0))</f>
        <v>#N/A</v>
      </c>
    </row>
    <row r="1900" spans="1:3" x14ac:dyDescent="0.3">
      <c r="A1900" t="e">
        <f>INDEX(resultados!$A$2:$ZZ$2290, 1894, MATCH($B$1, resultados!$A$1:$ZZ$1, 0))</f>
        <v>#N/A</v>
      </c>
      <c r="B1900" t="e">
        <f>INDEX(resultados!$A$2:$ZZ$2290, 1894, MATCH($B$2, resultados!$A$1:$ZZ$1, 0))</f>
        <v>#N/A</v>
      </c>
      <c r="C1900" t="e">
        <f>INDEX(resultados!$A$2:$ZZ$2290, 1894, MATCH($B$3, resultados!$A$1:$ZZ$1, 0))</f>
        <v>#N/A</v>
      </c>
    </row>
    <row r="1901" spans="1:3" x14ac:dyDescent="0.3">
      <c r="A1901" t="e">
        <f>INDEX(resultados!$A$2:$ZZ$2290, 1895, MATCH($B$1, resultados!$A$1:$ZZ$1, 0))</f>
        <v>#N/A</v>
      </c>
      <c r="B1901" t="e">
        <f>INDEX(resultados!$A$2:$ZZ$2290, 1895, MATCH($B$2, resultados!$A$1:$ZZ$1, 0))</f>
        <v>#N/A</v>
      </c>
      <c r="C1901" t="e">
        <f>INDEX(resultados!$A$2:$ZZ$2290, 1895, MATCH($B$3, resultados!$A$1:$ZZ$1, 0))</f>
        <v>#N/A</v>
      </c>
    </row>
    <row r="1902" spans="1:3" x14ac:dyDescent="0.3">
      <c r="A1902" t="e">
        <f>INDEX(resultados!$A$2:$ZZ$2290, 1896, MATCH($B$1, resultados!$A$1:$ZZ$1, 0))</f>
        <v>#N/A</v>
      </c>
      <c r="B1902" t="e">
        <f>INDEX(resultados!$A$2:$ZZ$2290, 1896, MATCH($B$2, resultados!$A$1:$ZZ$1, 0))</f>
        <v>#N/A</v>
      </c>
      <c r="C1902" t="e">
        <f>INDEX(resultados!$A$2:$ZZ$2290, 1896, MATCH($B$3, resultados!$A$1:$ZZ$1, 0))</f>
        <v>#N/A</v>
      </c>
    </row>
    <row r="1903" spans="1:3" x14ac:dyDescent="0.3">
      <c r="A1903" t="e">
        <f>INDEX(resultados!$A$2:$ZZ$2290, 1897, MATCH($B$1, resultados!$A$1:$ZZ$1, 0))</f>
        <v>#N/A</v>
      </c>
      <c r="B1903" t="e">
        <f>INDEX(resultados!$A$2:$ZZ$2290, 1897, MATCH($B$2, resultados!$A$1:$ZZ$1, 0))</f>
        <v>#N/A</v>
      </c>
      <c r="C1903" t="e">
        <f>INDEX(resultados!$A$2:$ZZ$2290, 1897, MATCH($B$3, resultados!$A$1:$ZZ$1, 0))</f>
        <v>#N/A</v>
      </c>
    </row>
    <row r="1904" spans="1:3" x14ac:dyDescent="0.3">
      <c r="A1904" t="e">
        <f>INDEX(resultados!$A$2:$ZZ$2290, 1898, MATCH($B$1, resultados!$A$1:$ZZ$1, 0))</f>
        <v>#N/A</v>
      </c>
      <c r="B1904" t="e">
        <f>INDEX(resultados!$A$2:$ZZ$2290, 1898, MATCH($B$2, resultados!$A$1:$ZZ$1, 0))</f>
        <v>#N/A</v>
      </c>
      <c r="C1904" t="e">
        <f>INDEX(resultados!$A$2:$ZZ$2290, 1898, MATCH($B$3, resultados!$A$1:$ZZ$1, 0))</f>
        <v>#N/A</v>
      </c>
    </row>
    <row r="1905" spans="1:3" x14ac:dyDescent="0.3">
      <c r="A1905" t="e">
        <f>INDEX(resultados!$A$2:$ZZ$2290, 1899, MATCH($B$1, resultados!$A$1:$ZZ$1, 0))</f>
        <v>#N/A</v>
      </c>
      <c r="B1905" t="e">
        <f>INDEX(resultados!$A$2:$ZZ$2290, 1899, MATCH($B$2, resultados!$A$1:$ZZ$1, 0))</f>
        <v>#N/A</v>
      </c>
      <c r="C1905" t="e">
        <f>INDEX(resultados!$A$2:$ZZ$2290, 1899, MATCH($B$3, resultados!$A$1:$ZZ$1, 0))</f>
        <v>#N/A</v>
      </c>
    </row>
    <row r="1906" spans="1:3" x14ac:dyDescent="0.3">
      <c r="A1906" t="e">
        <f>INDEX(resultados!$A$2:$ZZ$2290, 1900, MATCH($B$1, resultados!$A$1:$ZZ$1, 0))</f>
        <v>#N/A</v>
      </c>
      <c r="B1906" t="e">
        <f>INDEX(resultados!$A$2:$ZZ$2290, 1900, MATCH($B$2, resultados!$A$1:$ZZ$1, 0))</f>
        <v>#N/A</v>
      </c>
      <c r="C1906" t="e">
        <f>INDEX(resultados!$A$2:$ZZ$2290, 1900, MATCH($B$3, resultados!$A$1:$ZZ$1, 0))</f>
        <v>#N/A</v>
      </c>
    </row>
    <row r="1907" spans="1:3" x14ac:dyDescent="0.3">
      <c r="A1907" t="e">
        <f>INDEX(resultados!$A$2:$ZZ$2290, 1901, MATCH($B$1, resultados!$A$1:$ZZ$1, 0))</f>
        <v>#N/A</v>
      </c>
      <c r="B1907" t="e">
        <f>INDEX(resultados!$A$2:$ZZ$2290, 1901, MATCH($B$2, resultados!$A$1:$ZZ$1, 0))</f>
        <v>#N/A</v>
      </c>
      <c r="C1907" t="e">
        <f>INDEX(resultados!$A$2:$ZZ$2290, 1901, MATCH($B$3, resultados!$A$1:$ZZ$1, 0))</f>
        <v>#N/A</v>
      </c>
    </row>
    <row r="1908" spans="1:3" x14ac:dyDescent="0.3">
      <c r="A1908" t="e">
        <f>INDEX(resultados!$A$2:$ZZ$2290, 1902, MATCH($B$1, resultados!$A$1:$ZZ$1, 0))</f>
        <v>#N/A</v>
      </c>
      <c r="B1908" t="e">
        <f>INDEX(resultados!$A$2:$ZZ$2290, 1902, MATCH($B$2, resultados!$A$1:$ZZ$1, 0))</f>
        <v>#N/A</v>
      </c>
      <c r="C1908" t="e">
        <f>INDEX(resultados!$A$2:$ZZ$2290, 1902, MATCH($B$3, resultados!$A$1:$ZZ$1, 0))</f>
        <v>#N/A</v>
      </c>
    </row>
    <row r="1909" spans="1:3" x14ac:dyDescent="0.3">
      <c r="A1909" t="e">
        <f>INDEX(resultados!$A$2:$ZZ$2290, 1903, MATCH($B$1, resultados!$A$1:$ZZ$1, 0))</f>
        <v>#N/A</v>
      </c>
      <c r="B1909" t="e">
        <f>INDEX(resultados!$A$2:$ZZ$2290, 1903, MATCH($B$2, resultados!$A$1:$ZZ$1, 0))</f>
        <v>#N/A</v>
      </c>
      <c r="C1909" t="e">
        <f>INDEX(resultados!$A$2:$ZZ$2290, 1903, MATCH($B$3, resultados!$A$1:$ZZ$1, 0))</f>
        <v>#N/A</v>
      </c>
    </row>
    <row r="1910" spans="1:3" x14ac:dyDescent="0.3">
      <c r="A1910" t="e">
        <f>INDEX(resultados!$A$2:$ZZ$2290, 1904, MATCH($B$1, resultados!$A$1:$ZZ$1, 0))</f>
        <v>#N/A</v>
      </c>
      <c r="B1910" t="e">
        <f>INDEX(resultados!$A$2:$ZZ$2290, 1904, MATCH($B$2, resultados!$A$1:$ZZ$1, 0))</f>
        <v>#N/A</v>
      </c>
      <c r="C1910" t="e">
        <f>INDEX(resultados!$A$2:$ZZ$2290, 1904, MATCH($B$3, resultados!$A$1:$ZZ$1, 0))</f>
        <v>#N/A</v>
      </c>
    </row>
    <row r="1911" spans="1:3" x14ac:dyDescent="0.3">
      <c r="A1911" t="e">
        <f>INDEX(resultados!$A$2:$ZZ$2290, 1905, MATCH($B$1, resultados!$A$1:$ZZ$1, 0))</f>
        <v>#N/A</v>
      </c>
      <c r="B1911" t="e">
        <f>INDEX(resultados!$A$2:$ZZ$2290, 1905, MATCH($B$2, resultados!$A$1:$ZZ$1, 0))</f>
        <v>#N/A</v>
      </c>
      <c r="C1911" t="e">
        <f>INDEX(resultados!$A$2:$ZZ$2290, 1905, MATCH($B$3, resultados!$A$1:$ZZ$1, 0))</f>
        <v>#N/A</v>
      </c>
    </row>
    <row r="1912" spans="1:3" x14ac:dyDescent="0.3">
      <c r="A1912" t="e">
        <f>INDEX(resultados!$A$2:$ZZ$2290, 1906, MATCH($B$1, resultados!$A$1:$ZZ$1, 0))</f>
        <v>#N/A</v>
      </c>
      <c r="B1912" t="e">
        <f>INDEX(resultados!$A$2:$ZZ$2290, 1906, MATCH($B$2, resultados!$A$1:$ZZ$1, 0))</f>
        <v>#N/A</v>
      </c>
      <c r="C1912" t="e">
        <f>INDEX(resultados!$A$2:$ZZ$2290, 1906, MATCH($B$3, resultados!$A$1:$ZZ$1, 0))</f>
        <v>#N/A</v>
      </c>
    </row>
    <row r="1913" spans="1:3" x14ac:dyDescent="0.3">
      <c r="A1913" t="e">
        <f>INDEX(resultados!$A$2:$ZZ$2290, 1907, MATCH($B$1, resultados!$A$1:$ZZ$1, 0))</f>
        <v>#N/A</v>
      </c>
      <c r="B1913" t="e">
        <f>INDEX(resultados!$A$2:$ZZ$2290, 1907, MATCH($B$2, resultados!$A$1:$ZZ$1, 0))</f>
        <v>#N/A</v>
      </c>
      <c r="C1913" t="e">
        <f>INDEX(resultados!$A$2:$ZZ$2290, 1907, MATCH($B$3, resultados!$A$1:$ZZ$1, 0))</f>
        <v>#N/A</v>
      </c>
    </row>
    <row r="1914" spans="1:3" x14ac:dyDescent="0.3">
      <c r="A1914" t="e">
        <f>INDEX(resultados!$A$2:$ZZ$2290, 1908, MATCH($B$1, resultados!$A$1:$ZZ$1, 0))</f>
        <v>#N/A</v>
      </c>
      <c r="B1914" t="e">
        <f>INDEX(resultados!$A$2:$ZZ$2290, 1908, MATCH($B$2, resultados!$A$1:$ZZ$1, 0))</f>
        <v>#N/A</v>
      </c>
      <c r="C1914" t="e">
        <f>INDEX(resultados!$A$2:$ZZ$2290, 1908, MATCH($B$3, resultados!$A$1:$ZZ$1, 0))</f>
        <v>#N/A</v>
      </c>
    </row>
    <row r="1915" spans="1:3" x14ac:dyDescent="0.3">
      <c r="A1915" t="e">
        <f>INDEX(resultados!$A$2:$ZZ$2290, 1909, MATCH($B$1, resultados!$A$1:$ZZ$1, 0))</f>
        <v>#N/A</v>
      </c>
      <c r="B1915" t="e">
        <f>INDEX(resultados!$A$2:$ZZ$2290, 1909, MATCH($B$2, resultados!$A$1:$ZZ$1, 0))</f>
        <v>#N/A</v>
      </c>
      <c r="C1915" t="e">
        <f>INDEX(resultados!$A$2:$ZZ$2290, 1909, MATCH($B$3, resultados!$A$1:$ZZ$1, 0))</f>
        <v>#N/A</v>
      </c>
    </row>
    <row r="1916" spans="1:3" x14ac:dyDescent="0.3">
      <c r="A1916" t="e">
        <f>INDEX(resultados!$A$2:$ZZ$2290, 1910, MATCH($B$1, resultados!$A$1:$ZZ$1, 0))</f>
        <v>#N/A</v>
      </c>
      <c r="B1916" t="e">
        <f>INDEX(resultados!$A$2:$ZZ$2290, 1910, MATCH($B$2, resultados!$A$1:$ZZ$1, 0))</f>
        <v>#N/A</v>
      </c>
      <c r="C1916" t="e">
        <f>INDEX(resultados!$A$2:$ZZ$2290, 1910, MATCH($B$3, resultados!$A$1:$ZZ$1, 0))</f>
        <v>#N/A</v>
      </c>
    </row>
    <row r="1917" spans="1:3" x14ac:dyDescent="0.3">
      <c r="A1917" t="e">
        <f>INDEX(resultados!$A$2:$ZZ$2290, 1911, MATCH($B$1, resultados!$A$1:$ZZ$1, 0))</f>
        <v>#N/A</v>
      </c>
      <c r="B1917" t="e">
        <f>INDEX(resultados!$A$2:$ZZ$2290, 1911, MATCH($B$2, resultados!$A$1:$ZZ$1, 0))</f>
        <v>#N/A</v>
      </c>
      <c r="C1917" t="e">
        <f>INDEX(resultados!$A$2:$ZZ$2290, 1911, MATCH($B$3, resultados!$A$1:$ZZ$1, 0))</f>
        <v>#N/A</v>
      </c>
    </row>
    <row r="1918" spans="1:3" x14ac:dyDescent="0.3">
      <c r="A1918" t="e">
        <f>INDEX(resultados!$A$2:$ZZ$2290, 1912, MATCH($B$1, resultados!$A$1:$ZZ$1, 0))</f>
        <v>#N/A</v>
      </c>
      <c r="B1918" t="e">
        <f>INDEX(resultados!$A$2:$ZZ$2290, 1912, MATCH($B$2, resultados!$A$1:$ZZ$1, 0))</f>
        <v>#N/A</v>
      </c>
      <c r="C1918" t="e">
        <f>INDEX(resultados!$A$2:$ZZ$2290, 1912, MATCH($B$3, resultados!$A$1:$ZZ$1, 0))</f>
        <v>#N/A</v>
      </c>
    </row>
    <row r="1919" spans="1:3" x14ac:dyDescent="0.3">
      <c r="A1919" t="e">
        <f>INDEX(resultados!$A$2:$ZZ$2290, 1913, MATCH($B$1, resultados!$A$1:$ZZ$1, 0))</f>
        <v>#N/A</v>
      </c>
      <c r="B1919" t="e">
        <f>INDEX(resultados!$A$2:$ZZ$2290, 1913, MATCH($B$2, resultados!$A$1:$ZZ$1, 0))</f>
        <v>#N/A</v>
      </c>
      <c r="C1919" t="e">
        <f>INDEX(resultados!$A$2:$ZZ$2290, 1913, MATCH($B$3, resultados!$A$1:$ZZ$1, 0))</f>
        <v>#N/A</v>
      </c>
    </row>
    <row r="1920" spans="1:3" x14ac:dyDescent="0.3">
      <c r="A1920" t="e">
        <f>INDEX(resultados!$A$2:$ZZ$2290, 1914, MATCH($B$1, resultados!$A$1:$ZZ$1, 0))</f>
        <v>#N/A</v>
      </c>
      <c r="B1920" t="e">
        <f>INDEX(resultados!$A$2:$ZZ$2290, 1914, MATCH($B$2, resultados!$A$1:$ZZ$1, 0))</f>
        <v>#N/A</v>
      </c>
      <c r="C1920" t="e">
        <f>INDEX(resultados!$A$2:$ZZ$2290, 1914, MATCH($B$3, resultados!$A$1:$ZZ$1, 0))</f>
        <v>#N/A</v>
      </c>
    </row>
    <row r="1921" spans="1:3" x14ac:dyDescent="0.3">
      <c r="A1921" t="e">
        <f>INDEX(resultados!$A$2:$ZZ$2290, 1915, MATCH($B$1, resultados!$A$1:$ZZ$1, 0))</f>
        <v>#N/A</v>
      </c>
      <c r="B1921" t="e">
        <f>INDEX(resultados!$A$2:$ZZ$2290, 1915, MATCH($B$2, resultados!$A$1:$ZZ$1, 0))</f>
        <v>#N/A</v>
      </c>
      <c r="C1921" t="e">
        <f>INDEX(resultados!$A$2:$ZZ$2290, 1915, MATCH($B$3, resultados!$A$1:$ZZ$1, 0))</f>
        <v>#N/A</v>
      </c>
    </row>
    <row r="1922" spans="1:3" x14ac:dyDescent="0.3">
      <c r="A1922" t="e">
        <f>INDEX(resultados!$A$2:$ZZ$2290, 1916, MATCH($B$1, resultados!$A$1:$ZZ$1, 0))</f>
        <v>#N/A</v>
      </c>
      <c r="B1922" t="e">
        <f>INDEX(resultados!$A$2:$ZZ$2290, 1916, MATCH($B$2, resultados!$A$1:$ZZ$1, 0))</f>
        <v>#N/A</v>
      </c>
      <c r="C1922" t="e">
        <f>INDEX(resultados!$A$2:$ZZ$2290, 1916, MATCH($B$3, resultados!$A$1:$ZZ$1, 0))</f>
        <v>#N/A</v>
      </c>
    </row>
    <row r="1923" spans="1:3" x14ac:dyDescent="0.3">
      <c r="A1923" t="e">
        <f>INDEX(resultados!$A$2:$ZZ$2290, 1917, MATCH($B$1, resultados!$A$1:$ZZ$1, 0))</f>
        <v>#N/A</v>
      </c>
      <c r="B1923" t="e">
        <f>INDEX(resultados!$A$2:$ZZ$2290, 1917, MATCH($B$2, resultados!$A$1:$ZZ$1, 0))</f>
        <v>#N/A</v>
      </c>
      <c r="C1923" t="e">
        <f>INDEX(resultados!$A$2:$ZZ$2290, 1917, MATCH($B$3, resultados!$A$1:$ZZ$1, 0))</f>
        <v>#N/A</v>
      </c>
    </row>
    <row r="1924" spans="1:3" x14ac:dyDescent="0.3">
      <c r="A1924" t="e">
        <f>INDEX(resultados!$A$2:$ZZ$2290, 1918, MATCH($B$1, resultados!$A$1:$ZZ$1, 0))</f>
        <v>#N/A</v>
      </c>
      <c r="B1924" t="e">
        <f>INDEX(resultados!$A$2:$ZZ$2290, 1918, MATCH($B$2, resultados!$A$1:$ZZ$1, 0))</f>
        <v>#N/A</v>
      </c>
      <c r="C1924" t="e">
        <f>INDEX(resultados!$A$2:$ZZ$2290, 1918, MATCH($B$3, resultados!$A$1:$ZZ$1, 0))</f>
        <v>#N/A</v>
      </c>
    </row>
    <row r="1925" spans="1:3" x14ac:dyDescent="0.3">
      <c r="A1925" t="e">
        <f>INDEX(resultados!$A$2:$ZZ$2290, 1919, MATCH($B$1, resultados!$A$1:$ZZ$1, 0))</f>
        <v>#N/A</v>
      </c>
      <c r="B1925" t="e">
        <f>INDEX(resultados!$A$2:$ZZ$2290, 1919, MATCH($B$2, resultados!$A$1:$ZZ$1, 0))</f>
        <v>#N/A</v>
      </c>
      <c r="C1925" t="e">
        <f>INDEX(resultados!$A$2:$ZZ$2290, 1919, MATCH($B$3, resultados!$A$1:$ZZ$1, 0))</f>
        <v>#N/A</v>
      </c>
    </row>
    <row r="1926" spans="1:3" x14ac:dyDescent="0.3">
      <c r="A1926" t="e">
        <f>INDEX(resultados!$A$2:$ZZ$2290, 1920, MATCH($B$1, resultados!$A$1:$ZZ$1, 0))</f>
        <v>#N/A</v>
      </c>
      <c r="B1926" t="e">
        <f>INDEX(resultados!$A$2:$ZZ$2290, 1920, MATCH($B$2, resultados!$A$1:$ZZ$1, 0))</f>
        <v>#N/A</v>
      </c>
      <c r="C1926" t="e">
        <f>INDEX(resultados!$A$2:$ZZ$2290, 1920, MATCH($B$3, resultados!$A$1:$ZZ$1, 0))</f>
        <v>#N/A</v>
      </c>
    </row>
    <row r="1927" spans="1:3" x14ac:dyDescent="0.3">
      <c r="A1927" t="e">
        <f>INDEX(resultados!$A$2:$ZZ$2290, 1921, MATCH($B$1, resultados!$A$1:$ZZ$1, 0))</f>
        <v>#N/A</v>
      </c>
      <c r="B1927" t="e">
        <f>INDEX(resultados!$A$2:$ZZ$2290, 1921, MATCH($B$2, resultados!$A$1:$ZZ$1, 0))</f>
        <v>#N/A</v>
      </c>
      <c r="C1927" t="e">
        <f>INDEX(resultados!$A$2:$ZZ$2290, 1921, MATCH($B$3, resultados!$A$1:$ZZ$1, 0))</f>
        <v>#N/A</v>
      </c>
    </row>
    <row r="1928" spans="1:3" x14ac:dyDescent="0.3">
      <c r="A1928" t="e">
        <f>INDEX(resultados!$A$2:$ZZ$2290, 1922, MATCH($B$1, resultados!$A$1:$ZZ$1, 0))</f>
        <v>#N/A</v>
      </c>
      <c r="B1928" t="e">
        <f>INDEX(resultados!$A$2:$ZZ$2290, 1922, MATCH($B$2, resultados!$A$1:$ZZ$1, 0))</f>
        <v>#N/A</v>
      </c>
      <c r="C1928" t="e">
        <f>INDEX(resultados!$A$2:$ZZ$2290, 1922, MATCH($B$3, resultados!$A$1:$ZZ$1, 0))</f>
        <v>#N/A</v>
      </c>
    </row>
    <row r="1929" spans="1:3" x14ac:dyDescent="0.3">
      <c r="A1929" t="e">
        <f>INDEX(resultados!$A$2:$ZZ$2290, 1923, MATCH($B$1, resultados!$A$1:$ZZ$1, 0))</f>
        <v>#N/A</v>
      </c>
      <c r="B1929" t="e">
        <f>INDEX(resultados!$A$2:$ZZ$2290, 1923, MATCH($B$2, resultados!$A$1:$ZZ$1, 0))</f>
        <v>#N/A</v>
      </c>
      <c r="C1929" t="e">
        <f>INDEX(resultados!$A$2:$ZZ$2290, 1923, MATCH($B$3, resultados!$A$1:$ZZ$1, 0))</f>
        <v>#N/A</v>
      </c>
    </row>
    <row r="1930" spans="1:3" x14ac:dyDescent="0.3">
      <c r="A1930" t="e">
        <f>INDEX(resultados!$A$2:$ZZ$2290, 1924, MATCH($B$1, resultados!$A$1:$ZZ$1, 0))</f>
        <v>#N/A</v>
      </c>
      <c r="B1930" t="e">
        <f>INDEX(resultados!$A$2:$ZZ$2290, 1924, MATCH($B$2, resultados!$A$1:$ZZ$1, 0))</f>
        <v>#N/A</v>
      </c>
      <c r="C1930" t="e">
        <f>INDEX(resultados!$A$2:$ZZ$2290, 1924, MATCH($B$3, resultados!$A$1:$ZZ$1, 0))</f>
        <v>#N/A</v>
      </c>
    </row>
    <row r="1931" spans="1:3" x14ac:dyDescent="0.3">
      <c r="A1931" t="e">
        <f>INDEX(resultados!$A$2:$ZZ$2290, 1925, MATCH($B$1, resultados!$A$1:$ZZ$1, 0))</f>
        <v>#N/A</v>
      </c>
      <c r="B1931" t="e">
        <f>INDEX(resultados!$A$2:$ZZ$2290, 1925, MATCH($B$2, resultados!$A$1:$ZZ$1, 0))</f>
        <v>#N/A</v>
      </c>
      <c r="C1931" t="e">
        <f>INDEX(resultados!$A$2:$ZZ$2290, 1925, MATCH($B$3, resultados!$A$1:$ZZ$1, 0))</f>
        <v>#N/A</v>
      </c>
    </row>
    <row r="1932" spans="1:3" x14ac:dyDescent="0.3">
      <c r="A1932" t="e">
        <f>INDEX(resultados!$A$2:$ZZ$2290, 1926, MATCH($B$1, resultados!$A$1:$ZZ$1, 0))</f>
        <v>#N/A</v>
      </c>
      <c r="B1932" t="e">
        <f>INDEX(resultados!$A$2:$ZZ$2290, 1926, MATCH($B$2, resultados!$A$1:$ZZ$1, 0))</f>
        <v>#N/A</v>
      </c>
      <c r="C1932" t="e">
        <f>INDEX(resultados!$A$2:$ZZ$2290, 1926, MATCH($B$3, resultados!$A$1:$ZZ$1, 0))</f>
        <v>#N/A</v>
      </c>
    </row>
    <row r="1933" spans="1:3" x14ac:dyDescent="0.3">
      <c r="A1933" t="e">
        <f>INDEX(resultados!$A$2:$ZZ$2290, 1927, MATCH($B$1, resultados!$A$1:$ZZ$1, 0))</f>
        <v>#N/A</v>
      </c>
      <c r="B1933" t="e">
        <f>INDEX(resultados!$A$2:$ZZ$2290, 1927, MATCH($B$2, resultados!$A$1:$ZZ$1, 0))</f>
        <v>#N/A</v>
      </c>
      <c r="C1933" t="e">
        <f>INDEX(resultados!$A$2:$ZZ$2290, 1927, MATCH($B$3, resultados!$A$1:$ZZ$1, 0))</f>
        <v>#N/A</v>
      </c>
    </row>
    <row r="1934" spans="1:3" x14ac:dyDescent="0.3">
      <c r="A1934" t="e">
        <f>INDEX(resultados!$A$2:$ZZ$2290, 1928, MATCH($B$1, resultados!$A$1:$ZZ$1, 0))</f>
        <v>#N/A</v>
      </c>
      <c r="B1934" t="e">
        <f>INDEX(resultados!$A$2:$ZZ$2290, 1928, MATCH($B$2, resultados!$A$1:$ZZ$1, 0))</f>
        <v>#N/A</v>
      </c>
      <c r="C1934" t="e">
        <f>INDEX(resultados!$A$2:$ZZ$2290, 1928, MATCH($B$3, resultados!$A$1:$ZZ$1, 0))</f>
        <v>#N/A</v>
      </c>
    </row>
    <row r="1935" spans="1:3" x14ac:dyDescent="0.3">
      <c r="A1935" t="e">
        <f>INDEX(resultados!$A$2:$ZZ$2290, 1929, MATCH($B$1, resultados!$A$1:$ZZ$1, 0))</f>
        <v>#N/A</v>
      </c>
      <c r="B1935" t="e">
        <f>INDEX(resultados!$A$2:$ZZ$2290, 1929, MATCH($B$2, resultados!$A$1:$ZZ$1, 0))</f>
        <v>#N/A</v>
      </c>
      <c r="C1935" t="e">
        <f>INDEX(resultados!$A$2:$ZZ$2290, 1929, MATCH($B$3, resultados!$A$1:$ZZ$1, 0))</f>
        <v>#N/A</v>
      </c>
    </row>
    <row r="1936" spans="1:3" x14ac:dyDescent="0.3">
      <c r="A1936" t="e">
        <f>INDEX(resultados!$A$2:$ZZ$2290, 1930, MATCH($B$1, resultados!$A$1:$ZZ$1, 0))</f>
        <v>#N/A</v>
      </c>
      <c r="B1936" t="e">
        <f>INDEX(resultados!$A$2:$ZZ$2290, 1930, MATCH($B$2, resultados!$A$1:$ZZ$1, 0))</f>
        <v>#N/A</v>
      </c>
      <c r="C1936" t="e">
        <f>INDEX(resultados!$A$2:$ZZ$2290, 1930, MATCH($B$3, resultados!$A$1:$ZZ$1, 0))</f>
        <v>#N/A</v>
      </c>
    </row>
    <row r="1937" spans="1:3" x14ac:dyDescent="0.3">
      <c r="A1937" t="e">
        <f>INDEX(resultados!$A$2:$ZZ$2290, 1931, MATCH($B$1, resultados!$A$1:$ZZ$1, 0))</f>
        <v>#N/A</v>
      </c>
      <c r="B1937" t="e">
        <f>INDEX(resultados!$A$2:$ZZ$2290, 1931, MATCH($B$2, resultados!$A$1:$ZZ$1, 0))</f>
        <v>#N/A</v>
      </c>
      <c r="C1937" t="e">
        <f>INDEX(resultados!$A$2:$ZZ$2290, 1931, MATCH($B$3, resultados!$A$1:$ZZ$1, 0))</f>
        <v>#N/A</v>
      </c>
    </row>
    <row r="1938" spans="1:3" x14ac:dyDescent="0.3">
      <c r="A1938" t="e">
        <f>INDEX(resultados!$A$2:$ZZ$2290, 1932, MATCH($B$1, resultados!$A$1:$ZZ$1, 0))</f>
        <v>#N/A</v>
      </c>
      <c r="B1938" t="e">
        <f>INDEX(resultados!$A$2:$ZZ$2290, 1932, MATCH($B$2, resultados!$A$1:$ZZ$1, 0))</f>
        <v>#N/A</v>
      </c>
      <c r="C1938" t="e">
        <f>INDEX(resultados!$A$2:$ZZ$2290, 1932, MATCH($B$3, resultados!$A$1:$ZZ$1, 0))</f>
        <v>#N/A</v>
      </c>
    </row>
    <row r="1939" spans="1:3" x14ac:dyDescent="0.3">
      <c r="A1939" t="e">
        <f>INDEX(resultados!$A$2:$ZZ$2290, 1933, MATCH($B$1, resultados!$A$1:$ZZ$1, 0))</f>
        <v>#N/A</v>
      </c>
      <c r="B1939" t="e">
        <f>INDEX(resultados!$A$2:$ZZ$2290, 1933, MATCH($B$2, resultados!$A$1:$ZZ$1, 0))</f>
        <v>#N/A</v>
      </c>
      <c r="C1939" t="e">
        <f>INDEX(resultados!$A$2:$ZZ$2290, 1933, MATCH($B$3, resultados!$A$1:$ZZ$1, 0))</f>
        <v>#N/A</v>
      </c>
    </row>
    <row r="1940" spans="1:3" x14ac:dyDescent="0.3">
      <c r="A1940" t="e">
        <f>INDEX(resultados!$A$2:$ZZ$2290, 1934, MATCH($B$1, resultados!$A$1:$ZZ$1, 0))</f>
        <v>#N/A</v>
      </c>
      <c r="B1940" t="e">
        <f>INDEX(resultados!$A$2:$ZZ$2290, 1934, MATCH($B$2, resultados!$A$1:$ZZ$1, 0))</f>
        <v>#N/A</v>
      </c>
      <c r="C1940" t="e">
        <f>INDEX(resultados!$A$2:$ZZ$2290, 1934, MATCH($B$3, resultados!$A$1:$ZZ$1, 0))</f>
        <v>#N/A</v>
      </c>
    </row>
    <row r="1941" spans="1:3" x14ac:dyDescent="0.3">
      <c r="A1941" t="e">
        <f>INDEX(resultados!$A$2:$ZZ$2290, 1935, MATCH($B$1, resultados!$A$1:$ZZ$1, 0))</f>
        <v>#N/A</v>
      </c>
      <c r="B1941" t="e">
        <f>INDEX(resultados!$A$2:$ZZ$2290, 1935, MATCH($B$2, resultados!$A$1:$ZZ$1, 0))</f>
        <v>#N/A</v>
      </c>
      <c r="C1941" t="e">
        <f>INDEX(resultados!$A$2:$ZZ$2290, 1935, MATCH($B$3, resultados!$A$1:$ZZ$1, 0))</f>
        <v>#N/A</v>
      </c>
    </row>
    <row r="1942" spans="1:3" x14ac:dyDescent="0.3">
      <c r="A1942" t="e">
        <f>INDEX(resultados!$A$2:$ZZ$2290, 1936, MATCH($B$1, resultados!$A$1:$ZZ$1, 0))</f>
        <v>#N/A</v>
      </c>
      <c r="B1942" t="e">
        <f>INDEX(resultados!$A$2:$ZZ$2290, 1936, MATCH($B$2, resultados!$A$1:$ZZ$1, 0))</f>
        <v>#N/A</v>
      </c>
      <c r="C1942" t="e">
        <f>INDEX(resultados!$A$2:$ZZ$2290, 1936, MATCH($B$3, resultados!$A$1:$ZZ$1, 0))</f>
        <v>#N/A</v>
      </c>
    </row>
    <row r="1943" spans="1:3" x14ac:dyDescent="0.3">
      <c r="A1943" t="e">
        <f>INDEX(resultados!$A$2:$ZZ$2290, 1937, MATCH($B$1, resultados!$A$1:$ZZ$1, 0))</f>
        <v>#N/A</v>
      </c>
      <c r="B1943" t="e">
        <f>INDEX(resultados!$A$2:$ZZ$2290, 1937, MATCH($B$2, resultados!$A$1:$ZZ$1, 0))</f>
        <v>#N/A</v>
      </c>
      <c r="C1943" t="e">
        <f>INDEX(resultados!$A$2:$ZZ$2290, 1937, MATCH($B$3, resultados!$A$1:$ZZ$1, 0))</f>
        <v>#N/A</v>
      </c>
    </row>
    <row r="1944" spans="1:3" x14ac:dyDescent="0.3">
      <c r="A1944" t="e">
        <f>INDEX(resultados!$A$2:$ZZ$2290, 1938, MATCH($B$1, resultados!$A$1:$ZZ$1, 0))</f>
        <v>#N/A</v>
      </c>
      <c r="B1944" t="e">
        <f>INDEX(resultados!$A$2:$ZZ$2290, 1938, MATCH($B$2, resultados!$A$1:$ZZ$1, 0))</f>
        <v>#N/A</v>
      </c>
      <c r="C1944" t="e">
        <f>INDEX(resultados!$A$2:$ZZ$2290, 1938, MATCH($B$3, resultados!$A$1:$ZZ$1, 0))</f>
        <v>#N/A</v>
      </c>
    </row>
    <row r="1945" spans="1:3" x14ac:dyDescent="0.3">
      <c r="A1945" t="e">
        <f>INDEX(resultados!$A$2:$ZZ$2290, 1939, MATCH($B$1, resultados!$A$1:$ZZ$1, 0))</f>
        <v>#N/A</v>
      </c>
      <c r="B1945" t="e">
        <f>INDEX(resultados!$A$2:$ZZ$2290, 1939, MATCH($B$2, resultados!$A$1:$ZZ$1, 0))</f>
        <v>#N/A</v>
      </c>
      <c r="C1945" t="e">
        <f>INDEX(resultados!$A$2:$ZZ$2290, 1939, MATCH($B$3, resultados!$A$1:$ZZ$1, 0))</f>
        <v>#N/A</v>
      </c>
    </row>
    <row r="1946" spans="1:3" x14ac:dyDescent="0.3">
      <c r="A1946" t="e">
        <f>INDEX(resultados!$A$2:$ZZ$2290, 1940, MATCH($B$1, resultados!$A$1:$ZZ$1, 0))</f>
        <v>#N/A</v>
      </c>
      <c r="B1946" t="e">
        <f>INDEX(resultados!$A$2:$ZZ$2290, 1940, MATCH($B$2, resultados!$A$1:$ZZ$1, 0))</f>
        <v>#N/A</v>
      </c>
      <c r="C1946" t="e">
        <f>INDEX(resultados!$A$2:$ZZ$2290, 1940, MATCH($B$3, resultados!$A$1:$ZZ$1, 0))</f>
        <v>#N/A</v>
      </c>
    </row>
    <row r="1947" spans="1:3" x14ac:dyDescent="0.3">
      <c r="A1947" t="e">
        <f>INDEX(resultados!$A$2:$ZZ$2290, 1941, MATCH($B$1, resultados!$A$1:$ZZ$1, 0))</f>
        <v>#N/A</v>
      </c>
      <c r="B1947" t="e">
        <f>INDEX(resultados!$A$2:$ZZ$2290, 1941, MATCH($B$2, resultados!$A$1:$ZZ$1, 0))</f>
        <v>#N/A</v>
      </c>
      <c r="C1947" t="e">
        <f>INDEX(resultados!$A$2:$ZZ$2290, 1941, MATCH($B$3, resultados!$A$1:$ZZ$1, 0))</f>
        <v>#N/A</v>
      </c>
    </row>
    <row r="1948" spans="1:3" x14ac:dyDescent="0.3">
      <c r="A1948" t="e">
        <f>INDEX(resultados!$A$2:$ZZ$2290, 1942, MATCH($B$1, resultados!$A$1:$ZZ$1, 0))</f>
        <v>#N/A</v>
      </c>
      <c r="B1948" t="e">
        <f>INDEX(resultados!$A$2:$ZZ$2290, 1942, MATCH($B$2, resultados!$A$1:$ZZ$1, 0))</f>
        <v>#N/A</v>
      </c>
      <c r="C1948" t="e">
        <f>INDEX(resultados!$A$2:$ZZ$2290, 1942, MATCH($B$3, resultados!$A$1:$ZZ$1, 0))</f>
        <v>#N/A</v>
      </c>
    </row>
    <row r="1949" spans="1:3" x14ac:dyDescent="0.3">
      <c r="A1949" t="e">
        <f>INDEX(resultados!$A$2:$ZZ$2290, 1943, MATCH($B$1, resultados!$A$1:$ZZ$1, 0))</f>
        <v>#N/A</v>
      </c>
      <c r="B1949" t="e">
        <f>INDEX(resultados!$A$2:$ZZ$2290, 1943, MATCH($B$2, resultados!$A$1:$ZZ$1, 0))</f>
        <v>#N/A</v>
      </c>
      <c r="C1949" t="e">
        <f>INDEX(resultados!$A$2:$ZZ$2290, 1943, MATCH($B$3, resultados!$A$1:$ZZ$1, 0))</f>
        <v>#N/A</v>
      </c>
    </row>
    <row r="1950" spans="1:3" x14ac:dyDescent="0.3">
      <c r="A1950" t="e">
        <f>INDEX(resultados!$A$2:$ZZ$2290, 1944, MATCH($B$1, resultados!$A$1:$ZZ$1, 0))</f>
        <v>#N/A</v>
      </c>
      <c r="B1950" t="e">
        <f>INDEX(resultados!$A$2:$ZZ$2290, 1944, MATCH($B$2, resultados!$A$1:$ZZ$1, 0))</f>
        <v>#N/A</v>
      </c>
      <c r="C1950" t="e">
        <f>INDEX(resultados!$A$2:$ZZ$2290, 1944, MATCH($B$3, resultados!$A$1:$ZZ$1, 0))</f>
        <v>#N/A</v>
      </c>
    </row>
    <row r="1951" spans="1:3" x14ac:dyDescent="0.3">
      <c r="A1951" t="e">
        <f>INDEX(resultados!$A$2:$ZZ$2290, 1945, MATCH($B$1, resultados!$A$1:$ZZ$1, 0))</f>
        <v>#N/A</v>
      </c>
      <c r="B1951" t="e">
        <f>INDEX(resultados!$A$2:$ZZ$2290, 1945, MATCH($B$2, resultados!$A$1:$ZZ$1, 0))</f>
        <v>#N/A</v>
      </c>
      <c r="C1951" t="e">
        <f>INDEX(resultados!$A$2:$ZZ$2290, 1945, MATCH($B$3, resultados!$A$1:$ZZ$1, 0))</f>
        <v>#N/A</v>
      </c>
    </row>
    <row r="1952" spans="1:3" x14ac:dyDescent="0.3">
      <c r="A1952" t="e">
        <f>INDEX(resultados!$A$2:$ZZ$2290, 1946, MATCH($B$1, resultados!$A$1:$ZZ$1, 0))</f>
        <v>#N/A</v>
      </c>
      <c r="B1952" t="e">
        <f>INDEX(resultados!$A$2:$ZZ$2290, 1946, MATCH($B$2, resultados!$A$1:$ZZ$1, 0))</f>
        <v>#N/A</v>
      </c>
      <c r="C1952" t="e">
        <f>INDEX(resultados!$A$2:$ZZ$2290, 1946, MATCH($B$3, resultados!$A$1:$ZZ$1, 0))</f>
        <v>#N/A</v>
      </c>
    </row>
    <row r="1953" spans="1:3" x14ac:dyDescent="0.3">
      <c r="A1953" t="e">
        <f>INDEX(resultados!$A$2:$ZZ$2290, 1947, MATCH($B$1, resultados!$A$1:$ZZ$1, 0))</f>
        <v>#N/A</v>
      </c>
      <c r="B1953" t="e">
        <f>INDEX(resultados!$A$2:$ZZ$2290, 1947, MATCH($B$2, resultados!$A$1:$ZZ$1, 0))</f>
        <v>#N/A</v>
      </c>
      <c r="C1953" t="e">
        <f>INDEX(resultados!$A$2:$ZZ$2290, 1947, MATCH($B$3, resultados!$A$1:$ZZ$1, 0))</f>
        <v>#N/A</v>
      </c>
    </row>
    <row r="1954" spans="1:3" x14ac:dyDescent="0.3">
      <c r="A1954" t="e">
        <f>INDEX(resultados!$A$2:$ZZ$2290, 1948, MATCH($B$1, resultados!$A$1:$ZZ$1, 0))</f>
        <v>#N/A</v>
      </c>
      <c r="B1954" t="e">
        <f>INDEX(resultados!$A$2:$ZZ$2290, 1948, MATCH($B$2, resultados!$A$1:$ZZ$1, 0))</f>
        <v>#N/A</v>
      </c>
      <c r="C1954" t="e">
        <f>INDEX(resultados!$A$2:$ZZ$2290, 1948, MATCH($B$3, resultados!$A$1:$ZZ$1, 0))</f>
        <v>#N/A</v>
      </c>
    </row>
    <row r="1955" spans="1:3" x14ac:dyDescent="0.3">
      <c r="A1955" t="e">
        <f>INDEX(resultados!$A$2:$ZZ$2290, 1949, MATCH($B$1, resultados!$A$1:$ZZ$1, 0))</f>
        <v>#N/A</v>
      </c>
      <c r="B1955" t="e">
        <f>INDEX(resultados!$A$2:$ZZ$2290, 1949, MATCH($B$2, resultados!$A$1:$ZZ$1, 0))</f>
        <v>#N/A</v>
      </c>
      <c r="C1955" t="e">
        <f>INDEX(resultados!$A$2:$ZZ$2290, 1949, MATCH($B$3, resultados!$A$1:$ZZ$1, 0))</f>
        <v>#N/A</v>
      </c>
    </row>
    <row r="1956" spans="1:3" x14ac:dyDescent="0.3">
      <c r="A1956" t="e">
        <f>INDEX(resultados!$A$2:$ZZ$2290, 1950, MATCH($B$1, resultados!$A$1:$ZZ$1, 0))</f>
        <v>#N/A</v>
      </c>
      <c r="B1956" t="e">
        <f>INDEX(resultados!$A$2:$ZZ$2290, 1950, MATCH($B$2, resultados!$A$1:$ZZ$1, 0))</f>
        <v>#N/A</v>
      </c>
      <c r="C1956" t="e">
        <f>INDEX(resultados!$A$2:$ZZ$2290, 1950, MATCH($B$3, resultados!$A$1:$ZZ$1, 0))</f>
        <v>#N/A</v>
      </c>
    </row>
    <row r="1957" spans="1:3" x14ac:dyDescent="0.3">
      <c r="A1957" t="e">
        <f>INDEX(resultados!$A$2:$ZZ$2290, 1951, MATCH($B$1, resultados!$A$1:$ZZ$1, 0))</f>
        <v>#N/A</v>
      </c>
      <c r="B1957" t="e">
        <f>INDEX(resultados!$A$2:$ZZ$2290, 1951, MATCH($B$2, resultados!$A$1:$ZZ$1, 0))</f>
        <v>#N/A</v>
      </c>
      <c r="C1957" t="e">
        <f>INDEX(resultados!$A$2:$ZZ$2290, 1951, MATCH($B$3, resultados!$A$1:$ZZ$1, 0))</f>
        <v>#N/A</v>
      </c>
    </row>
    <row r="1958" spans="1:3" x14ac:dyDescent="0.3">
      <c r="A1958" t="e">
        <f>INDEX(resultados!$A$2:$ZZ$2290, 1952, MATCH($B$1, resultados!$A$1:$ZZ$1, 0))</f>
        <v>#N/A</v>
      </c>
      <c r="B1958" t="e">
        <f>INDEX(resultados!$A$2:$ZZ$2290, 1952, MATCH($B$2, resultados!$A$1:$ZZ$1, 0))</f>
        <v>#N/A</v>
      </c>
      <c r="C1958" t="e">
        <f>INDEX(resultados!$A$2:$ZZ$2290, 1952, MATCH($B$3, resultados!$A$1:$ZZ$1, 0))</f>
        <v>#N/A</v>
      </c>
    </row>
    <row r="1959" spans="1:3" x14ac:dyDescent="0.3">
      <c r="A1959" t="e">
        <f>INDEX(resultados!$A$2:$ZZ$2290, 1953, MATCH($B$1, resultados!$A$1:$ZZ$1, 0))</f>
        <v>#N/A</v>
      </c>
      <c r="B1959" t="e">
        <f>INDEX(resultados!$A$2:$ZZ$2290, 1953, MATCH($B$2, resultados!$A$1:$ZZ$1, 0))</f>
        <v>#N/A</v>
      </c>
      <c r="C1959" t="e">
        <f>INDEX(resultados!$A$2:$ZZ$2290, 1953, MATCH($B$3, resultados!$A$1:$ZZ$1, 0))</f>
        <v>#N/A</v>
      </c>
    </row>
    <row r="1960" spans="1:3" x14ac:dyDescent="0.3">
      <c r="A1960" t="e">
        <f>INDEX(resultados!$A$2:$ZZ$2290, 1954, MATCH($B$1, resultados!$A$1:$ZZ$1, 0))</f>
        <v>#N/A</v>
      </c>
      <c r="B1960" t="e">
        <f>INDEX(resultados!$A$2:$ZZ$2290, 1954, MATCH($B$2, resultados!$A$1:$ZZ$1, 0))</f>
        <v>#N/A</v>
      </c>
      <c r="C1960" t="e">
        <f>INDEX(resultados!$A$2:$ZZ$2290, 1954, MATCH($B$3, resultados!$A$1:$ZZ$1, 0))</f>
        <v>#N/A</v>
      </c>
    </row>
    <row r="1961" spans="1:3" x14ac:dyDescent="0.3">
      <c r="A1961" t="e">
        <f>INDEX(resultados!$A$2:$ZZ$2290, 1955, MATCH($B$1, resultados!$A$1:$ZZ$1, 0))</f>
        <v>#N/A</v>
      </c>
      <c r="B1961" t="e">
        <f>INDEX(resultados!$A$2:$ZZ$2290, 1955, MATCH($B$2, resultados!$A$1:$ZZ$1, 0))</f>
        <v>#N/A</v>
      </c>
      <c r="C1961" t="e">
        <f>INDEX(resultados!$A$2:$ZZ$2290, 1955, MATCH($B$3, resultados!$A$1:$ZZ$1, 0))</f>
        <v>#N/A</v>
      </c>
    </row>
    <row r="1962" spans="1:3" x14ac:dyDescent="0.3">
      <c r="A1962" t="e">
        <f>INDEX(resultados!$A$2:$ZZ$2290, 1956, MATCH($B$1, resultados!$A$1:$ZZ$1, 0))</f>
        <v>#N/A</v>
      </c>
      <c r="B1962" t="e">
        <f>INDEX(resultados!$A$2:$ZZ$2290, 1956, MATCH($B$2, resultados!$A$1:$ZZ$1, 0))</f>
        <v>#N/A</v>
      </c>
      <c r="C1962" t="e">
        <f>INDEX(resultados!$A$2:$ZZ$2290, 1956, MATCH($B$3, resultados!$A$1:$ZZ$1, 0))</f>
        <v>#N/A</v>
      </c>
    </row>
    <row r="1963" spans="1:3" x14ac:dyDescent="0.3">
      <c r="A1963" t="e">
        <f>INDEX(resultados!$A$2:$ZZ$2290, 1957, MATCH($B$1, resultados!$A$1:$ZZ$1, 0))</f>
        <v>#N/A</v>
      </c>
      <c r="B1963" t="e">
        <f>INDEX(resultados!$A$2:$ZZ$2290, 1957, MATCH($B$2, resultados!$A$1:$ZZ$1, 0))</f>
        <v>#N/A</v>
      </c>
      <c r="C1963" t="e">
        <f>INDEX(resultados!$A$2:$ZZ$2290, 1957, MATCH($B$3, resultados!$A$1:$ZZ$1, 0))</f>
        <v>#N/A</v>
      </c>
    </row>
    <row r="1964" spans="1:3" x14ac:dyDescent="0.3">
      <c r="A1964" t="e">
        <f>INDEX(resultados!$A$2:$ZZ$2290, 1958, MATCH($B$1, resultados!$A$1:$ZZ$1, 0))</f>
        <v>#N/A</v>
      </c>
      <c r="B1964" t="e">
        <f>INDEX(resultados!$A$2:$ZZ$2290, 1958, MATCH($B$2, resultados!$A$1:$ZZ$1, 0))</f>
        <v>#N/A</v>
      </c>
      <c r="C1964" t="e">
        <f>INDEX(resultados!$A$2:$ZZ$2290, 1958, MATCH($B$3, resultados!$A$1:$ZZ$1, 0))</f>
        <v>#N/A</v>
      </c>
    </row>
    <row r="1965" spans="1:3" x14ac:dyDescent="0.3">
      <c r="A1965" t="e">
        <f>INDEX(resultados!$A$2:$ZZ$2290, 1959, MATCH($B$1, resultados!$A$1:$ZZ$1, 0))</f>
        <v>#N/A</v>
      </c>
      <c r="B1965" t="e">
        <f>INDEX(resultados!$A$2:$ZZ$2290, 1959, MATCH($B$2, resultados!$A$1:$ZZ$1, 0))</f>
        <v>#N/A</v>
      </c>
      <c r="C1965" t="e">
        <f>INDEX(resultados!$A$2:$ZZ$2290, 1959, MATCH($B$3, resultados!$A$1:$ZZ$1, 0))</f>
        <v>#N/A</v>
      </c>
    </row>
    <row r="1966" spans="1:3" x14ac:dyDescent="0.3">
      <c r="A1966" t="e">
        <f>INDEX(resultados!$A$2:$ZZ$2290, 1960, MATCH($B$1, resultados!$A$1:$ZZ$1, 0))</f>
        <v>#N/A</v>
      </c>
      <c r="B1966" t="e">
        <f>INDEX(resultados!$A$2:$ZZ$2290, 1960, MATCH($B$2, resultados!$A$1:$ZZ$1, 0))</f>
        <v>#N/A</v>
      </c>
      <c r="C1966" t="e">
        <f>INDEX(resultados!$A$2:$ZZ$2290, 1960, MATCH($B$3, resultados!$A$1:$ZZ$1, 0))</f>
        <v>#N/A</v>
      </c>
    </row>
    <row r="1967" spans="1:3" x14ac:dyDescent="0.3">
      <c r="A1967" t="e">
        <f>INDEX(resultados!$A$2:$ZZ$2290, 1961, MATCH($B$1, resultados!$A$1:$ZZ$1, 0))</f>
        <v>#N/A</v>
      </c>
      <c r="B1967" t="e">
        <f>INDEX(resultados!$A$2:$ZZ$2290, 1961, MATCH($B$2, resultados!$A$1:$ZZ$1, 0))</f>
        <v>#N/A</v>
      </c>
      <c r="C1967" t="e">
        <f>INDEX(resultados!$A$2:$ZZ$2290, 1961, MATCH($B$3, resultados!$A$1:$ZZ$1, 0))</f>
        <v>#N/A</v>
      </c>
    </row>
    <row r="1968" spans="1:3" x14ac:dyDescent="0.3">
      <c r="A1968" t="e">
        <f>INDEX(resultados!$A$2:$ZZ$2290, 1962, MATCH($B$1, resultados!$A$1:$ZZ$1, 0))</f>
        <v>#N/A</v>
      </c>
      <c r="B1968" t="e">
        <f>INDEX(resultados!$A$2:$ZZ$2290, 1962, MATCH($B$2, resultados!$A$1:$ZZ$1, 0))</f>
        <v>#N/A</v>
      </c>
      <c r="C1968" t="e">
        <f>INDEX(resultados!$A$2:$ZZ$2290, 1962, MATCH($B$3, resultados!$A$1:$ZZ$1, 0))</f>
        <v>#N/A</v>
      </c>
    </row>
    <row r="1969" spans="1:3" x14ac:dyDescent="0.3">
      <c r="A1969" t="e">
        <f>INDEX(resultados!$A$2:$ZZ$2290, 1963, MATCH($B$1, resultados!$A$1:$ZZ$1, 0))</f>
        <v>#N/A</v>
      </c>
      <c r="B1969" t="e">
        <f>INDEX(resultados!$A$2:$ZZ$2290, 1963, MATCH($B$2, resultados!$A$1:$ZZ$1, 0))</f>
        <v>#N/A</v>
      </c>
      <c r="C1969" t="e">
        <f>INDEX(resultados!$A$2:$ZZ$2290, 1963, MATCH($B$3, resultados!$A$1:$ZZ$1, 0))</f>
        <v>#N/A</v>
      </c>
    </row>
    <row r="1970" spans="1:3" x14ac:dyDescent="0.3">
      <c r="A1970" t="e">
        <f>INDEX(resultados!$A$2:$ZZ$2290, 1964, MATCH($B$1, resultados!$A$1:$ZZ$1, 0))</f>
        <v>#N/A</v>
      </c>
      <c r="B1970" t="e">
        <f>INDEX(resultados!$A$2:$ZZ$2290, 1964, MATCH($B$2, resultados!$A$1:$ZZ$1, 0))</f>
        <v>#N/A</v>
      </c>
      <c r="C1970" t="e">
        <f>INDEX(resultados!$A$2:$ZZ$2290, 1964, MATCH($B$3, resultados!$A$1:$ZZ$1, 0))</f>
        <v>#N/A</v>
      </c>
    </row>
    <row r="1971" spans="1:3" x14ac:dyDescent="0.3">
      <c r="A1971" t="e">
        <f>INDEX(resultados!$A$2:$ZZ$2290, 1965, MATCH($B$1, resultados!$A$1:$ZZ$1, 0))</f>
        <v>#N/A</v>
      </c>
      <c r="B1971" t="e">
        <f>INDEX(resultados!$A$2:$ZZ$2290, 1965, MATCH($B$2, resultados!$A$1:$ZZ$1, 0))</f>
        <v>#N/A</v>
      </c>
      <c r="C1971" t="e">
        <f>INDEX(resultados!$A$2:$ZZ$2290, 1965, MATCH($B$3, resultados!$A$1:$ZZ$1, 0))</f>
        <v>#N/A</v>
      </c>
    </row>
    <row r="1972" spans="1:3" x14ac:dyDescent="0.3">
      <c r="A1972" t="e">
        <f>INDEX(resultados!$A$2:$ZZ$2290, 1966, MATCH($B$1, resultados!$A$1:$ZZ$1, 0))</f>
        <v>#N/A</v>
      </c>
      <c r="B1972" t="e">
        <f>INDEX(resultados!$A$2:$ZZ$2290, 1966, MATCH($B$2, resultados!$A$1:$ZZ$1, 0))</f>
        <v>#N/A</v>
      </c>
      <c r="C1972" t="e">
        <f>INDEX(resultados!$A$2:$ZZ$2290, 1966, MATCH($B$3, resultados!$A$1:$ZZ$1, 0))</f>
        <v>#N/A</v>
      </c>
    </row>
    <row r="1973" spans="1:3" x14ac:dyDescent="0.3">
      <c r="A1973" t="e">
        <f>INDEX(resultados!$A$2:$ZZ$2290, 1967, MATCH($B$1, resultados!$A$1:$ZZ$1, 0))</f>
        <v>#N/A</v>
      </c>
      <c r="B1973" t="e">
        <f>INDEX(resultados!$A$2:$ZZ$2290, 1967, MATCH($B$2, resultados!$A$1:$ZZ$1, 0))</f>
        <v>#N/A</v>
      </c>
      <c r="C1973" t="e">
        <f>INDEX(resultados!$A$2:$ZZ$2290, 1967, MATCH($B$3, resultados!$A$1:$ZZ$1, 0))</f>
        <v>#N/A</v>
      </c>
    </row>
    <row r="1974" spans="1:3" x14ac:dyDescent="0.3">
      <c r="A1974" t="e">
        <f>INDEX(resultados!$A$2:$ZZ$2290, 1968, MATCH($B$1, resultados!$A$1:$ZZ$1, 0))</f>
        <v>#N/A</v>
      </c>
      <c r="B1974" t="e">
        <f>INDEX(resultados!$A$2:$ZZ$2290, 1968, MATCH($B$2, resultados!$A$1:$ZZ$1, 0))</f>
        <v>#N/A</v>
      </c>
      <c r="C1974" t="e">
        <f>INDEX(resultados!$A$2:$ZZ$2290, 1968, MATCH($B$3, resultados!$A$1:$ZZ$1, 0))</f>
        <v>#N/A</v>
      </c>
    </row>
    <row r="1975" spans="1:3" x14ac:dyDescent="0.3">
      <c r="A1975" t="e">
        <f>INDEX(resultados!$A$2:$ZZ$2290, 1969, MATCH($B$1, resultados!$A$1:$ZZ$1, 0))</f>
        <v>#N/A</v>
      </c>
      <c r="B1975" t="e">
        <f>INDEX(resultados!$A$2:$ZZ$2290, 1969, MATCH($B$2, resultados!$A$1:$ZZ$1, 0))</f>
        <v>#N/A</v>
      </c>
      <c r="C1975" t="e">
        <f>INDEX(resultados!$A$2:$ZZ$2290, 1969, MATCH($B$3, resultados!$A$1:$ZZ$1, 0))</f>
        <v>#N/A</v>
      </c>
    </row>
    <row r="1976" spans="1:3" x14ac:dyDescent="0.3">
      <c r="A1976" t="e">
        <f>INDEX(resultados!$A$2:$ZZ$2290, 1970, MATCH($B$1, resultados!$A$1:$ZZ$1, 0))</f>
        <v>#N/A</v>
      </c>
      <c r="B1976" t="e">
        <f>INDEX(resultados!$A$2:$ZZ$2290, 1970, MATCH($B$2, resultados!$A$1:$ZZ$1, 0))</f>
        <v>#N/A</v>
      </c>
      <c r="C1976" t="e">
        <f>INDEX(resultados!$A$2:$ZZ$2290, 1970, MATCH($B$3, resultados!$A$1:$ZZ$1, 0))</f>
        <v>#N/A</v>
      </c>
    </row>
    <row r="1977" spans="1:3" x14ac:dyDescent="0.3">
      <c r="A1977" t="e">
        <f>INDEX(resultados!$A$2:$ZZ$2290, 1971, MATCH($B$1, resultados!$A$1:$ZZ$1, 0))</f>
        <v>#N/A</v>
      </c>
      <c r="B1977" t="e">
        <f>INDEX(resultados!$A$2:$ZZ$2290, 1971, MATCH($B$2, resultados!$A$1:$ZZ$1, 0))</f>
        <v>#N/A</v>
      </c>
      <c r="C1977" t="e">
        <f>INDEX(resultados!$A$2:$ZZ$2290, 1971, MATCH($B$3, resultados!$A$1:$ZZ$1, 0))</f>
        <v>#N/A</v>
      </c>
    </row>
    <row r="1978" spans="1:3" x14ac:dyDescent="0.3">
      <c r="A1978" t="e">
        <f>INDEX(resultados!$A$2:$ZZ$2290, 1972, MATCH($B$1, resultados!$A$1:$ZZ$1, 0))</f>
        <v>#N/A</v>
      </c>
      <c r="B1978" t="e">
        <f>INDEX(resultados!$A$2:$ZZ$2290, 1972, MATCH($B$2, resultados!$A$1:$ZZ$1, 0))</f>
        <v>#N/A</v>
      </c>
      <c r="C1978" t="e">
        <f>INDEX(resultados!$A$2:$ZZ$2290, 1972, MATCH($B$3, resultados!$A$1:$ZZ$1, 0))</f>
        <v>#N/A</v>
      </c>
    </row>
    <row r="1979" spans="1:3" x14ac:dyDescent="0.3">
      <c r="A1979" t="e">
        <f>INDEX(resultados!$A$2:$ZZ$2290, 1973, MATCH($B$1, resultados!$A$1:$ZZ$1, 0))</f>
        <v>#N/A</v>
      </c>
      <c r="B1979" t="e">
        <f>INDEX(resultados!$A$2:$ZZ$2290, 1973, MATCH($B$2, resultados!$A$1:$ZZ$1, 0))</f>
        <v>#N/A</v>
      </c>
      <c r="C1979" t="e">
        <f>INDEX(resultados!$A$2:$ZZ$2290, 1973, MATCH($B$3, resultados!$A$1:$ZZ$1, 0))</f>
        <v>#N/A</v>
      </c>
    </row>
    <row r="1980" spans="1:3" x14ac:dyDescent="0.3">
      <c r="A1980" t="e">
        <f>INDEX(resultados!$A$2:$ZZ$2290, 1974, MATCH($B$1, resultados!$A$1:$ZZ$1, 0))</f>
        <v>#N/A</v>
      </c>
      <c r="B1980" t="e">
        <f>INDEX(resultados!$A$2:$ZZ$2290, 1974, MATCH($B$2, resultados!$A$1:$ZZ$1, 0))</f>
        <v>#N/A</v>
      </c>
      <c r="C1980" t="e">
        <f>INDEX(resultados!$A$2:$ZZ$2290, 1974, MATCH($B$3, resultados!$A$1:$ZZ$1, 0))</f>
        <v>#N/A</v>
      </c>
    </row>
    <row r="1981" spans="1:3" x14ac:dyDescent="0.3">
      <c r="A1981" t="e">
        <f>INDEX(resultados!$A$2:$ZZ$2290, 1975, MATCH($B$1, resultados!$A$1:$ZZ$1, 0))</f>
        <v>#N/A</v>
      </c>
      <c r="B1981" t="e">
        <f>INDEX(resultados!$A$2:$ZZ$2290, 1975, MATCH($B$2, resultados!$A$1:$ZZ$1, 0))</f>
        <v>#N/A</v>
      </c>
      <c r="C1981" t="e">
        <f>INDEX(resultados!$A$2:$ZZ$2290, 1975, MATCH($B$3, resultados!$A$1:$ZZ$1, 0))</f>
        <v>#N/A</v>
      </c>
    </row>
    <row r="1982" spans="1:3" x14ac:dyDescent="0.3">
      <c r="A1982" t="e">
        <f>INDEX(resultados!$A$2:$ZZ$2290, 1976, MATCH($B$1, resultados!$A$1:$ZZ$1, 0))</f>
        <v>#N/A</v>
      </c>
      <c r="B1982" t="e">
        <f>INDEX(resultados!$A$2:$ZZ$2290, 1976, MATCH($B$2, resultados!$A$1:$ZZ$1, 0))</f>
        <v>#N/A</v>
      </c>
      <c r="C1982" t="e">
        <f>INDEX(resultados!$A$2:$ZZ$2290, 1976, MATCH($B$3, resultados!$A$1:$ZZ$1, 0))</f>
        <v>#N/A</v>
      </c>
    </row>
    <row r="1983" spans="1:3" x14ac:dyDescent="0.3">
      <c r="A1983" t="e">
        <f>INDEX(resultados!$A$2:$ZZ$2290, 1977, MATCH($B$1, resultados!$A$1:$ZZ$1, 0))</f>
        <v>#N/A</v>
      </c>
      <c r="B1983" t="e">
        <f>INDEX(resultados!$A$2:$ZZ$2290, 1977, MATCH($B$2, resultados!$A$1:$ZZ$1, 0))</f>
        <v>#N/A</v>
      </c>
      <c r="C1983" t="e">
        <f>INDEX(resultados!$A$2:$ZZ$2290, 1977, MATCH($B$3, resultados!$A$1:$ZZ$1, 0))</f>
        <v>#N/A</v>
      </c>
    </row>
    <row r="1984" spans="1:3" x14ac:dyDescent="0.3">
      <c r="A1984" t="e">
        <f>INDEX(resultados!$A$2:$ZZ$2290, 1978, MATCH($B$1, resultados!$A$1:$ZZ$1, 0))</f>
        <v>#N/A</v>
      </c>
      <c r="B1984" t="e">
        <f>INDEX(resultados!$A$2:$ZZ$2290, 1978, MATCH($B$2, resultados!$A$1:$ZZ$1, 0))</f>
        <v>#N/A</v>
      </c>
      <c r="C1984" t="e">
        <f>INDEX(resultados!$A$2:$ZZ$2290, 1978, MATCH($B$3, resultados!$A$1:$ZZ$1, 0))</f>
        <v>#N/A</v>
      </c>
    </row>
    <row r="1985" spans="1:3" x14ac:dyDescent="0.3">
      <c r="A1985" t="e">
        <f>INDEX(resultados!$A$2:$ZZ$2290, 1979, MATCH($B$1, resultados!$A$1:$ZZ$1, 0))</f>
        <v>#N/A</v>
      </c>
      <c r="B1985" t="e">
        <f>INDEX(resultados!$A$2:$ZZ$2290, 1979, MATCH($B$2, resultados!$A$1:$ZZ$1, 0))</f>
        <v>#N/A</v>
      </c>
      <c r="C1985" t="e">
        <f>INDEX(resultados!$A$2:$ZZ$2290, 1979, MATCH($B$3, resultados!$A$1:$ZZ$1, 0))</f>
        <v>#N/A</v>
      </c>
    </row>
    <row r="1986" spans="1:3" x14ac:dyDescent="0.3">
      <c r="A1986" t="e">
        <f>INDEX(resultados!$A$2:$ZZ$2290, 1980, MATCH($B$1, resultados!$A$1:$ZZ$1, 0))</f>
        <v>#N/A</v>
      </c>
      <c r="B1986" t="e">
        <f>INDEX(resultados!$A$2:$ZZ$2290, 1980, MATCH($B$2, resultados!$A$1:$ZZ$1, 0))</f>
        <v>#N/A</v>
      </c>
      <c r="C1986" t="e">
        <f>INDEX(resultados!$A$2:$ZZ$2290, 1980, MATCH($B$3, resultados!$A$1:$ZZ$1, 0))</f>
        <v>#N/A</v>
      </c>
    </row>
    <row r="1987" spans="1:3" x14ac:dyDescent="0.3">
      <c r="A1987" t="e">
        <f>INDEX(resultados!$A$2:$ZZ$2290, 1981, MATCH($B$1, resultados!$A$1:$ZZ$1, 0))</f>
        <v>#N/A</v>
      </c>
      <c r="B1987" t="e">
        <f>INDEX(resultados!$A$2:$ZZ$2290, 1981, MATCH($B$2, resultados!$A$1:$ZZ$1, 0))</f>
        <v>#N/A</v>
      </c>
      <c r="C1987" t="e">
        <f>INDEX(resultados!$A$2:$ZZ$2290, 1981, MATCH($B$3, resultados!$A$1:$ZZ$1, 0))</f>
        <v>#N/A</v>
      </c>
    </row>
    <row r="1988" spans="1:3" x14ac:dyDescent="0.3">
      <c r="A1988" t="e">
        <f>INDEX(resultados!$A$2:$ZZ$2290, 1982, MATCH($B$1, resultados!$A$1:$ZZ$1, 0))</f>
        <v>#N/A</v>
      </c>
      <c r="B1988" t="e">
        <f>INDEX(resultados!$A$2:$ZZ$2290, 1982, MATCH($B$2, resultados!$A$1:$ZZ$1, 0))</f>
        <v>#N/A</v>
      </c>
      <c r="C1988" t="e">
        <f>INDEX(resultados!$A$2:$ZZ$2290, 1982, MATCH($B$3, resultados!$A$1:$ZZ$1, 0))</f>
        <v>#N/A</v>
      </c>
    </row>
    <row r="1989" spans="1:3" x14ac:dyDescent="0.3">
      <c r="A1989" t="e">
        <f>INDEX(resultados!$A$2:$ZZ$2290, 1983, MATCH($B$1, resultados!$A$1:$ZZ$1, 0))</f>
        <v>#N/A</v>
      </c>
      <c r="B1989" t="e">
        <f>INDEX(resultados!$A$2:$ZZ$2290, 1983, MATCH($B$2, resultados!$A$1:$ZZ$1, 0))</f>
        <v>#N/A</v>
      </c>
      <c r="C1989" t="e">
        <f>INDEX(resultados!$A$2:$ZZ$2290, 1983, MATCH($B$3, resultados!$A$1:$ZZ$1, 0))</f>
        <v>#N/A</v>
      </c>
    </row>
    <row r="1990" spans="1:3" x14ac:dyDescent="0.3">
      <c r="A1990" t="e">
        <f>INDEX(resultados!$A$2:$ZZ$2290, 1984, MATCH($B$1, resultados!$A$1:$ZZ$1, 0))</f>
        <v>#N/A</v>
      </c>
      <c r="B1990" t="e">
        <f>INDEX(resultados!$A$2:$ZZ$2290, 1984, MATCH($B$2, resultados!$A$1:$ZZ$1, 0))</f>
        <v>#N/A</v>
      </c>
      <c r="C1990" t="e">
        <f>INDEX(resultados!$A$2:$ZZ$2290, 1984, MATCH($B$3, resultados!$A$1:$ZZ$1, 0))</f>
        <v>#N/A</v>
      </c>
    </row>
    <row r="1991" spans="1:3" x14ac:dyDescent="0.3">
      <c r="A1991" t="e">
        <f>INDEX(resultados!$A$2:$ZZ$2290, 1985, MATCH($B$1, resultados!$A$1:$ZZ$1, 0))</f>
        <v>#N/A</v>
      </c>
      <c r="B1991" t="e">
        <f>INDEX(resultados!$A$2:$ZZ$2290, 1985, MATCH($B$2, resultados!$A$1:$ZZ$1, 0))</f>
        <v>#N/A</v>
      </c>
      <c r="C1991" t="e">
        <f>INDEX(resultados!$A$2:$ZZ$2290, 1985, MATCH($B$3, resultados!$A$1:$ZZ$1, 0))</f>
        <v>#N/A</v>
      </c>
    </row>
    <row r="1992" spans="1:3" x14ac:dyDescent="0.3">
      <c r="A1992" t="e">
        <f>INDEX(resultados!$A$2:$ZZ$2290, 1986, MATCH($B$1, resultados!$A$1:$ZZ$1, 0))</f>
        <v>#N/A</v>
      </c>
      <c r="B1992" t="e">
        <f>INDEX(resultados!$A$2:$ZZ$2290, 1986, MATCH($B$2, resultados!$A$1:$ZZ$1, 0))</f>
        <v>#N/A</v>
      </c>
      <c r="C1992" t="e">
        <f>INDEX(resultados!$A$2:$ZZ$2290, 1986, MATCH($B$3, resultados!$A$1:$ZZ$1, 0))</f>
        <v>#N/A</v>
      </c>
    </row>
    <row r="1993" spans="1:3" x14ac:dyDescent="0.3">
      <c r="A1993" t="e">
        <f>INDEX(resultados!$A$2:$ZZ$2290, 1987, MATCH($B$1, resultados!$A$1:$ZZ$1, 0))</f>
        <v>#N/A</v>
      </c>
      <c r="B1993" t="e">
        <f>INDEX(resultados!$A$2:$ZZ$2290, 1987, MATCH($B$2, resultados!$A$1:$ZZ$1, 0))</f>
        <v>#N/A</v>
      </c>
      <c r="C1993" t="e">
        <f>INDEX(resultados!$A$2:$ZZ$2290, 1987, MATCH($B$3, resultados!$A$1:$ZZ$1, 0))</f>
        <v>#N/A</v>
      </c>
    </row>
    <row r="1994" spans="1:3" x14ac:dyDescent="0.3">
      <c r="A1994" t="e">
        <f>INDEX(resultados!$A$2:$ZZ$2290, 1988, MATCH($B$1, resultados!$A$1:$ZZ$1, 0))</f>
        <v>#N/A</v>
      </c>
      <c r="B1994" t="e">
        <f>INDEX(resultados!$A$2:$ZZ$2290, 1988, MATCH($B$2, resultados!$A$1:$ZZ$1, 0))</f>
        <v>#N/A</v>
      </c>
      <c r="C1994" t="e">
        <f>INDEX(resultados!$A$2:$ZZ$2290, 1988, MATCH($B$3, resultados!$A$1:$ZZ$1, 0))</f>
        <v>#N/A</v>
      </c>
    </row>
    <row r="1995" spans="1:3" x14ac:dyDescent="0.3">
      <c r="A1995" t="e">
        <f>INDEX(resultados!$A$2:$ZZ$2290, 1989, MATCH($B$1, resultados!$A$1:$ZZ$1, 0))</f>
        <v>#N/A</v>
      </c>
      <c r="B1995" t="e">
        <f>INDEX(resultados!$A$2:$ZZ$2290, 1989, MATCH($B$2, resultados!$A$1:$ZZ$1, 0))</f>
        <v>#N/A</v>
      </c>
      <c r="C1995" t="e">
        <f>INDEX(resultados!$A$2:$ZZ$2290, 1989, MATCH($B$3, resultados!$A$1:$ZZ$1, 0))</f>
        <v>#N/A</v>
      </c>
    </row>
    <row r="1996" spans="1:3" x14ac:dyDescent="0.3">
      <c r="A1996" t="e">
        <f>INDEX(resultados!$A$2:$ZZ$2290, 1990, MATCH($B$1, resultados!$A$1:$ZZ$1, 0))</f>
        <v>#N/A</v>
      </c>
      <c r="B1996" t="e">
        <f>INDEX(resultados!$A$2:$ZZ$2290, 1990, MATCH($B$2, resultados!$A$1:$ZZ$1, 0))</f>
        <v>#N/A</v>
      </c>
      <c r="C1996" t="e">
        <f>INDEX(resultados!$A$2:$ZZ$2290, 1990, MATCH($B$3, resultados!$A$1:$ZZ$1, 0))</f>
        <v>#N/A</v>
      </c>
    </row>
    <row r="1997" spans="1:3" x14ac:dyDescent="0.3">
      <c r="A1997" t="e">
        <f>INDEX(resultados!$A$2:$ZZ$2290, 1991, MATCH($B$1, resultados!$A$1:$ZZ$1, 0))</f>
        <v>#N/A</v>
      </c>
      <c r="B1997" t="e">
        <f>INDEX(resultados!$A$2:$ZZ$2290, 1991, MATCH($B$2, resultados!$A$1:$ZZ$1, 0))</f>
        <v>#N/A</v>
      </c>
      <c r="C1997" t="e">
        <f>INDEX(resultados!$A$2:$ZZ$2290, 1991, MATCH($B$3, resultados!$A$1:$ZZ$1, 0))</f>
        <v>#N/A</v>
      </c>
    </row>
    <row r="1998" spans="1:3" x14ac:dyDescent="0.3">
      <c r="A1998" t="e">
        <f>INDEX(resultados!$A$2:$ZZ$2290, 1992, MATCH($B$1, resultados!$A$1:$ZZ$1, 0))</f>
        <v>#N/A</v>
      </c>
      <c r="B1998" t="e">
        <f>INDEX(resultados!$A$2:$ZZ$2290, 1992, MATCH($B$2, resultados!$A$1:$ZZ$1, 0))</f>
        <v>#N/A</v>
      </c>
      <c r="C1998" t="e">
        <f>INDEX(resultados!$A$2:$ZZ$2290, 1992, MATCH($B$3, resultados!$A$1:$ZZ$1, 0))</f>
        <v>#N/A</v>
      </c>
    </row>
    <row r="1999" spans="1:3" x14ac:dyDescent="0.3">
      <c r="A1999" t="e">
        <f>INDEX(resultados!$A$2:$ZZ$2290, 1993, MATCH($B$1, resultados!$A$1:$ZZ$1, 0))</f>
        <v>#N/A</v>
      </c>
      <c r="B1999" t="e">
        <f>INDEX(resultados!$A$2:$ZZ$2290, 1993, MATCH($B$2, resultados!$A$1:$ZZ$1, 0))</f>
        <v>#N/A</v>
      </c>
      <c r="C1999" t="e">
        <f>INDEX(resultados!$A$2:$ZZ$2290, 1993, MATCH($B$3, resultados!$A$1:$ZZ$1, 0))</f>
        <v>#N/A</v>
      </c>
    </row>
    <row r="2000" spans="1:3" x14ac:dyDescent="0.3">
      <c r="A2000" t="e">
        <f>INDEX(resultados!$A$2:$ZZ$2290, 1994, MATCH($B$1, resultados!$A$1:$ZZ$1, 0))</f>
        <v>#N/A</v>
      </c>
      <c r="B2000" t="e">
        <f>INDEX(resultados!$A$2:$ZZ$2290, 1994, MATCH($B$2, resultados!$A$1:$ZZ$1, 0))</f>
        <v>#N/A</v>
      </c>
      <c r="C2000" t="e">
        <f>INDEX(resultados!$A$2:$ZZ$2290, 1994, MATCH($B$3, resultados!$A$1:$ZZ$1, 0))</f>
        <v>#N/A</v>
      </c>
    </row>
    <row r="2001" spans="1:3" x14ac:dyDescent="0.3">
      <c r="A2001" t="e">
        <f>INDEX(resultados!$A$2:$ZZ$2290, 1995, MATCH($B$1, resultados!$A$1:$ZZ$1, 0))</f>
        <v>#N/A</v>
      </c>
      <c r="B2001" t="e">
        <f>INDEX(resultados!$A$2:$ZZ$2290, 1995, MATCH($B$2, resultados!$A$1:$ZZ$1, 0))</f>
        <v>#N/A</v>
      </c>
      <c r="C2001" t="e">
        <f>INDEX(resultados!$A$2:$ZZ$2290, 1995, MATCH($B$3, resultados!$A$1:$ZZ$1, 0))</f>
        <v>#N/A</v>
      </c>
    </row>
    <row r="2002" spans="1:3" x14ac:dyDescent="0.3">
      <c r="A2002" t="e">
        <f>INDEX(resultados!$A$2:$ZZ$2290, 1996, MATCH($B$1, resultados!$A$1:$ZZ$1, 0))</f>
        <v>#N/A</v>
      </c>
      <c r="B2002" t="e">
        <f>INDEX(resultados!$A$2:$ZZ$2290, 1996, MATCH($B$2, resultados!$A$1:$ZZ$1, 0))</f>
        <v>#N/A</v>
      </c>
      <c r="C2002" t="e">
        <f>INDEX(resultados!$A$2:$ZZ$2290, 1996, MATCH($B$3, resultados!$A$1:$ZZ$1, 0))</f>
        <v>#N/A</v>
      </c>
    </row>
    <row r="2003" spans="1:3" x14ac:dyDescent="0.3">
      <c r="A2003" t="e">
        <f>INDEX(resultados!$A$2:$ZZ$2290, 1997, MATCH($B$1, resultados!$A$1:$ZZ$1, 0))</f>
        <v>#N/A</v>
      </c>
      <c r="B2003" t="e">
        <f>INDEX(resultados!$A$2:$ZZ$2290, 1997, MATCH($B$2, resultados!$A$1:$ZZ$1, 0))</f>
        <v>#N/A</v>
      </c>
      <c r="C2003" t="e">
        <f>INDEX(resultados!$A$2:$ZZ$2290, 1997, MATCH($B$3, resultados!$A$1:$ZZ$1, 0))</f>
        <v>#N/A</v>
      </c>
    </row>
    <row r="2004" spans="1:3" x14ac:dyDescent="0.3">
      <c r="A2004" t="e">
        <f>INDEX(resultados!$A$2:$ZZ$2290, 1998, MATCH($B$1, resultados!$A$1:$ZZ$1, 0))</f>
        <v>#N/A</v>
      </c>
      <c r="B2004" t="e">
        <f>INDEX(resultados!$A$2:$ZZ$2290, 1998, MATCH($B$2, resultados!$A$1:$ZZ$1, 0))</f>
        <v>#N/A</v>
      </c>
      <c r="C2004" t="e">
        <f>INDEX(resultados!$A$2:$ZZ$2290, 1998, MATCH($B$3, resultados!$A$1:$ZZ$1, 0))</f>
        <v>#N/A</v>
      </c>
    </row>
    <row r="2005" spans="1:3" x14ac:dyDescent="0.3">
      <c r="A2005" t="e">
        <f>INDEX(resultados!$A$2:$ZZ$2290, 1999, MATCH($B$1, resultados!$A$1:$ZZ$1, 0))</f>
        <v>#N/A</v>
      </c>
      <c r="B2005" t="e">
        <f>INDEX(resultados!$A$2:$ZZ$2290, 1999, MATCH($B$2, resultados!$A$1:$ZZ$1, 0))</f>
        <v>#N/A</v>
      </c>
      <c r="C2005" t="e">
        <f>INDEX(resultados!$A$2:$ZZ$2290, 1999, MATCH($B$3, resultados!$A$1:$ZZ$1, 0))</f>
        <v>#N/A</v>
      </c>
    </row>
    <row r="2006" spans="1:3" x14ac:dyDescent="0.3">
      <c r="A2006" t="e">
        <f>INDEX(resultados!$A$2:$ZZ$2290, 2000, MATCH($B$1, resultados!$A$1:$ZZ$1, 0))</f>
        <v>#N/A</v>
      </c>
      <c r="B2006" t="e">
        <f>INDEX(resultados!$A$2:$ZZ$2290, 2000, MATCH($B$2, resultados!$A$1:$ZZ$1, 0))</f>
        <v>#N/A</v>
      </c>
      <c r="C2006" t="e">
        <f>INDEX(resultados!$A$2:$ZZ$2290, 2000, MATCH($B$3, resultados!$A$1:$ZZ$1, 0))</f>
        <v>#N/A</v>
      </c>
    </row>
    <row r="2007" spans="1:3" x14ac:dyDescent="0.3">
      <c r="A2007" t="e">
        <f>INDEX(resultados!$A$2:$ZZ$2290, 2001, MATCH($B$1, resultados!$A$1:$ZZ$1, 0))</f>
        <v>#N/A</v>
      </c>
      <c r="B2007" t="e">
        <f>INDEX(resultados!$A$2:$ZZ$2290, 2001, MATCH($B$2, resultados!$A$1:$ZZ$1, 0))</f>
        <v>#N/A</v>
      </c>
      <c r="C2007" t="e">
        <f>INDEX(resultados!$A$2:$ZZ$2290, 2001, MATCH($B$3, resultados!$A$1:$ZZ$1, 0))</f>
        <v>#N/A</v>
      </c>
    </row>
    <row r="2008" spans="1:3" x14ac:dyDescent="0.3">
      <c r="A2008" t="e">
        <f>INDEX(resultados!$A$2:$ZZ$2290, 2002, MATCH($B$1, resultados!$A$1:$ZZ$1, 0))</f>
        <v>#N/A</v>
      </c>
      <c r="B2008" t="e">
        <f>INDEX(resultados!$A$2:$ZZ$2290, 2002, MATCH($B$2, resultados!$A$1:$ZZ$1, 0))</f>
        <v>#N/A</v>
      </c>
      <c r="C2008" t="e">
        <f>INDEX(resultados!$A$2:$ZZ$2290, 2002, MATCH($B$3, resultados!$A$1:$ZZ$1, 0))</f>
        <v>#N/A</v>
      </c>
    </row>
    <row r="2009" spans="1:3" x14ac:dyDescent="0.3">
      <c r="A2009" t="e">
        <f>INDEX(resultados!$A$2:$ZZ$2290, 2003, MATCH($B$1, resultados!$A$1:$ZZ$1, 0))</f>
        <v>#N/A</v>
      </c>
      <c r="B2009" t="e">
        <f>INDEX(resultados!$A$2:$ZZ$2290, 2003, MATCH($B$2, resultados!$A$1:$ZZ$1, 0))</f>
        <v>#N/A</v>
      </c>
      <c r="C2009" t="e">
        <f>INDEX(resultados!$A$2:$ZZ$2290, 2003, MATCH($B$3, resultados!$A$1:$ZZ$1, 0))</f>
        <v>#N/A</v>
      </c>
    </row>
    <row r="2010" spans="1:3" x14ac:dyDescent="0.3">
      <c r="A2010" t="e">
        <f>INDEX(resultados!$A$2:$ZZ$2290, 2004, MATCH($B$1, resultados!$A$1:$ZZ$1, 0))</f>
        <v>#N/A</v>
      </c>
      <c r="B2010" t="e">
        <f>INDEX(resultados!$A$2:$ZZ$2290, 2004, MATCH($B$2, resultados!$A$1:$ZZ$1, 0))</f>
        <v>#N/A</v>
      </c>
      <c r="C2010" t="e">
        <f>INDEX(resultados!$A$2:$ZZ$2290, 2004, MATCH($B$3, resultados!$A$1:$ZZ$1, 0))</f>
        <v>#N/A</v>
      </c>
    </row>
    <row r="2011" spans="1:3" x14ac:dyDescent="0.3">
      <c r="A2011" t="e">
        <f>INDEX(resultados!$A$2:$ZZ$2290, 2005, MATCH($B$1, resultados!$A$1:$ZZ$1, 0))</f>
        <v>#N/A</v>
      </c>
      <c r="B2011" t="e">
        <f>INDEX(resultados!$A$2:$ZZ$2290, 2005, MATCH($B$2, resultados!$A$1:$ZZ$1, 0))</f>
        <v>#N/A</v>
      </c>
      <c r="C2011" t="e">
        <f>INDEX(resultados!$A$2:$ZZ$2290, 2005, MATCH($B$3, resultados!$A$1:$ZZ$1, 0))</f>
        <v>#N/A</v>
      </c>
    </row>
    <row r="2012" spans="1:3" x14ac:dyDescent="0.3">
      <c r="A2012" t="e">
        <f>INDEX(resultados!$A$2:$ZZ$2290, 2006, MATCH($B$1, resultados!$A$1:$ZZ$1, 0))</f>
        <v>#N/A</v>
      </c>
      <c r="B2012" t="e">
        <f>INDEX(resultados!$A$2:$ZZ$2290, 2006, MATCH($B$2, resultados!$A$1:$ZZ$1, 0))</f>
        <v>#N/A</v>
      </c>
      <c r="C2012" t="e">
        <f>INDEX(resultados!$A$2:$ZZ$2290, 2006, MATCH($B$3, resultados!$A$1:$ZZ$1, 0))</f>
        <v>#N/A</v>
      </c>
    </row>
    <row r="2013" spans="1:3" x14ac:dyDescent="0.3">
      <c r="A2013" t="e">
        <f>INDEX(resultados!$A$2:$ZZ$2290, 2007, MATCH($B$1, resultados!$A$1:$ZZ$1, 0))</f>
        <v>#N/A</v>
      </c>
      <c r="B2013" t="e">
        <f>INDEX(resultados!$A$2:$ZZ$2290, 2007, MATCH($B$2, resultados!$A$1:$ZZ$1, 0))</f>
        <v>#N/A</v>
      </c>
      <c r="C2013" t="e">
        <f>INDEX(resultados!$A$2:$ZZ$2290, 2007, MATCH($B$3, resultados!$A$1:$ZZ$1, 0))</f>
        <v>#N/A</v>
      </c>
    </row>
    <row r="2014" spans="1:3" x14ac:dyDescent="0.3">
      <c r="A2014" t="e">
        <f>INDEX(resultados!$A$2:$ZZ$2290, 2008, MATCH($B$1, resultados!$A$1:$ZZ$1, 0))</f>
        <v>#N/A</v>
      </c>
      <c r="B2014" t="e">
        <f>INDEX(resultados!$A$2:$ZZ$2290, 2008, MATCH($B$2, resultados!$A$1:$ZZ$1, 0))</f>
        <v>#N/A</v>
      </c>
      <c r="C2014" t="e">
        <f>INDEX(resultados!$A$2:$ZZ$2290, 2008, MATCH($B$3, resultados!$A$1:$ZZ$1, 0))</f>
        <v>#N/A</v>
      </c>
    </row>
    <row r="2015" spans="1:3" x14ac:dyDescent="0.3">
      <c r="A2015" t="e">
        <f>INDEX(resultados!$A$2:$ZZ$2290, 2009, MATCH($B$1, resultados!$A$1:$ZZ$1, 0))</f>
        <v>#N/A</v>
      </c>
      <c r="B2015" t="e">
        <f>INDEX(resultados!$A$2:$ZZ$2290, 2009, MATCH($B$2, resultados!$A$1:$ZZ$1, 0))</f>
        <v>#N/A</v>
      </c>
      <c r="C2015" t="e">
        <f>INDEX(resultados!$A$2:$ZZ$2290, 2009, MATCH($B$3, resultados!$A$1:$ZZ$1, 0))</f>
        <v>#N/A</v>
      </c>
    </row>
    <row r="2016" spans="1:3" x14ac:dyDescent="0.3">
      <c r="A2016" t="e">
        <f>INDEX(resultados!$A$2:$ZZ$2290, 2010, MATCH($B$1, resultados!$A$1:$ZZ$1, 0))</f>
        <v>#N/A</v>
      </c>
      <c r="B2016" t="e">
        <f>INDEX(resultados!$A$2:$ZZ$2290, 2010, MATCH($B$2, resultados!$A$1:$ZZ$1, 0))</f>
        <v>#N/A</v>
      </c>
      <c r="C2016" t="e">
        <f>INDEX(resultados!$A$2:$ZZ$2290, 2010, MATCH($B$3, resultados!$A$1:$ZZ$1, 0))</f>
        <v>#N/A</v>
      </c>
    </row>
    <row r="2017" spans="1:3" x14ac:dyDescent="0.3">
      <c r="A2017" t="e">
        <f>INDEX(resultados!$A$2:$ZZ$2290, 2011, MATCH($B$1, resultados!$A$1:$ZZ$1, 0))</f>
        <v>#N/A</v>
      </c>
      <c r="B2017" t="e">
        <f>INDEX(resultados!$A$2:$ZZ$2290, 2011, MATCH($B$2, resultados!$A$1:$ZZ$1, 0))</f>
        <v>#N/A</v>
      </c>
      <c r="C2017" t="e">
        <f>INDEX(resultados!$A$2:$ZZ$2290, 2011, MATCH($B$3, resultados!$A$1:$ZZ$1, 0))</f>
        <v>#N/A</v>
      </c>
    </row>
    <row r="2018" spans="1:3" x14ac:dyDescent="0.3">
      <c r="A2018" t="e">
        <f>INDEX(resultados!$A$2:$ZZ$2290, 2012, MATCH($B$1, resultados!$A$1:$ZZ$1, 0))</f>
        <v>#N/A</v>
      </c>
      <c r="B2018" t="e">
        <f>INDEX(resultados!$A$2:$ZZ$2290, 2012, MATCH($B$2, resultados!$A$1:$ZZ$1, 0))</f>
        <v>#N/A</v>
      </c>
      <c r="C2018" t="e">
        <f>INDEX(resultados!$A$2:$ZZ$2290, 2012, MATCH($B$3, resultados!$A$1:$ZZ$1, 0))</f>
        <v>#N/A</v>
      </c>
    </row>
    <row r="2019" spans="1:3" x14ac:dyDescent="0.3">
      <c r="A2019" t="e">
        <f>INDEX(resultados!$A$2:$ZZ$2290, 2013, MATCH($B$1, resultados!$A$1:$ZZ$1, 0))</f>
        <v>#N/A</v>
      </c>
      <c r="B2019" t="e">
        <f>INDEX(resultados!$A$2:$ZZ$2290, 2013, MATCH($B$2, resultados!$A$1:$ZZ$1, 0))</f>
        <v>#N/A</v>
      </c>
      <c r="C2019" t="e">
        <f>INDEX(resultados!$A$2:$ZZ$2290, 2013, MATCH($B$3, resultados!$A$1:$ZZ$1, 0))</f>
        <v>#N/A</v>
      </c>
    </row>
    <row r="2020" spans="1:3" x14ac:dyDescent="0.3">
      <c r="A2020" t="e">
        <f>INDEX(resultados!$A$2:$ZZ$2290, 2014, MATCH($B$1, resultados!$A$1:$ZZ$1, 0))</f>
        <v>#N/A</v>
      </c>
      <c r="B2020" t="e">
        <f>INDEX(resultados!$A$2:$ZZ$2290, 2014, MATCH($B$2, resultados!$A$1:$ZZ$1, 0))</f>
        <v>#N/A</v>
      </c>
      <c r="C2020" t="e">
        <f>INDEX(resultados!$A$2:$ZZ$2290, 2014, MATCH($B$3, resultados!$A$1:$ZZ$1, 0))</f>
        <v>#N/A</v>
      </c>
    </row>
    <row r="2021" spans="1:3" x14ac:dyDescent="0.3">
      <c r="A2021" t="e">
        <f>INDEX(resultados!$A$2:$ZZ$2290, 2015, MATCH($B$1, resultados!$A$1:$ZZ$1, 0))</f>
        <v>#N/A</v>
      </c>
      <c r="B2021" t="e">
        <f>INDEX(resultados!$A$2:$ZZ$2290, 2015, MATCH($B$2, resultados!$A$1:$ZZ$1, 0))</f>
        <v>#N/A</v>
      </c>
      <c r="C2021" t="e">
        <f>INDEX(resultados!$A$2:$ZZ$2290, 2015, MATCH($B$3, resultados!$A$1:$ZZ$1, 0))</f>
        <v>#N/A</v>
      </c>
    </row>
    <row r="2022" spans="1:3" x14ac:dyDescent="0.3">
      <c r="A2022" t="e">
        <f>INDEX(resultados!$A$2:$ZZ$2290, 2016, MATCH($B$1, resultados!$A$1:$ZZ$1, 0))</f>
        <v>#N/A</v>
      </c>
      <c r="B2022" t="e">
        <f>INDEX(resultados!$A$2:$ZZ$2290, 2016, MATCH($B$2, resultados!$A$1:$ZZ$1, 0))</f>
        <v>#N/A</v>
      </c>
      <c r="C2022" t="e">
        <f>INDEX(resultados!$A$2:$ZZ$2290, 2016, MATCH($B$3, resultados!$A$1:$ZZ$1, 0))</f>
        <v>#N/A</v>
      </c>
    </row>
    <row r="2023" spans="1:3" x14ac:dyDescent="0.3">
      <c r="A2023" t="e">
        <f>INDEX(resultados!$A$2:$ZZ$2290, 2017, MATCH($B$1, resultados!$A$1:$ZZ$1, 0))</f>
        <v>#N/A</v>
      </c>
      <c r="B2023" t="e">
        <f>INDEX(resultados!$A$2:$ZZ$2290, 2017, MATCH($B$2, resultados!$A$1:$ZZ$1, 0))</f>
        <v>#N/A</v>
      </c>
      <c r="C2023" t="e">
        <f>INDEX(resultados!$A$2:$ZZ$2290, 2017, MATCH($B$3, resultados!$A$1:$ZZ$1, 0))</f>
        <v>#N/A</v>
      </c>
    </row>
    <row r="2024" spans="1:3" x14ac:dyDescent="0.3">
      <c r="A2024" t="e">
        <f>INDEX(resultados!$A$2:$ZZ$2290, 2018, MATCH($B$1, resultados!$A$1:$ZZ$1, 0))</f>
        <v>#N/A</v>
      </c>
      <c r="B2024" t="e">
        <f>INDEX(resultados!$A$2:$ZZ$2290, 2018, MATCH($B$2, resultados!$A$1:$ZZ$1, 0))</f>
        <v>#N/A</v>
      </c>
      <c r="C2024" t="e">
        <f>INDEX(resultados!$A$2:$ZZ$2290, 2018, MATCH($B$3, resultados!$A$1:$ZZ$1, 0))</f>
        <v>#N/A</v>
      </c>
    </row>
    <row r="2025" spans="1:3" x14ac:dyDescent="0.3">
      <c r="A2025" t="e">
        <f>INDEX(resultados!$A$2:$ZZ$2290, 2019, MATCH($B$1, resultados!$A$1:$ZZ$1, 0))</f>
        <v>#N/A</v>
      </c>
      <c r="B2025" t="e">
        <f>INDEX(resultados!$A$2:$ZZ$2290, 2019, MATCH($B$2, resultados!$A$1:$ZZ$1, 0))</f>
        <v>#N/A</v>
      </c>
      <c r="C2025" t="e">
        <f>INDEX(resultados!$A$2:$ZZ$2290, 2019, MATCH($B$3, resultados!$A$1:$ZZ$1, 0))</f>
        <v>#N/A</v>
      </c>
    </row>
    <row r="2026" spans="1:3" x14ac:dyDescent="0.3">
      <c r="A2026" t="e">
        <f>INDEX(resultados!$A$2:$ZZ$2290, 2020, MATCH($B$1, resultados!$A$1:$ZZ$1, 0))</f>
        <v>#N/A</v>
      </c>
      <c r="B2026" t="e">
        <f>INDEX(resultados!$A$2:$ZZ$2290, 2020, MATCH($B$2, resultados!$A$1:$ZZ$1, 0))</f>
        <v>#N/A</v>
      </c>
      <c r="C2026" t="e">
        <f>INDEX(resultados!$A$2:$ZZ$2290, 2020, MATCH($B$3, resultados!$A$1:$ZZ$1, 0))</f>
        <v>#N/A</v>
      </c>
    </row>
    <row r="2027" spans="1:3" x14ac:dyDescent="0.3">
      <c r="A2027" t="e">
        <f>INDEX(resultados!$A$2:$ZZ$2290, 2021, MATCH($B$1, resultados!$A$1:$ZZ$1, 0))</f>
        <v>#N/A</v>
      </c>
      <c r="B2027" t="e">
        <f>INDEX(resultados!$A$2:$ZZ$2290, 2021, MATCH($B$2, resultados!$A$1:$ZZ$1, 0))</f>
        <v>#N/A</v>
      </c>
      <c r="C2027" t="e">
        <f>INDEX(resultados!$A$2:$ZZ$2290, 2021, MATCH($B$3, resultados!$A$1:$ZZ$1, 0))</f>
        <v>#N/A</v>
      </c>
    </row>
    <row r="2028" spans="1:3" x14ac:dyDescent="0.3">
      <c r="A2028" t="e">
        <f>INDEX(resultados!$A$2:$ZZ$2290, 2022, MATCH($B$1, resultados!$A$1:$ZZ$1, 0))</f>
        <v>#N/A</v>
      </c>
      <c r="B2028" t="e">
        <f>INDEX(resultados!$A$2:$ZZ$2290, 2022, MATCH($B$2, resultados!$A$1:$ZZ$1, 0))</f>
        <v>#N/A</v>
      </c>
      <c r="C2028" t="e">
        <f>INDEX(resultados!$A$2:$ZZ$2290, 2022, MATCH($B$3, resultados!$A$1:$ZZ$1, 0))</f>
        <v>#N/A</v>
      </c>
    </row>
    <row r="2029" spans="1:3" x14ac:dyDescent="0.3">
      <c r="A2029" t="e">
        <f>INDEX(resultados!$A$2:$ZZ$2290, 2023, MATCH($B$1, resultados!$A$1:$ZZ$1, 0))</f>
        <v>#N/A</v>
      </c>
      <c r="B2029" t="e">
        <f>INDEX(resultados!$A$2:$ZZ$2290, 2023, MATCH($B$2, resultados!$A$1:$ZZ$1, 0))</f>
        <v>#N/A</v>
      </c>
      <c r="C2029" t="e">
        <f>INDEX(resultados!$A$2:$ZZ$2290, 2023, MATCH($B$3, resultados!$A$1:$ZZ$1, 0))</f>
        <v>#N/A</v>
      </c>
    </row>
    <row r="2030" spans="1:3" x14ac:dyDescent="0.3">
      <c r="A2030" t="e">
        <f>INDEX(resultados!$A$2:$ZZ$2290, 2024, MATCH($B$1, resultados!$A$1:$ZZ$1, 0))</f>
        <v>#N/A</v>
      </c>
      <c r="B2030" t="e">
        <f>INDEX(resultados!$A$2:$ZZ$2290, 2024, MATCH($B$2, resultados!$A$1:$ZZ$1, 0))</f>
        <v>#N/A</v>
      </c>
      <c r="C2030" t="e">
        <f>INDEX(resultados!$A$2:$ZZ$2290, 2024, MATCH($B$3, resultados!$A$1:$ZZ$1, 0))</f>
        <v>#N/A</v>
      </c>
    </row>
    <row r="2031" spans="1:3" x14ac:dyDescent="0.3">
      <c r="A2031" t="e">
        <f>INDEX(resultados!$A$2:$ZZ$2290, 2025, MATCH($B$1, resultados!$A$1:$ZZ$1, 0))</f>
        <v>#N/A</v>
      </c>
      <c r="B2031" t="e">
        <f>INDEX(resultados!$A$2:$ZZ$2290, 2025, MATCH($B$2, resultados!$A$1:$ZZ$1, 0))</f>
        <v>#N/A</v>
      </c>
      <c r="C2031" t="e">
        <f>INDEX(resultados!$A$2:$ZZ$2290, 2025, MATCH($B$3, resultados!$A$1:$ZZ$1, 0))</f>
        <v>#N/A</v>
      </c>
    </row>
    <row r="2032" spans="1:3" x14ac:dyDescent="0.3">
      <c r="A2032" t="e">
        <f>INDEX(resultados!$A$2:$ZZ$2290, 2026, MATCH($B$1, resultados!$A$1:$ZZ$1, 0))</f>
        <v>#N/A</v>
      </c>
      <c r="B2032" t="e">
        <f>INDEX(resultados!$A$2:$ZZ$2290, 2026, MATCH($B$2, resultados!$A$1:$ZZ$1, 0))</f>
        <v>#N/A</v>
      </c>
      <c r="C2032" t="e">
        <f>INDEX(resultados!$A$2:$ZZ$2290, 2026, MATCH($B$3, resultados!$A$1:$ZZ$1, 0))</f>
        <v>#N/A</v>
      </c>
    </row>
    <row r="2033" spans="1:3" x14ac:dyDescent="0.3">
      <c r="A2033" t="e">
        <f>INDEX(resultados!$A$2:$ZZ$2290, 2027, MATCH($B$1, resultados!$A$1:$ZZ$1, 0))</f>
        <v>#N/A</v>
      </c>
      <c r="B2033" t="e">
        <f>INDEX(resultados!$A$2:$ZZ$2290, 2027, MATCH($B$2, resultados!$A$1:$ZZ$1, 0))</f>
        <v>#N/A</v>
      </c>
      <c r="C2033" t="e">
        <f>INDEX(resultados!$A$2:$ZZ$2290, 2027, MATCH($B$3, resultados!$A$1:$ZZ$1, 0))</f>
        <v>#N/A</v>
      </c>
    </row>
    <row r="2034" spans="1:3" x14ac:dyDescent="0.3">
      <c r="A2034" t="e">
        <f>INDEX(resultados!$A$2:$ZZ$2290, 2028, MATCH($B$1, resultados!$A$1:$ZZ$1, 0))</f>
        <v>#N/A</v>
      </c>
      <c r="B2034" t="e">
        <f>INDEX(resultados!$A$2:$ZZ$2290, 2028, MATCH($B$2, resultados!$A$1:$ZZ$1, 0))</f>
        <v>#N/A</v>
      </c>
      <c r="C2034" t="e">
        <f>INDEX(resultados!$A$2:$ZZ$2290, 2028, MATCH($B$3, resultados!$A$1:$ZZ$1, 0))</f>
        <v>#N/A</v>
      </c>
    </row>
    <row r="2035" spans="1:3" x14ac:dyDescent="0.3">
      <c r="A2035" t="e">
        <f>INDEX(resultados!$A$2:$ZZ$2290, 2029, MATCH($B$1, resultados!$A$1:$ZZ$1, 0))</f>
        <v>#N/A</v>
      </c>
      <c r="B2035" t="e">
        <f>INDEX(resultados!$A$2:$ZZ$2290, 2029, MATCH($B$2, resultados!$A$1:$ZZ$1, 0))</f>
        <v>#N/A</v>
      </c>
      <c r="C2035" t="e">
        <f>INDEX(resultados!$A$2:$ZZ$2290, 2029, MATCH($B$3, resultados!$A$1:$ZZ$1, 0))</f>
        <v>#N/A</v>
      </c>
    </row>
    <row r="2036" spans="1:3" x14ac:dyDescent="0.3">
      <c r="A2036" t="e">
        <f>INDEX(resultados!$A$2:$ZZ$2290, 2030, MATCH($B$1, resultados!$A$1:$ZZ$1, 0))</f>
        <v>#N/A</v>
      </c>
      <c r="B2036" t="e">
        <f>INDEX(resultados!$A$2:$ZZ$2290, 2030, MATCH($B$2, resultados!$A$1:$ZZ$1, 0))</f>
        <v>#N/A</v>
      </c>
      <c r="C2036" t="e">
        <f>INDEX(resultados!$A$2:$ZZ$2290, 2030, MATCH($B$3, resultados!$A$1:$ZZ$1, 0))</f>
        <v>#N/A</v>
      </c>
    </row>
    <row r="2037" spans="1:3" x14ac:dyDescent="0.3">
      <c r="A2037" t="e">
        <f>INDEX(resultados!$A$2:$ZZ$2290, 2031, MATCH($B$1, resultados!$A$1:$ZZ$1, 0))</f>
        <v>#N/A</v>
      </c>
      <c r="B2037" t="e">
        <f>INDEX(resultados!$A$2:$ZZ$2290, 2031, MATCH($B$2, resultados!$A$1:$ZZ$1, 0))</f>
        <v>#N/A</v>
      </c>
      <c r="C2037" t="e">
        <f>INDEX(resultados!$A$2:$ZZ$2290, 2031, MATCH($B$3, resultados!$A$1:$ZZ$1, 0))</f>
        <v>#N/A</v>
      </c>
    </row>
    <row r="2038" spans="1:3" x14ac:dyDescent="0.3">
      <c r="A2038" t="e">
        <f>INDEX(resultados!$A$2:$ZZ$2290, 2032, MATCH($B$1, resultados!$A$1:$ZZ$1, 0))</f>
        <v>#N/A</v>
      </c>
      <c r="B2038" t="e">
        <f>INDEX(resultados!$A$2:$ZZ$2290, 2032, MATCH($B$2, resultados!$A$1:$ZZ$1, 0))</f>
        <v>#N/A</v>
      </c>
      <c r="C2038" t="e">
        <f>INDEX(resultados!$A$2:$ZZ$2290, 2032, MATCH($B$3, resultados!$A$1:$ZZ$1, 0))</f>
        <v>#N/A</v>
      </c>
    </row>
    <row r="2039" spans="1:3" x14ac:dyDescent="0.3">
      <c r="A2039" t="e">
        <f>INDEX(resultados!$A$2:$ZZ$2290, 2033, MATCH($B$1, resultados!$A$1:$ZZ$1, 0))</f>
        <v>#N/A</v>
      </c>
      <c r="B2039" t="e">
        <f>INDEX(resultados!$A$2:$ZZ$2290, 2033, MATCH($B$2, resultados!$A$1:$ZZ$1, 0))</f>
        <v>#N/A</v>
      </c>
      <c r="C2039" t="e">
        <f>INDEX(resultados!$A$2:$ZZ$2290, 2033, MATCH($B$3, resultados!$A$1:$ZZ$1, 0))</f>
        <v>#N/A</v>
      </c>
    </row>
    <row r="2040" spans="1:3" x14ac:dyDescent="0.3">
      <c r="A2040" t="e">
        <f>INDEX(resultados!$A$2:$ZZ$2290, 2034, MATCH($B$1, resultados!$A$1:$ZZ$1, 0))</f>
        <v>#N/A</v>
      </c>
      <c r="B2040" t="e">
        <f>INDEX(resultados!$A$2:$ZZ$2290, 2034, MATCH($B$2, resultados!$A$1:$ZZ$1, 0))</f>
        <v>#N/A</v>
      </c>
      <c r="C2040" t="e">
        <f>INDEX(resultados!$A$2:$ZZ$2290, 2034, MATCH($B$3, resultados!$A$1:$ZZ$1, 0))</f>
        <v>#N/A</v>
      </c>
    </row>
    <row r="2041" spans="1:3" x14ac:dyDescent="0.3">
      <c r="A2041" t="e">
        <f>INDEX(resultados!$A$2:$ZZ$2290, 2035, MATCH($B$1, resultados!$A$1:$ZZ$1, 0))</f>
        <v>#N/A</v>
      </c>
      <c r="B2041" t="e">
        <f>INDEX(resultados!$A$2:$ZZ$2290, 2035, MATCH($B$2, resultados!$A$1:$ZZ$1, 0))</f>
        <v>#N/A</v>
      </c>
      <c r="C2041" t="e">
        <f>INDEX(resultados!$A$2:$ZZ$2290, 2035, MATCH($B$3, resultados!$A$1:$ZZ$1, 0))</f>
        <v>#N/A</v>
      </c>
    </row>
    <row r="2042" spans="1:3" x14ac:dyDescent="0.3">
      <c r="A2042" t="e">
        <f>INDEX(resultados!$A$2:$ZZ$2290, 2036, MATCH($B$1, resultados!$A$1:$ZZ$1, 0))</f>
        <v>#N/A</v>
      </c>
      <c r="B2042" t="e">
        <f>INDEX(resultados!$A$2:$ZZ$2290, 2036, MATCH($B$2, resultados!$A$1:$ZZ$1, 0))</f>
        <v>#N/A</v>
      </c>
      <c r="C2042" t="e">
        <f>INDEX(resultados!$A$2:$ZZ$2290, 2036, MATCH($B$3, resultados!$A$1:$ZZ$1, 0))</f>
        <v>#N/A</v>
      </c>
    </row>
    <row r="2043" spans="1:3" x14ac:dyDescent="0.3">
      <c r="A2043" t="e">
        <f>INDEX(resultados!$A$2:$ZZ$2290, 2037, MATCH($B$1, resultados!$A$1:$ZZ$1, 0))</f>
        <v>#N/A</v>
      </c>
      <c r="B2043" t="e">
        <f>INDEX(resultados!$A$2:$ZZ$2290, 2037, MATCH($B$2, resultados!$A$1:$ZZ$1, 0))</f>
        <v>#N/A</v>
      </c>
      <c r="C2043" t="e">
        <f>INDEX(resultados!$A$2:$ZZ$2290, 2037, MATCH($B$3, resultados!$A$1:$ZZ$1, 0))</f>
        <v>#N/A</v>
      </c>
    </row>
    <row r="2044" spans="1:3" x14ac:dyDescent="0.3">
      <c r="A2044" t="e">
        <f>INDEX(resultados!$A$2:$ZZ$2290, 2038, MATCH($B$1, resultados!$A$1:$ZZ$1, 0))</f>
        <v>#N/A</v>
      </c>
      <c r="B2044" t="e">
        <f>INDEX(resultados!$A$2:$ZZ$2290, 2038, MATCH($B$2, resultados!$A$1:$ZZ$1, 0))</f>
        <v>#N/A</v>
      </c>
      <c r="C2044" t="e">
        <f>INDEX(resultados!$A$2:$ZZ$2290, 2038, MATCH($B$3, resultados!$A$1:$ZZ$1, 0))</f>
        <v>#N/A</v>
      </c>
    </row>
    <row r="2045" spans="1:3" x14ac:dyDescent="0.3">
      <c r="A2045" t="e">
        <f>INDEX(resultados!$A$2:$ZZ$2290, 2039, MATCH($B$1, resultados!$A$1:$ZZ$1, 0))</f>
        <v>#N/A</v>
      </c>
      <c r="B2045" t="e">
        <f>INDEX(resultados!$A$2:$ZZ$2290, 2039, MATCH($B$2, resultados!$A$1:$ZZ$1, 0))</f>
        <v>#N/A</v>
      </c>
      <c r="C2045" t="e">
        <f>INDEX(resultados!$A$2:$ZZ$2290, 2039, MATCH($B$3, resultados!$A$1:$ZZ$1, 0))</f>
        <v>#N/A</v>
      </c>
    </row>
    <row r="2046" spans="1:3" x14ac:dyDescent="0.3">
      <c r="A2046" t="e">
        <f>INDEX(resultados!$A$2:$ZZ$2290, 2040, MATCH($B$1, resultados!$A$1:$ZZ$1, 0))</f>
        <v>#N/A</v>
      </c>
      <c r="B2046" t="e">
        <f>INDEX(resultados!$A$2:$ZZ$2290, 2040, MATCH($B$2, resultados!$A$1:$ZZ$1, 0))</f>
        <v>#N/A</v>
      </c>
      <c r="C2046" t="e">
        <f>INDEX(resultados!$A$2:$ZZ$2290, 2040, MATCH($B$3, resultados!$A$1:$ZZ$1, 0))</f>
        <v>#N/A</v>
      </c>
    </row>
    <row r="2047" spans="1:3" x14ac:dyDescent="0.3">
      <c r="A2047" t="e">
        <f>INDEX(resultados!$A$2:$ZZ$2290, 2041, MATCH($B$1, resultados!$A$1:$ZZ$1, 0))</f>
        <v>#N/A</v>
      </c>
      <c r="B2047" t="e">
        <f>INDEX(resultados!$A$2:$ZZ$2290, 2041, MATCH($B$2, resultados!$A$1:$ZZ$1, 0))</f>
        <v>#N/A</v>
      </c>
      <c r="C2047" t="e">
        <f>INDEX(resultados!$A$2:$ZZ$2290, 2041, MATCH($B$3, resultados!$A$1:$ZZ$1, 0))</f>
        <v>#N/A</v>
      </c>
    </row>
    <row r="2048" spans="1:3" x14ac:dyDescent="0.3">
      <c r="A2048" t="e">
        <f>INDEX(resultados!$A$2:$ZZ$2290, 2042, MATCH($B$1, resultados!$A$1:$ZZ$1, 0))</f>
        <v>#N/A</v>
      </c>
      <c r="B2048" t="e">
        <f>INDEX(resultados!$A$2:$ZZ$2290, 2042, MATCH($B$2, resultados!$A$1:$ZZ$1, 0))</f>
        <v>#N/A</v>
      </c>
      <c r="C2048" t="e">
        <f>INDEX(resultados!$A$2:$ZZ$2290, 2042, MATCH($B$3, resultados!$A$1:$ZZ$1, 0))</f>
        <v>#N/A</v>
      </c>
    </row>
    <row r="2049" spans="1:3" x14ac:dyDescent="0.3">
      <c r="A2049" t="e">
        <f>INDEX(resultados!$A$2:$ZZ$2290, 2043, MATCH($B$1, resultados!$A$1:$ZZ$1, 0))</f>
        <v>#N/A</v>
      </c>
      <c r="B2049" t="e">
        <f>INDEX(resultados!$A$2:$ZZ$2290, 2043, MATCH($B$2, resultados!$A$1:$ZZ$1, 0))</f>
        <v>#N/A</v>
      </c>
      <c r="C2049" t="e">
        <f>INDEX(resultados!$A$2:$ZZ$2290, 2043, MATCH($B$3, resultados!$A$1:$ZZ$1, 0))</f>
        <v>#N/A</v>
      </c>
    </row>
    <row r="2050" spans="1:3" x14ac:dyDescent="0.3">
      <c r="A2050" t="e">
        <f>INDEX(resultados!$A$2:$ZZ$2290, 2044, MATCH($B$1, resultados!$A$1:$ZZ$1, 0))</f>
        <v>#N/A</v>
      </c>
      <c r="B2050" t="e">
        <f>INDEX(resultados!$A$2:$ZZ$2290, 2044, MATCH($B$2, resultados!$A$1:$ZZ$1, 0))</f>
        <v>#N/A</v>
      </c>
      <c r="C2050" t="e">
        <f>INDEX(resultados!$A$2:$ZZ$2290, 2044, MATCH($B$3, resultados!$A$1:$ZZ$1, 0))</f>
        <v>#N/A</v>
      </c>
    </row>
    <row r="2051" spans="1:3" x14ac:dyDescent="0.3">
      <c r="A2051" t="e">
        <f>INDEX(resultados!$A$2:$ZZ$2290, 2045, MATCH($B$1, resultados!$A$1:$ZZ$1, 0))</f>
        <v>#N/A</v>
      </c>
      <c r="B2051" t="e">
        <f>INDEX(resultados!$A$2:$ZZ$2290, 2045, MATCH($B$2, resultados!$A$1:$ZZ$1, 0))</f>
        <v>#N/A</v>
      </c>
      <c r="C2051" t="e">
        <f>INDEX(resultados!$A$2:$ZZ$2290, 2045, MATCH($B$3, resultados!$A$1:$ZZ$1, 0))</f>
        <v>#N/A</v>
      </c>
    </row>
    <row r="2052" spans="1:3" x14ac:dyDescent="0.3">
      <c r="A2052" t="e">
        <f>INDEX(resultados!$A$2:$ZZ$2290, 2046, MATCH($B$1, resultados!$A$1:$ZZ$1, 0))</f>
        <v>#N/A</v>
      </c>
      <c r="B2052" t="e">
        <f>INDEX(resultados!$A$2:$ZZ$2290, 2046, MATCH($B$2, resultados!$A$1:$ZZ$1, 0))</f>
        <v>#N/A</v>
      </c>
      <c r="C2052" t="e">
        <f>INDEX(resultados!$A$2:$ZZ$2290, 2046, MATCH($B$3, resultados!$A$1:$ZZ$1, 0))</f>
        <v>#N/A</v>
      </c>
    </row>
    <row r="2053" spans="1:3" x14ac:dyDescent="0.3">
      <c r="A2053" t="e">
        <f>INDEX(resultados!$A$2:$ZZ$2290, 2047, MATCH($B$1, resultados!$A$1:$ZZ$1, 0))</f>
        <v>#N/A</v>
      </c>
      <c r="B2053" t="e">
        <f>INDEX(resultados!$A$2:$ZZ$2290, 2047, MATCH($B$2, resultados!$A$1:$ZZ$1, 0))</f>
        <v>#N/A</v>
      </c>
      <c r="C2053" t="e">
        <f>INDEX(resultados!$A$2:$ZZ$2290, 2047, MATCH($B$3, resultados!$A$1:$ZZ$1, 0))</f>
        <v>#N/A</v>
      </c>
    </row>
    <row r="2054" spans="1:3" x14ac:dyDescent="0.3">
      <c r="A2054" t="e">
        <f>INDEX(resultados!$A$2:$ZZ$2290, 2048, MATCH($B$1, resultados!$A$1:$ZZ$1, 0))</f>
        <v>#N/A</v>
      </c>
      <c r="B2054" t="e">
        <f>INDEX(resultados!$A$2:$ZZ$2290, 2048, MATCH($B$2, resultados!$A$1:$ZZ$1, 0))</f>
        <v>#N/A</v>
      </c>
      <c r="C2054" t="e">
        <f>INDEX(resultados!$A$2:$ZZ$2290, 2048, MATCH($B$3, resultados!$A$1:$ZZ$1, 0))</f>
        <v>#N/A</v>
      </c>
    </row>
    <row r="2055" spans="1:3" x14ac:dyDescent="0.3">
      <c r="A2055" t="e">
        <f>INDEX(resultados!$A$2:$ZZ$2290, 2049, MATCH($B$1, resultados!$A$1:$ZZ$1, 0))</f>
        <v>#N/A</v>
      </c>
      <c r="B2055" t="e">
        <f>INDEX(resultados!$A$2:$ZZ$2290, 2049, MATCH($B$2, resultados!$A$1:$ZZ$1, 0))</f>
        <v>#N/A</v>
      </c>
      <c r="C2055" t="e">
        <f>INDEX(resultados!$A$2:$ZZ$2290, 2049, MATCH($B$3, resultados!$A$1:$ZZ$1, 0))</f>
        <v>#N/A</v>
      </c>
    </row>
    <row r="2056" spans="1:3" x14ac:dyDescent="0.3">
      <c r="A2056" t="e">
        <f>INDEX(resultados!$A$2:$ZZ$2290, 2050, MATCH($B$1, resultados!$A$1:$ZZ$1, 0))</f>
        <v>#N/A</v>
      </c>
      <c r="B2056" t="e">
        <f>INDEX(resultados!$A$2:$ZZ$2290, 2050, MATCH($B$2, resultados!$A$1:$ZZ$1, 0))</f>
        <v>#N/A</v>
      </c>
      <c r="C2056" t="e">
        <f>INDEX(resultados!$A$2:$ZZ$2290, 2050, MATCH($B$3, resultados!$A$1:$ZZ$1, 0))</f>
        <v>#N/A</v>
      </c>
    </row>
    <row r="2057" spans="1:3" x14ac:dyDescent="0.3">
      <c r="A2057" t="e">
        <f>INDEX(resultados!$A$2:$ZZ$2290, 2051, MATCH($B$1, resultados!$A$1:$ZZ$1, 0))</f>
        <v>#N/A</v>
      </c>
      <c r="B2057" t="e">
        <f>INDEX(resultados!$A$2:$ZZ$2290, 2051, MATCH($B$2, resultados!$A$1:$ZZ$1, 0))</f>
        <v>#N/A</v>
      </c>
      <c r="C2057" t="e">
        <f>INDEX(resultados!$A$2:$ZZ$2290, 2051, MATCH($B$3, resultados!$A$1:$ZZ$1, 0))</f>
        <v>#N/A</v>
      </c>
    </row>
    <row r="2058" spans="1:3" x14ac:dyDescent="0.3">
      <c r="A2058" t="e">
        <f>INDEX(resultados!$A$2:$ZZ$2290, 2052, MATCH($B$1, resultados!$A$1:$ZZ$1, 0))</f>
        <v>#N/A</v>
      </c>
      <c r="B2058" t="e">
        <f>INDEX(resultados!$A$2:$ZZ$2290, 2052, MATCH($B$2, resultados!$A$1:$ZZ$1, 0))</f>
        <v>#N/A</v>
      </c>
      <c r="C2058" t="e">
        <f>INDEX(resultados!$A$2:$ZZ$2290, 2052, MATCH($B$3, resultados!$A$1:$ZZ$1, 0))</f>
        <v>#N/A</v>
      </c>
    </row>
    <row r="2059" spans="1:3" x14ac:dyDescent="0.3">
      <c r="A2059" t="e">
        <f>INDEX(resultados!$A$2:$ZZ$2290, 2053, MATCH($B$1, resultados!$A$1:$ZZ$1, 0))</f>
        <v>#N/A</v>
      </c>
      <c r="B2059" t="e">
        <f>INDEX(resultados!$A$2:$ZZ$2290, 2053, MATCH($B$2, resultados!$A$1:$ZZ$1, 0))</f>
        <v>#N/A</v>
      </c>
      <c r="C2059" t="e">
        <f>INDEX(resultados!$A$2:$ZZ$2290, 2053, MATCH($B$3, resultados!$A$1:$ZZ$1, 0))</f>
        <v>#N/A</v>
      </c>
    </row>
    <row r="2060" spans="1:3" x14ac:dyDescent="0.3">
      <c r="A2060" t="e">
        <f>INDEX(resultados!$A$2:$ZZ$2290, 2054, MATCH($B$1, resultados!$A$1:$ZZ$1, 0))</f>
        <v>#N/A</v>
      </c>
      <c r="B2060" t="e">
        <f>INDEX(resultados!$A$2:$ZZ$2290, 2054, MATCH($B$2, resultados!$A$1:$ZZ$1, 0))</f>
        <v>#N/A</v>
      </c>
      <c r="C2060" t="e">
        <f>INDEX(resultados!$A$2:$ZZ$2290, 2054, MATCH($B$3, resultados!$A$1:$ZZ$1, 0))</f>
        <v>#N/A</v>
      </c>
    </row>
    <row r="2061" spans="1:3" x14ac:dyDescent="0.3">
      <c r="A2061" t="e">
        <f>INDEX(resultados!$A$2:$ZZ$2290, 2055, MATCH($B$1, resultados!$A$1:$ZZ$1, 0))</f>
        <v>#N/A</v>
      </c>
      <c r="B2061" t="e">
        <f>INDEX(resultados!$A$2:$ZZ$2290, 2055, MATCH($B$2, resultados!$A$1:$ZZ$1, 0))</f>
        <v>#N/A</v>
      </c>
      <c r="C2061" t="e">
        <f>INDEX(resultados!$A$2:$ZZ$2290, 2055, MATCH($B$3, resultados!$A$1:$ZZ$1, 0))</f>
        <v>#N/A</v>
      </c>
    </row>
    <row r="2062" spans="1:3" x14ac:dyDescent="0.3">
      <c r="A2062" t="e">
        <f>INDEX(resultados!$A$2:$ZZ$2290, 2056, MATCH($B$1, resultados!$A$1:$ZZ$1, 0))</f>
        <v>#N/A</v>
      </c>
      <c r="B2062" t="e">
        <f>INDEX(resultados!$A$2:$ZZ$2290, 2056, MATCH($B$2, resultados!$A$1:$ZZ$1, 0))</f>
        <v>#N/A</v>
      </c>
      <c r="C2062" t="e">
        <f>INDEX(resultados!$A$2:$ZZ$2290, 2056, MATCH($B$3, resultados!$A$1:$ZZ$1, 0))</f>
        <v>#N/A</v>
      </c>
    </row>
    <row r="2063" spans="1:3" x14ac:dyDescent="0.3">
      <c r="A2063" t="e">
        <f>INDEX(resultados!$A$2:$ZZ$2290, 2057, MATCH($B$1, resultados!$A$1:$ZZ$1, 0))</f>
        <v>#N/A</v>
      </c>
      <c r="B2063" t="e">
        <f>INDEX(resultados!$A$2:$ZZ$2290, 2057, MATCH($B$2, resultados!$A$1:$ZZ$1, 0))</f>
        <v>#N/A</v>
      </c>
      <c r="C2063" t="e">
        <f>INDEX(resultados!$A$2:$ZZ$2290, 2057, MATCH($B$3, resultados!$A$1:$ZZ$1, 0))</f>
        <v>#N/A</v>
      </c>
    </row>
    <row r="2064" spans="1:3" x14ac:dyDescent="0.3">
      <c r="A2064" t="e">
        <f>INDEX(resultados!$A$2:$ZZ$2290, 2058, MATCH($B$1, resultados!$A$1:$ZZ$1, 0))</f>
        <v>#N/A</v>
      </c>
      <c r="B2064" t="e">
        <f>INDEX(resultados!$A$2:$ZZ$2290, 2058, MATCH($B$2, resultados!$A$1:$ZZ$1, 0))</f>
        <v>#N/A</v>
      </c>
      <c r="C2064" t="e">
        <f>INDEX(resultados!$A$2:$ZZ$2290, 2058, MATCH($B$3, resultados!$A$1:$ZZ$1, 0))</f>
        <v>#N/A</v>
      </c>
    </row>
    <row r="2065" spans="1:3" x14ac:dyDescent="0.3">
      <c r="A2065" t="e">
        <f>INDEX(resultados!$A$2:$ZZ$2290, 2059, MATCH($B$1, resultados!$A$1:$ZZ$1, 0))</f>
        <v>#N/A</v>
      </c>
      <c r="B2065" t="e">
        <f>INDEX(resultados!$A$2:$ZZ$2290, 2059, MATCH($B$2, resultados!$A$1:$ZZ$1, 0))</f>
        <v>#N/A</v>
      </c>
      <c r="C2065" t="e">
        <f>INDEX(resultados!$A$2:$ZZ$2290, 2059, MATCH($B$3, resultados!$A$1:$ZZ$1, 0))</f>
        <v>#N/A</v>
      </c>
    </row>
    <row r="2066" spans="1:3" x14ac:dyDescent="0.3">
      <c r="A2066" t="e">
        <f>INDEX(resultados!$A$2:$ZZ$2290, 2060, MATCH($B$1, resultados!$A$1:$ZZ$1, 0))</f>
        <v>#N/A</v>
      </c>
      <c r="B2066" t="e">
        <f>INDEX(resultados!$A$2:$ZZ$2290, 2060, MATCH($B$2, resultados!$A$1:$ZZ$1, 0))</f>
        <v>#N/A</v>
      </c>
      <c r="C2066" t="e">
        <f>INDEX(resultados!$A$2:$ZZ$2290, 2060, MATCH($B$3, resultados!$A$1:$ZZ$1, 0))</f>
        <v>#N/A</v>
      </c>
    </row>
    <row r="2067" spans="1:3" x14ac:dyDescent="0.3">
      <c r="A2067" t="e">
        <f>INDEX(resultados!$A$2:$ZZ$2290, 2061, MATCH($B$1, resultados!$A$1:$ZZ$1, 0))</f>
        <v>#N/A</v>
      </c>
      <c r="B2067" t="e">
        <f>INDEX(resultados!$A$2:$ZZ$2290, 2061, MATCH($B$2, resultados!$A$1:$ZZ$1, 0))</f>
        <v>#N/A</v>
      </c>
      <c r="C2067" t="e">
        <f>INDEX(resultados!$A$2:$ZZ$2290, 2061, MATCH($B$3, resultados!$A$1:$ZZ$1, 0))</f>
        <v>#N/A</v>
      </c>
    </row>
    <row r="2068" spans="1:3" x14ac:dyDescent="0.3">
      <c r="A2068" t="e">
        <f>INDEX(resultados!$A$2:$ZZ$2290, 2062, MATCH($B$1, resultados!$A$1:$ZZ$1, 0))</f>
        <v>#N/A</v>
      </c>
      <c r="B2068" t="e">
        <f>INDEX(resultados!$A$2:$ZZ$2290, 2062, MATCH($B$2, resultados!$A$1:$ZZ$1, 0))</f>
        <v>#N/A</v>
      </c>
      <c r="C2068" t="e">
        <f>INDEX(resultados!$A$2:$ZZ$2290, 2062, MATCH($B$3, resultados!$A$1:$ZZ$1, 0))</f>
        <v>#N/A</v>
      </c>
    </row>
    <row r="2069" spans="1:3" x14ac:dyDescent="0.3">
      <c r="A2069" t="e">
        <f>INDEX(resultados!$A$2:$ZZ$2290, 2063, MATCH($B$1, resultados!$A$1:$ZZ$1, 0))</f>
        <v>#N/A</v>
      </c>
      <c r="B2069" t="e">
        <f>INDEX(resultados!$A$2:$ZZ$2290, 2063, MATCH($B$2, resultados!$A$1:$ZZ$1, 0))</f>
        <v>#N/A</v>
      </c>
      <c r="C2069" t="e">
        <f>INDEX(resultados!$A$2:$ZZ$2290, 2063, MATCH($B$3, resultados!$A$1:$ZZ$1, 0))</f>
        <v>#N/A</v>
      </c>
    </row>
    <row r="2070" spans="1:3" x14ac:dyDescent="0.3">
      <c r="A2070" t="e">
        <f>INDEX(resultados!$A$2:$ZZ$2290, 2064, MATCH($B$1, resultados!$A$1:$ZZ$1, 0))</f>
        <v>#N/A</v>
      </c>
      <c r="B2070" t="e">
        <f>INDEX(resultados!$A$2:$ZZ$2290, 2064, MATCH($B$2, resultados!$A$1:$ZZ$1, 0))</f>
        <v>#N/A</v>
      </c>
      <c r="C2070" t="e">
        <f>INDEX(resultados!$A$2:$ZZ$2290, 2064, MATCH($B$3, resultados!$A$1:$ZZ$1, 0))</f>
        <v>#N/A</v>
      </c>
    </row>
    <row r="2071" spans="1:3" x14ac:dyDescent="0.3">
      <c r="A2071" t="e">
        <f>INDEX(resultados!$A$2:$ZZ$2290, 2065, MATCH($B$1, resultados!$A$1:$ZZ$1, 0))</f>
        <v>#N/A</v>
      </c>
      <c r="B2071" t="e">
        <f>INDEX(resultados!$A$2:$ZZ$2290, 2065, MATCH($B$2, resultados!$A$1:$ZZ$1, 0))</f>
        <v>#N/A</v>
      </c>
      <c r="C2071" t="e">
        <f>INDEX(resultados!$A$2:$ZZ$2290, 2065, MATCH($B$3, resultados!$A$1:$ZZ$1, 0))</f>
        <v>#N/A</v>
      </c>
    </row>
    <row r="2072" spans="1:3" x14ac:dyDescent="0.3">
      <c r="A2072" t="e">
        <f>INDEX(resultados!$A$2:$ZZ$2290, 2066, MATCH($B$1, resultados!$A$1:$ZZ$1, 0))</f>
        <v>#N/A</v>
      </c>
      <c r="B2072" t="e">
        <f>INDEX(resultados!$A$2:$ZZ$2290, 2066, MATCH($B$2, resultados!$A$1:$ZZ$1, 0))</f>
        <v>#N/A</v>
      </c>
      <c r="C2072" t="e">
        <f>INDEX(resultados!$A$2:$ZZ$2290, 2066, MATCH($B$3, resultados!$A$1:$ZZ$1, 0))</f>
        <v>#N/A</v>
      </c>
    </row>
    <row r="2073" spans="1:3" x14ac:dyDescent="0.3">
      <c r="A2073" t="e">
        <f>INDEX(resultados!$A$2:$ZZ$2290, 2067, MATCH($B$1, resultados!$A$1:$ZZ$1, 0))</f>
        <v>#N/A</v>
      </c>
      <c r="B2073" t="e">
        <f>INDEX(resultados!$A$2:$ZZ$2290, 2067, MATCH($B$2, resultados!$A$1:$ZZ$1, 0))</f>
        <v>#N/A</v>
      </c>
      <c r="C2073" t="e">
        <f>INDEX(resultados!$A$2:$ZZ$2290, 2067, MATCH($B$3, resultados!$A$1:$ZZ$1, 0))</f>
        <v>#N/A</v>
      </c>
    </row>
    <row r="2074" spans="1:3" x14ac:dyDescent="0.3">
      <c r="A2074" t="e">
        <f>INDEX(resultados!$A$2:$ZZ$2290, 2068, MATCH($B$1, resultados!$A$1:$ZZ$1, 0))</f>
        <v>#N/A</v>
      </c>
      <c r="B2074" t="e">
        <f>INDEX(resultados!$A$2:$ZZ$2290, 2068, MATCH($B$2, resultados!$A$1:$ZZ$1, 0))</f>
        <v>#N/A</v>
      </c>
      <c r="C2074" t="e">
        <f>INDEX(resultados!$A$2:$ZZ$2290, 2068, MATCH($B$3, resultados!$A$1:$ZZ$1, 0))</f>
        <v>#N/A</v>
      </c>
    </row>
    <row r="2075" spans="1:3" x14ac:dyDescent="0.3">
      <c r="A2075" t="e">
        <f>INDEX(resultados!$A$2:$ZZ$2290, 2069, MATCH($B$1, resultados!$A$1:$ZZ$1, 0))</f>
        <v>#N/A</v>
      </c>
      <c r="B2075" t="e">
        <f>INDEX(resultados!$A$2:$ZZ$2290, 2069, MATCH($B$2, resultados!$A$1:$ZZ$1, 0))</f>
        <v>#N/A</v>
      </c>
      <c r="C2075" t="e">
        <f>INDEX(resultados!$A$2:$ZZ$2290, 2069, MATCH($B$3, resultados!$A$1:$ZZ$1, 0))</f>
        <v>#N/A</v>
      </c>
    </row>
    <row r="2076" spans="1:3" x14ac:dyDescent="0.3">
      <c r="A2076" t="e">
        <f>INDEX(resultados!$A$2:$ZZ$2290, 2070, MATCH($B$1, resultados!$A$1:$ZZ$1, 0))</f>
        <v>#N/A</v>
      </c>
      <c r="B2076" t="e">
        <f>INDEX(resultados!$A$2:$ZZ$2290, 2070, MATCH($B$2, resultados!$A$1:$ZZ$1, 0))</f>
        <v>#N/A</v>
      </c>
      <c r="C2076" t="e">
        <f>INDEX(resultados!$A$2:$ZZ$2290, 2070, MATCH($B$3, resultados!$A$1:$ZZ$1, 0))</f>
        <v>#N/A</v>
      </c>
    </row>
    <row r="2077" spans="1:3" x14ac:dyDescent="0.3">
      <c r="A2077" t="e">
        <f>INDEX(resultados!$A$2:$ZZ$2290, 2071, MATCH($B$1, resultados!$A$1:$ZZ$1, 0))</f>
        <v>#N/A</v>
      </c>
      <c r="B2077" t="e">
        <f>INDEX(resultados!$A$2:$ZZ$2290, 2071, MATCH($B$2, resultados!$A$1:$ZZ$1, 0))</f>
        <v>#N/A</v>
      </c>
      <c r="C2077" t="e">
        <f>INDEX(resultados!$A$2:$ZZ$2290, 2071, MATCH($B$3, resultados!$A$1:$ZZ$1, 0))</f>
        <v>#N/A</v>
      </c>
    </row>
    <row r="2078" spans="1:3" x14ac:dyDescent="0.3">
      <c r="A2078" t="e">
        <f>INDEX(resultados!$A$2:$ZZ$2290, 2072, MATCH($B$1, resultados!$A$1:$ZZ$1, 0))</f>
        <v>#N/A</v>
      </c>
      <c r="B2078" t="e">
        <f>INDEX(resultados!$A$2:$ZZ$2290, 2072, MATCH($B$2, resultados!$A$1:$ZZ$1, 0))</f>
        <v>#N/A</v>
      </c>
      <c r="C2078" t="e">
        <f>INDEX(resultados!$A$2:$ZZ$2290, 2072, MATCH($B$3, resultados!$A$1:$ZZ$1, 0))</f>
        <v>#N/A</v>
      </c>
    </row>
    <row r="2079" spans="1:3" x14ac:dyDescent="0.3">
      <c r="A2079" t="e">
        <f>INDEX(resultados!$A$2:$ZZ$2290, 2073, MATCH($B$1, resultados!$A$1:$ZZ$1, 0))</f>
        <v>#N/A</v>
      </c>
      <c r="B2079" t="e">
        <f>INDEX(resultados!$A$2:$ZZ$2290, 2073, MATCH($B$2, resultados!$A$1:$ZZ$1, 0))</f>
        <v>#N/A</v>
      </c>
      <c r="C2079" t="e">
        <f>INDEX(resultados!$A$2:$ZZ$2290, 2073, MATCH($B$3, resultados!$A$1:$ZZ$1, 0))</f>
        <v>#N/A</v>
      </c>
    </row>
    <row r="2080" spans="1:3" x14ac:dyDescent="0.3">
      <c r="A2080" t="e">
        <f>INDEX(resultados!$A$2:$ZZ$2290, 2074, MATCH($B$1, resultados!$A$1:$ZZ$1, 0))</f>
        <v>#N/A</v>
      </c>
      <c r="B2080" t="e">
        <f>INDEX(resultados!$A$2:$ZZ$2290, 2074, MATCH($B$2, resultados!$A$1:$ZZ$1, 0))</f>
        <v>#N/A</v>
      </c>
      <c r="C2080" t="e">
        <f>INDEX(resultados!$A$2:$ZZ$2290, 2074, MATCH($B$3, resultados!$A$1:$ZZ$1, 0))</f>
        <v>#N/A</v>
      </c>
    </row>
    <row r="2081" spans="1:3" x14ac:dyDescent="0.3">
      <c r="A2081" t="e">
        <f>INDEX(resultados!$A$2:$ZZ$2290, 2075, MATCH($B$1, resultados!$A$1:$ZZ$1, 0))</f>
        <v>#N/A</v>
      </c>
      <c r="B2081" t="e">
        <f>INDEX(resultados!$A$2:$ZZ$2290, 2075, MATCH($B$2, resultados!$A$1:$ZZ$1, 0))</f>
        <v>#N/A</v>
      </c>
      <c r="C2081" t="e">
        <f>INDEX(resultados!$A$2:$ZZ$2290, 2075, MATCH($B$3, resultados!$A$1:$ZZ$1, 0))</f>
        <v>#N/A</v>
      </c>
    </row>
    <row r="2082" spans="1:3" x14ac:dyDescent="0.3">
      <c r="A2082" t="e">
        <f>INDEX(resultados!$A$2:$ZZ$2290, 2076, MATCH($B$1, resultados!$A$1:$ZZ$1, 0))</f>
        <v>#N/A</v>
      </c>
      <c r="B2082" t="e">
        <f>INDEX(resultados!$A$2:$ZZ$2290, 2076, MATCH($B$2, resultados!$A$1:$ZZ$1, 0))</f>
        <v>#N/A</v>
      </c>
      <c r="C2082" t="e">
        <f>INDEX(resultados!$A$2:$ZZ$2290, 2076, MATCH($B$3, resultados!$A$1:$ZZ$1, 0))</f>
        <v>#N/A</v>
      </c>
    </row>
    <row r="2083" spans="1:3" x14ac:dyDescent="0.3">
      <c r="A2083" t="e">
        <f>INDEX(resultados!$A$2:$ZZ$2290, 2077, MATCH($B$1, resultados!$A$1:$ZZ$1, 0))</f>
        <v>#N/A</v>
      </c>
      <c r="B2083" t="e">
        <f>INDEX(resultados!$A$2:$ZZ$2290, 2077, MATCH($B$2, resultados!$A$1:$ZZ$1, 0))</f>
        <v>#N/A</v>
      </c>
      <c r="C2083" t="e">
        <f>INDEX(resultados!$A$2:$ZZ$2290, 2077, MATCH($B$3, resultados!$A$1:$ZZ$1, 0))</f>
        <v>#N/A</v>
      </c>
    </row>
    <row r="2084" spans="1:3" x14ac:dyDescent="0.3">
      <c r="A2084" t="e">
        <f>INDEX(resultados!$A$2:$ZZ$2290, 2078, MATCH($B$1, resultados!$A$1:$ZZ$1, 0))</f>
        <v>#N/A</v>
      </c>
      <c r="B2084" t="e">
        <f>INDEX(resultados!$A$2:$ZZ$2290, 2078, MATCH($B$2, resultados!$A$1:$ZZ$1, 0))</f>
        <v>#N/A</v>
      </c>
      <c r="C2084" t="e">
        <f>INDEX(resultados!$A$2:$ZZ$2290, 2078, MATCH($B$3, resultados!$A$1:$ZZ$1, 0))</f>
        <v>#N/A</v>
      </c>
    </row>
    <row r="2085" spans="1:3" x14ac:dyDescent="0.3">
      <c r="A2085" t="e">
        <f>INDEX(resultados!$A$2:$ZZ$2290, 2079, MATCH($B$1, resultados!$A$1:$ZZ$1, 0))</f>
        <v>#N/A</v>
      </c>
      <c r="B2085" t="e">
        <f>INDEX(resultados!$A$2:$ZZ$2290, 2079, MATCH($B$2, resultados!$A$1:$ZZ$1, 0))</f>
        <v>#N/A</v>
      </c>
      <c r="C2085" t="e">
        <f>INDEX(resultados!$A$2:$ZZ$2290, 2079, MATCH($B$3, resultados!$A$1:$ZZ$1, 0))</f>
        <v>#N/A</v>
      </c>
    </row>
    <row r="2086" spans="1:3" x14ac:dyDescent="0.3">
      <c r="A2086" t="e">
        <f>INDEX(resultados!$A$2:$ZZ$2290, 2080, MATCH($B$1, resultados!$A$1:$ZZ$1, 0))</f>
        <v>#N/A</v>
      </c>
      <c r="B2086" t="e">
        <f>INDEX(resultados!$A$2:$ZZ$2290, 2080, MATCH($B$2, resultados!$A$1:$ZZ$1, 0))</f>
        <v>#N/A</v>
      </c>
      <c r="C2086" t="e">
        <f>INDEX(resultados!$A$2:$ZZ$2290, 2080, MATCH($B$3, resultados!$A$1:$ZZ$1, 0))</f>
        <v>#N/A</v>
      </c>
    </row>
    <row r="2087" spans="1:3" x14ac:dyDescent="0.3">
      <c r="A2087" t="e">
        <f>INDEX(resultados!$A$2:$ZZ$2290, 2081, MATCH($B$1, resultados!$A$1:$ZZ$1, 0))</f>
        <v>#N/A</v>
      </c>
      <c r="B2087" t="e">
        <f>INDEX(resultados!$A$2:$ZZ$2290, 2081, MATCH($B$2, resultados!$A$1:$ZZ$1, 0))</f>
        <v>#N/A</v>
      </c>
      <c r="C2087" t="e">
        <f>INDEX(resultados!$A$2:$ZZ$2290, 2081, MATCH($B$3, resultados!$A$1:$ZZ$1, 0))</f>
        <v>#N/A</v>
      </c>
    </row>
    <row r="2088" spans="1:3" x14ac:dyDescent="0.3">
      <c r="A2088" t="e">
        <f>INDEX(resultados!$A$2:$ZZ$2290, 2082, MATCH($B$1, resultados!$A$1:$ZZ$1, 0))</f>
        <v>#N/A</v>
      </c>
      <c r="B2088" t="e">
        <f>INDEX(resultados!$A$2:$ZZ$2290, 2082, MATCH($B$2, resultados!$A$1:$ZZ$1, 0))</f>
        <v>#N/A</v>
      </c>
      <c r="C2088" t="e">
        <f>INDEX(resultados!$A$2:$ZZ$2290, 2082, MATCH($B$3, resultados!$A$1:$ZZ$1, 0))</f>
        <v>#N/A</v>
      </c>
    </row>
    <row r="2089" spans="1:3" x14ac:dyDescent="0.3">
      <c r="A2089" t="e">
        <f>INDEX(resultados!$A$2:$ZZ$2290, 2083, MATCH($B$1, resultados!$A$1:$ZZ$1, 0))</f>
        <v>#N/A</v>
      </c>
      <c r="B2089" t="e">
        <f>INDEX(resultados!$A$2:$ZZ$2290, 2083, MATCH($B$2, resultados!$A$1:$ZZ$1, 0))</f>
        <v>#N/A</v>
      </c>
      <c r="C2089" t="e">
        <f>INDEX(resultados!$A$2:$ZZ$2290, 2083, MATCH($B$3, resultados!$A$1:$ZZ$1, 0))</f>
        <v>#N/A</v>
      </c>
    </row>
    <row r="2090" spans="1:3" x14ac:dyDescent="0.3">
      <c r="A2090" t="e">
        <f>INDEX(resultados!$A$2:$ZZ$2290, 2084, MATCH($B$1, resultados!$A$1:$ZZ$1, 0))</f>
        <v>#N/A</v>
      </c>
      <c r="B2090" t="e">
        <f>INDEX(resultados!$A$2:$ZZ$2290, 2084, MATCH($B$2, resultados!$A$1:$ZZ$1, 0))</f>
        <v>#N/A</v>
      </c>
      <c r="C2090" t="e">
        <f>INDEX(resultados!$A$2:$ZZ$2290, 2084, MATCH($B$3, resultados!$A$1:$ZZ$1, 0))</f>
        <v>#N/A</v>
      </c>
    </row>
    <row r="2091" spans="1:3" x14ac:dyDescent="0.3">
      <c r="A2091" t="e">
        <f>INDEX(resultados!$A$2:$ZZ$2290, 2085, MATCH($B$1, resultados!$A$1:$ZZ$1, 0))</f>
        <v>#N/A</v>
      </c>
      <c r="B2091" t="e">
        <f>INDEX(resultados!$A$2:$ZZ$2290, 2085, MATCH($B$2, resultados!$A$1:$ZZ$1, 0))</f>
        <v>#N/A</v>
      </c>
      <c r="C2091" t="e">
        <f>INDEX(resultados!$A$2:$ZZ$2290, 2085, MATCH($B$3, resultados!$A$1:$ZZ$1, 0))</f>
        <v>#N/A</v>
      </c>
    </row>
    <row r="2092" spans="1:3" x14ac:dyDescent="0.3">
      <c r="A2092" t="e">
        <f>INDEX(resultados!$A$2:$ZZ$2290, 2086, MATCH($B$1, resultados!$A$1:$ZZ$1, 0))</f>
        <v>#N/A</v>
      </c>
      <c r="B2092" t="e">
        <f>INDEX(resultados!$A$2:$ZZ$2290, 2086, MATCH($B$2, resultados!$A$1:$ZZ$1, 0))</f>
        <v>#N/A</v>
      </c>
      <c r="C2092" t="e">
        <f>INDEX(resultados!$A$2:$ZZ$2290, 2086, MATCH($B$3, resultados!$A$1:$ZZ$1, 0))</f>
        <v>#N/A</v>
      </c>
    </row>
    <row r="2093" spans="1:3" x14ac:dyDescent="0.3">
      <c r="A2093" t="e">
        <f>INDEX(resultados!$A$2:$ZZ$2290, 2087, MATCH($B$1, resultados!$A$1:$ZZ$1, 0))</f>
        <v>#N/A</v>
      </c>
      <c r="B2093" t="e">
        <f>INDEX(resultados!$A$2:$ZZ$2290, 2087, MATCH($B$2, resultados!$A$1:$ZZ$1, 0))</f>
        <v>#N/A</v>
      </c>
      <c r="C2093" t="e">
        <f>INDEX(resultados!$A$2:$ZZ$2290, 2087, MATCH($B$3, resultados!$A$1:$ZZ$1, 0))</f>
        <v>#N/A</v>
      </c>
    </row>
    <row r="2094" spans="1:3" x14ac:dyDescent="0.3">
      <c r="A2094" t="e">
        <f>INDEX(resultados!$A$2:$ZZ$2290, 2088, MATCH($B$1, resultados!$A$1:$ZZ$1, 0))</f>
        <v>#N/A</v>
      </c>
      <c r="B2094" t="e">
        <f>INDEX(resultados!$A$2:$ZZ$2290, 2088, MATCH($B$2, resultados!$A$1:$ZZ$1, 0))</f>
        <v>#N/A</v>
      </c>
      <c r="C2094" t="e">
        <f>INDEX(resultados!$A$2:$ZZ$2290, 2088, MATCH($B$3, resultados!$A$1:$ZZ$1, 0))</f>
        <v>#N/A</v>
      </c>
    </row>
    <row r="2095" spans="1:3" x14ac:dyDescent="0.3">
      <c r="A2095" t="e">
        <f>INDEX(resultados!$A$2:$ZZ$2290, 2089, MATCH($B$1, resultados!$A$1:$ZZ$1, 0))</f>
        <v>#N/A</v>
      </c>
      <c r="B2095" t="e">
        <f>INDEX(resultados!$A$2:$ZZ$2290, 2089, MATCH($B$2, resultados!$A$1:$ZZ$1, 0))</f>
        <v>#N/A</v>
      </c>
      <c r="C2095" t="e">
        <f>INDEX(resultados!$A$2:$ZZ$2290, 2089, MATCH($B$3, resultados!$A$1:$ZZ$1, 0))</f>
        <v>#N/A</v>
      </c>
    </row>
    <row r="2096" spans="1:3" x14ac:dyDescent="0.3">
      <c r="A2096" t="e">
        <f>INDEX(resultados!$A$2:$ZZ$2290, 2090, MATCH($B$1, resultados!$A$1:$ZZ$1, 0))</f>
        <v>#N/A</v>
      </c>
      <c r="B2096" t="e">
        <f>INDEX(resultados!$A$2:$ZZ$2290, 2090, MATCH($B$2, resultados!$A$1:$ZZ$1, 0))</f>
        <v>#N/A</v>
      </c>
      <c r="C2096" t="e">
        <f>INDEX(resultados!$A$2:$ZZ$2290, 2090, MATCH($B$3, resultados!$A$1:$ZZ$1, 0))</f>
        <v>#N/A</v>
      </c>
    </row>
    <row r="2097" spans="1:3" x14ac:dyDescent="0.3">
      <c r="A2097" t="e">
        <f>INDEX(resultados!$A$2:$ZZ$2290, 2091, MATCH($B$1, resultados!$A$1:$ZZ$1, 0))</f>
        <v>#N/A</v>
      </c>
      <c r="B2097" t="e">
        <f>INDEX(resultados!$A$2:$ZZ$2290, 2091, MATCH($B$2, resultados!$A$1:$ZZ$1, 0))</f>
        <v>#N/A</v>
      </c>
      <c r="C2097" t="e">
        <f>INDEX(resultados!$A$2:$ZZ$2290, 2091, MATCH($B$3, resultados!$A$1:$ZZ$1, 0))</f>
        <v>#N/A</v>
      </c>
    </row>
    <row r="2098" spans="1:3" x14ac:dyDescent="0.3">
      <c r="A2098" t="e">
        <f>INDEX(resultados!$A$2:$ZZ$2290, 2092, MATCH($B$1, resultados!$A$1:$ZZ$1, 0))</f>
        <v>#N/A</v>
      </c>
      <c r="B2098" t="e">
        <f>INDEX(resultados!$A$2:$ZZ$2290, 2092, MATCH($B$2, resultados!$A$1:$ZZ$1, 0))</f>
        <v>#N/A</v>
      </c>
      <c r="C2098" t="e">
        <f>INDEX(resultados!$A$2:$ZZ$2290, 2092, MATCH($B$3, resultados!$A$1:$ZZ$1, 0))</f>
        <v>#N/A</v>
      </c>
    </row>
    <row r="2099" spans="1:3" x14ac:dyDescent="0.3">
      <c r="A2099" t="e">
        <f>INDEX(resultados!$A$2:$ZZ$2290, 2093, MATCH($B$1, resultados!$A$1:$ZZ$1, 0))</f>
        <v>#N/A</v>
      </c>
      <c r="B2099" t="e">
        <f>INDEX(resultados!$A$2:$ZZ$2290, 2093, MATCH($B$2, resultados!$A$1:$ZZ$1, 0))</f>
        <v>#N/A</v>
      </c>
      <c r="C2099" t="e">
        <f>INDEX(resultados!$A$2:$ZZ$2290, 2093, MATCH($B$3, resultados!$A$1:$ZZ$1, 0))</f>
        <v>#N/A</v>
      </c>
    </row>
    <row r="2100" spans="1:3" x14ac:dyDescent="0.3">
      <c r="A2100" t="e">
        <f>INDEX(resultados!$A$2:$ZZ$2290, 2094, MATCH($B$1, resultados!$A$1:$ZZ$1, 0))</f>
        <v>#N/A</v>
      </c>
      <c r="B2100" t="e">
        <f>INDEX(resultados!$A$2:$ZZ$2290, 2094, MATCH($B$2, resultados!$A$1:$ZZ$1, 0))</f>
        <v>#N/A</v>
      </c>
      <c r="C2100" t="e">
        <f>INDEX(resultados!$A$2:$ZZ$2290, 2094, MATCH($B$3, resultados!$A$1:$ZZ$1, 0))</f>
        <v>#N/A</v>
      </c>
    </row>
    <row r="2101" spans="1:3" x14ac:dyDescent="0.3">
      <c r="A2101" t="e">
        <f>INDEX(resultados!$A$2:$ZZ$2290, 2095, MATCH($B$1, resultados!$A$1:$ZZ$1, 0))</f>
        <v>#N/A</v>
      </c>
      <c r="B2101" t="e">
        <f>INDEX(resultados!$A$2:$ZZ$2290, 2095, MATCH($B$2, resultados!$A$1:$ZZ$1, 0))</f>
        <v>#N/A</v>
      </c>
      <c r="C2101" t="e">
        <f>INDEX(resultados!$A$2:$ZZ$2290, 2095, MATCH($B$3, resultados!$A$1:$ZZ$1, 0))</f>
        <v>#N/A</v>
      </c>
    </row>
    <row r="2102" spans="1:3" x14ac:dyDescent="0.3">
      <c r="A2102" t="e">
        <f>INDEX(resultados!$A$2:$ZZ$2290, 2096, MATCH($B$1, resultados!$A$1:$ZZ$1, 0))</f>
        <v>#N/A</v>
      </c>
      <c r="B2102" t="e">
        <f>INDEX(resultados!$A$2:$ZZ$2290, 2096, MATCH($B$2, resultados!$A$1:$ZZ$1, 0))</f>
        <v>#N/A</v>
      </c>
      <c r="C2102" t="e">
        <f>INDEX(resultados!$A$2:$ZZ$2290, 2096, MATCH($B$3, resultados!$A$1:$ZZ$1, 0))</f>
        <v>#N/A</v>
      </c>
    </row>
    <row r="2103" spans="1:3" x14ac:dyDescent="0.3">
      <c r="A2103" t="e">
        <f>INDEX(resultados!$A$2:$ZZ$2290, 2097, MATCH($B$1, resultados!$A$1:$ZZ$1, 0))</f>
        <v>#N/A</v>
      </c>
      <c r="B2103" t="e">
        <f>INDEX(resultados!$A$2:$ZZ$2290, 2097, MATCH($B$2, resultados!$A$1:$ZZ$1, 0))</f>
        <v>#N/A</v>
      </c>
      <c r="C2103" t="e">
        <f>INDEX(resultados!$A$2:$ZZ$2290, 2097, MATCH($B$3, resultados!$A$1:$ZZ$1, 0))</f>
        <v>#N/A</v>
      </c>
    </row>
    <row r="2104" spans="1:3" x14ac:dyDescent="0.3">
      <c r="A2104" t="e">
        <f>INDEX(resultados!$A$2:$ZZ$2290, 2098, MATCH($B$1, resultados!$A$1:$ZZ$1, 0))</f>
        <v>#N/A</v>
      </c>
      <c r="B2104" t="e">
        <f>INDEX(resultados!$A$2:$ZZ$2290, 2098, MATCH($B$2, resultados!$A$1:$ZZ$1, 0))</f>
        <v>#N/A</v>
      </c>
      <c r="C2104" t="e">
        <f>INDEX(resultados!$A$2:$ZZ$2290, 2098, MATCH($B$3, resultados!$A$1:$ZZ$1, 0))</f>
        <v>#N/A</v>
      </c>
    </row>
    <row r="2105" spans="1:3" x14ac:dyDescent="0.3">
      <c r="A2105" t="e">
        <f>INDEX(resultados!$A$2:$ZZ$2290, 2099, MATCH($B$1, resultados!$A$1:$ZZ$1, 0))</f>
        <v>#N/A</v>
      </c>
      <c r="B2105" t="e">
        <f>INDEX(resultados!$A$2:$ZZ$2290, 2099, MATCH($B$2, resultados!$A$1:$ZZ$1, 0))</f>
        <v>#N/A</v>
      </c>
      <c r="C2105" t="e">
        <f>INDEX(resultados!$A$2:$ZZ$2290, 2099, MATCH($B$3, resultados!$A$1:$ZZ$1, 0))</f>
        <v>#N/A</v>
      </c>
    </row>
    <row r="2106" spans="1:3" x14ac:dyDescent="0.3">
      <c r="A2106" t="e">
        <f>INDEX(resultados!$A$2:$ZZ$2290, 2100, MATCH($B$1, resultados!$A$1:$ZZ$1, 0))</f>
        <v>#N/A</v>
      </c>
      <c r="B2106" t="e">
        <f>INDEX(resultados!$A$2:$ZZ$2290, 2100, MATCH($B$2, resultados!$A$1:$ZZ$1, 0))</f>
        <v>#N/A</v>
      </c>
      <c r="C2106" t="e">
        <f>INDEX(resultados!$A$2:$ZZ$2290, 2100, MATCH($B$3, resultados!$A$1:$ZZ$1, 0))</f>
        <v>#N/A</v>
      </c>
    </row>
    <row r="2107" spans="1:3" x14ac:dyDescent="0.3">
      <c r="A2107" t="e">
        <f>INDEX(resultados!$A$2:$ZZ$2290, 2101, MATCH($B$1, resultados!$A$1:$ZZ$1, 0))</f>
        <v>#N/A</v>
      </c>
      <c r="B2107" t="e">
        <f>INDEX(resultados!$A$2:$ZZ$2290, 2101, MATCH($B$2, resultados!$A$1:$ZZ$1, 0))</f>
        <v>#N/A</v>
      </c>
      <c r="C2107" t="e">
        <f>INDEX(resultados!$A$2:$ZZ$2290, 2101, MATCH($B$3, resultados!$A$1:$ZZ$1, 0))</f>
        <v>#N/A</v>
      </c>
    </row>
    <row r="2108" spans="1:3" x14ac:dyDescent="0.3">
      <c r="A2108" t="e">
        <f>INDEX(resultados!$A$2:$ZZ$2290, 2102, MATCH($B$1, resultados!$A$1:$ZZ$1, 0))</f>
        <v>#N/A</v>
      </c>
      <c r="B2108" t="e">
        <f>INDEX(resultados!$A$2:$ZZ$2290, 2102, MATCH($B$2, resultados!$A$1:$ZZ$1, 0))</f>
        <v>#N/A</v>
      </c>
      <c r="C2108" t="e">
        <f>INDEX(resultados!$A$2:$ZZ$2290, 2102, MATCH($B$3, resultados!$A$1:$ZZ$1, 0))</f>
        <v>#N/A</v>
      </c>
    </row>
    <row r="2109" spans="1:3" x14ac:dyDescent="0.3">
      <c r="A2109" t="e">
        <f>INDEX(resultados!$A$2:$ZZ$2290, 2103, MATCH($B$1, resultados!$A$1:$ZZ$1, 0))</f>
        <v>#N/A</v>
      </c>
      <c r="B2109" t="e">
        <f>INDEX(resultados!$A$2:$ZZ$2290, 2103, MATCH($B$2, resultados!$A$1:$ZZ$1, 0))</f>
        <v>#N/A</v>
      </c>
      <c r="C2109" t="e">
        <f>INDEX(resultados!$A$2:$ZZ$2290, 2103, MATCH($B$3, resultados!$A$1:$ZZ$1, 0))</f>
        <v>#N/A</v>
      </c>
    </row>
    <row r="2110" spans="1:3" x14ac:dyDescent="0.3">
      <c r="A2110" t="e">
        <f>INDEX(resultados!$A$2:$ZZ$2290, 2104, MATCH($B$1, resultados!$A$1:$ZZ$1, 0))</f>
        <v>#N/A</v>
      </c>
      <c r="B2110" t="e">
        <f>INDEX(resultados!$A$2:$ZZ$2290, 2104, MATCH($B$2, resultados!$A$1:$ZZ$1, 0))</f>
        <v>#N/A</v>
      </c>
      <c r="C2110" t="e">
        <f>INDEX(resultados!$A$2:$ZZ$2290, 2104, MATCH($B$3, resultados!$A$1:$ZZ$1, 0))</f>
        <v>#N/A</v>
      </c>
    </row>
    <row r="2111" spans="1:3" x14ac:dyDescent="0.3">
      <c r="A2111" t="e">
        <f>INDEX(resultados!$A$2:$ZZ$2290, 2105, MATCH($B$1, resultados!$A$1:$ZZ$1, 0))</f>
        <v>#N/A</v>
      </c>
      <c r="B2111" t="e">
        <f>INDEX(resultados!$A$2:$ZZ$2290, 2105, MATCH($B$2, resultados!$A$1:$ZZ$1, 0))</f>
        <v>#N/A</v>
      </c>
      <c r="C2111" t="e">
        <f>INDEX(resultados!$A$2:$ZZ$2290, 2105, MATCH($B$3, resultados!$A$1:$ZZ$1, 0))</f>
        <v>#N/A</v>
      </c>
    </row>
    <row r="2112" spans="1:3" x14ac:dyDescent="0.3">
      <c r="A2112" t="e">
        <f>INDEX(resultados!$A$2:$ZZ$2290, 2106, MATCH($B$1, resultados!$A$1:$ZZ$1, 0))</f>
        <v>#N/A</v>
      </c>
      <c r="B2112" t="e">
        <f>INDEX(resultados!$A$2:$ZZ$2290, 2106, MATCH($B$2, resultados!$A$1:$ZZ$1, 0))</f>
        <v>#N/A</v>
      </c>
      <c r="C2112" t="e">
        <f>INDEX(resultados!$A$2:$ZZ$2290, 2106, MATCH($B$3, resultados!$A$1:$ZZ$1, 0))</f>
        <v>#N/A</v>
      </c>
    </row>
    <row r="2113" spans="1:3" x14ac:dyDescent="0.3">
      <c r="A2113" t="e">
        <f>INDEX(resultados!$A$2:$ZZ$2290, 2107, MATCH($B$1, resultados!$A$1:$ZZ$1, 0))</f>
        <v>#N/A</v>
      </c>
      <c r="B2113" t="e">
        <f>INDEX(resultados!$A$2:$ZZ$2290, 2107, MATCH($B$2, resultados!$A$1:$ZZ$1, 0))</f>
        <v>#N/A</v>
      </c>
      <c r="C2113" t="e">
        <f>INDEX(resultados!$A$2:$ZZ$2290, 2107, MATCH($B$3, resultados!$A$1:$ZZ$1, 0))</f>
        <v>#N/A</v>
      </c>
    </row>
    <row r="2114" spans="1:3" x14ac:dyDescent="0.3">
      <c r="A2114" t="e">
        <f>INDEX(resultados!$A$2:$ZZ$2290, 2108, MATCH($B$1, resultados!$A$1:$ZZ$1, 0))</f>
        <v>#N/A</v>
      </c>
      <c r="B2114" t="e">
        <f>INDEX(resultados!$A$2:$ZZ$2290, 2108, MATCH($B$2, resultados!$A$1:$ZZ$1, 0))</f>
        <v>#N/A</v>
      </c>
      <c r="C2114" t="e">
        <f>INDEX(resultados!$A$2:$ZZ$2290, 2108, MATCH($B$3, resultados!$A$1:$ZZ$1, 0))</f>
        <v>#N/A</v>
      </c>
    </row>
    <row r="2115" spans="1:3" x14ac:dyDescent="0.3">
      <c r="A2115" t="e">
        <f>INDEX(resultados!$A$2:$ZZ$2290, 2109, MATCH($B$1, resultados!$A$1:$ZZ$1, 0))</f>
        <v>#N/A</v>
      </c>
      <c r="B2115" t="e">
        <f>INDEX(resultados!$A$2:$ZZ$2290, 2109, MATCH($B$2, resultados!$A$1:$ZZ$1, 0))</f>
        <v>#N/A</v>
      </c>
      <c r="C2115" t="e">
        <f>INDEX(resultados!$A$2:$ZZ$2290, 2109, MATCH($B$3, resultados!$A$1:$ZZ$1, 0))</f>
        <v>#N/A</v>
      </c>
    </row>
    <row r="2116" spans="1:3" x14ac:dyDescent="0.3">
      <c r="A2116" t="e">
        <f>INDEX(resultados!$A$2:$ZZ$2290, 2110, MATCH($B$1, resultados!$A$1:$ZZ$1, 0))</f>
        <v>#N/A</v>
      </c>
      <c r="B2116" t="e">
        <f>INDEX(resultados!$A$2:$ZZ$2290, 2110, MATCH($B$2, resultados!$A$1:$ZZ$1, 0))</f>
        <v>#N/A</v>
      </c>
      <c r="C2116" t="e">
        <f>INDEX(resultados!$A$2:$ZZ$2290, 2110, MATCH($B$3, resultados!$A$1:$ZZ$1, 0))</f>
        <v>#N/A</v>
      </c>
    </row>
    <row r="2117" spans="1:3" x14ac:dyDescent="0.3">
      <c r="A2117" t="e">
        <f>INDEX(resultados!$A$2:$ZZ$2290, 2111, MATCH($B$1, resultados!$A$1:$ZZ$1, 0))</f>
        <v>#N/A</v>
      </c>
      <c r="B2117" t="e">
        <f>INDEX(resultados!$A$2:$ZZ$2290, 2111, MATCH($B$2, resultados!$A$1:$ZZ$1, 0))</f>
        <v>#N/A</v>
      </c>
      <c r="C2117" t="e">
        <f>INDEX(resultados!$A$2:$ZZ$2290, 2111, MATCH($B$3, resultados!$A$1:$ZZ$1, 0))</f>
        <v>#N/A</v>
      </c>
    </row>
    <row r="2118" spans="1:3" x14ac:dyDescent="0.3">
      <c r="A2118" t="e">
        <f>INDEX(resultados!$A$2:$ZZ$2290, 2112, MATCH($B$1, resultados!$A$1:$ZZ$1, 0))</f>
        <v>#N/A</v>
      </c>
      <c r="B2118" t="e">
        <f>INDEX(resultados!$A$2:$ZZ$2290, 2112, MATCH($B$2, resultados!$A$1:$ZZ$1, 0))</f>
        <v>#N/A</v>
      </c>
      <c r="C2118" t="e">
        <f>INDEX(resultados!$A$2:$ZZ$2290, 2112, MATCH($B$3, resultados!$A$1:$ZZ$1, 0))</f>
        <v>#N/A</v>
      </c>
    </row>
    <row r="2119" spans="1:3" x14ac:dyDescent="0.3">
      <c r="A2119" t="e">
        <f>INDEX(resultados!$A$2:$ZZ$2290, 2113, MATCH($B$1, resultados!$A$1:$ZZ$1, 0))</f>
        <v>#N/A</v>
      </c>
      <c r="B2119" t="e">
        <f>INDEX(resultados!$A$2:$ZZ$2290, 2113, MATCH($B$2, resultados!$A$1:$ZZ$1, 0))</f>
        <v>#N/A</v>
      </c>
      <c r="C2119" t="e">
        <f>INDEX(resultados!$A$2:$ZZ$2290, 2113, MATCH($B$3, resultados!$A$1:$ZZ$1, 0))</f>
        <v>#N/A</v>
      </c>
    </row>
    <row r="2120" spans="1:3" x14ac:dyDescent="0.3">
      <c r="A2120" t="e">
        <f>INDEX(resultados!$A$2:$ZZ$2290, 2114, MATCH($B$1, resultados!$A$1:$ZZ$1, 0))</f>
        <v>#N/A</v>
      </c>
      <c r="B2120" t="e">
        <f>INDEX(resultados!$A$2:$ZZ$2290, 2114, MATCH($B$2, resultados!$A$1:$ZZ$1, 0))</f>
        <v>#N/A</v>
      </c>
      <c r="C2120" t="e">
        <f>INDEX(resultados!$A$2:$ZZ$2290, 2114, MATCH($B$3, resultados!$A$1:$ZZ$1, 0))</f>
        <v>#N/A</v>
      </c>
    </row>
    <row r="2121" spans="1:3" x14ac:dyDescent="0.3">
      <c r="A2121" t="e">
        <f>INDEX(resultados!$A$2:$ZZ$2290, 2115, MATCH($B$1, resultados!$A$1:$ZZ$1, 0))</f>
        <v>#N/A</v>
      </c>
      <c r="B2121" t="e">
        <f>INDEX(resultados!$A$2:$ZZ$2290, 2115, MATCH($B$2, resultados!$A$1:$ZZ$1, 0))</f>
        <v>#N/A</v>
      </c>
      <c r="C2121" t="e">
        <f>INDEX(resultados!$A$2:$ZZ$2290, 2115, MATCH($B$3, resultados!$A$1:$ZZ$1, 0))</f>
        <v>#N/A</v>
      </c>
    </row>
    <row r="2122" spans="1:3" x14ac:dyDescent="0.3">
      <c r="A2122" t="e">
        <f>INDEX(resultados!$A$2:$ZZ$2290, 2116, MATCH($B$1, resultados!$A$1:$ZZ$1, 0))</f>
        <v>#N/A</v>
      </c>
      <c r="B2122" t="e">
        <f>INDEX(resultados!$A$2:$ZZ$2290, 2116, MATCH($B$2, resultados!$A$1:$ZZ$1, 0))</f>
        <v>#N/A</v>
      </c>
      <c r="C2122" t="e">
        <f>INDEX(resultados!$A$2:$ZZ$2290, 2116, MATCH($B$3, resultados!$A$1:$ZZ$1, 0))</f>
        <v>#N/A</v>
      </c>
    </row>
    <row r="2123" spans="1:3" x14ac:dyDescent="0.3">
      <c r="A2123" t="e">
        <f>INDEX(resultados!$A$2:$ZZ$2290, 2117, MATCH($B$1, resultados!$A$1:$ZZ$1, 0))</f>
        <v>#N/A</v>
      </c>
      <c r="B2123" t="e">
        <f>INDEX(resultados!$A$2:$ZZ$2290, 2117, MATCH($B$2, resultados!$A$1:$ZZ$1, 0))</f>
        <v>#N/A</v>
      </c>
      <c r="C2123" t="e">
        <f>INDEX(resultados!$A$2:$ZZ$2290, 2117, MATCH($B$3, resultados!$A$1:$ZZ$1, 0))</f>
        <v>#N/A</v>
      </c>
    </row>
    <row r="2124" spans="1:3" x14ac:dyDescent="0.3">
      <c r="A2124" t="e">
        <f>INDEX(resultados!$A$2:$ZZ$2290, 2118, MATCH($B$1, resultados!$A$1:$ZZ$1, 0))</f>
        <v>#N/A</v>
      </c>
      <c r="B2124" t="e">
        <f>INDEX(resultados!$A$2:$ZZ$2290, 2118, MATCH($B$2, resultados!$A$1:$ZZ$1, 0))</f>
        <v>#N/A</v>
      </c>
      <c r="C2124" t="e">
        <f>INDEX(resultados!$A$2:$ZZ$2290, 2118, MATCH($B$3, resultados!$A$1:$ZZ$1, 0))</f>
        <v>#N/A</v>
      </c>
    </row>
    <row r="2125" spans="1:3" x14ac:dyDescent="0.3">
      <c r="A2125" t="e">
        <f>INDEX(resultados!$A$2:$ZZ$2290, 2119, MATCH($B$1, resultados!$A$1:$ZZ$1, 0))</f>
        <v>#N/A</v>
      </c>
      <c r="B2125" t="e">
        <f>INDEX(resultados!$A$2:$ZZ$2290, 2119, MATCH($B$2, resultados!$A$1:$ZZ$1, 0))</f>
        <v>#N/A</v>
      </c>
      <c r="C2125" t="e">
        <f>INDEX(resultados!$A$2:$ZZ$2290, 2119, MATCH($B$3, resultados!$A$1:$ZZ$1, 0))</f>
        <v>#N/A</v>
      </c>
    </row>
    <row r="2126" spans="1:3" x14ac:dyDescent="0.3">
      <c r="A2126" t="e">
        <f>INDEX(resultados!$A$2:$ZZ$2290, 2120, MATCH($B$1, resultados!$A$1:$ZZ$1, 0))</f>
        <v>#N/A</v>
      </c>
      <c r="B2126" t="e">
        <f>INDEX(resultados!$A$2:$ZZ$2290, 2120, MATCH($B$2, resultados!$A$1:$ZZ$1, 0))</f>
        <v>#N/A</v>
      </c>
      <c r="C2126" t="e">
        <f>INDEX(resultados!$A$2:$ZZ$2290, 2120, MATCH($B$3, resultados!$A$1:$ZZ$1, 0))</f>
        <v>#N/A</v>
      </c>
    </row>
    <row r="2127" spans="1:3" x14ac:dyDescent="0.3">
      <c r="A2127" t="e">
        <f>INDEX(resultados!$A$2:$ZZ$2290, 2121, MATCH($B$1, resultados!$A$1:$ZZ$1, 0))</f>
        <v>#N/A</v>
      </c>
      <c r="B2127" t="e">
        <f>INDEX(resultados!$A$2:$ZZ$2290, 2121, MATCH($B$2, resultados!$A$1:$ZZ$1, 0))</f>
        <v>#N/A</v>
      </c>
      <c r="C2127" t="e">
        <f>INDEX(resultados!$A$2:$ZZ$2290, 2121, MATCH($B$3, resultados!$A$1:$ZZ$1, 0))</f>
        <v>#N/A</v>
      </c>
    </row>
    <row r="2128" spans="1:3" x14ac:dyDescent="0.3">
      <c r="A2128" t="e">
        <f>INDEX(resultados!$A$2:$ZZ$2290, 2122, MATCH($B$1, resultados!$A$1:$ZZ$1, 0))</f>
        <v>#N/A</v>
      </c>
      <c r="B2128" t="e">
        <f>INDEX(resultados!$A$2:$ZZ$2290, 2122, MATCH($B$2, resultados!$A$1:$ZZ$1, 0))</f>
        <v>#N/A</v>
      </c>
      <c r="C2128" t="e">
        <f>INDEX(resultados!$A$2:$ZZ$2290, 2122, MATCH($B$3, resultados!$A$1:$ZZ$1, 0))</f>
        <v>#N/A</v>
      </c>
    </row>
    <row r="2129" spans="1:3" x14ac:dyDescent="0.3">
      <c r="A2129" t="e">
        <f>INDEX(resultados!$A$2:$ZZ$2290, 2123, MATCH($B$1, resultados!$A$1:$ZZ$1, 0))</f>
        <v>#N/A</v>
      </c>
      <c r="B2129" t="e">
        <f>INDEX(resultados!$A$2:$ZZ$2290, 2123, MATCH($B$2, resultados!$A$1:$ZZ$1, 0))</f>
        <v>#N/A</v>
      </c>
      <c r="C2129" t="e">
        <f>INDEX(resultados!$A$2:$ZZ$2290, 2123, MATCH($B$3, resultados!$A$1:$ZZ$1, 0))</f>
        <v>#N/A</v>
      </c>
    </row>
    <row r="2130" spans="1:3" x14ac:dyDescent="0.3">
      <c r="A2130" t="e">
        <f>INDEX(resultados!$A$2:$ZZ$2290, 2124, MATCH($B$1, resultados!$A$1:$ZZ$1, 0))</f>
        <v>#N/A</v>
      </c>
      <c r="B2130" t="e">
        <f>INDEX(resultados!$A$2:$ZZ$2290, 2124, MATCH($B$2, resultados!$A$1:$ZZ$1, 0))</f>
        <v>#N/A</v>
      </c>
      <c r="C2130" t="e">
        <f>INDEX(resultados!$A$2:$ZZ$2290, 2124, MATCH($B$3, resultados!$A$1:$ZZ$1, 0))</f>
        <v>#N/A</v>
      </c>
    </row>
    <row r="2131" spans="1:3" x14ac:dyDescent="0.3">
      <c r="A2131" t="e">
        <f>INDEX(resultados!$A$2:$ZZ$2290, 2125, MATCH($B$1, resultados!$A$1:$ZZ$1, 0))</f>
        <v>#N/A</v>
      </c>
      <c r="B2131" t="e">
        <f>INDEX(resultados!$A$2:$ZZ$2290, 2125, MATCH($B$2, resultados!$A$1:$ZZ$1, 0))</f>
        <v>#N/A</v>
      </c>
      <c r="C2131" t="e">
        <f>INDEX(resultados!$A$2:$ZZ$2290, 2125, MATCH($B$3, resultados!$A$1:$ZZ$1, 0))</f>
        <v>#N/A</v>
      </c>
    </row>
    <row r="2132" spans="1:3" x14ac:dyDescent="0.3">
      <c r="A2132" t="e">
        <f>INDEX(resultados!$A$2:$ZZ$2290, 2126, MATCH($B$1, resultados!$A$1:$ZZ$1, 0))</f>
        <v>#N/A</v>
      </c>
      <c r="B2132" t="e">
        <f>INDEX(resultados!$A$2:$ZZ$2290, 2126, MATCH($B$2, resultados!$A$1:$ZZ$1, 0))</f>
        <v>#N/A</v>
      </c>
      <c r="C2132" t="e">
        <f>INDEX(resultados!$A$2:$ZZ$2290, 2126, MATCH($B$3, resultados!$A$1:$ZZ$1, 0))</f>
        <v>#N/A</v>
      </c>
    </row>
    <row r="2133" spans="1:3" x14ac:dyDescent="0.3">
      <c r="A2133" t="e">
        <f>INDEX(resultados!$A$2:$ZZ$2290, 2127, MATCH($B$1, resultados!$A$1:$ZZ$1, 0))</f>
        <v>#N/A</v>
      </c>
      <c r="B2133" t="e">
        <f>INDEX(resultados!$A$2:$ZZ$2290, 2127, MATCH($B$2, resultados!$A$1:$ZZ$1, 0))</f>
        <v>#N/A</v>
      </c>
      <c r="C2133" t="e">
        <f>INDEX(resultados!$A$2:$ZZ$2290, 2127, MATCH($B$3, resultados!$A$1:$ZZ$1, 0))</f>
        <v>#N/A</v>
      </c>
    </row>
    <row r="2134" spans="1:3" x14ac:dyDescent="0.3">
      <c r="A2134" t="e">
        <f>INDEX(resultados!$A$2:$ZZ$2290, 2128, MATCH($B$1, resultados!$A$1:$ZZ$1, 0))</f>
        <v>#N/A</v>
      </c>
      <c r="B2134" t="e">
        <f>INDEX(resultados!$A$2:$ZZ$2290, 2128, MATCH($B$2, resultados!$A$1:$ZZ$1, 0))</f>
        <v>#N/A</v>
      </c>
      <c r="C2134" t="e">
        <f>INDEX(resultados!$A$2:$ZZ$2290, 2128, MATCH($B$3, resultados!$A$1:$ZZ$1, 0))</f>
        <v>#N/A</v>
      </c>
    </row>
    <row r="2135" spans="1:3" x14ac:dyDescent="0.3">
      <c r="A2135" t="e">
        <f>INDEX(resultados!$A$2:$ZZ$2290, 2129, MATCH($B$1, resultados!$A$1:$ZZ$1, 0))</f>
        <v>#N/A</v>
      </c>
      <c r="B2135" t="e">
        <f>INDEX(resultados!$A$2:$ZZ$2290, 2129, MATCH($B$2, resultados!$A$1:$ZZ$1, 0))</f>
        <v>#N/A</v>
      </c>
      <c r="C2135" t="e">
        <f>INDEX(resultados!$A$2:$ZZ$2290, 2129, MATCH($B$3, resultados!$A$1:$ZZ$1, 0))</f>
        <v>#N/A</v>
      </c>
    </row>
    <row r="2136" spans="1:3" x14ac:dyDescent="0.3">
      <c r="A2136" t="e">
        <f>INDEX(resultados!$A$2:$ZZ$2290, 2130, MATCH($B$1, resultados!$A$1:$ZZ$1, 0))</f>
        <v>#N/A</v>
      </c>
      <c r="B2136" t="e">
        <f>INDEX(resultados!$A$2:$ZZ$2290, 2130, MATCH($B$2, resultados!$A$1:$ZZ$1, 0))</f>
        <v>#N/A</v>
      </c>
      <c r="C2136" t="e">
        <f>INDEX(resultados!$A$2:$ZZ$2290, 2130, MATCH($B$3, resultados!$A$1:$ZZ$1, 0))</f>
        <v>#N/A</v>
      </c>
    </row>
    <row r="2137" spans="1:3" x14ac:dyDescent="0.3">
      <c r="A2137" t="e">
        <f>INDEX(resultados!$A$2:$ZZ$2290, 2131, MATCH($B$1, resultados!$A$1:$ZZ$1, 0))</f>
        <v>#N/A</v>
      </c>
      <c r="B2137" t="e">
        <f>INDEX(resultados!$A$2:$ZZ$2290, 2131, MATCH($B$2, resultados!$A$1:$ZZ$1, 0))</f>
        <v>#N/A</v>
      </c>
      <c r="C2137" t="e">
        <f>INDEX(resultados!$A$2:$ZZ$2290, 2131, MATCH($B$3, resultados!$A$1:$ZZ$1, 0))</f>
        <v>#N/A</v>
      </c>
    </row>
    <row r="2138" spans="1:3" x14ac:dyDescent="0.3">
      <c r="A2138" t="e">
        <f>INDEX(resultados!$A$2:$ZZ$2290, 2132, MATCH($B$1, resultados!$A$1:$ZZ$1, 0))</f>
        <v>#N/A</v>
      </c>
      <c r="B2138" t="e">
        <f>INDEX(resultados!$A$2:$ZZ$2290, 2132, MATCH($B$2, resultados!$A$1:$ZZ$1, 0))</f>
        <v>#N/A</v>
      </c>
      <c r="C2138" t="e">
        <f>INDEX(resultados!$A$2:$ZZ$2290, 2132, MATCH($B$3, resultados!$A$1:$ZZ$1, 0))</f>
        <v>#N/A</v>
      </c>
    </row>
    <row r="2139" spans="1:3" x14ac:dyDescent="0.3">
      <c r="A2139" t="e">
        <f>INDEX(resultados!$A$2:$ZZ$2290, 2133, MATCH($B$1, resultados!$A$1:$ZZ$1, 0))</f>
        <v>#N/A</v>
      </c>
      <c r="B2139" t="e">
        <f>INDEX(resultados!$A$2:$ZZ$2290, 2133, MATCH($B$2, resultados!$A$1:$ZZ$1, 0))</f>
        <v>#N/A</v>
      </c>
      <c r="C2139" t="e">
        <f>INDEX(resultados!$A$2:$ZZ$2290, 2133, MATCH($B$3, resultados!$A$1:$ZZ$1, 0))</f>
        <v>#N/A</v>
      </c>
    </row>
    <row r="2140" spans="1:3" x14ac:dyDescent="0.3">
      <c r="A2140" t="e">
        <f>INDEX(resultados!$A$2:$ZZ$2290, 2134, MATCH($B$1, resultados!$A$1:$ZZ$1, 0))</f>
        <v>#N/A</v>
      </c>
      <c r="B2140" t="e">
        <f>INDEX(resultados!$A$2:$ZZ$2290, 2134, MATCH($B$2, resultados!$A$1:$ZZ$1, 0))</f>
        <v>#N/A</v>
      </c>
      <c r="C2140" t="e">
        <f>INDEX(resultados!$A$2:$ZZ$2290, 2134, MATCH($B$3, resultados!$A$1:$ZZ$1, 0))</f>
        <v>#N/A</v>
      </c>
    </row>
    <row r="2141" spans="1:3" x14ac:dyDescent="0.3">
      <c r="A2141" t="e">
        <f>INDEX(resultados!$A$2:$ZZ$2290, 2135, MATCH($B$1, resultados!$A$1:$ZZ$1, 0))</f>
        <v>#N/A</v>
      </c>
      <c r="B2141" t="e">
        <f>INDEX(resultados!$A$2:$ZZ$2290, 2135, MATCH($B$2, resultados!$A$1:$ZZ$1, 0))</f>
        <v>#N/A</v>
      </c>
      <c r="C2141" t="e">
        <f>INDEX(resultados!$A$2:$ZZ$2290, 2135, MATCH($B$3, resultados!$A$1:$ZZ$1, 0))</f>
        <v>#N/A</v>
      </c>
    </row>
    <row r="2142" spans="1:3" x14ac:dyDescent="0.3">
      <c r="A2142" t="e">
        <f>INDEX(resultados!$A$2:$ZZ$2290, 2136, MATCH($B$1, resultados!$A$1:$ZZ$1, 0))</f>
        <v>#N/A</v>
      </c>
      <c r="B2142" t="e">
        <f>INDEX(resultados!$A$2:$ZZ$2290, 2136, MATCH($B$2, resultados!$A$1:$ZZ$1, 0))</f>
        <v>#N/A</v>
      </c>
      <c r="C2142" t="e">
        <f>INDEX(resultados!$A$2:$ZZ$2290, 2136, MATCH($B$3, resultados!$A$1:$ZZ$1, 0))</f>
        <v>#N/A</v>
      </c>
    </row>
    <row r="2143" spans="1:3" x14ac:dyDescent="0.3">
      <c r="A2143" t="e">
        <f>INDEX(resultados!$A$2:$ZZ$2290, 2137, MATCH($B$1, resultados!$A$1:$ZZ$1, 0))</f>
        <v>#N/A</v>
      </c>
      <c r="B2143" t="e">
        <f>INDEX(resultados!$A$2:$ZZ$2290, 2137, MATCH($B$2, resultados!$A$1:$ZZ$1, 0))</f>
        <v>#N/A</v>
      </c>
      <c r="C2143" t="e">
        <f>INDEX(resultados!$A$2:$ZZ$2290, 2137, MATCH($B$3, resultados!$A$1:$ZZ$1, 0))</f>
        <v>#N/A</v>
      </c>
    </row>
    <row r="2144" spans="1:3" x14ac:dyDescent="0.3">
      <c r="A2144" t="e">
        <f>INDEX(resultados!$A$2:$ZZ$2290, 2138, MATCH($B$1, resultados!$A$1:$ZZ$1, 0))</f>
        <v>#N/A</v>
      </c>
      <c r="B2144" t="e">
        <f>INDEX(resultados!$A$2:$ZZ$2290, 2138, MATCH($B$2, resultados!$A$1:$ZZ$1, 0))</f>
        <v>#N/A</v>
      </c>
      <c r="C2144" t="e">
        <f>INDEX(resultados!$A$2:$ZZ$2290, 2138, MATCH($B$3, resultados!$A$1:$ZZ$1, 0))</f>
        <v>#N/A</v>
      </c>
    </row>
    <row r="2145" spans="1:3" x14ac:dyDescent="0.3">
      <c r="A2145" t="e">
        <f>INDEX(resultados!$A$2:$ZZ$2290, 2139, MATCH($B$1, resultados!$A$1:$ZZ$1, 0))</f>
        <v>#N/A</v>
      </c>
      <c r="B2145" t="e">
        <f>INDEX(resultados!$A$2:$ZZ$2290, 2139, MATCH($B$2, resultados!$A$1:$ZZ$1, 0))</f>
        <v>#N/A</v>
      </c>
      <c r="C2145" t="e">
        <f>INDEX(resultados!$A$2:$ZZ$2290, 2139, MATCH($B$3, resultados!$A$1:$ZZ$1, 0))</f>
        <v>#N/A</v>
      </c>
    </row>
    <row r="2146" spans="1:3" x14ac:dyDescent="0.3">
      <c r="A2146" t="e">
        <f>INDEX(resultados!$A$2:$ZZ$2290, 2140, MATCH($B$1, resultados!$A$1:$ZZ$1, 0))</f>
        <v>#N/A</v>
      </c>
      <c r="B2146" t="e">
        <f>INDEX(resultados!$A$2:$ZZ$2290, 2140, MATCH($B$2, resultados!$A$1:$ZZ$1, 0))</f>
        <v>#N/A</v>
      </c>
      <c r="C2146" t="e">
        <f>INDEX(resultados!$A$2:$ZZ$2290, 2140, MATCH($B$3, resultados!$A$1:$ZZ$1, 0))</f>
        <v>#N/A</v>
      </c>
    </row>
    <row r="2147" spans="1:3" x14ac:dyDescent="0.3">
      <c r="A2147" t="e">
        <f>INDEX(resultados!$A$2:$ZZ$2290, 2141, MATCH($B$1, resultados!$A$1:$ZZ$1, 0))</f>
        <v>#N/A</v>
      </c>
      <c r="B2147" t="e">
        <f>INDEX(resultados!$A$2:$ZZ$2290, 2141, MATCH($B$2, resultados!$A$1:$ZZ$1, 0))</f>
        <v>#N/A</v>
      </c>
      <c r="C2147" t="e">
        <f>INDEX(resultados!$A$2:$ZZ$2290, 2141, MATCH($B$3, resultados!$A$1:$ZZ$1, 0))</f>
        <v>#N/A</v>
      </c>
    </row>
    <row r="2148" spans="1:3" x14ac:dyDescent="0.3">
      <c r="A2148" t="e">
        <f>INDEX(resultados!$A$2:$ZZ$2290, 2142, MATCH($B$1, resultados!$A$1:$ZZ$1, 0))</f>
        <v>#N/A</v>
      </c>
      <c r="B2148" t="e">
        <f>INDEX(resultados!$A$2:$ZZ$2290, 2142, MATCH($B$2, resultados!$A$1:$ZZ$1, 0))</f>
        <v>#N/A</v>
      </c>
      <c r="C2148" t="e">
        <f>INDEX(resultados!$A$2:$ZZ$2290, 2142, MATCH($B$3, resultados!$A$1:$ZZ$1, 0))</f>
        <v>#N/A</v>
      </c>
    </row>
    <row r="2149" spans="1:3" x14ac:dyDescent="0.3">
      <c r="A2149" t="e">
        <f>INDEX(resultados!$A$2:$ZZ$2290, 2143, MATCH($B$1, resultados!$A$1:$ZZ$1, 0))</f>
        <v>#N/A</v>
      </c>
      <c r="B2149" t="e">
        <f>INDEX(resultados!$A$2:$ZZ$2290, 2143, MATCH($B$2, resultados!$A$1:$ZZ$1, 0))</f>
        <v>#N/A</v>
      </c>
      <c r="C2149" t="e">
        <f>INDEX(resultados!$A$2:$ZZ$2290, 2143, MATCH($B$3, resultados!$A$1:$ZZ$1, 0))</f>
        <v>#N/A</v>
      </c>
    </row>
    <row r="2150" spans="1:3" x14ac:dyDescent="0.3">
      <c r="A2150" t="e">
        <f>INDEX(resultados!$A$2:$ZZ$2290, 2144, MATCH($B$1, resultados!$A$1:$ZZ$1, 0))</f>
        <v>#N/A</v>
      </c>
      <c r="B2150" t="e">
        <f>INDEX(resultados!$A$2:$ZZ$2290, 2144, MATCH($B$2, resultados!$A$1:$ZZ$1, 0))</f>
        <v>#N/A</v>
      </c>
      <c r="C2150" t="e">
        <f>INDEX(resultados!$A$2:$ZZ$2290, 2144, MATCH($B$3, resultados!$A$1:$ZZ$1, 0))</f>
        <v>#N/A</v>
      </c>
    </row>
    <row r="2151" spans="1:3" x14ac:dyDescent="0.3">
      <c r="A2151" t="e">
        <f>INDEX(resultados!$A$2:$ZZ$2290, 2145, MATCH($B$1, resultados!$A$1:$ZZ$1, 0))</f>
        <v>#N/A</v>
      </c>
      <c r="B2151" t="e">
        <f>INDEX(resultados!$A$2:$ZZ$2290, 2145, MATCH($B$2, resultados!$A$1:$ZZ$1, 0))</f>
        <v>#N/A</v>
      </c>
      <c r="C2151" t="e">
        <f>INDEX(resultados!$A$2:$ZZ$2290, 2145, MATCH($B$3, resultados!$A$1:$ZZ$1, 0))</f>
        <v>#N/A</v>
      </c>
    </row>
    <row r="2152" spans="1:3" x14ac:dyDescent="0.3">
      <c r="A2152" t="e">
        <f>INDEX(resultados!$A$2:$ZZ$2290, 2146, MATCH($B$1, resultados!$A$1:$ZZ$1, 0))</f>
        <v>#N/A</v>
      </c>
      <c r="B2152" t="e">
        <f>INDEX(resultados!$A$2:$ZZ$2290, 2146, MATCH($B$2, resultados!$A$1:$ZZ$1, 0))</f>
        <v>#N/A</v>
      </c>
      <c r="C2152" t="e">
        <f>INDEX(resultados!$A$2:$ZZ$2290, 2146, MATCH($B$3, resultados!$A$1:$ZZ$1, 0))</f>
        <v>#N/A</v>
      </c>
    </row>
    <row r="2153" spans="1:3" x14ac:dyDescent="0.3">
      <c r="A2153" t="e">
        <f>INDEX(resultados!$A$2:$ZZ$2290, 2147, MATCH($B$1, resultados!$A$1:$ZZ$1, 0))</f>
        <v>#N/A</v>
      </c>
      <c r="B2153" t="e">
        <f>INDEX(resultados!$A$2:$ZZ$2290, 2147, MATCH($B$2, resultados!$A$1:$ZZ$1, 0))</f>
        <v>#N/A</v>
      </c>
      <c r="C2153" t="e">
        <f>INDEX(resultados!$A$2:$ZZ$2290, 2147, MATCH($B$3, resultados!$A$1:$ZZ$1, 0))</f>
        <v>#N/A</v>
      </c>
    </row>
    <row r="2154" spans="1:3" x14ac:dyDescent="0.3">
      <c r="A2154" t="e">
        <f>INDEX(resultados!$A$2:$ZZ$2290, 2148, MATCH($B$1, resultados!$A$1:$ZZ$1, 0))</f>
        <v>#N/A</v>
      </c>
      <c r="B2154" t="e">
        <f>INDEX(resultados!$A$2:$ZZ$2290, 2148, MATCH($B$2, resultados!$A$1:$ZZ$1, 0))</f>
        <v>#N/A</v>
      </c>
      <c r="C2154" t="e">
        <f>INDEX(resultados!$A$2:$ZZ$2290, 2148, MATCH($B$3, resultados!$A$1:$ZZ$1, 0))</f>
        <v>#N/A</v>
      </c>
    </row>
    <row r="2155" spans="1:3" x14ac:dyDescent="0.3">
      <c r="A2155" t="e">
        <f>INDEX(resultados!$A$2:$ZZ$2290, 2149, MATCH($B$1, resultados!$A$1:$ZZ$1, 0))</f>
        <v>#N/A</v>
      </c>
      <c r="B2155" t="e">
        <f>INDEX(resultados!$A$2:$ZZ$2290, 2149, MATCH($B$2, resultados!$A$1:$ZZ$1, 0))</f>
        <v>#N/A</v>
      </c>
      <c r="C2155" t="e">
        <f>INDEX(resultados!$A$2:$ZZ$2290, 2149, MATCH($B$3, resultados!$A$1:$ZZ$1, 0))</f>
        <v>#N/A</v>
      </c>
    </row>
    <row r="2156" spans="1:3" x14ac:dyDescent="0.3">
      <c r="A2156" t="e">
        <f>INDEX(resultados!$A$2:$ZZ$2290, 2150, MATCH($B$1, resultados!$A$1:$ZZ$1, 0))</f>
        <v>#N/A</v>
      </c>
      <c r="B2156" t="e">
        <f>INDEX(resultados!$A$2:$ZZ$2290, 2150, MATCH($B$2, resultados!$A$1:$ZZ$1, 0))</f>
        <v>#N/A</v>
      </c>
      <c r="C2156" t="e">
        <f>INDEX(resultados!$A$2:$ZZ$2290, 2150, MATCH($B$3, resultados!$A$1:$ZZ$1, 0))</f>
        <v>#N/A</v>
      </c>
    </row>
    <row r="2157" spans="1:3" x14ac:dyDescent="0.3">
      <c r="A2157" t="e">
        <f>INDEX(resultados!$A$2:$ZZ$2290, 2151, MATCH($B$1, resultados!$A$1:$ZZ$1, 0))</f>
        <v>#N/A</v>
      </c>
      <c r="B2157" t="e">
        <f>INDEX(resultados!$A$2:$ZZ$2290, 2151, MATCH($B$2, resultados!$A$1:$ZZ$1, 0))</f>
        <v>#N/A</v>
      </c>
      <c r="C2157" t="e">
        <f>INDEX(resultados!$A$2:$ZZ$2290, 2151, MATCH($B$3, resultados!$A$1:$ZZ$1, 0))</f>
        <v>#N/A</v>
      </c>
    </row>
    <row r="2158" spans="1:3" x14ac:dyDescent="0.3">
      <c r="A2158" t="e">
        <f>INDEX(resultados!$A$2:$ZZ$2290, 2152, MATCH($B$1, resultados!$A$1:$ZZ$1, 0))</f>
        <v>#N/A</v>
      </c>
      <c r="B2158" t="e">
        <f>INDEX(resultados!$A$2:$ZZ$2290, 2152, MATCH($B$2, resultados!$A$1:$ZZ$1, 0))</f>
        <v>#N/A</v>
      </c>
      <c r="C2158" t="e">
        <f>INDEX(resultados!$A$2:$ZZ$2290, 2152, MATCH($B$3, resultados!$A$1:$ZZ$1, 0))</f>
        <v>#N/A</v>
      </c>
    </row>
    <row r="2159" spans="1:3" x14ac:dyDescent="0.3">
      <c r="A2159" t="e">
        <f>INDEX(resultados!$A$2:$ZZ$2290, 2153, MATCH($B$1, resultados!$A$1:$ZZ$1, 0))</f>
        <v>#N/A</v>
      </c>
      <c r="B2159" t="e">
        <f>INDEX(resultados!$A$2:$ZZ$2290, 2153, MATCH($B$2, resultados!$A$1:$ZZ$1, 0))</f>
        <v>#N/A</v>
      </c>
      <c r="C2159" t="e">
        <f>INDEX(resultados!$A$2:$ZZ$2290, 2153, MATCH($B$3, resultados!$A$1:$ZZ$1, 0))</f>
        <v>#N/A</v>
      </c>
    </row>
    <row r="2160" spans="1:3" x14ac:dyDescent="0.3">
      <c r="A2160" t="e">
        <f>INDEX(resultados!$A$2:$ZZ$2290, 2154, MATCH($B$1, resultados!$A$1:$ZZ$1, 0))</f>
        <v>#N/A</v>
      </c>
      <c r="B2160" t="e">
        <f>INDEX(resultados!$A$2:$ZZ$2290, 2154, MATCH($B$2, resultados!$A$1:$ZZ$1, 0))</f>
        <v>#N/A</v>
      </c>
      <c r="C2160" t="e">
        <f>INDEX(resultados!$A$2:$ZZ$2290, 2154, MATCH($B$3, resultados!$A$1:$ZZ$1, 0))</f>
        <v>#N/A</v>
      </c>
    </row>
    <row r="2161" spans="1:3" x14ac:dyDescent="0.3">
      <c r="A2161" t="e">
        <f>INDEX(resultados!$A$2:$ZZ$2290, 2155, MATCH($B$1, resultados!$A$1:$ZZ$1, 0))</f>
        <v>#N/A</v>
      </c>
      <c r="B2161" t="e">
        <f>INDEX(resultados!$A$2:$ZZ$2290, 2155, MATCH($B$2, resultados!$A$1:$ZZ$1, 0))</f>
        <v>#N/A</v>
      </c>
      <c r="C2161" t="e">
        <f>INDEX(resultados!$A$2:$ZZ$2290, 2155, MATCH($B$3, resultados!$A$1:$ZZ$1, 0))</f>
        <v>#N/A</v>
      </c>
    </row>
    <row r="2162" spans="1:3" x14ac:dyDescent="0.3">
      <c r="A2162" t="e">
        <f>INDEX(resultados!$A$2:$ZZ$2290, 2156, MATCH($B$1, resultados!$A$1:$ZZ$1, 0))</f>
        <v>#N/A</v>
      </c>
      <c r="B2162" t="e">
        <f>INDEX(resultados!$A$2:$ZZ$2290, 2156, MATCH($B$2, resultados!$A$1:$ZZ$1, 0))</f>
        <v>#N/A</v>
      </c>
      <c r="C2162" t="e">
        <f>INDEX(resultados!$A$2:$ZZ$2290, 2156, MATCH($B$3, resultados!$A$1:$ZZ$1, 0))</f>
        <v>#N/A</v>
      </c>
    </row>
    <row r="2163" spans="1:3" x14ac:dyDescent="0.3">
      <c r="A2163" t="e">
        <f>INDEX(resultados!$A$2:$ZZ$2290, 2157, MATCH($B$1, resultados!$A$1:$ZZ$1, 0))</f>
        <v>#N/A</v>
      </c>
      <c r="B2163" t="e">
        <f>INDEX(resultados!$A$2:$ZZ$2290, 2157, MATCH($B$2, resultados!$A$1:$ZZ$1, 0))</f>
        <v>#N/A</v>
      </c>
      <c r="C2163" t="e">
        <f>INDEX(resultados!$A$2:$ZZ$2290, 2157, MATCH($B$3, resultados!$A$1:$ZZ$1, 0))</f>
        <v>#N/A</v>
      </c>
    </row>
    <row r="2164" spans="1:3" x14ac:dyDescent="0.3">
      <c r="A2164" t="e">
        <f>INDEX(resultados!$A$2:$ZZ$2290, 2158, MATCH($B$1, resultados!$A$1:$ZZ$1, 0))</f>
        <v>#N/A</v>
      </c>
      <c r="B2164" t="e">
        <f>INDEX(resultados!$A$2:$ZZ$2290, 2158, MATCH($B$2, resultados!$A$1:$ZZ$1, 0))</f>
        <v>#N/A</v>
      </c>
      <c r="C2164" t="e">
        <f>INDEX(resultados!$A$2:$ZZ$2290, 2158, MATCH($B$3, resultados!$A$1:$ZZ$1, 0))</f>
        <v>#N/A</v>
      </c>
    </row>
    <row r="2165" spans="1:3" x14ac:dyDescent="0.3">
      <c r="A2165" t="e">
        <f>INDEX(resultados!$A$2:$ZZ$2290, 2159, MATCH($B$1, resultados!$A$1:$ZZ$1, 0))</f>
        <v>#N/A</v>
      </c>
      <c r="B2165" t="e">
        <f>INDEX(resultados!$A$2:$ZZ$2290, 2159, MATCH($B$2, resultados!$A$1:$ZZ$1, 0))</f>
        <v>#N/A</v>
      </c>
      <c r="C2165" t="e">
        <f>INDEX(resultados!$A$2:$ZZ$2290, 2159, MATCH($B$3, resultados!$A$1:$ZZ$1, 0))</f>
        <v>#N/A</v>
      </c>
    </row>
    <row r="2166" spans="1:3" x14ac:dyDescent="0.3">
      <c r="A2166" t="e">
        <f>INDEX(resultados!$A$2:$ZZ$2290, 2160, MATCH($B$1, resultados!$A$1:$ZZ$1, 0))</f>
        <v>#N/A</v>
      </c>
      <c r="B2166" t="e">
        <f>INDEX(resultados!$A$2:$ZZ$2290, 2160, MATCH($B$2, resultados!$A$1:$ZZ$1, 0))</f>
        <v>#N/A</v>
      </c>
      <c r="C2166" t="e">
        <f>INDEX(resultados!$A$2:$ZZ$2290, 2160, MATCH($B$3, resultados!$A$1:$ZZ$1, 0))</f>
        <v>#N/A</v>
      </c>
    </row>
    <row r="2167" spans="1:3" x14ac:dyDescent="0.3">
      <c r="A2167" t="e">
        <f>INDEX(resultados!$A$2:$ZZ$2290, 2161, MATCH($B$1, resultados!$A$1:$ZZ$1, 0))</f>
        <v>#N/A</v>
      </c>
      <c r="B2167" t="e">
        <f>INDEX(resultados!$A$2:$ZZ$2290, 2161, MATCH($B$2, resultados!$A$1:$ZZ$1, 0))</f>
        <v>#N/A</v>
      </c>
      <c r="C2167" t="e">
        <f>INDEX(resultados!$A$2:$ZZ$2290, 2161, MATCH($B$3, resultados!$A$1:$ZZ$1, 0))</f>
        <v>#N/A</v>
      </c>
    </row>
    <row r="2168" spans="1:3" x14ac:dyDescent="0.3">
      <c r="A2168" t="e">
        <f>INDEX(resultados!$A$2:$ZZ$2290, 2162, MATCH($B$1, resultados!$A$1:$ZZ$1, 0))</f>
        <v>#N/A</v>
      </c>
      <c r="B2168" t="e">
        <f>INDEX(resultados!$A$2:$ZZ$2290, 2162, MATCH($B$2, resultados!$A$1:$ZZ$1, 0))</f>
        <v>#N/A</v>
      </c>
      <c r="C2168" t="e">
        <f>INDEX(resultados!$A$2:$ZZ$2290, 2162, MATCH($B$3, resultados!$A$1:$ZZ$1, 0))</f>
        <v>#N/A</v>
      </c>
    </row>
    <row r="2169" spans="1:3" x14ac:dyDescent="0.3">
      <c r="A2169" t="e">
        <f>INDEX(resultados!$A$2:$ZZ$2290, 2163, MATCH($B$1, resultados!$A$1:$ZZ$1, 0))</f>
        <v>#N/A</v>
      </c>
      <c r="B2169" t="e">
        <f>INDEX(resultados!$A$2:$ZZ$2290, 2163, MATCH($B$2, resultados!$A$1:$ZZ$1, 0))</f>
        <v>#N/A</v>
      </c>
      <c r="C2169" t="e">
        <f>INDEX(resultados!$A$2:$ZZ$2290, 2163, MATCH($B$3, resultados!$A$1:$ZZ$1, 0))</f>
        <v>#N/A</v>
      </c>
    </row>
    <row r="2170" spans="1:3" x14ac:dyDescent="0.3">
      <c r="A2170" t="e">
        <f>INDEX(resultados!$A$2:$ZZ$2290, 2164, MATCH($B$1, resultados!$A$1:$ZZ$1, 0))</f>
        <v>#N/A</v>
      </c>
      <c r="B2170" t="e">
        <f>INDEX(resultados!$A$2:$ZZ$2290, 2164, MATCH($B$2, resultados!$A$1:$ZZ$1, 0))</f>
        <v>#N/A</v>
      </c>
      <c r="C2170" t="e">
        <f>INDEX(resultados!$A$2:$ZZ$2290, 2164, MATCH($B$3, resultados!$A$1:$ZZ$1, 0))</f>
        <v>#N/A</v>
      </c>
    </row>
    <row r="2171" spans="1:3" x14ac:dyDescent="0.3">
      <c r="A2171" t="e">
        <f>INDEX(resultados!$A$2:$ZZ$2290, 2165, MATCH($B$1, resultados!$A$1:$ZZ$1, 0))</f>
        <v>#N/A</v>
      </c>
      <c r="B2171" t="e">
        <f>INDEX(resultados!$A$2:$ZZ$2290, 2165, MATCH($B$2, resultados!$A$1:$ZZ$1, 0))</f>
        <v>#N/A</v>
      </c>
      <c r="C2171" t="e">
        <f>INDEX(resultados!$A$2:$ZZ$2290, 2165, MATCH($B$3, resultados!$A$1:$ZZ$1, 0))</f>
        <v>#N/A</v>
      </c>
    </row>
    <row r="2172" spans="1:3" x14ac:dyDescent="0.3">
      <c r="A2172" t="e">
        <f>INDEX(resultados!$A$2:$ZZ$2290, 2166, MATCH($B$1, resultados!$A$1:$ZZ$1, 0))</f>
        <v>#N/A</v>
      </c>
      <c r="B2172" t="e">
        <f>INDEX(resultados!$A$2:$ZZ$2290, 2166, MATCH($B$2, resultados!$A$1:$ZZ$1, 0))</f>
        <v>#N/A</v>
      </c>
      <c r="C2172" t="e">
        <f>INDEX(resultados!$A$2:$ZZ$2290, 2166, MATCH($B$3, resultados!$A$1:$ZZ$1, 0))</f>
        <v>#N/A</v>
      </c>
    </row>
    <row r="2173" spans="1:3" x14ac:dyDescent="0.3">
      <c r="A2173" t="e">
        <f>INDEX(resultados!$A$2:$ZZ$2290, 2167, MATCH($B$1, resultados!$A$1:$ZZ$1, 0))</f>
        <v>#N/A</v>
      </c>
      <c r="B2173" t="e">
        <f>INDEX(resultados!$A$2:$ZZ$2290, 2167, MATCH($B$2, resultados!$A$1:$ZZ$1, 0))</f>
        <v>#N/A</v>
      </c>
      <c r="C2173" t="e">
        <f>INDEX(resultados!$A$2:$ZZ$2290, 2167, MATCH($B$3, resultados!$A$1:$ZZ$1, 0))</f>
        <v>#N/A</v>
      </c>
    </row>
    <row r="2174" spans="1:3" x14ac:dyDescent="0.3">
      <c r="A2174" t="e">
        <f>INDEX(resultados!$A$2:$ZZ$2290, 2168, MATCH($B$1, resultados!$A$1:$ZZ$1, 0))</f>
        <v>#N/A</v>
      </c>
      <c r="B2174" t="e">
        <f>INDEX(resultados!$A$2:$ZZ$2290, 2168, MATCH($B$2, resultados!$A$1:$ZZ$1, 0))</f>
        <v>#N/A</v>
      </c>
      <c r="C2174" t="e">
        <f>INDEX(resultados!$A$2:$ZZ$2290, 2168, MATCH($B$3, resultados!$A$1:$ZZ$1, 0))</f>
        <v>#N/A</v>
      </c>
    </row>
    <row r="2175" spans="1:3" x14ac:dyDescent="0.3">
      <c r="A2175" t="e">
        <f>INDEX(resultados!$A$2:$ZZ$2290, 2169, MATCH($B$1, resultados!$A$1:$ZZ$1, 0))</f>
        <v>#N/A</v>
      </c>
      <c r="B2175" t="e">
        <f>INDEX(resultados!$A$2:$ZZ$2290, 2169, MATCH($B$2, resultados!$A$1:$ZZ$1, 0))</f>
        <v>#N/A</v>
      </c>
      <c r="C2175" t="e">
        <f>INDEX(resultados!$A$2:$ZZ$2290, 2169, MATCH($B$3, resultados!$A$1:$ZZ$1, 0))</f>
        <v>#N/A</v>
      </c>
    </row>
    <row r="2176" spans="1:3" x14ac:dyDescent="0.3">
      <c r="A2176" t="e">
        <f>INDEX(resultados!$A$2:$ZZ$2290, 2170, MATCH($B$1, resultados!$A$1:$ZZ$1, 0))</f>
        <v>#N/A</v>
      </c>
      <c r="B2176" t="e">
        <f>INDEX(resultados!$A$2:$ZZ$2290, 2170, MATCH($B$2, resultados!$A$1:$ZZ$1, 0))</f>
        <v>#N/A</v>
      </c>
      <c r="C2176" t="e">
        <f>INDEX(resultados!$A$2:$ZZ$2290, 2170, MATCH($B$3, resultados!$A$1:$ZZ$1, 0))</f>
        <v>#N/A</v>
      </c>
    </row>
    <row r="2177" spans="1:3" x14ac:dyDescent="0.3">
      <c r="A2177" t="e">
        <f>INDEX(resultados!$A$2:$ZZ$2290, 2171, MATCH($B$1, resultados!$A$1:$ZZ$1, 0))</f>
        <v>#N/A</v>
      </c>
      <c r="B2177" t="e">
        <f>INDEX(resultados!$A$2:$ZZ$2290, 2171, MATCH($B$2, resultados!$A$1:$ZZ$1, 0))</f>
        <v>#N/A</v>
      </c>
      <c r="C2177" t="e">
        <f>INDEX(resultados!$A$2:$ZZ$2290, 2171, MATCH($B$3, resultados!$A$1:$ZZ$1, 0))</f>
        <v>#N/A</v>
      </c>
    </row>
    <row r="2178" spans="1:3" x14ac:dyDescent="0.3">
      <c r="A2178" t="e">
        <f>INDEX(resultados!$A$2:$ZZ$2290, 2172, MATCH($B$1, resultados!$A$1:$ZZ$1, 0))</f>
        <v>#N/A</v>
      </c>
      <c r="B2178" t="e">
        <f>INDEX(resultados!$A$2:$ZZ$2290, 2172, MATCH($B$2, resultados!$A$1:$ZZ$1, 0))</f>
        <v>#N/A</v>
      </c>
      <c r="C2178" t="e">
        <f>INDEX(resultados!$A$2:$ZZ$2290, 2172, MATCH($B$3, resultados!$A$1:$ZZ$1, 0))</f>
        <v>#N/A</v>
      </c>
    </row>
    <row r="2179" spans="1:3" x14ac:dyDescent="0.3">
      <c r="A2179" t="e">
        <f>INDEX(resultados!$A$2:$ZZ$2290, 2173, MATCH($B$1, resultados!$A$1:$ZZ$1, 0))</f>
        <v>#N/A</v>
      </c>
      <c r="B2179" t="e">
        <f>INDEX(resultados!$A$2:$ZZ$2290, 2173, MATCH($B$2, resultados!$A$1:$ZZ$1, 0))</f>
        <v>#N/A</v>
      </c>
      <c r="C2179" t="e">
        <f>INDEX(resultados!$A$2:$ZZ$2290, 2173, MATCH($B$3, resultados!$A$1:$ZZ$1, 0))</f>
        <v>#N/A</v>
      </c>
    </row>
    <row r="2180" spans="1:3" x14ac:dyDescent="0.3">
      <c r="A2180" t="e">
        <f>INDEX(resultados!$A$2:$ZZ$2290, 2174, MATCH($B$1, resultados!$A$1:$ZZ$1, 0))</f>
        <v>#N/A</v>
      </c>
      <c r="B2180" t="e">
        <f>INDEX(resultados!$A$2:$ZZ$2290, 2174, MATCH($B$2, resultados!$A$1:$ZZ$1, 0))</f>
        <v>#N/A</v>
      </c>
      <c r="C2180" t="e">
        <f>INDEX(resultados!$A$2:$ZZ$2290, 2174, MATCH($B$3, resultados!$A$1:$ZZ$1, 0))</f>
        <v>#N/A</v>
      </c>
    </row>
    <row r="2181" spans="1:3" x14ac:dyDescent="0.3">
      <c r="A2181" t="e">
        <f>INDEX(resultados!$A$2:$ZZ$2290, 2175, MATCH($B$1, resultados!$A$1:$ZZ$1, 0))</f>
        <v>#N/A</v>
      </c>
      <c r="B2181" t="e">
        <f>INDEX(resultados!$A$2:$ZZ$2290, 2175, MATCH($B$2, resultados!$A$1:$ZZ$1, 0))</f>
        <v>#N/A</v>
      </c>
      <c r="C2181" t="e">
        <f>INDEX(resultados!$A$2:$ZZ$2290, 2175, MATCH($B$3, resultados!$A$1:$ZZ$1, 0))</f>
        <v>#N/A</v>
      </c>
    </row>
    <row r="2182" spans="1:3" x14ac:dyDescent="0.3">
      <c r="A2182" t="e">
        <f>INDEX(resultados!$A$2:$ZZ$2290, 2176, MATCH($B$1, resultados!$A$1:$ZZ$1, 0))</f>
        <v>#N/A</v>
      </c>
      <c r="B2182" t="e">
        <f>INDEX(resultados!$A$2:$ZZ$2290, 2176, MATCH($B$2, resultados!$A$1:$ZZ$1, 0))</f>
        <v>#N/A</v>
      </c>
      <c r="C2182" t="e">
        <f>INDEX(resultados!$A$2:$ZZ$2290, 2176, MATCH($B$3, resultados!$A$1:$ZZ$1, 0))</f>
        <v>#N/A</v>
      </c>
    </row>
    <row r="2183" spans="1:3" x14ac:dyDescent="0.3">
      <c r="A2183" t="e">
        <f>INDEX(resultados!$A$2:$ZZ$2290, 2177, MATCH($B$1, resultados!$A$1:$ZZ$1, 0))</f>
        <v>#N/A</v>
      </c>
      <c r="B2183" t="e">
        <f>INDEX(resultados!$A$2:$ZZ$2290, 2177, MATCH($B$2, resultados!$A$1:$ZZ$1, 0))</f>
        <v>#N/A</v>
      </c>
      <c r="C2183" t="e">
        <f>INDEX(resultados!$A$2:$ZZ$2290, 2177, MATCH($B$3, resultados!$A$1:$ZZ$1, 0))</f>
        <v>#N/A</v>
      </c>
    </row>
    <row r="2184" spans="1:3" x14ac:dyDescent="0.3">
      <c r="A2184" t="e">
        <f>INDEX(resultados!$A$2:$ZZ$2290, 2178, MATCH($B$1, resultados!$A$1:$ZZ$1, 0))</f>
        <v>#N/A</v>
      </c>
      <c r="B2184" t="e">
        <f>INDEX(resultados!$A$2:$ZZ$2290, 2178, MATCH($B$2, resultados!$A$1:$ZZ$1, 0))</f>
        <v>#N/A</v>
      </c>
      <c r="C2184" t="e">
        <f>INDEX(resultados!$A$2:$ZZ$2290, 2178, MATCH($B$3, resultados!$A$1:$ZZ$1, 0))</f>
        <v>#N/A</v>
      </c>
    </row>
    <row r="2185" spans="1:3" x14ac:dyDescent="0.3">
      <c r="A2185" t="e">
        <f>INDEX(resultados!$A$2:$ZZ$2290, 2179, MATCH($B$1, resultados!$A$1:$ZZ$1, 0))</f>
        <v>#N/A</v>
      </c>
      <c r="B2185" t="e">
        <f>INDEX(resultados!$A$2:$ZZ$2290, 2179, MATCH($B$2, resultados!$A$1:$ZZ$1, 0))</f>
        <v>#N/A</v>
      </c>
      <c r="C2185" t="e">
        <f>INDEX(resultados!$A$2:$ZZ$2290, 2179, MATCH($B$3, resultados!$A$1:$ZZ$1, 0))</f>
        <v>#N/A</v>
      </c>
    </row>
    <row r="2186" spans="1:3" x14ac:dyDescent="0.3">
      <c r="A2186" t="e">
        <f>INDEX(resultados!$A$2:$ZZ$2290, 2180, MATCH($B$1, resultados!$A$1:$ZZ$1, 0))</f>
        <v>#N/A</v>
      </c>
      <c r="B2186" t="e">
        <f>INDEX(resultados!$A$2:$ZZ$2290, 2180, MATCH($B$2, resultados!$A$1:$ZZ$1, 0))</f>
        <v>#N/A</v>
      </c>
      <c r="C2186" t="e">
        <f>INDEX(resultados!$A$2:$ZZ$2290, 2180, MATCH($B$3, resultados!$A$1:$ZZ$1, 0))</f>
        <v>#N/A</v>
      </c>
    </row>
    <row r="2187" spans="1:3" x14ac:dyDescent="0.3">
      <c r="A2187" t="e">
        <f>INDEX(resultados!$A$2:$ZZ$2290, 2181, MATCH($B$1, resultados!$A$1:$ZZ$1, 0))</f>
        <v>#N/A</v>
      </c>
      <c r="B2187" t="e">
        <f>INDEX(resultados!$A$2:$ZZ$2290, 2181, MATCH($B$2, resultados!$A$1:$ZZ$1, 0))</f>
        <v>#N/A</v>
      </c>
      <c r="C2187" t="e">
        <f>INDEX(resultados!$A$2:$ZZ$2290, 2181, MATCH($B$3, resultados!$A$1:$ZZ$1, 0))</f>
        <v>#N/A</v>
      </c>
    </row>
    <row r="2188" spans="1:3" x14ac:dyDescent="0.3">
      <c r="A2188" t="e">
        <f>INDEX(resultados!$A$2:$ZZ$2290, 2182, MATCH($B$1, resultados!$A$1:$ZZ$1, 0))</f>
        <v>#N/A</v>
      </c>
      <c r="B2188" t="e">
        <f>INDEX(resultados!$A$2:$ZZ$2290, 2182, MATCH($B$2, resultados!$A$1:$ZZ$1, 0))</f>
        <v>#N/A</v>
      </c>
      <c r="C2188" t="e">
        <f>INDEX(resultados!$A$2:$ZZ$2290, 2182, MATCH($B$3, resultados!$A$1:$ZZ$1, 0))</f>
        <v>#N/A</v>
      </c>
    </row>
    <row r="2189" spans="1:3" x14ac:dyDescent="0.3">
      <c r="A2189" t="e">
        <f>INDEX(resultados!$A$2:$ZZ$2290, 2183, MATCH($B$1, resultados!$A$1:$ZZ$1, 0))</f>
        <v>#N/A</v>
      </c>
      <c r="B2189" t="e">
        <f>INDEX(resultados!$A$2:$ZZ$2290, 2183, MATCH($B$2, resultados!$A$1:$ZZ$1, 0))</f>
        <v>#N/A</v>
      </c>
      <c r="C2189" t="e">
        <f>INDEX(resultados!$A$2:$ZZ$2290, 2183, MATCH($B$3, resultados!$A$1:$ZZ$1, 0))</f>
        <v>#N/A</v>
      </c>
    </row>
    <row r="2190" spans="1:3" x14ac:dyDescent="0.3">
      <c r="A2190" t="e">
        <f>INDEX(resultados!$A$2:$ZZ$2290, 2184, MATCH($B$1, resultados!$A$1:$ZZ$1, 0))</f>
        <v>#N/A</v>
      </c>
      <c r="B2190" t="e">
        <f>INDEX(resultados!$A$2:$ZZ$2290, 2184, MATCH($B$2, resultados!$A$1:$ZZ$1, 0))</f>
        <v>#N/A</v>
      </c>
      <c r="C2190" t="e">
        <f>INDEX(resultados!$A$2:$ZZ$2290, 2184, MATCH($B$3, resultados!$A$1:$ZZ$1, 0))</f>
        <v>#N/A</v>
      </c>
    </row>
    <row r="2191" spans="1:3" x14ac:dyDescent="0.3">
      <c r="A2191" t="e">
        <f>INDEX(resultados!$A$2:$ZZ$2290, 2185, MATCH($B$1, resultados!$A$1:$ZZ$1, 0))</f>
        <v>#N/A</v>
      </c>
      <c r="B2191" t="e">
        <f>INDEX(resultados!$A$2:$ZZ$2290, 2185, MATCH($B$2, resultados!$A$1:$ZZ$1, 0))</f>
        <v>#N/A</v>
      </c>
      <c r="C2191" t="e">
        <f>INDEX(resultados!$A$2:$ZZ$2290, 2185, MATCH($B$3, resultados!$A$1:$ZZ$1, 0))</f>
        <v>#N/A</v>
      </c>
    </row>
    <row r="2192" spans="1:3" x14ac:dyDescent="0.3">
      <c r="A2192" t="e">
        <f>INDEX(resultados!$A$2:$ZZ$2290, 2186, MATCH($B$1, resultados!$A$1:$ZZ$1, 0))</f>
        <v>#N/A</v>
      </c>
      <c r="B2192" t="e">
        <f>INDEX(resultados!$A$2:$ZZ$2290, 2186, MATCH($B$2, resultados!$A$1:$ZZ$1, 0))</f>
        <v>#N/A</v>
      </c>
      <c r="C2192" t="e">
        <f>INDEX(resultados!$A$2:$ZZ$2290, 2186, MATCH($B$3, resultados!$A$1:$ZZ$1, 0))</f>
        <v>#N/A</v>
      </c>
    </row>
    <row r="2193" spans="1:3" x14ac:dyDescent="0.3">
      <c r="A2193" t="e">
        <f>INDEX(resultados!$A$2:$ZZ$2290, 2187, MATCH($B$1, resultados!$A$1:$ZZ$1, 0))</f>
        <v>#N/A</v>
      </c>
      <c r="B2193" t="e">
        <f>INDEX(resultados!$A$2:$ZZ$2290, 2187, MATCH($B$2, resultados!$A$1:$ZZ$1, 0))</f>
        <v>#N/A</v>
      </c>
      <c r="C2193" t="e">
        <f>INDEX(resultados!$A$2:$ZZ$2290, 2187, MATCH($B$3, resultados!$A$1:$ZZ$1, 0))</f>
        <v>#N/A</v>
      </c>
    </row>
    <row r="2194" spans="1:3" x14ac:dyDescent="0.3">
      <c r="A2194" t="e">
        <f>INDEX(resultados!$A$2:$ZZ$2290, 2188, MATCH($B$1, resultados!$A$1:$ZZ$1, 0))</f>
        <v>#N/A</v>
      </c>
      <c r="B2194" t="e">
        <f>INDEX(resultados!$A$2:$ZZ$2290, 2188, MATCH($B$2, resultados!$A$1:$ZZ$1, 0))</f>
        <v>#N/A</v>
      </c>
      <c r="C2194" t="e">
        <f>INDEX(resultados!$A$2:$ZZ$2290, 2188, MATCH($B$3, resultados!$A$1:$ZZ$1, 0))</f>
        <v>#N/A</v>
      </c>
    </row>
    <row r="2195" spans="1:3" x14ac:dyDescent="0.3">
      <c r="A2195" t="e">
        <f>INDEX(resultados!$A$2:$ZZ$2290, 2189, MATCH($B$1, resultados!$A$1:$ZZ$1, 0))</f>
        <v>#N/A</v>
      </c>
      <c r="B2195" t="e">
        <f>INDEX(resultados!$A$2:$ZZ$2290, 2189, MATCH($B$2, resultados!$A$1:$ZZ$1, 0))</f>
        <v>#N/A</v>
      </c>
      <c r="C2195" t="e">
        <f>INDEX(resultados!$A$2:$ZZ$2290, 2189, MATCH($B$3, resultados!$A$1:$ZZ$1, 0))</f>
        <v>#N/A</v>
      </c>
    </row>
    <row r="2196" spans="1:3" x14ac:dyDescent="0.3">
      <c r="A2196" t="e">
        <f>INDEX(resultados!$A$2:$ZZ$2290, 2190, MATCH($B$1, resultados!$A$1:$ZZ$1, 0))</f>
        <v>#N/A</v>
      </c>
      <c r="B2196" t="e">
        <f>INDEX(resultados!$A$2:$ZZ$2290, 2190, MATCH($B$2, resultados!$A$1:$ZZ$1, 0))</f>
        <v>#N/A</v>
      </c>
      <c r="C2196" t="e">
        <f>INDEX(resultados!$A$2:$ZZ$2290, 2190, MATCH($B$3, resultados!$A$1:$ZZ$1, 0))</f>
        <v>#N/A</v>
      </c>
    </row>
    <row r="2197" spans="1:3" x14ac:dyDescent="0.3">
      <c r="A2197" t="e">
        <f>INDEX(resultados!$A$2:$ZZ$2290, 2191, MATCH($B$1, resultados!$A$1:$ZZ$1, 0))</f>
        <v>#N/A</v>
      </c>
      <c r="B2197" t="e">
        <f>INDEX(resultados!$A$2:$ZZ$2290, 2191, MATCH($B$2, resultados!$A$1:$ZZ$1, 0))</f>
        <v>#N/A</v>
      </c>
      <c r="C2197" t="e">
        <f>INDEX(resultados!$A$2:$ZZ$2290, 2191, MATCH($B$3, resultados!$A$1:$ZZ$1, 0))</f>
        <v>#N/A</v>
      </c>
    </row>
    <row r="2198" spans="1:3" x14ac:dyDescent="0.3">
      <c r="A2198" t="e">
        <f>INDEX(resultados!$A$2:$ZZ$2290, 2192, MATCH($B$1, resultados!$A$1:$ZZ$1, 0))</f>
        <v>#N/A</v>
      </c>
      <c r="B2198" t="e">
        <f>INDEX(resultados!$A$2:$ZZ$2290, 2192, MATCH($B$2, resultados!$A$1:$ZZ$1, 0))</f>
        <v>#N/A</v>
      </c>
      <c r="C2198" t="e">
        <f>INDEX(resultados!$A$2:$ZZ$2290, 2192, MATCH($B$3, resultados!$A$1:$ZZ$1, 0))</f>
        <v>#N/A</v>
      </c>
    </row>
    <row r="2199" spans="1:3" x14ac:dyDescent="0.3">
      <c r="A2199" t="e">
        <f>INDEX(resultados!$A$2:$ZZ$2290, 2193, MATCH($B$1, resultados!$A$1:$ZZ$1, 0))</f>
        <v>#N/A</v>
      </c>
      <c r="B2199" t="e">
        <f>INDEX(resultados!$A$2:$ZZ$2290, 2193, MATCH($B$2, resultados!$A$1:$ZZ$1, 0))</f>
        <v>#N/A</v>
      </c>
      <c r="C2199" t="e">
        <f>INDEX(resultados!$A$2:$ZZ$2290, 2193, MATCH($B$3, resultados!$A$1:$ZZ$1, 0))</f>
        <v>#N/A</v>
      </c>
    </row>
    <row r="2200" spans="1:3" x14ac:dyDescent="0.3">
      <c r="A2200" t="e">
        <f>INDEX(resultados!$A$2:$ZZ$2290, 2194, MATCH($B$1, resultados!$A$1:$ZZ$1, 0))</f>
        <v>#N/A</v>
      </c>
      <c r="B2200" t="e">
        <f>INDEX(resultados!$A$2:$ZZ$2290, 2194, MATCH($B$2, resultados!$A$1:$ZZ$1, 0))</f>
        <v>#N/A</v>
      </c>
      <c r="C2200" t="e">
        <f>INDEX(resultados!$A$2:$ZZ$2290, 2194, MATCH($B$3, resultados!$A$1:$ZZ$1, 0))</f>
        <v>#N/A</v>
      </c>
    </row>
    <row r="2201" spans="1:3" x14ac:dyDescent="0.3">
      <c r="A2201" t="e">
        <f>INDEX(resultados!$A$2:$ZZ$2290, 2195, MATCH($B$1, resultados!$A$1:$ZZ$1, 0))</f>
        <v>#N/A</v>
      </c>
      <c r="B2201" t="e">
        <f>INDEX(resultados!$A$2:$ZZ$2290, 2195, MATCH($B$2, resultados!$A$1:$ZZ$1, 0))</f>
        <v>#N/A</v>
      </c>
      <c r="C2201" t="e">
        <f>INDEX(resultados!$A$2:$ZZ$2290, 2195, MATCH($B$3, resultados!$A$1:$ZZ$1, 0))</f>
        <v>#N/A</v>
      </c>
    </row>
    <row r="2202" spans="1:3" x14ac:dyDescent="0.3">
      <c r="A2202" t="e">
        <f>INDEX(resultados!$A$2:$ZZ$2290, 2196, MATCH($B$1, resultados!$A$1:$ZZ$1, 0))</f>
        <v>#N/A</v>
      </c>
      <c r="B2202" t="e">
        <f>INDEX(resultados!$A$2:$ZZ$2290, 2196, MATCH($B$2, resultados!$A$1:$ZZ$1, 0))</f>
        <v>#N/A</v>
      </c>
      <c r="C2202" t="e">
        <f>INDEX(resultados!$A$2:$ZZ$2290, 2196, MATCH($B$3, resultados!$A$1:$ZZ$1, 0))</f>
        <v>#N/A</v>
      </c>
    </row>
    <row r="2203" spans="1:3" x14ac:dyDescent="0.3">
      <c r="A2203" t="e">
        <f>INDEX(resultados!$A$2:$ZZ$2290, 2197, MATCH($B$1, resultados!$A$1:$ZZ$1, 0))</f>
        <v>#N/A</v>
      </c>
      <c r="B2203" t="e">
        <f>INDEX(resultados!$A$2:$ZZ$2290, 2197, MATCH($B$2, resultados!$A$1:$ZZ$1, 0))</f>
        <v>#N/A</v>
      </c>
      <c r="C2203" t="e">
        <f>INDEX(resultados!$A$2:$ZZ$2290, 2197, MATCH($B$3, resultados!$A$1:$ZZ$1, 0))</f>
        <v>#N/A</v>
      </c>
    </row>
    <row r="2204" spans="1:3" x14ac:dyDescent="0.3">
      <c r="A2204" t="e">
        <f>INDEX(resultados!$A$2:$ZZ$2290, 2198, MATCH($B$1, resultados!$A$1:$ZZ$1, 0))</f>
        <v>#N/A</v>
      </c>
      <c r="B2204" t="e">
        <f>INDEX(resultados!$A$2:$ZZ$2290, 2198, MATCH($B$2, resultados!$A$1:$ZZ$1, 0))</f>
        <v>#N/A</v>
      </c>
      <c r="C2204" t="e">
        <f>INDEX(resultados!$A$2:$ZZ$2290, 2198, MATCH($B$3, resultados!$A$1:$ZZ$1, 0))</f>
        <v>#N/A</v>
      </c>
    </row>
    <row r="2205" spans="1:3" x14ac:dyDescent="0.3">
      <c r="A2205" t="e">
        <f>INDEX(resultados!$A$2:$ZZ$2290, 2199, MATCH($B$1, resultados!$A$1:$ZZ$1, 0))</f>
        <v>#N/A</v>
      </c>
      <c r="B2205" t="e">
        <f>INDEX(resultados!$A$2:$ZZ$2290, 2199, MATCH($B$2, resultados!$A$1:$ZZ$1, 0))</f>
        <v>#N/A</v>
      </c>
      <c r="C2205" t="e">
        <f>INDEX(resultados!$A$2:$ZZ$2290, 2199, MATCH($B$3, resultados!$A$1:$ZZ$1, 0))</f>
        <v>#N/A</v>
      </c>
    </row>
    <row r="2206" spans="1:3" x14ac:dyDescent="0.3">
      <c r="A2206" t="e">
        <f>INDEX(resultados!$A$2:$ZZ$2290, 2200, MATCH($B$1, resultados!$A$1:$ZZ$1, 0))</f>
        <v>#N/A</v>
      </c>
      <c r="B2206" t="e">
        <f>INDEX(resultados!$A$2:$ZZ$2290, 2200, MATCH($B$2, resultados!$A$1:$ZZ$1, 0))</f>
        <v>#N/A</v>
      </c>
      <c r="C2206" t="e">
        <f>INDEX(resultados!$A$2:$ZZ$2290, 2200, MATCH($B$3, resultados!$A$1:$ZZ$1, 0))</f>
        <v>#N/A</v>
      </c>
    </row>
    <row r="2207" spans="1:3" x14ac:dyDescent="0.3">
      <c r="A2207" t="e">
        <f>INDEX(resultados!$A$2:$ZZ$2290, 2201, MATCH($B$1, resultados!$A$1:$ZZ$1, 0))</f>
        <v>#N/A</v>
      </c>
      <c r="B2207" t="e">
        <f>INDEX(resultados!$A$2:$ZZ$2290, 2201, MATCH($B$2, resultados!$A$1:$ZZ$1, 0))</f>
        <v>#N/A</v>
      </c>
      <c r="C2207" t="e">
        <f>INDEX(resultados!$A$2:$ZZ$2290, 2201, MATCH($B$3, resultados!$A$1:$ZZ$1, 0))</f>
        <v>#N/A</v>
      </c>
    </row>
    <row r="2208" spans="1:3" x14ac:dyDescent="0.3">
      <c r="A2208" t="e">
        <f>INDEX(resultados!$A$2:$ZZ$2290, 2202, MATCH($B$1, resultados!$A$1:$ZZ$1, 0))</f>
        <v>#N/A</v>
      </c>
      <c r="B2208" t="e">
        <f>INDEX(resultados!$A$2:$ZZ$2290, 2202, MATCH($B$2, resultados!$A$1:$ZZ$1, 0))</f>
        <v>#N/A</v>
      </c>
      <c r="C2208" t="e">
        <f>INDEX(resultados!$A$2:$ZZ$2290, 2202, MATCH($B$3, resultados!$A$1:$ZZ$1, 0))</f>
        <v>#N/A</v>
      </c>
    </row>
    <row r="2209" spans="1:3" x14ac:dyDescent="0.3">
      <c r="A2209" t="e">
        <f>INDEX(resultados!$A$2:$ZZ$2290, 2203, MATCH($B$1, resultados!$A$1:$ZZ$1, 0))</f>
        <v>#N/A</v>
      </c>
      <c r="B2209" t="e">
        <f>INDEX(resultados!$A$2:$ZZ$2290, 2203, MATCH($B$2, resultados!$A$1:$ZZ$1, 0))</f>
        <v>#N/A</v>
      </c>
      <c r="C2209" t="e">
        <f>INDEX(resultados!$A$2:$ZZ$2290, 2203, MATCH($B$3, resultados!$A$1:$ZZ$1, 0))</f>
        <v>#N/A</v>
      </c>
    </row>
    <row r="2210" spans="1:3" x14ac:dyDescent="0.3">
      <c r="A2210" t="e">
        <f>INDEX(resultados!$A$2:$ZZ$2290, 2204, MATCH($B$1, resultados!$A$1:$ZZ$1, 0))</f>
        <v>#N/A</v>
      </c>
      <c r="B2210" t="e">
        <f>INDEX(resultados!$A$2:$ZZ$2290, 2204, MATCH($B$2, resultados!$A$1:$ZZ$1, 0))</f>
        <v>#N/A</v>
      </c>
      <c r="C2210" t="e">
        <f>INDEX(resultados!$A$2:$ZZ$2290, 2204, MATCH($B$3, resultados!$A$1:$ZZ$1, 0))</f>
        <v>#N/A</v>
      </c>
    </row>
    <row r="2211" spans="1:3" x14ac:dyDescent="0.3">
      <c r="A2211" t="e">
        <f>INDEX(resultados!$A$2:$ZZ$2290, 2205, MATCH($B$1, resultados!$A$1:$ZZ$1, 0))</f>
        <v>#N/A</v>
      </c>
      <c r="B2211" t="e">
        <f>INDEX(resultados!$A$2:$ZZ$2290, 2205, MATCH($B$2, resultados!$A$1:$ZZ$1, 0))</f>
        <v>#N/A</v>
      </c>
      <c r="C2211" t="e">
        <f>INDEX(resultados!$A$2:$ZZ$2290, 2205, MATCH($B$3, resultados!$A$1:$ZZ$1, 0))</f>
        <v>#N/A</v>
      </c>
    </row>
    <row r="2212" spans="1:3" x14ac:dyDescent="0.3">
      <c r="A2212" t="e">
        <f>INDEX(resultados!$A$2:$ZZ$2290, 2206, MATCH($B$1, resultados!$A$1:$ZZ$1, 0))</f>
        <v>#N/A</v>
      </c>
      <c r="B2212" t="e">
        <f>INDEX(resultados!$A$2:$ZZ$2290, 2206, MATCH($B$2, resultados!$A$1:$ZZ$1, 0))</f>
        <v>#N/A</v>
      </c>
      <c r="C2212" t="e">
        <f>INDEX(resultados!$A$2:$ZZ$2290, 2206, MATCH($B$3, resultados!$A$1:$ZZ$1, 0))</f>
        <v>#N/A</v>
      </c>
    </row>
    <row r="2213" spans="1:3" x14ac:dyDescent="0.3">
      <c r="A2213" t="e">
        <f>INDEX(resultados!$A$2:$ZZ$2290, 2207, MATCH($B$1, resultados!$A$1:$ZZ$1, 0))</f>
        <v>#N/A</v>
      </c>
      <c r="B2213" t="e">
        <f>INDEX(resultados!$A$2:$ZZ$2290, 2207, MATCH($B$2, resultados!$A$1:$ZZ$1, 0))</f>
        <v>#N/A</v>
      </c>
      <c r="C2213" t="e">
        <f>INDEX(resultados!$A$2:$ZZ$2290, 2207, MATCH($B$3, resultados!$A$1:$ZZ$1, 0))</f>
        <v>#N/A</v>
      </c>
    </row>
    <row r="2214" spans="1:3" x14ac:dyDescent="0.3">
      <c r="A2214" t="e">
        <f>INDEX(resultados!$A$2:$ZZ$2290, 2208, MATCH($B$1, resultados!$A$1:$ZZ$1, 0))</f>
        <v>#N/A</v>
      </c>
      <c r="B2214" t="e">
        <f>INDEX(resultados!$A$2:$ZZ$2290, 2208, MATCH($B$2, resultados!$A$1:$ZZ$1, 0))</f>
        <v>#N/A</v>
      </c>
      <c r="C2214" t="e">
        <f>INDEX(resultados!$A$2:$ZZ$2290, 2208, MATCH($B$3, resultados!$A$1:$ZZ$1, 0))</f>
        <v>#N/A</v>
      </c>
    </row>
    <row r="2215" spans="1:3" x14ac:dyDescent="0.3">
      <c r="A2215" t="e">
        <f>INDEX(resultados!$A$2:$ZZ$2290, 2209, MATCH($B$1, resultados!$A$1:$ZZ$1, 0))</f>
        <v>#N/A</v>
      </c>
      <c r="B2215" t="e">
        <f>INDEX(resultados!$A$2:$ZZ$2290, 2209, MATCH($B$2, resultados!$A$1:$ZZ$1, 0))</f>
        <v>#N/A</v>
      </c>
      <c r="C2215" t="e">
        <f>INDEX(resultados!$A$2:$ZZ$2290, 2209, MATCH($B$3, resultados!$A$1:$ZZ$1, 0))</f>
        <v>#N/A</v>
      </c>
    </row>
    <row r="2216" spans="1:3" x14ac:dyDescent="0.3">
      <c r="A2216" t="e">
        <f>INDEX(resultados!$A$2:$ZZ$2290, 2210, MATCH($B$1, resultados!$A$1:$ZZ$1, 0))</f>
        <v>#N/A</v>
      </c>
      <c r="B2216" t="e">
        <f>INDEX(resultados!$A$2:$ZZ$2290, 2210, MATCH($B$2, resultados!$A$1:$ZZ$1, 0))</f>
        <v>#N/A</v>
      </c>
      <c r="C2216" t="e">
        <f>INDEX(resultados!$A$2:$ZZ$2290, 2210, MATCH($B$3, resultados!$A$1:$ZZ$1, 0))</f>
        <v>#N/A</v>
      </c>
    </row>
    <row r="2217" spans="1:3" x14ac:dyDescent="0.3">
      <c r="A2217" t="e">
        <f>INDEX(resultados!$A$2:$ZZ$2290, 2211, MATCH($B$1, resultados!$A$1:$ZZ$1, 0))</f>
        <v>#N/A</v>
      </c>
      <c r="B2217" t="e">
        <f>INDEX(resultados!$A$2:$ZZ$2290, 2211, MATCH($B$2, resultados!$A$1:$ZZ$1, 0))</f>
        <v>#N/A</v>
      </c>
      <c r="C2217" t="e">
        <f>INDEX(resultados!$A$2:$ZZ$2290, 2211, MATCH($B$3, resultados!$A$1:$ZZ$1, 0))</f>
        <v>#N/A</v>
      </c>
    </row>
    <row r="2218" spans="1:3" x14ac:dyDescent="0.3">
      <c r="A2218" t="e">
        <f>INDEX(resultados!$A$2:$ZZ$2290, 2212, MATCH($B$1, resultados!$A$1:$ZZ$1, 0))</f>
        <v>#N/A</v>
      </c>
      <c r="B2218" t="e">
        <f>INDEX(resultados!$A$2:$ZZ$2290, 2212, MATCH($B$2, resultados!$A$1:$ZZ$1, 0))</f>
        <v>#N/A</v>
      </c>
      <c r="C2218" t="e">
        <f>INDEX(resultados!$A$2:$ZZ$2290, 2212, MATCH($B$3, resultados!$A$1:$ZZ$1, 0))</f>
        <v>#N/A</v>
      </c>
    </row>
    <row r="2219" spans="1:3" x14ac:dyDescent="0.3">
      <c r="A2219" t="e">
        <f>INDEX(resultados!$A$2:$ZZ$2290, 2213, MATCH($B$1, resultados!$A$1:$ZZ$1, 0))</f>
        <v>#N/A</v>
      </c>
      <c r="B2219" t="e">
        <f>INDEX(resultados!$A$2:$ZZ$2290, 2213, MATCH($B$2, resultados!$A$1:$ZZ$1, 0))</f>
        <v>#N/A</v>
      </c>
      <c r="C2219" t="e">
        <f>INDEX(resultados!$A$2:$ZZ$2290, 2213, MATCH($B$3, resultados!$A$1:$ZZ$1, 0))</f>
        <v>#N/A</v>
      </c>
    </row>
    <row r="2220" spans="1:3" x14ac:dyDescent="0.3">
      <c r="A2220" t="e">
        <f>INDEX(resultados!$A$2:$ZZ$2290, 2214, MATCH($B$1, resultados!$A$1:$ZZ$1, 0))</f>
        <v>#N/A</v>
      </c>
      <c r="B2220" t="e">
        <f>INDEX(resultados!$A$2:$ZZ$2290, 2214, MATCH($B$2, resultados!$A$1:$ZZ$1, 0))</f>
        <v>#N/A</v>
      </c>
      <c r="C2220" t="e">
        <f>INDEX(resultados!$A$2:$ZZ$2290, 2214, MATCH($B$3, resultados!$A$1:$ZZ$1, 0))</f>
        <v>#N/A</v>
      </c>
    </row>
    <row r="2221" spans="1:3" x14ac:dyDescent="0.3">
      <c r="A2221" t="e">
        <f>INDEX(resultados!$A$2:$ZZ$2290, 2215, MATCH($B$1, resultados!$A$1:$ZZ$1, 0))</f>
        <v>#N/A</v>
      </c>
      <c r="B2221" t="e">
        <f>INDEX(resultados!$A$2:$ZZ$2290, 2215, MATCH($B$2, resultados!$A$1:$ZZ$1, 0))</f>
        <v>#N/A</v>
      </c>
      <c r="C2221" t="e">
        <f>INDEX(resultados!$A$2:$ZZ$2290, 2215, MATCH($B$3, resultados!$A$1:$ZZ$1, 0))</f>
        <v>#N/A</v>
      </c>
    </row>
    <row r="2222" spans="1:3" x14ac:dyDescent="0.3">
      <c r="A2222" t="e">
        <f>INDEX(resultados!$A$2:$ZZ$2290, 2216, MATCH($B$1, resultados!$A$1:$ZZ$1, 0))</f>
        <v>#N/A</v>
      </c>
      <c r="B2222" t="e">
        <f>INDEX(resultados!$A$2:$ZZ$2290, 2216, MATCH($B$2, resultados!$A$1:$ZZ$1, 0))</f>
        <v>#N/A</v>
      </c>
      <c r="C2222" t="e">
        <f>INDEX(resultados!$A$2:$ZZ$2290, 2216, MATCH($B$3, resultados!$A$1:$ZZ$1, 0))</f>
        <v>#N/A</v>
      </c>
    </row>
    <row r="2223" spans="1:3" x14ac:dyDescent="0.3">
      <c r="A2223" t="e">
        <f>INDEX(resultados!$A$2:$ZZ$2290, 2217, MATCH($B$1, resultados!$A$1:$ZZ$1, 0))</f>
        <v>#N/A</v>
      </c>
      <c r="B2223" t="e">
        <f>INDEX(resultados!$A$2:$ZZ$2290, 2217, MATCH($B$2, resultados!$A$1:$ZZ$1, 0))</f>
        <v>#N/A</v>
      </c>
      <c r="C2223" t="e">
        <f>INDEX(resultados!$A$2:$ZZ$2290, 2217, MATCH($B$3, resultados!$A$1:$ZZ$1, 0))</f>
        <v>#N/A</v>
      </c>
    </row>
    <row r="2224" spans="1:3" x14ac:dyDescent="0.3">
      <c r="A2224" t="e">
        <f>INDEX(resultados!$A$2:$ZZ$2290, 2218, MATCH($B$1, resultados!$A$1:$ZZ$1, 0))</f>
        <v>#N/A</v>
      </c>
      <c r="B2224" t="e">
        <f>INDEX(resultados!$A$2:$ZZ$2290, 2218, MATCH($B$2, resultados!$A$1:$ZZ$1, 0))</f>
        <v>#N/A</v>
      </c>
      <c r="C2224" t="e">
        <f>INDEX(resultados!$A$2:$ZZ$2290, 2218, MATCH($B$3, resultados!$A$1:$ZZ$1, 0))</f>
        <v>#N/A</v>
      </c>
    </row>
    <row r="2225" spans="1:3" x14ac:dyDescent="0.3">
      <c r="A2225" t="e">
        <f>INDEX(resultados!$A$2:$ZZ$2290, 2219, MATCH($B$1, resultados!$A$1:$ZZ$1, 0))</f>
        <v>#N/A</v>
      </c>
      <c r="B2225" t="e">
        <f>INDEX(resultados!$A$2:$ZZ$2290, 2219, MATCH($B$2, resultados!$A$1:$ZZ$1, 0))</f>
        <v>#N/A</v>
      </c>
      <c r="C2225" t="e">
        <f>INDEX(resultados!$A$2:$ZZ$2290, 2219, MATCH($B$3, resultados!$A$1:$ZZ$1, 0))</f>
        <v>#N/A</v>
      </c>
    </row>
    <row r="2226" spans="1:3" x14ac:dyDescent="0.3">
      <c r="A2226" t="e">
        <f>INDEX(resultados!$A$2:$ZZ$2290, 2220, MATCH($B$1, resultados!$A$1:$ZZ$1, 0))</f>
        <v>#N/A</v>
      </c>
      <c r="B2226" t="e">
        <f>INDEX(resultados!$A$2:$ZZ$2290, 2220, MATCH($B$2, resultados!$A$1:$ZZ$1, 0))</f>
        <v>#N/A</v>
      </c>
      <c r="C2226" t="e">
        <f>INDEX(resultados!$A$2:$ZZ$2290, 2220, MATCH($B$3, resultados!$A$1:$ZZ$1, 0))</f>
        <v>#N/A</v>
      </c>
    </row>
    <row r="2227" spans="1:3" x14ac:dyDescent="0.3">
      <c r="A2227" t="e">
        <f>INDEX(resultados!$A$2:$ZZ$2290, 2221, MATCH($B$1, resultados!$A$1:$ZZ$1, 0))</f>
        <v>#N/A</v>
      </c>
      <c r="B2227" t="e">
        <f>INDEX(resultados!$A$2:$ZZ$2290, 2221, MATCH($B$2, resultados!$A$1:$ZZ$1, 0))</f>
        <v>#N/A</v>
      </c>
      <c r="C2227" t="e">
        <f>INDEX(resultados!$A$2:$ZZ$2290, 2221, MATCH($B$3, resultados!$A$1:$ZZ$1, 0))</f>
        <v>#N/A</v>
      </c>
    </row>
    <row r="2228" spans="1:3" x14ac:dyDescent="0.3">
      <c r="A2228" t="e">
        <f>INDEX(resultados!$A$2:$ZZ$2290, 2222, MATCH($B$1, resultados!$A$1:$ZZ$1, 0))</f>
        <v>#N/A</v>
      </c>
      <c r="B2228" t="e">
        <f>INDEX(resultados!$A$2:$ZZ$2290, 2222, MATCH($B$2, resultados!$A$1:$ZZ$1, 0))</f>
        <v>#N/A</v>
      </c>
      <c r="C2228" t="e">
        <f>INDEX(resultados!$A$2:$ZZ$2290, 2222, MATCH($B$3, resultados!$A$1:$ZZ$1, 0))</f>
        <v>#N/A</v>
      </c>
    </row>
    <row r="2229" spans="1:3" x14ac:dyDescent="0.3">
      <c r="A2229" t="e">
        <f>INDEX(resultados!$A$2:$ZZ$2290, 2223, MATCH($B$1, resultados!$A$1:$ZZ$1, 0))</f>
        <v>#N/A</v>
      </c>
      <c r="B2229" t="e">
        <f>INDEX(resultados!$A$2:$ZZ$2290, 2223, MATCH($B$2, resultados!$A$1:$ZZ$1, 0))</f>
        <v>#N/A</v>
      </c>
      <c r="C2229" t="e">
        <f>INDEX(resultados!$A$2:$ZZ$2290, 2223, MATCH($B$3, resultados!$A$1:$ZZ$1, 0))</f>
        <v>#N/A</v>
      </c>
    </row>
    <row r="2230" spans="1:3" x14ac:dyDescent="0.3">
      <c r="A2230" t="e">
        <f>INDEX(resultados!$A$2:$ZZ$2290, 2224, MATCH($B$1, resultados!$A$1:$ZZ$1, 0))</f>
        <v>#N/A</v>
      </c>
      <c r="B2230" t="e">
        <f>INDEX(resultados!$A$2:$ZZ$2290, 2224, MATCH($B$2, resultados!$A$1:$ZZ$1, 0))</f>
        <v>#N/A</v>
      </c>
      <c r="C2230" t="e">
        <f>INDEX(resultados!$A$2:$ZZ$2290, 2224, MATCH($B$3, resultados!$A$1:$ZZ$1, 0))</f>
        <v>#N/A</v>
      </c>
    </row>
    <row r="2231" spans="1:3" x14ac:dyDescent="0.3">
      <c r="A2231" t="e">
        <f>INDEX(resultados!$A$2:$ZZ$2290, 2225, MATCH($B$1, resultados!$A$1:$ZZ$1, 0))</f>
        <v>#N/A</v>
      </c>
      <c r="B2231" t="e">
        <f>INDEX(resultados!$A$2:$ZZ$2290, 2225, MATCH($B$2, resultados!$A$1:$ZZ$1, 0))</f>
        <v>#N/A</v>
      </c>
      <c r="C2231" t="e">
        <f>INDEX(resultados!$A$2:$ZZ$2290, 2225, MATCH($B$3, resultados!$A$1:$ZZ$1, 0))</f>
        <v>#N/A</v>
      </c>
    </row>
    <row r="2232" spans="1:3" x14ac:dyDescent="0.3">
      <c r="A2232" t="e">
        <f>INDEX(resultados!$A$2:$ZZ$2290, 2226, MATCH($B$1, resultados!$A$1:$ZZ$1, 0))</f>
        <v>#N/A</v>
      </c>
      <c r="B2232" t="e">
        <f>INDEX(resultados!$A$2:$ZZ$2290, 2226, MATCH($B$2, resultados!$A$1:$ZZ$1, 0))</f>
        <v>#N/A</v>
      </c>
      <c r="C2232" t="e">
        <f>INDEX(resultados!$A$2:$ZZ$2290, 2226, MATCH($B$3, resultados!$A$1:$ZZ$1, 0))</f>
        <v>#N/A</v>
      </c>
    </row>
    <row r="2233" spans="1:3" x14ac:dyDescent="0.3">
      <c r="A2233" t="e">
        <f>INDEX(resultados!$A$2:$ZZ$2290, 2227, MATCH($B$1, resultados!$A$1:$ZZ$1, 0))</f>
        <v>#N/A</v>
      </c>
      <c r="B2233" t="e">
        <f>INDEX(resultados!$A$2:$ZZ$2290, 2227, MATCH($B$2, resultados!$A$1:$ZZ$1, 0))</f>
        <v>#N/A</v>
      </c>
      <c r="C2233" t="e">
        <f>INDEX(resultados!$A$2:$ZZ$2290, 2227, MATCH($B$3, resultados!$A$1:$ZZ$1, 0))</f>
        <v>#N/A</v>
      </c>
    </row>
    <row r="2234" spans="1:3" x14ac:dyDescent="0.3">
      <c r="A2234" t="e">
        <f>INDEX(resultados!$A$2:$ZZ$2290, 2228, MATCH($B$1, resultados!$A$1:$ZZ$1, 0))</f>
        <v>#N/A</v>
      </c>
      <c r="B2234" t="e">
        <f>INDEX(resultados!$A$2:$ZZ$2290, 2228, MATCH($B$2, resultados!$A$1:$ZZ$1, 0))</f>
        <v>#N/A</v>
      </c>
      <c r="C2234" t="e">
        <f>INDEX(resultados!$A$2:$ZZ$2290, 2228, MATCH($B$3, resultados!$A$1:$ZZ$1, 0))</f>
        <v>#N/A</v>
      </c>
    </row>
    <row r="2235" spans="1:3" x14ac:dyDescent="0.3">
      <c r="A2235" t="e">
        <f>INDEX(resultados!$A$2:$ZZ$2290, 2229, MATCH($B$1, resultados!$A$1:$ZZ$1, 0))</f>
        <v>#N/A</v>
      </c>
      <c r="B2235" t="e">
        <f>INDEX(resultados!$A$2:$ZZ$2290, 2229, MATCH($B$2, resultados!$A$1:$ZZ$1, 0))</f>
        <v>#N/A</v>
      </c>
      <c r="C2235" t="e">
        <f>INDEX(resultados!$A$2:$ZZ$2290, 2229, MATCH($B$3, resultados!$A$1:$ZZ$1, 0))</f>
        <v>#N/A</v>
      </c>
    </row>
    <row r="2236" spans="1:3" x14ac:dyDescent="0.3">
      <c r="A2236" t="e">
        <f>INDEX(resultados!$A$2:$ZZ$2290, 2230, MATCH($B$1, resultados!$A$1:$ZZ$1, 0))</f>
        <v>#N/A</v>
      </c>
      <c r="B2236" t="e">
        <f>INDEX(resultados!$A$2:$ZZ$2290, 2230, MATCH($B$2, resultados!$A$1:$ZZ$1, 0))</f>
        <v>#N/A</v>
      </c>
      <c r="C2236" t="e">
        <f>INDEX(resultados!$A$2:$ZZ$2290, 2230, MATCH($B$3, resultados!$A$1:$ZZ$1, 0))</f>
        <v>#N/A</v>
      </c>
    </row>
    <row r="2237" spans="1:3" x14ac:dyDescent="0.3">
      <c r="A2237" t="e">
        <f>INDEX(resultados!$A$2:$ZZ$2290, 2231, MATCH($B$1, resultados!$A$1:$ZZ$1, 0))</f>
        <v>#N/A</v>
      </c>
      <c r="B2237" t="e">
        <f>INDEX(resultados!$A$2:$ZZ$2290, 2231, MATCH($B$2, resultados!$A$1:$ZZ$1, 0))</f>
        <v>#N/A</v>
      </c>
      <c r="C2237" t="e">
        <f>INDEX(resultados!$A$2:$ZZ$2290, 2231, MATCH($B$3, resultados!$A$1:$ZZ$1, 0))</f>
        <v>#N/A</v>
      </c>
    </row>
    <row r="2238" spans="1:3" x14ac:dyDescent="0.3">
      <c r="A2238" t="e">
        <f>INDEX(resultados!$A$2:$ZZ$2290, 2232, MATCH($B$1, resultados!$A$1:$ZZ$1, 0))</f>
        <v>#N/A</v>
      </c>
      <c r="B2238" t="e">
        <f>INDEX(resultados!$A$2:$ZZ$2290, 2232, MATCH($B$2, resultados!$A$1:$ZZ$1, 0))</f>
        <v>#N/A</v>
      </c>
      <c r="C2238" t="e">
        <f>INDEX(resultados!$A$2:$ZZ$2290, 2232, MATCH($B$3, resultados!$A$1:$ZZ$1, 0))</f>
        <v>#N/A</v>
      </c>
    </row>
    <row r="2239" spans="1:3" x14ac:dyDescent="0.3">
      <c r="A2239" t="e">
        <f>INDEX(resultados!$A$2:$ZZ$2290, 2233, MATCH($B$1, resultados!$A$1:$ZZ$1, 0))</f>
        <v>#N/A</v>
      </c>
      <c r="B2239" t="e">
        <f>INDEX(resultados!$A$2:$ZZ$2290, 2233, MATCH($B$2, resultados!$A$1:$ZZ$1, 0))</f>
        <v>#N/A</v>
      </c>
      <c r="C2239" t="e">
        <f>INDEX(resultados!$A$2:$ZZ$2290, 2233, MATCH($B$3, resultados!$A$1:$ZZ$1, 0))</f>
        <v>#N/A</v>
      </c>
    </row>
    <row r="2240" spans="1:3" x14ac:dyDescent="0.3">
      <c r="A2240" t="e">
        <f>INDEX(resultados!$A$2:$ZZ$2290, 2234, MATCH($B$1, resultados!$A$1:$ZZ$1, 0))</f>
        <v>#N/A</v>
      </c>
      <c r="B2240" t="e">
        <f>INDEX(resultados!$A$2:$ZZ$2290, 2234, MATCH($B$2, resultados!$A$1:$ZZ$1, 0))</f>
        <v>#N/A</v>
      </c>
      <c r="C2240" t="e">
        <f>INDEX(resultados!$A$2:$ZZ$2290, 2234, MATCH($B$3, resultados!$A$1:$ZZ$1, 0))</f>
        <v>#N/A</v>
      </c>
    </row>
    <row r="2241" spans="1:3" x14ac:dyDescent="0.3">
      <c r="A2241" t="e">
        <f>INDEX(resultados!$A$2:$ZZ$2290, 2235, MATCH($B$1, resultados!$A$1:$ZZ$1, 0))</f>
        <v>#N/A</v>
      </c>
      <c r="B2241" t="e">
        <f>INDEX(resultados!$A$2:$ZZ$2290, 2235, MATCH($B$2, resultados!$A$1:$ZZ$1, 0))</f>
        <v>#N/A</v>
      </c>
      <c r="C2241" t="e">
        <f>INDEX(resultados!$A$2:$ZZ$2290, 2235, MATCH($B$3, resultados!$A$1:$ZZ$1, 0))</f>
        <v>#N/A</v>
      </c>
    </row>
    <row r="2242" spans="1:3" x14ac:dyDescent="0.3">
      <c r="A2242" t="e">
        <f>INDEX(resultados!$A$2:$ZZ$2290, 2236, MATCH($B$1, resultados!$A$1:$ZZ$1, 0))</f>
        <v>#N/A</v>
      </c>
      <c r="B2242" t="e">
        <f>INDEX(resultados!$A$2:$ZZ$2290, 2236, MATCH($B$2, resultados!$A$1:$ZZ$1, 0))</f>
        <v>#N/A</v>
      </c>
      <c r="C2242" t="e">
        <f>INDEX(resultados!$A$2:$ZZ$2290, 2236, MATCH($B$3, resultados!$A$1:$ZZ$1, 0))</f>
        <v>#N/A</v>
      </c>
    </row>
    <row r="2243" spans="1:3" x14ac:dyDescent="0.3">
      <c r="A2243" t="e">
        <f>INDEX(resultados!$A$2:$ZZ$2290, 2237, MATCH($B$1, resultados!$A$1:$ZZ$1, 0))</f>
        <v>#N/A</v>
      </c>
      <c r="B2243" t="e">
        <f>INDEX(resultados!$A$2:$ZZ$2290, 2237, MATCH($B$2, resultados!$A$1:$ZZ$1, 0))</f>
        <v>#N/A</v>
      </c>
      <c r="C2243" t="e">
        <f>INDEX(resultados!$A$2:$ZZ$2290, 2237, MATCH($B$3, resultados!$A$1:$ZZ$1, 0))</f>
        <v>#N/A</v>
      </c>
    </row>
    <row r="2244" spans="1:3" x14ac:dyDescent="0.3">
      <c r="A2244" t="e">
        <f>INDEX(resultados!$A$2:$ZZ$2290, 2238, MATCH($B$1, resultados!$A$1:$ZZ$1, 0))</f>
        <v>#N/A</v>
      </c>
      <c r="B2244" t="e">
        <f>INDEX(resultados!$A$2:$ZZ$2290, 2238, MATCH($B$2, resultados!$A$1:$ZZ$1, 0))</f>
        <v>#N/A</v>
      </c>
      <c r="C2244" t="e">
        <f>INDEX(resultados!$A$2:$ZZ$2290, 2238, MATCH($B$3, resultados!$A$1:$ZZ$1, 0))</f>
        <v>#N/A</v>
      </c>
    </row>
    <row r="2245" spans="1:3" x14ac:dyDescent="0.3">
      <c r="A2245" t="e">
        <f>INDEX(resultados!$A$2:$ZZ$2290, 2239, MATCH($B$1, resultados!$A$1:$ZZ$1, 0))</f>
        <v>#N/A</v>
      </c>
      <c r="B2245" t="e">
        <f>INDEX(resultados!$A$2:$ZZ$2290, 2239, MATCH($B$2, resultados!$A$1:$ZZ$1, 0))</f>
        <v>#N/A</v>
      </c>
      <c r="C2245" t="e">
        <f>INDEX(resultados!$A$2:$ZZ$2290, 2239, MATCH($B$3, resultados!$A$1:$ZZ$1, 0))</f>
        <v>#N/A</v>
      </c>
    </row>
    <row r="2246" spans="1:3" x14ac:dyDescent="0.3">
      <c r="A2246" t="e">
        <f>INDEX(resultados!$A$2:$ZZ$2290, 2240, MATCH($B$1, resultados!$A$1:$ZZ$1, 0))</f>
        <v>#N/A</v>
      </c>
      <c r="B2246" t="e">
        <f>INDEX(resultados!$A$2:$ZZ$2290, 2240, MATCH($B$2, resultados!$A$1:$ZZ$1, 0))</f>
        <v>#N/A</v>
      </c>
      <c r="C2246" t="e">
        <f>INDEX(resultados!$A$2:$ZZ$2290, 2240, MATCH($B$3, resultados!$A$1:$ZZ$1, 0))</f>
        <v>#N/A</v>
      </c>
    </row>
    <row r="2247" spans="1:3" x14ac:dyDescent="0.3">
      <c r="A2247" t="e">
        <f>INDEX(resultados!$A$2:$ZZ$2290, 2241, MATCH($B$1, resultados!$A$1:$ZZ$1, 0))</f>
        <v>#N/A</v>
      </c>
      <c r="B2247" t="e">
        <f>INDEX(resultados!$A$2:$ZZ$2290, 2241, MATCH($B$2, resultados!$A$1:$ZZ$1, 0))</f>
        <v>#N/A</v>
      </c>
      <c r="C2247" t="e">
        <f>INDEX(resultados!$A$2:$ZZ$2290, 2241, MATCH($B$3, resultados!$A$1:$ZZ$1, 0))</f>
        <v>#N/A</v>
      </c>
    </row>
    <row r="2248" spans="1:3" x14ac:dyDescent="0.3">
      <c r="A2248" t="e">
        <f>INDEX(resultados!$A$2:$ZZ$2290, 2242, MATCH($B$1, resultados!$A$1:$ZZ$1, 0))</f>
        <v>#N/A</v>
      </c>
      <c r="B2248" t="e">
        <f>INDEX(resultados!$A$2:$ZZ$2290, 2242, MATCH($B$2, resultados!$A$1:$ZZ$1, 0))</f>
        <v>#N/A</v>
      </c>
      <c r="C2248" t="e">
        <f>INDEX(resultados!$A$2:$ZZ$2290, 2242, MATCH($B$3, resultados!$A$1:$ZZ$1, 0))</f>
        <v>#N/A</v>
      </c>
    </row>
    <row r="2249" spans="1:3" x14ac:dyDescent="0.3">
      <c r="A2249" t="e">
        <f>INDEX(resultados!$A$2:$ZZ$2290, 2243, MATCH($B$1, resultados!$A$1:$ZZ$1, 0))</f>
        <v>#N/A</v>
      </c>
      <c r="B2249" t="e">
        <f>INDEX(resultados!$A$2:$ZZ$2290, 2243, MATCH($B$2, resultados!$A$1:$ZZ$1, 0))</f>
        <v>#N/A</v>
      </c>
      <c r="C2249" t="e">
        <f>INDEX(resultados!$A$2:$ZZ$2290, 2243, MATCH($B$3, resultados!$A$1:$ZZ$1, 0))</f>
        <v>#N/A</v>
      </c>
    </row>
    <row r="2250" spans="1:3" x14ac:dyDescent="0.3">
      <c r="A2250" t="e">
        <f>INDEX(resultados!$A$2:$ZZ$2290, 2244, MATCH($B$1, resultados!$A$1:$ZZ$1, 0))</f>
        <v>#N/A</v>
      </c>
      <c r="B2250" t="e">
        <f>INDEX(resultados!$A$2:$ZZ$2290, 2244, MATCH($B$2, resultados!$A$1:$ZZ$1, 0))</f>
        <v>#N/A</v>
      </c>
      <c r="C2250" t="e">
        <f>INDEX(resultados!$A$2:$ZZ$2290, 2244, MATCH($B$3, resultados!$A$1:$ZZ$1, 0))</f>
        <v>#N/A</v>
      </c>
    </row>
    <row r="2251" spans="1:3" x14ac:dyDescent="0.3">
      <c r="A2251" t="e">
        <f>INDEX(resultados!$A$2:$ZZ$2290, 2245, MATCH($B$1, resultados!$A$1:$ZZ$1, 0))</f>
        <v>#N/A</v>
      </c>
      <c r="B2251" t="e">
        <f>INDEX(resultados!$A$2:$ZZ$2290, 2245, MATCH($B$2, resultados!$A$1:$ZZ$1, 0))</f>
        <v>#N/A</v>
      </c>
      <c r="C2251" t="e">
        <f>INDEX(resultados!$A$2:$ZZ$2290, 2245, MATCH($B$3, resultados!$A$1:$ZZ$1, 0))</f>
        <v>#N/A</v>
      </c>
    </row>
    <row r="2252" spans="1:3" x14ac:dyDescent="0.3">
      <c r="A2252" t="e">
        <f>INDEX(resultados!$A$2:$ZZ$2290, 2246, MATCH($B$1, resultados!$A$1:$ZZ$1, 0))</f>
        <v>#N/A</v>
      </c>
      <c r="B2252" t="e">
        <f>INDEX(resultados!$A$2:$ZZ$2290, 2246, MATCH($B$2, resultados!$A$1:$ZZ$1, 0))</f>
        <v>#N/A</v>
      </c>
      <c r="C2252" t="e">
        <f>INDEX(resultados!$A$2:$ZZ$2290, 2246, MATCH($B$3, resultados!$A$1:$ZZ$1, 0))</f>
        <v>#N/A</v>
      </c>
    </row>
    <row r="2253" spans="1:3" x14ac:dyDescent="0.3">
      <c r="A2253" t="e">
        <f>INDEX(resultados!$A$2:$ZZ$2290, 2247, MATCH($B$1, resultados!$A$1:$ZZ$1, 0))</f>
        <v>#N/A</v>
      </c>
      <c r="B2253" t="e">
        <f>INDEX(resultados!$A$2:$ZZ$2290, 2247, MATCH($B$2, resultados!$A$1:$ZZ$1, 0))</f>
        <v>#N/A</v>
      </c>
      <c r="C2253" t="e">
        <f>INDEX(resultados!$A$2:$ZZ$2290, 2247, MATCH($B$3, resultados!$A$1:$ZZ$1, 0))</f>
        <v>#N/A</v>
      </c>
    </row>
    <row r="2254" spans="1:3" x14ac:dyDescent="0.3">
      <c r="A2254" t="e">
        <f>INDEX(resultados!$A$2:$ZZ$2290, 2248, MATCH($B$1, resultados!$A$1:$ZZ$1, 0))</f>
        <v>#N/A</v>
      </c>
      <c r="B2254" t="e">
        <f>INDEX(resultados!$A$2:$ZZ$2290, 2248, MATCH($B$2, resultados!$A$1:$ZZ$1, 0))</f>
        <v>#N/A</v>
      </c>
      <c r="C2254" t="e">
        <f>INDEX(resultados!$A$2:$ZZ$2290, 2248, MATCH($B$3, resultados!$A$1:$ZZ$1, 0))</f>
        <v>#N/A</v>
      </c>
    </row>
    <row r="2255" spans="1:3" x14ac:dyDescent="0.3">
      <c r="A2255" t="e">
        <f>INDEX(resultados!$A$2:$ZZ$2290, 2249, MATCH($B$1, resultados!$A$1:$ZZ$1, 0))</f>
        <v>#N/A</v>
      </c>
      <c r="B2255" t="e">
        <f>INDEX(resultados!$A$2:$ZZ$2290, 2249, MATCH($B$2, resultados!$A$1:$ZZ$1, 0))</f>
        <v>#N/A</v>
      </c>
      <c r="C2255" t="e">
        <f>INDEX(resultados!$A$2:$ZZ$2290, 2249, MATCH($B$3, resultados!$A$1:$ZZ$1, 0))</f>
        <v>#N/A</v>
      </c>
    </row>
    <row r="2256" spans="1:3" x14ac:dyDescent="0.3">
      <c r="A2256" t="e">
        <f>INDEX(resultados!$A$2:$ZZ$2290, 2250, MATCH($B$1, resultados!$A$1:$ZZ$1, 0))</f>
        <v>#N/A</v>
      </c>
      <c r="B2256" t="e">
        <f>INDEX(resultados!$A$2:$ZZ$2290, 2250, MATCH($B$2, resultados!$A$1:$ZZ$1, 0))</f>
        <v>#N/A</v>
      </c>
      <c r="C2256" t="e">
        <f>INDEX(resultados!$A$2:$ZZ$2290, 2250, MATCH($B$3, resultados!$A$1:$ZZ$1, 0))</f>
        <v>#N/A</v>
      </c>
    </row>
    <row r="2257" spans="1:3" x14ac:dyDescent="0.3">
      <c r="A2257" t="e">
        <f>INDEX(resultados!$A$2:$ZZ$2290, 2251, MATCH($B$1, resultados!$A$1:$ZZ$1, 0))</f>
        <v>#N/A</v>
      </c>
      <c r="B2257" t="e">
        <f>INDEX(resultados!$A$2:$ZZ$2290, 2251, MATCH($B$2, resultados!$A$1:$ZZ$1, 0))</f>
        <v>#N/A</v>
      </c>
      <c r="C2257" t="e">
        <f>INDEX(resultados!$A$2:$ZZ$2290, 2251, MATCH($B$3, resultados!$A$1:$ZZ$1, 0))</f>
        <v>#N/A</v>
      </c>
    </row>
    <row r="2258" spans="1:3" x14ac:dyDescent="0.3">
      <c r="A2258" t="e">
        <f>INDEX(resultados!$A$2:$ZZ$2290, 2252, MATCH($B$1, resultados!$A$1:$ZZ$1, 0))</f>
        <v>#N/A</v>
      </c>
      <c r="B2258" t="e">
        <f>INDEX(resultados!$A$2:$ZZ$2290, 2252, MATCH($B$2, resultados!$A$1:$ZZ$1, 0))</f>
        <v>#N/A</v>
      </c>
      <c r="C2258" t="e">
        <f>INDEX(resultados!$A$2:$ZZ$2290, 2252, MATCH($B$3, resultados!$A$1:$ZZ$1, 0))</f>
        <v>#N/A</v>
      </c>
    </row>
    <row r="2259" spans="1:3" x14ac:dyDescent="0.3">
      <c r="A2259" t="e">
        <f>INDEX(resultados!$A$2:$ZZ$2290, 2253, MATCH($B$1, resultados!$A$1:$ZZ$1, 0))</f>
        <v>#N/A</v>
      </c>
      <c r="B2259" t="e">
        <f>INDEX(resultados!$A$2:$ZZ$2290, 2253, MATCH($B$2, resultados!$A$1:$ZZ$1, 0))</f>
        <v>#N/A</v>
      </c>
      <c r="C2259" t="e">
        <f>INDEX(resultados!$A$2:$ZZ$2290, 2253, MATCH($B$3, resultados!$A$1:$ZZ$1, 0))</f>
        <v>#N/A</v>
      </c>
    </row>
    <row r="2260" spans="1:3" x14ac:dyDescent="0.3">
      <c r="A2260" t="e">
        <f>INDEX(resultados!$A$2:$ZZ$2290, 2254, MATCH($B$1, resultados!$A$1:$ZZ$1, 0))</f>
        <v>#N/A</v>
      </c>
      <c r="B2260" t="e">
        <f>INDEX(resultados!$A$2:$ZZ$2290, 2254, MATCH($B$2, resultados!$A$1:$ZZ$1, 0))</f>
        <v>#N/A</v>
      </c>
      <c r="C2260" t="e">
        <f>INDEX(resultados!$A$2:$ZZ$2290, 2254, MATCH($B$3, resultados!$A$1:$ZZ$1, 0))</f>
        <v>#N/A</v>
      </c>
    </row>
    <row r="2261" spans="1:3" x14ac:dyDescent="0.3">
      <c r="A2261" t="e">
        <f>INDEX(resultados!$A$2:$ZZ$2290, 2255, MATCH($B$1, resultados!$A$1:$ZZ$1, 0))</f>
        <v>#N/A</v>
      </c>
      <c r="B2261" t="e">
        <f>INDEX(resultados!$A$2:$ZZ$2290, 2255, MATCH($B$2, resultados!$A$1:$ZZ$1, 0))</f>
        <v>#N/A</v>
      </c>
      <c r="C2261" t="e">
        <f>INDEX(resultados!$A$2:$ZZ$2290, 2255, MATCH($B$3, resultados!$A$1:$ZZ$1, 0))</f>
        <v>#N/A</v>
      </c>
    </row>
    <row r="2262" spans="1:3" x14ac:dyDescent="0.3">
      <c r="A2262" t="e">
        <f>INDEX(resultados!$A$2:$ZZ$2290, 2256, MATCH($B$1, resultados!$A$1:$ZZ$1, 0))</f>
        <v>#N/A</v>
      </c>
      <c r="B2262" t="e">
        <f>INDEX(resultados!$A$2:$ZZ$2290, 2256, MATCH($B$2, resultados!$A$1:$ZZ$1, 0))</f>
        <v>#N/A</v>
      </c>
      <c r="C2262" t="e">
        <f>INDEX(resultados!$A$2:$ZZ$2290, 2256, MATCH($B$3, resultados!$A$1:$ZZ$1, 0))</f>
        <v>#N/A</v>
      </c>
    </row>
    <row r="2263" spans="1:3" x14ac:dyDescent="0.3">
      <c r="A2263" t="e">
        <f>INDEX(resultados!$A$2:$ZZ$2290, 2257, MATCH($B$1, resultados!$A$1:$ZZ$1, 0))</f>
        <v>#N/A</v>
      </c>
      <c r="B2263" t="e">
        <f>INDEX(resultados!$A$2:$ZZ$2290, 2257, MATCH($B$2, resultados!$A$1:$ZZ$1, 0))</f>
        <v>#N/A</v>
      </c>
      <c r="C2263" t="e">
        <f>INDEX(resultados!$A$2:$ZZ$2290, 2257, MATCH($B$3, resultados!$A$1:$ZZ$1, 0))</f>
        <v>#N/A</v>
      </c>
    </row>
    <row r="2264" spans="1:3" x14ac:dyDescent="0.3">
      <c r="A2264" t="e">
        <f>INDEX(resultados!$A$2:$ZZ$2290, 2258, MATCH($B$1, resultados!$A$1:$ZZ$1, 0))</f>
        <v>#N/A</v>
      </c>
      <c r="B2264" t="e">
        <f>INDEX(resultados!$A$2:$ZZ$2290, 2258, MATCH($B$2, resultados!$A$1:$ZZ$1, 0))</f>
        <v>#N/A</v>
      </c>
      <c r="C2264" t="e">
        <f>INDEX(resultados!$A$2:$ZZ$2290, 2258, MATCH($B$3, resultados!$A$1:$ZZ$1, 0))</f>
        <v>#N/A</v>
      </c>
    </row>
    <row r="2265" spans="1:3" x14ac:dyDescent="0.3">
      <c r="A2265" t="e">
        <f>INDEX(resultados!$A$2:$ZZ$2290, 2259, MATCH($B$1, resultados!$A$1:$ZZ$1, 0))</f>
        <v>#N/A</v>
      </c>
      <c r="B2265" t="e">
        <f>INDEX(resultados!$A$2:$ZZ$2290, 2259, MATCH($B$2, resultados!$A$1:$ZZ$1, 0))</f>
        <v>#N/A</v>
      </c>
      <c r="C2265" t="e">
        <f>INDEX(resultados!$A$2:$ZZ$2290, 2259, MATCH($B$3, resultados!$A$1:$ZZ$1, 0))</f>
        <v>#N/A</v>
      </c>
    </row>
    <row r="2266" spans="1:3" x14ac:dyDescent="0.3">
      <c r="A2266" t="e">
        <f>INDEX(resultados!$A$2:$ZZ$2290, 2260, MATCH($B$1, resultados!$A$1:$ZZ$1, 0))</f>
        <v>#N/A</v>
      </c>
      <c r="B2266" t="e">
        <f>INDEX(resultados!$A$2:$ZZ$2290, 2260, MATCH($B$2, resultados!$A$1:$ZZ$1, 0))</f>
        <v>#N/A</v>
      </c>
      <c r="C2266" t="e">
        <f>INDEX(resultados!$A$2:$ZZ$2290, 2260, MATCH($B$3, resultados!$A$1:$ZZ$1, 0))</f>
        <v>#N/A</v>
      </c>
    </row>
    <row r="2267" spans="1:3" x14ac:dyDescent="0.3">
      <c r="A2267" t="e">
        <f>INDEX(resultados!$A$2:$ZZ$2290, 2261, MATCH($B$1, resultados!$A$1:$ZZ$1, 0))</f>
        <v>#N/A</v>
      </c>
      <c r="B2267" t="e">
        <f>INDEX(resultados!$A$2:$ZZ$2290, 2261, MATCH($B$2, resultados!$A$1:$ZZ$1, 0))</f>
        <v>#N/A</v>
      </c>
      <c r="C2267" t="e">
        <f>INDEX(resultados!$A$2:$ZZ$2290, 2261, MATCH($B$3, resultados!$A$1:$ZZ$1, 0))</f>
        <v>#N/A</v>
      </c>
    </row>
    <row r="2268" spans="1:3" x14ac:dyDescent="0.3">
      <c r="A2268" t="e">
        <f>INDEX(resultados!$A$2:$ZZ$2290, 2262, MATCH($B$1, resultados!$A$1:$ZZ$1, 0))</f>
        <v>#N/A</v>
      </c>
      <c r="B2268" t="e">
        <f>INDEX(resultados!$A$2:$ZZ$2290, 2262, MATCH($B$2, resultados!$A$1:$ZZ$1, 0))</f>
        <v>#N/A</v>
      </c>
      <c r="C2268" t="e">
        <f>INDEX(resultados!$A$2:$ZZ$2290, 2262, MATCH($B$3, resultados!$A$1:$ZZ$1, 0))</f>
        <v>#N/A</v>
      </c>
    </row>
    <row r="2269" spans="1:3" x14ac:dyDescent="0.3">
      <c r="A2269" t="e">
        <f>INDEX(resultados!$A$2:$ZZ$2290, 2263, MATCH($B$1, resultados!$A$1:$ZZ$1, 0))</f>
        <v>#N/A</v>
      </c>
      <c r="B2269" t="e">
        <f>INDEX(resultados!$A$2:$ZZ$2290, 2263, MATCH($B$2, resultados!$A$1:$ZZ$1, 0))</f>
        <v>#N/A</v>
      </c>
      <c r="C2269" t="e">
        <f>INDEX(resultados!$A$2:$ZZ$2290, 2263, MATCH($B$3, resultados!$A$1:$ZZ$1, 0))</f>
        <v>#N/A</v>
      </c>
    </row>
    <row r="2270" spans="1:3" x14ac:dyDescent="0.3">
      <c r="A2270" t="e">
        <f>INDEX(resultados!$A$2:$ZZ$2290, 2264, MATCH($B$1, resultados!$A$1:$ZZ$1, 0))</f>
        <v>#N/A</v>
      </c>
      <c r="B2270" t="e">
        <f>INDEX(resultados!$A$2:$ZZ$2290, 2264, MATCH($B$2, resultados!$A$1:$ZZ$1, 0))</f>
        <v>#N/A</v>
      </c>
      <c r="C2270" t="e">
        <f>INDEX(resultados!$A$2:$ZZ$2290, 2264, MATCH($B$3, resultados!$A$1:$ZZ$1, 0))</f>
        <v>#N/A</v>
      </c>
    </row>
    <row r="2271" spans="1:3" x14ac:dyDescent="0.3">
      <c r="A2271" t="e">
        <f>INDEX(resultados!$A$2:$ZZ$2290, 2265, MATCH($B$1, resultados!$A$1:$ZZ$1, 0))</f>
        <v>#N/A</v>
      </c>
      <c r="B2271" t="e">
        <f>INDEX(resultados!$A$2:$ZZ$2290, 2265, MATCH($B$2, resultados!$A$1:$ZZ$1, 0))</f>
        <v>#N/A</v>
      </c>
      <c r="C2271" t="e">
        <f>INDEX(resultados!$A$2:$ZZ$2290, 2265, MATCH($B$3, resultados!$A$1:$ZZ$1, 0))</f>
        <v>#N/A</v>
      </c>
    </row>
    <row r="2272" spans="1:3" x14ac:dyDescent="0.3">
      <c r="A2272" t="e">
        <f>INDEX(resultados!$A$2:$ZZ$2290, 2266, MATCH($B$1, resultados!$A$1:$ZZ$1, 0))</f>
        <v>#N/A</v>
      </c>
      <c r="B2272" t="e">
        <f>INDEX(resultados!$A$2:$ZZ$2290, 2266, MATCH($B$2, resultados!$A$1:$ZZ$1, 0))</f>
        <v>#N/A</v>
      </c>
      <c r="C2272" t="e">
        <f>INDEX(resultados!$A$2:$ZZ$2290, 2266, MATCH($B$3, resultados!$A$1:$ZZ$1, 0))</f>
        <v>#N/A</v>
      </c>
    </row>
    <row r="2273" spans="1:3" x14ac:dyDescent="0.3">
      <c r="A2273" t="e">
        <f>INDEX(resultados!$A$2:$ZZ$2290, 2267, MATCH($B$1, resultados!$A$1:$ZZ$1, 0))</f>
        <v>#N/A</v>
      </c>
      <c r="B2273" t="e">
        <f>INDEX(resultados!$A$2:$ZZ$2290, 2267, MATCH($B$2, resultados!$A$1:$ZZ$1, 0))</f>
        <v>#N/A</v>
      </c>
      <c r="C2273" t="e">
        <f>INDEX(resultados!$A$2:$ZZ$2290, 2267, MATCH($B$3, resultados!$A$1:$ZZ$1, 0))</f>
        <v>#N/A</v>
      </c>
    </row>
    <row r="2274" spans="1:3" x14ac:dyDescent="0.3">
      <c r="A2274" t="e">
        <f>INDEX(resultados!$A$2:$ZZ$2290, 2268, MATCH($B$1, resultados!$A$1:$ZZ$1, 0))</f>
        <v>#N/A</v>
      </c>
      <c r="B2274" t="e">
        <f>INDEX(resultados!$A$2:$ZZ$2290, 2268, MATCH($B$2, resultados!$A$1:$ZZ$1, 0))</f>
        <v>#N/A</v>
      </c>
      <c r="C2274" t="e">
        <f>INDEX(resultados!$A$2:$ZZ$2290, 2268, MATCH($B$3, resultados!$A$1:$ZZ$1, 0))</f>
        <v>#N/A</v>
      </c>
    </row>
    <row r="2275" spans="1:3" x14ac:dyDescent="0.3">
      <c r="A2275" t="e">
        <f>INDEX(resultados!$A$2:$ZZ$2290, 2269, MATCH($B$1, resultados!$A$1:$ZZ$1, 0))</f>
        <v>#N/A</v>
      </c>
      <c r="B2275" t="e">
        <f>INDEX(resultados!$A$2:$ZZ$2290, 2269, MATCH($B$2, resultados!$A$1:$ZZ$1, 0))</f>
        <v>#N/A</v>
      </c>
      <c r="C2275" t="e">
        <f>INDEX(resultados!$A$2:$ZZ$2290, 2269, MATCH($B$3, resultados!$A$1:$ZZ$1, 0))</f>
        <v>#N/A</v>
      </c>
    </row>
    <row r="2276" spans="1:3" x14ac:dyDescent="0.3">
      <c r="A2276" t="e">
        <f>INDEX(resultados!$A$2:$ZZ$2290, 2270, MATCH($B$1, resultados!$A$1:$ZZ$1, 0))</f>
        <v>#N/A</v>
      </c>
      <c r="B2276" t="e">
        <f>INDEX(resultados!$A$2:$ZZ$2290, 2270, MATCH($B$2, resultados!$A$1:$ZZ$1, 0))</f>
        <v>#N/A</v>
      </c>
      <c r="C2276" t="e">
        <f>INDEX(resultados!$A$2:$ZZ$2290, 2270, MATCH($B$3, resultados!$A$1:$ZZ$1, 0))</f>
        <v>#N/A</v>
      </c>
    </row>
    <row r="2277" spans="1:3" x14ac:dyDescent="0.3">
      <c r="A2277" t="e">
        <f>INDEX(resultados!$A$2:$ZZ$2290, 2271, MATCH($B$1, resultados!$A$1:$ZZ$1, 0))</f>
        <v>#N/A</v>
      </c>
      <c r="B2277" t="e">
        <f>INDEX(resultados!$A$2:$ZZ$2290, 2271, MATCH($B$2, resultados!$A$1:$ZZ$1, 0))</f>
        <v>#N/A</v>
      </c>
      <c r="C2277" t="e">
        <f>INDEX(resultados!$A$2:$ZZ$2290, 2271, MATCH($B$3, resultados!$A$1:$ZZ$1, 0))</f>
        <v>#N/A</v>
      </c>
    </row>
    <row r="2278" spans="1:3" x14ac:dyDescent="0.3">
      <c r="A2278" t="e">
        <f>INDEX(resultados!$A$2:$ZZ$2290, 2272, MATCH($B$1, resultados!$A$1:$ZZ$1, 0))</f>
        <v>#N/A</v>
      </c>
      <c r="B2278" t="e">
        <f>INDEX(resultados!$A$2:$ZZ$2290, 2272, MATCH($B$2, resultados!$A$1:$ZZ$1, 0))</f>
        <v>#N/A</v>
      </c>
      <c r="C2278" t="e">
        <f>INDEX(resultados!$A$2:$ZZ$2290, 2272, MATCH($B$3, resultados!$A$1:$ZZ$1, 0))</f>
        <v>#N/A</v>
      </c>
    </row>
    <row r="2279" spans="1:3" x14ac:dyDescent="0.3">
      <c r="A2279" t="e">
        <f>INDEX(resultados!$A$2:$ZZ$2290, 2273, MATCH($B$1, resultados!$A$1:$ZZ$1, 0))</f>
        <v>#N/A</v>
      </c>
      <c r="B2279" t="e">
        <f>INDEX(resultados!$A$2:$ZZ$2290, 2273, MATCH($B$2, resultados!$A$1:$ZZ$1, 0))</f>
        <v>#N/A</v>
      </c>
      <c r="C2279" t="e">
        <f>INDEX(resultados!$A$2:$ZZ$2290, 2273, MATCH($B$3, resultados!$A$1:$ZZ$1, 0))</f>
        <v>#N/A</v>
      </c>
    </row>
    <row r="2280" spans="1:3" x14ac:dyDescent="0.3">
      <c r="A2280" t="e">
        <f>INDEX(resultados!$A$2:$ZZ$2290, 2274, MATCH($B$1, resultados!$A$1:$ZZ$1, 0))</f>
        <v>#N/A</v>
      </c>
      <c r="B2280" t="e">
        <f>INDEX(resultados!$A$2:$ZZ$2290, 2274, MATCH($B$2, resultados!$A$1:$ZZ$1, 0))</f>
        <v>#N/A</v>
      </c>
      <c r="C2280" t="e">
        <f>INDEX(resultados!$A$2:$ZZ$2290, 2274, MATCH($B$3, resultados!$A$1:$ZZ$1, 0))</f>
        <v>#N/A</v>
      </c>
    </row>
    <row r="2281" spans="1:3" x14ac:dyDescent="0.3">
      <c r="A2281" t="e">
        <f>INDEX(resultados!$A$2:$ZZ$2290, 2275, MATCH($B$1, resultados!$A$1:$ZZ$1, 0))</f>
        <v>#N/A</v>
      </c>
      <c r="B2281" t="e">
        <f>INDEX(resultados!$A$2:$ZZ$2290, 2275, MATCH($B$2, resultados!$A$1:$ZZ$1, 0))</f>
        <v>#N/A</v>
      </c>
      <c r="C2281" t="e">
        <f>INDEX(resultados!$A$2:$ZZ$2290, 2275, MATCH($B$3, resultados!$A$1:$ZZ$1, 0))</f>
        <v>#N/A</v>
      </c>
    </row>
    <row r="2282" spans="1:3" x14ac:dyDescent="0.3">
      <c r="A2282" t="e">
        <f>INDEX(resultados!$A$2:$ZZ$2290, 2276, MATCH($B$1, resultados!$A$1:$ZZ$1, 0))</f>
        <v>#N/A</v>
      </c>
      <c r="B2282" t="e">
        <f>INDEX(resultados!$A$2:$ZZ$2290, 2276, MATCH($B$2, resultados!$A$1:$ZZ$1, 0))</f>
        <v>#N/A</v>
      </c>
      <c r="C2282" t="e">
        <f>INDEX(resultados!$A$2:$ZZ$2290, 2276, MATCH($B$3, resultados!$A$1:$ZZ$1, 0))</f>
        <v>#N/A</v>
      </c>
    </row>
    <row r="2283" spans="1:3" x14ac:dyDescent="0.3">
      <c r="A2283" t="e">
        <f>INDEX(resultados!$A$2:$ZZ$2290, 2277, MATCH($B$1, resultados!$A$1:$ZZ$1, 0))</f>
        <v>#N/A</v>
      </c>
      <c r="B2283" t="e">
        <f>INDEX(resultados!$A$2:$ZZ$2290, 2277, MATCH($B$2, resultados!$A$1:$ZZ$1, 0))</f>
        <v>#N/A</v>
      </c>
      <c r="C2283" t="e">
        <f>INDEX(resultados!$A$2:$ZZ$2290, 2277, MATCH($B$3, resultados!$A$1:$ZZ$1, 0))</f>
        <v>#N/A</v>
      </c>
    </row>
    <row r="2284" spans="1:3" x14ac:dyDescent="0.3">
      <c r="A2284" t="e">
        <f>INDEX(resultados!$A$2:$ZZ$2290, 2278, MATCH($B$1, resultados!$A$1:$ZZ$1, 0))</f>
        <v>#N/A</v>
      </c>
      <c r="B2284" t="e">
        <f>INDEX(resultados!$A$2:$ZZ$2290, 2278, MATCH($B$2, resultados!$A$1:$ZZ$1, 0))</f>
        <v>#N/A</v>
      </c>
      <c r="C2284" t="e">
        <f>INDEX(resultados!$A$2:$ZZ$2290, 2278, MATCH($B$3, resultados!$A$1:$ZZ$1, 0))</f>
        <v>#N/A</v>
      </c>
    </row>
    <row r="2285" spans="1:3" x14ac:dyDescent="0.3">
      <c r="A2285" t="e">
        <f>INDEX(resultados!$A$2:$ZZ$2290, 2279, MATCH($B$1, resultados!$A$1:$ZZ$1, 0))</f>
        <v>#N/A</v>
      </c>
      <c r="B2285" t="e">
        <f>INDEX(resultados!$A$2:$ZZ$2290, 2279, MATCH($B$2, resultados!$A$1:$ZZ$1, 0))</f>
        <v>#N/A</v>
      </c>
      <c r="C2285" t="e">
        <f>INDEX(resultados!$A$2:$ZZ$2290, 2279, MATCH($B$3, resultados!$A$1:$ZZ$1, 0))</f>
        <v>#N/A</v>
      </c>
    </row>
    <row r="2286" spans="1:3" x14ac:dyDescent="0.3">
      <c r="A2286" t="e">
        <f>INDEX(resultados!$A$2:$ZZ$2290, 2280, MATCH($B$1, resultados!$A$1:$ZZ$1, 0))</f>
        <v>#N/A</v>
      </c>
      <c r="B2286" t="e">
        <f>INDEX(resultados!$A$2:$ZZ$2290, 2280, MATCH($B$2, resultados!$A$1:$ZZ$1, 0))</f>
        <v>#N/A</v>
      </c>
      <c r="C2286" t="e">
        <f>INDEX(resultados!$A$2:$ZZ$2290, 2280, MATCH($B$3, resultados!$A$1:$ZZ$1, 0))</f>
        <v>#N/A</v>
      </c>
    </row>
    <row r="2287" spans="1:3" x14ac:dyDescent="0.3">
      <c r="A2287" t="e">
        <f>INDEX(resultados!$A$2:$ZZ$2290, 2281, MATCH($B$1, resultados!$A$1:$ZZ$1, 0))</f>
        <v>#N/A</v>
      </c>
      <c r="B2287" t="e">
        <f>INDEX(resultados!$A$2:$ZZ$2290, 2281, MATCH($B$2, resultados!$A$1:$ZZ$1, 0))</f>
        <v>#N/A</v>
      </c>
      <c r="C2287" t="e">
        <f>INDEX(resultados!$A$2:$ZZ$2290, 2281, MATCH($B$3, resultados!$A$1:$ZZ$1, 0))</f>
        <v>#N/A</v>
      </c>
    </row>
    <row r="2288" spans="1:3" x14ac:dyDescent="0.3">
      <c r="A2288" t="e">
        <f>INDEX(resultados!$A$2:$ZZ$2290, 2282, MATCH($B$1, resultados!$A$1:$ZZ$1, 0))</f>
        <v>#N/A</v>
      </c>
      <c r="B2288" t="e">
        <f>INDEX(resultados!$A$2:$ZZ$2290, 2282, MATCH($B$2, resultados!$A$1:$ZZ$1, 0))</f>
        <v>#N/A</v>
      </c>
      <c r="C2288" t="e">
        <f>INDEX(resultados!$A$2:$ZZ$2290, 2282, MATCH($B$3, resultados!$A$1:$ZZ$1, 0))</f>
        <v>#N/A</v>
      </c>
    </row>
    <row r="2289" spans="1:3" x14ac:dyDescent="0.3">
      <c r="A2289" t="e">
        <f>INDEX(resultados!$A$2:$ZZ$2290, 2283, MATCH($B$1, resultados!$A$1:$ZZ$1, 0))</f>
        <v>#N/A</v>
      </c>
      <c r="B2289" t="e">
        <f>INDEX(resultados!$A$2:$ZZ$2290, 2283, MATCH($B$2, resultados!$A$1:$ZZ$1, 0))</f>
        <v>#N/A</v>
      </c>
      <c r="C2289" t="e">
        <f>INDEX(resultados!$A$2:$ZZ$2290, 2283, MATCH($B$3, resultados!$A$1:$ZZ$1, 0))</f>
        <v>#N/A</v>
      </c>
    </row>
    <row r="2290" spans="1:3" x14ac:dyDescent="0.3">
      <c r="A2290" t="e">
        <f>INDEX(resultados!$A$2:$ZZ$2290, 2284, MATCH($B$1, resultados!$A$1:$ZZ$1, 0))</f>
        <v>#N/A</v>
      </c>
      <c r="B2290" t="e">
        <f>INDEX(resultados!$A$2:$ZZ$2290, 2284, MATCH($B$2, resultados!$A$1:$ZZ$1, 0))</f>
        <v>#N/A</v>
      </c>
      <c r="C2290" t="e">
        <f>INDEX(resultados!$A$2:$ZZ$2290, 2284, MATCH($B$3, resultados!$A$1:$ZZ$1, 0))</f>
        <v>#N/A</v>
      </c>
    </row>
    <row r="2291" spans="1:3" x14ac:dyDescent="0.3">
      <c r="A2291" t="e">
        <f>INDEX(resultados!$A$2:$ZZ$2290, 2285, MATCH($B$1, resultados!$A$1:$ZZ$1, 0))</f>
        <v>#N/A</v>
      </c>
      <c r="B2291" t="e">
        <f>INDEX(resultados!$A$2:$ZZ$2290, 2285, MATCH($B$2, resultados!$A$1:$ZZ$1, 0))</f>
        <v>#N/A</v>
      </c>
      <c r="C2291" t="e">
        <f>INDEX(resultados!$A$2:$ZZ$2290, 2285, MATCH($B$3, resultados!$A$1:$ZZ$1, 0))</f>
        <v>#N/A</v>
      </c>
    </row>
    <row r="2292" spans="1:3" x14ac:dyDescent="0.3">
      <c r="A2292" t="e">
        <f>INDEX(resultados!$A$2:$ZZ$2290, 2286, MATCH($B$1, resultados!$A$1:$ZZ$1, 0))</f>
        <v>#N/A</v>
      </c>
      <c r="B2292" t="e">
        <f>INDEX(resultados!$A$2:$ZZ$2290, 2286, MATCH($B$2, resultados!$A$1:$ZZ$1, 0))</f>
        <v>#N/A</v>
      </c>
      <c r="C2292" t="e">
        <f>INDEX(resultados!$A$2:$ZZ$2290, 2286, MATCH($B$3, resultados!$A$1:$ZZ$1, 0))</f>
        <v>#N/A</v>
      </c>
    </row>
    <row r="2293" spans="1:3" x14ac:dyDescent="0.3">
      <c r="A2293" t="e">
        <f>INDEX(resultados!$A$2:$ZZ$2290, 2287, MATCH($B$1, resultados!$A$1:$ZZ$1, 0))</f>
        <v>#N/A</v>
      </c>
      <c r="B2293" t="e">
        <f>INDEX(resultados!$A$2:$ZZ$2290, 2287, MATCH($B$2, resultados!$A$1:$ZZ$1, 0))</f>
        <v>#N/A</v>
      </c>
      <c r="C2293" t="e">
        <f>INDEX(resultados!$A$2:$ZZ$2290, 2287, MATCH($B$3, resultados!$A$1:$ZZ$1, 0))</f>
        <v>#N/A</v>
      </c>
    </row>
    <row r="2294" spans="1:3" x14ac:dyDescent="0.3">
      <c r="A2294" t="e">
        <f>INDEX(resultados!$A$2:$ZZ$2290, 2288, MATCH($B$1, resultados!$A$1:$ZZ$1, 0))</f>
        <v>#N/A</v>
      </c>
      <c r="B2294" t="e">
        <f>INDEX(resultados!$A$2:$ZZ$2290, 2288, MATCH($B$2, resultados!$A$1:$ZZ$1, 0))</f>
        <v>#N/A</v>
      </c>
      <c r="C2294" t="e">
        <f>INDEX(resultados!$A$2:$ZZ$2290, 2288, MATCH($B$3, resultados!$A$1:$ZZ$1, 0))</f>
        <v>#N/A</v>
      </c>
    </row>
    <row r="2295" spans="1:3" x14ac:dyDescent="0.3">
      <c r="A2295" t="e">
        <f>INDEX(resultados!$A$2:$ZZ$2290, 2289, MATCH($B$1, resultados!$A$1:$ZZ$1, 0))</f>
        <v>#N/A</v>
      </c>
      <c r="B2295" t="e">
        <f>INDEX(resultados!$A$2:$ZZ$2290, 2289, MATCH($B$2, resultados!$A$1:$ZZ$1, 0))</f>
        <v>#N/A</v>
      </c>
      <c r="C2295" t="e">
        <f>INDEX(resultados!$A$2:$ZZ$2290, 2289, MATCH($B$3, resultados!$A$1:$ZZ$1, 0))</f>
        <v>#N/A</v>
      </c>
    </row>
  </sheetData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1E00-000000000000}">
          <x14:formula1>
            <xm:f>hidden!$A$1:$A$26</xm:f>
          </x14:formula1>
          <xm:sqref>B1:B3</xm:sqref>
        </x14:dataValidation>
      </x14:dataValidations>
    </ext>
  </extLst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 codeName="Planilha32"/>
  <dimension ref="A1:A26"/>
  <sheetViews>
    <sheetView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33</vt:i4>
      </vt:variant>
    </vt:vector>
  </HeadingPairs>
  <TitlesOfParts>
    <vt:vector size="33" baseType="lpstr">
      <vt:lpstr>RESULTADOS_18</vt:lpstr>
      <vt:lpstr>RESULTADOS_26</vt:lpstr>
      <vt:lpstr>RESULTADOS_6</vt:lpstr>
      <vt:lpstr>RESULTADOS_23</vt:lpstr>
      <vt:lpstr>RESULTADOS_4</vt:lpstr>
      <vt:lpstr>RESULTADOS_1</vt:lpstr>
      <vt:lpstr>RESULTADOS_12</vt:lpstr>
      <vt:lpstr>RESULTADOS_16</vt:lpstr>
      <vt:lpstr>RESULTADOS_20</vt:lpstr>
      <vt:lpstr>RESULTADOS_28</vt:lpstr>
      <vt:lpstr>RESULTADOS_0</vt:lpstr>
      <vt:lpstr>RESULTADOS_7</vt:lpstr>
      <vt:lpstr>RESULTADOS_19</vt:lpstr>
      <vt:lpstr>RESULTADOS_10</vt:lpstr>
      <vt:lpstr>RESULTADOS_25</vt:lpstr>
      <vt:lpstr>RESULTADOS_14</vt:lpstr>
      <vt:lpstr>RESULTADOS_21</vt:lpstr>
      <vt:lpstr>RESULTADOS_5</vt:lpstr>
      <vt:lpstr>RESULTADOS_8</vt:lpstr>
      <vt:lpstr>RESULTADOS_3</vt:lpstr>
      <vt:lpstr>RESULTADOS_15</vt:lpstr>
      <vt:lpstr>RESULTADOS_2</vt:lpstr>
      <vt:lpstr>RESULTADOS_22</vt:lpstr>
      <vt:lpstr>RESULTADOS_27</vt:lpstr>
      <vt:lpstr>RESULTADOS_11</vt:lpstr>
      <vt:lpstr>RESULTADOS_24</vt:lpstr>
      <vt:lpstr>RESULTADOS_13</vt:lpstr>
      <vt:lpstr>RESULTADOS_17</vt:lpstr>
      <vt:lpstr>RESULTADOS_9</vt:lpstr>
      <vt:lpstr>resultados</vt:lpstr>
      <vt:lpstr>Resultados Geral</vt:lpstr>
      <vt:lpstr>gráficos</vt:lpstr>
      <vt:lpstr>hidden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Paulo Acorinte</cp:lastModifiedBy>
  <dcterms:created xsi:type="dcterms:W3CDTF">2024-09-24T15:31:37Z</dcterms:created>
  <dcterms:modified xsi:type="dcterms:W3CDTF">2024-09-25T14:48:16Z</dcterms:modified>
</cp:coreProperties>
</file>