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afayuqaily/Downloads/"/>
    </mc:Choice>
  </mc:AlternateContent>
  <xr:revisionPtr revIDLastSave="0" documentId="13_ncr:1_{0D32C090-33D2-BF47-99CA-077CCCD3FC71}" xr6:coauthVersionLast="47" xr6:coauthVersionMax="47" xr10:uidLastSave="{00000000-0000-0000-0000-000000000000}"/>
  <bookViews>
    <workbookView xWindow="0" yWindow="460" windowWidth="28800" windowHeight="16240" activeTab="3" xr2:uid="{00000000-000D-0000-FFFF-FFFF00000000}"/>
  </bookViews>
  <sheets>
    <sheet name="Flight" sheetId="1" r:id="rId1"/>
    <sheet name="Robot" sheetId="2" r:id="rId2"/>
    <sheet name="Craft" sheetId="3" r:id="rId3"/>
    <sheet name="Breakeven" sheetId="4" r:id="rId4"/>
  </sheets>
  <definedNames>
    <definedName name="_xlchart.v1.10" hidden="1">Breakeven!$B$3:$B$11</definedName>
    <definedName name="_xlchart.v1.11" hidden="1">Breakeven!$C$2</definedName>
    <definedName name="_xlchart.v1.12" hidden="1">Breakeven!$C$3:$C$11</definedName>
    <definedName name="_xlchart.v1.13" hidden="1">Breakeven!$D$2</definedName>
    <definedName name="_xlchart.v1.14" hidden="1">Breakeven!$D$3:$D$11</definedName>
    <definedName name="_xlchart.v1.15" hidden="1">Breakeven!$A$2</definedName>
    <definedName name="_xlchart.v1.16" hidden="1">Breakeven!$A$3:$A$11</definedName>
    <definedName name="_xlchart.v1.17" hidden="1">Breakeven!$B$2</definedName>
    <definedName name="_xlchart.v1.18" hidden="1">Breakeven!$B$3:$B$11</definedName>
    <definedName name="_xlchart.v1.19" hidden="1">Breakeven!$C$2</definedName>
    <definedName name="_xlchart.v1.20" hidden="1">Breakeven!$C$3:$C$11</definedName>
    <definedName name="_xlchart.v1.21" hidden="1">Breakeven!$D$2</definedName>
    <definedName name="_xlchart.v1.22" hidden="1">Breakeven!$D$3:$D$11</definedName>
    <definedName name="_xlchart.v1.8" hidden="1">Breakeven!$A$3:$A$11</definedName>
    <definedName name="_xlchart.v1.9" hidden="1">Breakeven!$B$2</definedName>
    <definedName name="_xlchart.v2.0" hidden="1">Breakeven!$A$2</definedName>
    <definedName name="_xlchart.v2.1" hidden="1">Breakeven!$A$3:$A$11</definedName>
    <definedName name="_xlchart.v2.2" hidden="1">Breakeven!$B$2</definedName>
    <definedName name="_xlchart.v2.3" hidden="1">Breakeven!$B$3:$B$11</definedName>
    <definedName name="_xlchart.v2.4" hidden="1">Breakeven!$C$2</definedName>
    <definedName name="_xlchart.v2.5" hidden="1">Breakeven!$C$3:$C$11</definedName>
    <definedName name="_xlchart.v2.6" hidden="1">Breakeven!$D$2</definedName>
    <definedName name="_xlchart.v2.7" hidden="1">Breakeven!$D$3:$D$11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3" l="1"/>
  <c r="B44" i="3" a="1"/>
  <c r="B44" i="3" s="1"/>
  <c r="B43" i="3"/>
  <c r="B42" i="3"/>
  <c r="B40" i="3"/>
  <c r="B39" i="3"/>
  <c r="B38" i="3"/>
  <c r="B37" i="3"/>
  <c r="B36" i="3"/>
  <c r="B35" i="3"/>
  <c r="B34" i="3"/>
  <c r="B33" i="3"/>
  <c r="B32" i="3"/>
  <c r="B31" i="3"/>
  <c r="C21" i="3"/>
  <c r="D21" i="3" s="1"/>
  <c r="E21" i="3" s="1"/>
  <c r="B21" i="3"/>
  <c r="F21" i="3" s="1"/>
  <c r="C20" i="3"/>
  <c r="C19" i="3"/>
  <c r="C18" i="3"/>
  <c r="C17" i="3"/>
  <c r="C16" i="3"/>
  <c r="C15" i="3"/>
  <c r="C14" i="3"/>
  <c r="B14" i="3"/>
  <c r="F13" i="3"/>
  <c r="C13" i="3"/>
  <c r="B13" i="3"/>
  <c r="D13" i="3" s="1"/>
  <c r="E13" i="3" s="1"/>
  <c r="F12" i="3"/>
  <c r="G12" i="3" s="1"/>
  <c r="B12" i="3"/>
  <c r="D30" i="2"/>
  <c r="D23" i="2"/>
  <c r="C23" i="2"/>
  <c r="B23" i="2"/>
  <c r="C22" i="2"/>
  <c r="C21" i="2"/>
  <c r="C20" i="2"/>
  <c r="C19" i="2"/>
  <c r="C18" i="2"/>
  <c r="C17" i="2"/>
  <c r="B17" i="2"/>
  <c r="B18" i="2" s="1"/>
  <c r="C16" i="2"/>
  <c r="B16" i="2"/>
  <c r="C15" i="2"/>
  <c r="J14" i="2"/>
  <c r="F14" i="2"/>
  <c r="G14" i="2" s="1"/>
  <c r="B14" i="2"/>
  <c r="E7" i="2"/>
  <c r="B15" i="2" s="1"/>
  <c r="B7" i="2"/>
  <c r="B6" i="2"/>
  <c r="C20" i="1"/>
  <c r="B20" i="1"/>
  <c r="C18" i="1"/>
  <c r="C16" i="1"/>
  <c r="C14" i="1"/>
  <c r="B13" i="1"/>
  <c r="B14" i="1" s="1"/>
  <c r="C12" i="1"/>
  <c r="B12" i="1"/>
  <c r="B11" i="1"/>
  <c r="F11" i="1" s="1"/>
  <c r="G11" i="1" s="1"/>
  <c r="B8" i="1"/>
  <c r="B7" i="1"/>
  <c r="E1" i="1"/>
  <c r="C19" i="1" s="1"/>
  <c r="D15" i="2" l="1"/>
  <c r="J11" i="1"/>
  <c r="K14" i="2"/>
  <c r="D18" i="2"/>
  <c r="D14" i="1"/>
  <c r="E14" i="1" s="1"/>
  <c r="F14" i="1" s="1"/>
  <c r="G14" i="1" s="1"/>
  <c r="J14" i="1" s="1" a="1"/>
  <c r="J14" i="1" s="1"/>
  <c r="J14" i="3" a="1"/>
  <c r="J14" i="3" s="1"/>
  <c r="G13" i="3"/>
  <c r="D13" i="1"/>
  <c r="E13" i="1" s="1"/>
  <c r="F13" i="1" s="1"/>
  <c r="G13" i="1" s="1"/>
  <c r="J13" i="1" s="1" a="1"/>
  <c r="J13" i="1" s="1"/>
  <c r="B15" i="1"/>
  <c r="D17" i="2"/>
  <c r="B19" i="2"/>
  <c r="J13" i="3"/>
  <c r="D14" i="3"/>
  <c r="E14" i="3" s="1"/>
  <c r="F14" i="3" s="1"/>
  <c r="B15" i="3"/>
  <c r="E17" i="2"/>
  <c r="F17" i="2" s="1"/>
  <c r="G17" i="2" s="1"/>
  <c r="J17" i="2" s="1" a="1"/>
  <c r="J17" i="2" s="1"/>
  <c r="E23" i="2"/>
  <c r="F23" i="2" s="1"/>
  <c r="E15" i="2"/>
  <c r="F15" i="2" s="1"/>
  <c r="G15" i="2" s="1"/>
  <c r="E18" i="2"/>
  <c r="F18" i="2" s="1"/>
  <c r="G18" i="2" s="1"/>
  <c r="J18" i="2" s="1" a="1"/>
  <c r="J18" i="2" s="1"/>
  <c r="D12" i="1"/>
  <c r="E12" i="1" s="1"/>
  <c r="F12" i="1" s="1"/>
  <c r="G12" i="1" s="1"/>
  <c r="C13" i="1"/>
  <c r="C17" i="1"/>
  <c r="D20" i="1"/>
  <c r="E20" i="1" s="1"/>
  <c r="F20" i="1" s="1"/>
  <c r="D27" i="1"/>
  <c r="D16" i="2"/>
  <c r="E16" i="2" s="1"/>
  <c r="F16" i="2" s="1"/>
  <c r="G16" i="2" s="1"/>
  <c r="J16" i="2" s="1" a="1"/>
  <c r="J16" i="2" s="1"/>
  <c r="C15" i="1"/>
  <c r="J12" i="1" l="1" a="1"/>
  <c r="J12" i="1" s="1"/>
  <c r="J15" i="2" a="1"/>
  <c r="J15" i="2" s="1"/>
  <c r="D15" i="3"/>
  <c r="E15" i="3" s="1"/>
  <c r="B16" i="3"/>
  <c r="B20" i="2"/>
  <c r="D19" i="2"/>
  <c r="E19" i="2" s="1"/>
  <c r="F19" i="2" s="1"/>
  <c r="G19" i="2" s="1"/>
  <c r="K11" i="1"/>
  <c r="K12" i="1" s="1"/>
  <c r="K13" i="1" s="1"/>
  <c r="K14" i="1" s="1"/>
  <c r="G14" i="3"/>
  <c r="J15" i="3" a="1"/>
  <c r="J15" i="3" s="1"/>
  <c r="K13" i="3"/>
  <c r="K14" i="3" s="1"/>
  <c r="K15" i="3" s="1"/>
  <c r="B16" i="1"/>
  <c r="D15" i="1"/>
  <c r="E15" i="1" s="1"/>
  <c r="F15" i="1"/>
  <c r="G15" i="1" s="1"/>
  <c r="J15" i="1" s="1" a="1"/>
  <c r="J15" i="1" s="1"/>
  <c r="J19" i="2" l="1" a="1"/>
  <c r="J19" i="2" s="1"/>
  <c r="B17" i="3"/>
  <c r="D16" i="3"/>
  <c r="E16" i="3" s="1"/>
  <c r="F16" i="3" s="1"/>
  <c r="K15" i="1"/>
  <c r="B41" i="3"/>
  <c r="K15" i="2"/>
  <c r="K16" i="2" s="1"/>
  <c r="K17" i="2" s="1"/>
  <c r="K18" i="2" s="1"/>
  <c r="K19" i="2" s="1"/>
  <c r="D20" i="2"/>
  <c r="E20" i="2" s="1"/>
  <c r="F20" i="2" s="1"/>
  <c r="G20" i="2" s="1"/>
  <c r="B21" i="2"/>
  <c r="F16" i="1"/>
  <c r="G16" i="1" s="1"/>
  <c r="J16" i="1" s="1" a="1"/>
  <c r="J16" i="1" s="1"/>
  <c r="D16" i="1"/>
  <c r="E16" i="1" s="1"/>
  <c r="B17" i="1"/>
  <c r="F15" i="3"/>
  <c r="J20" i="2" l="1" a="1"/>
  <c r="J20" i="2" s="1"/>
  <c r="G16" i="3"/>
  <c r="J17" i="3" a="1"/>
  <c r="J17" i="3" s="1"/>
  <c r="K20" i="2"/>
  <c r="D17" i="3"/>
  <c r="E17" i="3" s="1"/>
  <c r="F17" i="3" s="1"/>
  <c r="B18" i="3"/>
  <c r="D21" i="2"/>
  <c r="E21" i="2" s="1"/>
  <c r="F21" i="2" s="1"/>
  <c r="G21" i="2" s="1"/>
  <c r="B22" i="2"/>
  <c r="B18" i="1"/>
  <c r="D17" i="1"/>
  <c r="E17" i="1" s="1"/>
  <c r="F17" i="1" s="1"/>
  <c r="G17" i="1" s="1"/>
  <c r="G15" i="3"/>
  <c r="J16" i="3" a="1"/>
  <c r="J16" i="3" s="1"/>
  <c r="K16" i="1"/>
  <c r="J21" i="2" l="1" a="1"/>
  <c r="J21" i="2" s="1"/>
  <c r="J17" i="1" a="1"/>
  <c r="J17" i="1" s="1"/>
  <c r="J18" i="3" a="1"/>
  <c r="J18" i="3" s="1"/>
  <c r="G17" i="3"/>
  <c r="K16" i="3"/>
  <c r="K17" i="3" s="1"/>
  <c r="D18" i="1"/>
  <c r="E18" i="1" s="1"/>
  <c r="F18" i="1"/>
  <c r="G18" i="1" s="1"/>
  <c r="J18" i="1" s="1" a="1"/>
  <c r="J18" i="1" s="1"/>
  <c r="B19" i="1"/>
  <c r="D22" i="2"/>
  <c r="E22" i="2" s="1"/>
  <c r="F22" i="2"/>
  <c r="G22" i="2" s="1"/>
  <c r="K21" i="2"/>
  <c r="D18" i="3"/>
  <c r="E18" i="3" s="1"/>
  <c r="B19" i="3"/>
  <c r="F18" i="3"/>
  <c r="B45" i="3" l="1"/>
  <c r="G18" i="3"/>
  <c r="J19" i="3" a="1"/>
  <c r="J19" i="3" s="1"/>
  <c r="F19" i="1"/>
  <c r="G19" i="1" s="1"/>
  <c r="D19" i="1"/>
  <c r="E19" i="1" s="1"/>
  <c r="D19" i="3"/>
  <c r="E19" i="3" s="1"/>
  <c r="B20" i="3"/>
  <c r="F19" i="3"/>
  <c r="J22" i="2" a="1"/>
  <c r="J22" i="2" s="1"/>
  <c r="J25" i="2" s="1"/>
  <c r="G27" i="2"/>
  <c r="G25" i="2" a="1"/>
  <c r="G25" i="2" s="1"/>
  <c r="G26" i="2" s="1"/>
  <c r="K17" i="1"/>
  <c r="K18" i="1" s="1"/>
  <c r="K22" i="2"/>
  <c r="K18" i="3"/>
  <c r="K19" i="3" s="1"/>
  <c r="G22" i="1" a="1"/>
  <c r="G22" i="1" s="1"/>
  <c r="G23" i="1" s="1"/>
  <c r="G19" i="3" l="1"/>
  <c r="J20" i="3" a="1"/>
  <c r="J20" i="3" s="1"/>
  <c r="K20" i="3" s="1"/>
  <c r="J19" i="1" a="1"/>
  <c r="J19" i="1" s="1"/>
  <c r="J21" i="1" s="1"/>
  <c r="G24" i="1"/>
  <c r="D20" i="3"/>
  <c r="E20" i="3" s="1"/>
  <c r="F20" i="3" s="1"/>
  <c r="G20" i="3" s="1"/>
  <c r="K19" i="1"/>
  <c r="J21" i="3" l="1" a="1"/>
  <c r="J21" i="3" s="1"/>
  <c r="J23" i="3" s="1"/>
  <c r="G25" i="3"/>
  <c r="G23" i="3" a="1"/>
  <c r="G23" i="3" s="1"/>
  <c r="G24" i="3" s="1"/>
  <c r="K21" i="3" l="1"/>
</calcChain>
</file>

<file path=xl/sharedStrings.xml><?xml version="1.0" encoding="utf-8"?>
<sst xmlns="http://schemas.openxmlformats.org/spreadsheetml/2006/main" count="234" uniqueCount="90">
  <si>
    <t>After-tax MARR =</t>
  </si>
  <si>
    <t>Capital Investment =</t>
  </si>
  <si>
    <t>MARCS 5 Year Recovery</t>
  </si>
  <si>
    <t>Class Life =</t>
  </si>
  <si>
    <t xml:space="preserve">Market Value = </t>
  </si>
  <si>
    <t>Year 1</t>
  </si>
  <si>
    <t>State tax rate =</t>
  </si>
  <si>
    <t>Annual Savings =</t>
  </si>
  <si>
    <t>Year 2</t>
  </si>
  <si>
    <t>Federal tax rate =</t>
  </si>
  <si>
    <t xml:space="preserve">Useful Life = </t>
  </si>
  <si>
    <t>Year 3</t>
  </si>
  <si>
    <t>Inflation Rate =</t>
  </si>
  <si>
    <t>Training =</t>
  </si>
  <si>
    <t>Year 4</t>
  </si>
  <si>
    <t>Year 5</t>
  </si>
  <si>
    <t>effective tax rate =</t>
  </si>
  <si>
    <t>Year 6</t>
  </si>
  <si>
    <t>DB rate =</t>
  </si>
  <si>
    <t>Breakeven on Investment</t>
  </si>
  <si>
    <t>EOY</t>
  </si>
  <si>
    <t>BTCF</t>
  </si>
  <si>
    <t>Depreciation Deduction</t>
  </si>
  <si>
    <t>Taxable Income</t>
  </si>
  <si>
    <t>Cash Flow for Income Taxes</t>
  </si>
  <si>
    <t>ATCF</t>
  </si>
  <si>
    <t>Adjusted ATCF</t>
  </si>
  <si>
    <t>Year</t>
  </si>
  <si>
    <t>Cumulative</t>
  </si>
  <si>
    <t>0</t>
  </si>
  <si>
    <t xml:space="preserve">PW = </t>
  </si>
  <si>
    <t>AW =</t>
  </si>
  <si>
    <t>IRR =</t>
  </si>
  <si>
    <t>Book Value = Cost Basis - Depreciation =</t>
  </si>
  <si>
    <t>Capital Gain = Market Value - Book Value =</t>
  </si>
  <si>
    <t>B6</t>
  </si>
  <si>
    <t>= ROUND( (B3 + B4 * ( 1 - B3) ), 2)</t>
  </si>
  <si>
    <t>P/F</t>
  </si>
  <si>
    <t>A/F</t>
  </si>
  <si>
    <t>F/P</t>
  </si>
  <si>
    <t>B7</t>
  </si>
  <si>
    <t>= IF(B2&gt;15, 1.5, 2)</t>
  </si>
  <si>
    <t>B9</t>
  </si>
  <si>
    <t>= - E1</t>
  </si>
  <si>
    <t>F9</t>
  </si>
  <si>
    <t>= B9 + E9</t>
  </si>
  <si>
    <t>G9</t>
  </si>
  <si>
    <t>= F9</t>
  </si>
  <si>
    <t>I9</t>
  </si>
  <si>
    <t>= B9</t>
  </si>
  <si>
    <t>B10</t>
  </si>
  <si>
    <t>= $E$3</t>
  </si>
  <si>
    <t>C10</t>
  </si>
  <si>
    <t>= IF(A10=$B$2+1, 0.5*C9, VDB($E$1, 0, $B$2, MAX(0, A10-1.5), A10-0.5, $B$7, FALSE) )</t>
  </si>
  <si>
    <t>Year 7</t>
  </si>
  <si>
    <t>D10</t>
  </si>
  <si>
    <t>= B10 - C10</t>
  </si>
  <si>
    <t>Year 8</t>
  </si>
  <si>
    <t>E10</t>
  </si>
  <si>
    <t>= - $B$6 * D10</t>
  </si>
  <si>
    <t>G19</t>
  </si>
  <si>
    <t>= F19 + F20</t>
  </si>
  <si>
    <t>I19</t>
  </si>
  <si>
    <t>= B19 + B20</t>
  </si>
  <si>
    <t>B20</t>
  </si>
  <si>
    <t>= E2</t>
  </si>
  <si>
    <t>G22</t>
  </si>
  <si>
    <t>= NPV($B$1, G10:G19) + G9</t>
  </si>
  <si>
    <t>G23</t>
  </si>
  <si>
    <t>= PMT($B$1, $E$4, - G22)</t>
  </si>
  <si>
    <t>G24</t>
  </si>
  <si>
    <t>= IRR(G9:G19, $B$1)</t>
  </si>
  <si>
    <t>Inflation =</t>
  </si>
  <si>
    <t>Sold for =</t>
  </si>
  <si>
    <t>Handling/Ship =</t>
  </si>
  <si>
    <t>Installation =</t>
  </si>
  <si>
    <t xml:space="preserve">Sell Old Machines = </t>
  </si>
  <si>
    <t>Adjsuted ATCF</t>
  </si>
  <si>
    <t>Book Value =</t>
  </si>
  <si>
    <t>Cost Basis -</t>
  </si>
  <si>
    <t>Depreciation =</t>
  </si>
  <si>
    <t>Capital Gain =</t>
  </si>
  <si>
    <t>Market Value -</t>
  </si>
  <si>
    <t>Market Value =</t>
  </si>
  <si>
    <t>Useful Life =</t>
  </si>
  <si>
    <t>PW =</t>
  </si>
  <si>
    <t>$ -</t>
  </si>
  <si>
    <t>Flight System</t>
  </si>
  <si>
    <t>Programmable Robots</t>
  </si>
  <si>
    <t>Unmanned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</si>
</sst>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0.0%"/>
    <numFmt numFmtId="167" formatCode="&quot;$&quot;#,##0"/>
    <numFmt numFmtId="168" formatCode="_(&quot;$&quot;* #,##0.00_);_(&quot;$&quot;* \(#,##0.00\);_(&quot;$&quot;* &quot;-&quot;??.00_);_(@_)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Roboto"/>
    </font>
    <font>
      <sz val="10"/>
      <color rgb="FF000000"/>
      <name val="Roboto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2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164" fontId="1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10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5" xfId="0" applyFont="1" applyBorder="1" applyAlignment="1">
      <alignment horizontal="right"/>
    </xf>
    <xf numFmtId="10" fontId="1" fillId="0" borderId="0" xfId="0" applyNumberFormat="1" applyFont="1"/>
    <xf numFmtId="0" fontId="1" fillId="0" borderId="6" xfId="0" applyFont="1" applyBorder="1"/>
    <xf numFmtId="164" fontId="1" fillId="0" borderId="7" xfId="0" applyNumberFormat="1" applyFont="1" applyBorder="1" applyAlignment="1">
      <alignment horizontal="right"/>
    </xf>
    <xf numFmtId="0" fontId="4" fillId="0" borderId="2" xfId="0" applyFont="1" applyBorder="1"/>
    <xf numFmtId="9" fontId="1" fillId="2" borderId="0" xfId="0" applyNumberFormat="1" applyFont="1" applyFill="1" applyAlignment="1">
      <alignment horizontal="right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0" borderId="3" xfId="0" applyFont="1" applyBorder="1"/>
    <xf numFmtId="0" fontId="7" fillId="0" borderId="4" xfId="0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4" xfId="0" applyFont="1" applyBorder="1" applyAlignment="1">
      <alignment horizontal="right"/>
    </xf>
    <xf numFmtId="8" fontId="1" fillId="0" borderId="0" xfId="0" applyNumberFormat="1" applyFont="1" applyAlignment="1">
      <alignment horizontal="right"/>
    </xf>
    <xf numFmtId="44" fontId="1" fillId="0" borderId="5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8" fontId="1" fillId="0" borderId="2" xfId="0" applyNumberFormat="1" applyFont="1" applyBorder="1" applyAlignment="1">
      <alignment horizontal="right"/>
    </xf>
    <xf numFmtId="44" fontId="1" fillId="0" borderId="2" xfId="0" applyNumberFormat="1" applyFont="1" applyBorder="1" applyAlignment="1">
      <alignment horizontal="right"/>
    </xf>
    <xf numFmtId="0" fontId="2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2" fillId="0" borderId="0" xfId="0" applyFont="1"/>
    <xf numFmtId="164" fontId="2" fillId="0" borderId="0" xfId="0" applyNumberFormat="1" applyFont="1"/>
    <xf numFmtId="164" fontId="6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4" fillId="2" borderId="3" xfId="0" applyNumberFormat="1" applyFont="1" applyFill="1" applyBorder="1"/>
    <xf numFmtId="166" fontId="1" fillId="0" borderId="0" xfId="0" applyNumberFormat="1" applyFont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5" fontId="1" fillId="2" borderId="5" xfId="0" applyNumberFormat="1" applyFont="1" applyFill="1" applyBorder="1"/>
    <xf numFmtId="164" fontId="6" fillId="0" borderId="11" xfId="0" applyNumberFormat="1" applyFont="1" applyBorder="1" applyAlignment="1">
      <alignment horizontal="right"/>
    </xf>
    <xf numFmtId="166" fontId="1" fillId="2" borderId="12" xfId="0" applyNumberFormat="1" applyFont="1" applyFill="1" applyBorder="1" applyAlignment="1">
      <alignment horizontal="right"/>
    </xf>
    <xf numFmtId="44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quotePrefix="1" applyFont="1"/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3" xfId="0" applyFont="1" applyBorder="1" applyAlignment="1">
      <alignment wrapText="1"/>
    </xf>
    <xf numFmtId="9" fontId="1" fillId="0" borderId="15" xfId="0" applyNumberFormat="1" applyFon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10" fontId="1" fillId="0" borderId="17" xfId="0" applyNumberFormat="1" applyFont="1" applyBorder="1" applyAlignment="1">
      <alignment horizontal="right"/>
    </xf>
    <xf numFmtId="9" fontId="1" fillId="0" borderId="17" xfId="0" applyNumberFormat="1" applyFont="1" applyBorder="1" applyAlignment="1">
      <alignment horizontal="right"/>
    </xf>
    <xf numFmtId="10" fontId="1" fillId="0" borderId="17" xfId="0" applyNumberFormat="1" applyFont="1" applyBorder="1"/>
    <xf numFmtId="167" fontId="1" fillId="0" borderId="17" xfId="0" applyNumberFormat="1" applyFont="1" applyBorder="1"/>
    <xf numFmtId="9" fontId="1" fillId="2" borderId="17" xfId="0" applyNumberFormat="1" applyFont="1" applyFill="1" applyBorder="1" applyAlignment="1">
      <alignment horizontal="right"/>
    </xf>
    <xf numFmtId="9" fontId="1" fillId="2" borderId="20" xfId="0" applyNumberFormat="1" applyFont="1" applyFill="1" applyBorder="1" applyAlignment="1">
      <alignment horizontal="right"/>
    </xf>
    <xf numFmtId="167" fontId="1" fillId="0" borderId="20" xfId="0" applyNumberFormat="1" applyFont="1" applyBorder="1"/>
    <xf numFmtId="0" fontId="4" fillId="0" borderId="6" xfId="0" applyFont="1" applyBorder="1"/>
    <xf numFmtId="0" fontId="6" fillId="0" borderId="8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1" fillId="0" borderId="21" xfId="0" applyFont="1" applyBorder="1"/>
    <xf numFmtId="0" fontId="2" fillId="0" borderId="12" xfId="0" applyFont="1" applyBorder="1"/>
    <xf numFmtId="0" fontId="1" fillId="0" borderId="11" xfId="0" applyFont="1" applyBorder="1" applyAlignment="1">
      <alignment horizontal="right"/>
    </xf>
    <xf numFmtId="8" fontId="1" fillId="0" borderId="6" xfId="0" applyNumberFormat="1" applyFont="1" applyBorder="1" applyAlignment="1">
      <alignment horizontal="right"/>
    </xf>
    <xf numFmtId="44" fontId="1" fillId="0" borderId="12" xfId="0" applyNumberFormat="1" applyFont="1" applyBorder="1" applyAlignment="1">
      <alignment horizontal="right"/>
    </xf>
    <xf numFmtId="0" fontId="7" fillId="0" borderId="11" xfId="0" applyFont="1" applyBorder="1" applyAlignment="1">
      <alignment horizontal="center"/>
    </xf>
    <xf numFmtId="164" fontId="1" fillId="0" borderId="6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44" fontId="1" fillId="0" borderId="0" xfId="0" applyNumberFormat="1" applyFont="1" applyAlignment="1">
      <alignment horizontal="right"/>
    </xf>
    <xf numFmtId="164" fontId="6" fillId="0" borderId="5" xfId="0" applyNumberFormat="1" applyFont="1" applyBorder="1" applyAlignment="1">
      <alignment horizontal="right"/>
    </xf>
    <xf numFmtId="0" fontId="4" fillId="0" borderId="4" xfId="0" applyFont="1" applyBorder="1"/>
    <xf numFmtId="0" fontId="4" fillId="0" borderId="5" xfId="0" applyFont="1" applyBorder="1"/>
    <xf numFmtId="164" fontId="6" fillId="0" borderId="6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 wrapText="1"/>
    </xf>
    <xf numFmtId="9" fontId="8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right"/>
    </xf>
    <xf numFmtId="0" fontId="10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8" fillId="3" borderId="20" xfId="0" applyFont="1" applyFill="1" applyBorder="1" applyAlignment="1">
      <alignment horizontal="left"/>
    </xf>
    <xf numFmtId="0" fontId="11" fillId="3" borderId="20" xfId="0" applyFont="1" applyFill="1" applyBorder="1"/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right"/>
    </xf>
    <xf numFmtId="164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right"/>
    </xf>
    <xf numFmtId="10" fontId="8" fillId="0" borderId="5" xfId="0" applyNumberFormat="1" applyFont="1" applyBorder="1" applyAlignment="1">
      <alignment horizontal="right"/>
    </xf>
    <xf numFmtId="9" fontId="8" fillId="0" borderId="5" xfId="0" applyNumberFormat="1" applyFont="1" applyBorder="1" applyAlignment="1">
      <alignment horizontal="right"/>
    </xf>
    <xf numFmtId="0" fontId="8" fillId="0" borderId="11" xfId="0" applyFont="1" applyBorder="1" applyAlignment="1">
      <alignment horizontal="left"/>
    </xf>
    <xf numFmtId="164" fontId="8" fillId="0" borderId="12" xfId="0" applyNumberFormat="1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11" fillId="0" borderId="0" xfId="0" applyFont="1"/>
    <xf numFmtId="164" fontId="11" fillId="0" borderId="0" xfId="0" applyNumberFormat="1" applyFont="1"/>
    <xf numFmtId="164" fontId="8" fillId="0" borderId="0" xfId="0" applyNumberFormat="1" applyFont="1" applyAlignment="1">
      <alignment horizontal="left"/>
    </xf>
    <xf numFmtId="0" fontId="8" fillId="0" borderId="12" xfId="0" applyFont="1" applyBorder="1" applyAlignment="1">
      <alignment horizontal="right"/>
    </xf>
    <xf numFmtId="9" fontId="8" fillId="0" borderId="12" xfId="0" applyNumberFormat="1" applyFont="1" applyBorder="1" applyAlignment="1">
      <alignment horizontal="right"/>
    </xf>
    <xf numFmtId="0" fontId="8" fillId="0" borderId="0" xfId="0" applyFont="1" applyAlignment="1">
      <alignment horizontal="left" wrapText="1"/>
    </xf>
    <xf numFmtId="0" fontId="8" fillId="0" borderId="6" xfId="0" applyFont="1" applyBorder="1" applyAlignment="1">
      <alignment horizontal="right"/>
    </xf>
    <xf numFmtId="0" fontId="12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164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14" fillId="0" borderId="11" xfId="0" applyFont="1" applyBorder="1" applyAlignment="1">
      <alignment horizontal="center" wrapText="1"/>
    </xf>
    <xf numFmtId="0" fontId="8" fillId="0" borderId="6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44" fontId="8" fillId="0" borderId="0" xfId="0" applyNumberFormat="1" applyFont="1" applyAlignment="1">
      <alignment horizontal="right"/>
    </xf>
    <xf numFmtId="44" fontId="8" fillId="0" borderId="5" xfId="0" applyNumberFormat="1" applyFont="1" applyBorder="1" applyAlignment="1">
      <alignment horizontal="right"/>
    </xf>
    <xf numFmtId="0" fontId="13" fillId="0" borderId="11" xfId="0" applyFont="1" applyBorder="1" applyAlignment="1">
      <alignment horizontal="center"/>
    </xf>
    <xf numFmtId="164" fontId="8" fillId="0" borderId="6" xfId="0" applyNumberFormat="1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44" fontId="8" fillId="0" borderId="6" xfId="0" applyNumberFormat="1" applyFont="1" applyBorder="1" applyAlignment="1">
      <alignment horizontal="right"/>
    </xf>
    <xf numFmtId="44" fontId="8" fillId="0" borderId="12" xfId="0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167" fontId="9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168" fontId="4" fillId="2" borderId="3" xfId="0" applyNumberFormat="1" applyFont="1" applyFill="1" applyBorder="1"/>
    <xf numFmtId="168" fontId="1" fillId="2" borderId="5" xfId="0" applyNumberFormat="1" applyFont="1" applyFill="1" applyBorder="1"/>
    <xf numFmtId="0" fontId="12" fillId="0" borderId="11" xfId="0" applyFont="1" applyBorder="1" applyAlignment="1">
      <alignment horizontal="right"/>
    </xf>
    <xf numFmtId="9" fontId="8" fillId="2" borderId="12" xfId="0" applyNumberFormat="1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4" fillId="0" borderId="0" xfId="0" applyFont="1"/>
    <xf numFmtId="4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5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" fillId="0" borderId="0" xfId="0" applyFont="1"/>
    <xf numFmtId="0" fontId="0" fillId="0" borderId="0" xfId="0"/>
    <xf numFmtId="0" fontId="2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Breakeven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Breakeven!$B$2</c:f>
              <c:strCache>
                <c:ptCount val="1"/>
                <c:pt idx="0">
                  <c:v>Flight System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Breakeven!$A$3:$A$11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Breakeven!$B$3:$B$11</c:f>
              <c:numCache>
                <c:formatCode>_("$"* #,##0.00_);_("$"* \(#,##0.00\);_("$"* "-"??_);_(@_)</c:formatCode>
                <c:ptCount val="9"/>
                <c:pt idx="0" formatCode="_(&quot;$&quot;* #,##0_);_(&quot;$&quot;* \(#,##0\);_(&quot;$&quot;* &quot;-&quot;??_);_(@_)">
                  <c:v>-5900000</c:v>
                </c:pt>
                <c:pt idx="1">
                  <c:v>-4827272.7272727275</c:v>
                </c:pt>
                <c:pt idx="2">
                  <c:v>-3625436.9669421492</c:v>
                </c:pt>
                <c:pt idx="3">
                  <c:v>-2661244.2071750574</c:v>
                </c:pt>
                <c:pt idx="4">
                  <c:v>-1844913.0738892506</c:v>
                </c:pt>
                <c:pt idx="5">
                  <c:v>-1080808.4429833384</c:v>
                </c:pt>
                <c:pt idx="6">
                  <c:v>-417283.58372786222</c:v>
                </c:pt>
                <c:pt idx="7">
                  <c:v>158292.02061360551</c:v>
                </c:pt>
                <c:pt idx="8">
                  <c:v>764557.36742298666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E-F241-B8CB-E91526BC9C0C}"/>
            </c:ext>
          </c:extLst>
        </c:ser>
        <c:ser>
          <c:idx val="1"/>
          <c:order val="1"/>
          <c:tx>
            <c:strRef>
              <c:f>Breakeven!$C$2</c:f>
              <c:strCache>
                <c:ptCount val="1"/>
                <c:pt idx="0">
                  <c:v>Programmable Robots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Breakeven!$A$3:$A$11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Breakeven!$C$3:$C$11</c:f>
              <c:numCache>
                <c:formatCode>_("$"* #,##0.00_);_("$"* \(#,##0.00\);_("$"* "-"??_);_(@_)</c:formatCode>
                <c:ptCount val="9"/>
                <c:pt idx="0" formatCode="_(&quot;$&quot;* #,##0_);_(&quot;$&quot;* \(#,##0\);_(&quot;$&quot;* &quot;-&quot;??_);_(@_)">
                  <c:v>-2970297.03</c:v>
                </c:pt>
                <c:pt idx="1">
                  <c:v>-2332733.2463670545</c:v>
                </c:pt>
                <c:pt idx="2">
                  <c:v>-1677292.9247191339</c:v>
                </c:pt>
                <c:pt idx="3">
                  <c:v>-1144469.10456407</c:v>
                </c:pt>
                <c:pt idx="4">
                  <c:v>-688886.2939809924</c:v>
                </c:pt>
                <c:pt idx="5">
                  <c:v>-262232.38464758027</c:v>
                </c:pt>
                <c:pt idx="6">
                  <c:v>111305.40767264558</c:v>
                </c:pt>
                <c:pt idx="7">
                  <c:v>438232.35093859915</c:v>
                </c:pt>
                <c:pt idx="8">
                  <c:v>817352.54664481373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6E-F241-B8CB-E91526BC9C0C}"/>
            </c:ext>
          </c:extLst>
        </c:ser>
        <c:ser>
          <c:idx val="2"/>
          <c:order val="2"/>
          <c:tx>
            <c:strRef>
              <c:f>Breakeven!$D$2</c:f>
              <c:strCache>
                <c:ptCount val="1"/>
                <c:pt idx="0">
                  <c:v>Unmanned Craft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Breakeven!$A$3:$A$11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Breakeven!$D$3:$D$11</c:f>
              <c:numCache>
                <c:formatCode>_("$"* #,##0.00_);_("$"* \(#,##0.00\);_("$"* "-"??_);_(@_)</c:formatCode>
                <c:ptCount val="9"/>
                <c:pt idx="0" formatCode="_(&quot;$&quot;* #,##0_);_(&quot;$&quot;* \(#,##0\);_(&quot;$&quot;* &quot;-&quot;??_);_(@_)">
                  <c:v>-9500000</c:v>
                </c:pt>
                <c:pt idx="1">
                  <c:v>-8167590.9090909092</c:v>
                </c:pt>
                <c:pt idx="2">
                  <c:v>-6674373.7603305783</c:v>
                </c:pt>
                <c:pt idx="3">
                  <c:v>-5537647.6173929377</c:v>
                </c:pt>
                <c:pt idx="4">
                  <c:v>-4614412.8085555974</c:v>
                </c:pt>
                <c:pt idx="5">
                  <c:v>-3752154.4018736114</c:v>
                </c:pt>
                <c:pt idx="6">
                  <c:v>-3030083.0991781382</c:v>
                </c:pt>
                <c:pt idx="7">
                  <c:v>-2429149.2403629711</c:v>
                </c:pt>
                <c:pt idx="8">
                  <c:v>-1555527.0088331401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6E-F241-B8CB-E91526BC9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792576"/>
        <c:axId val="1107794224"/>
      </c:lineChart>
      <c:catAx>
        <c:axId val="110779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794224"/>
        <c:crosses val="autoZero"/>
        <c:auto val="1"/>
        <c:lblAlgn val="ctr"/>
        <c:lblOffset val="100"/>
        <c:noMultiLvlLbl val="0"/>
      </c:catAx>
      <c:valAx>
        <c:axId val="11077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79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</xdr:colOff>
      <xdr:row>1</xdr:row>
      <xdr:rowOff>6350</xdr:rowOff>
    </xdr:from>
    <xdr:to>
      <xdr:col>9</xdr:col>
      <xdr:colOff>755650</xdr:colOff>
      <xdr:row>15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2E2B94-BF8E-CAC1-07CA-13449419B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6"/>
  <sheetViews>
    <sheetView workbookViewId="0"/>
  </sheetViews>
  <sheetFormatPr baseColWidth="10" defaultColWidth="12.6640625" defaultRowHeight="15.75" customHeight="1" x14ac:dyDescent="0.15"/>
  <cols>
    <col min="3" max="3" width="14" customWidth="1"/>
    <col min="4" max="4" width="13.83203125" customWidth="1"/>
    <col min="7" max="7" width="13.6640625" customWidth="1"/>
    <col min="11" max="11" width="14.6640625" customWidth="1"/>
    <col min="12" max="12" width="12.1640625" customWidth="1"/>
    <col min="13" max="13" width="14.6640625" customWidth="1"/>
    <col min="14" max="14" width="13.5" customWidth="1"/>
  </cols>
  <sheetData>
    <row r="1" spans="1:23" ht="15.75" customHeight="1" x14ac:dyDescent="0.15">
      <c r="A1" s="1" t="s">
        <v>0</v>
      </c>
      <c r="B1" s="2">
        <v>0.1</v>
      </c>
      <c r="C1" s="3"/>
      <c r="D1" s="4" t="s">
        <v>1</v>
      </c>
      <c r="E1" s="5">
        <f>5.9*10^6</f>
        <v>5900000</v>
      </c>
      <c r="F1" s="6"/>
      <c r="G1" s="144" t="s">
        <v>2</v>
      </c>
      <c r="H1" s="145"/>
      <c r="I1" s="6"/>
      <c r="O1" s="6"/>
      <c r="P1" s="6"/>
      <c r="Q1" s="6"/>
      <c r="R1" s="6"/>
      <c r="S1" s="6"/>
      <c r="T1" s="6"/>
      <c r="U1" s="6"/>
      <c r="V1" s="6"/>
    </row>
    <row r="2" spans="1:23" ht="15.75" customHeight="1" x14ac:dyDescent="0.15">
      <c r="A2" s="7" t="s">
        <v>3</v>
      </c>
      <c r="B2" s="8">
        <v>5</v>
      </c>
      <c r="C2" s="6"/>
      <c r="D2" s="9" t="s">
        <v>4</v>
      </c>
      <c r="E2" s="10">
        <v>190000</v>
      </c>
      <c r="F2" s="6"/>
      <c r="G2" s="11" t="s">
        <v>5</v>
      </c>
      <c r="H2" s="12">
        <v>20</v>
      </c>
      <c r="I2" s="6"/>
      <c r="O2" s="6"/>
      <c r="P2" s="6"/>
      <c r="Q2" s="6"/>
      <c r="R2" s="6"/>
      <c r="S2" s="6"/>
      <c r="T2" s="6"/>
      <c r="U2" s="6"/>
      <c r="V2" s="6"/>
    </row>
    <row r="3" spans="1:23" ht="15.75" customHeight="1" x14ac:dyDescent="0.15">
      <c r="A3" s="7" t="s">
        <v>6</v>
      </c>
      <c r="B3" s="13">
        <v>7.5999999999999998E-2</v>
      </c>
      <c r="C3" s="6"/>
      <c r="D3" s="9" t="s">
        <v>7</v>
      </c>
      <c r="E3" s="10">
        <v>1250000</v>
      </c>
      <c r="F3" s="6"/>
      <c r="G3" s="11" t="s">
        <v>8</v>
      </c>
      <c r="H3" s="12">
        <v>32</v>
      </c>
      <c r="I3" s="6"/>
      <c r="O3" s="6"/>
      <c r="P3" s="6"/>
      <c r="Q3" s="6"/>
      <c r="R3" s="6"/>
      <c r="S3" s="6"/>
      <c r="T3" s="6"/>
      <c r="U3" s="6"/>
      <c r="V3" s="6"/>
    </row>
    <row r="4" spans="1:23" ht="15.75" customHeight="1" x14ac:dyDescent="0.15">
      <c r="A4" s="7" t="s">
        <v>9</v>
      </c>
      <c r="B4" s="14">
        <v>0.21</v>
      </c>
      <c r="C4" s="6"/>
      <c r="D4" s="9" t="s">
        <v>10</v>
      </c>
      <c r="E4" s="15">
        <v>8</v>
      </c>
      <c r="F4" s="6"/>
      <c r="G4" s="11" t="s">
        <v>11</v>
      </c>
      <c r="H4" s="12">
        <v>19.2</v>
      </c>
      <c r="I4" s="6"/>
      <c r="O4" s="6"/>
      <c r="P4" s="6"/>
      <c r="Q4" s="6"/>
      <c r="R4" s="6"/>
      <c r="S4" s="6"/>
      <c r="T4" s="6"/>
      <c r="U4" s="6"/>
      <c r="V4" s="6"/>
    </row>
    <row r="5" spans="1:23" ht="15.75" customHeight="1" x14ac:dyDescent="0.15">
      <c r="A5" s="7" t="s">
        <v>12</v>
      </c>
      <c r="B5" s="16">
        <v>1.0349999999999999</v>
      </c>
      <c r="C5" s="6"/>
      <c r="D5" s="17" t="s">
        <v>13</v>
      </c>
      <c r="E5" s="18">
        <v>70000</v>
      </c>
      <c r="F5" s="6"/>
      <c r="G5" s="11" t="s">
        <v>14</v>
      </c>
      <c r="H5" s="12">
        <v>11.52</v>
      </c>
      <c r="I5" s="6"/>
      <c r="O5" s="6"/>
      <c r="P5" s="6"/>
      <c r="Q5" s="6"/>
      <c r="R5" s="6"/>
      <c r="S5" s="6"/>
      <c r="T5" s="6"/>
      <c r="U5" s="6"/>
      <c r="V5" s="6"/>
    </row>
    <row r="6" spans="1:23" ht="15.75" customHeight="1" x14ac:dyDescent="0.15">
      <c r="A6" s="4"/>
      <c r="B6" s="19"/>
      <c r="C6" s="3"/>
      <c r="F6" s="6"/>
      <c r="G6" s="11" t="s">
        <v>15</v>
      </c>
      <c r="H6" s="12">
        <v>11.52</v>
      </c>
      <c r="I6" s="6"/>
      <c r="O6" s="6"/>
      <c r="P6" s="6"/>
      <c r="Q6" s="6"/>
      <c r="R6" s="6"/>
      <c r="S6" s="6"/>
      <c r="T6" s="6"/>
      <c r="U6" s="6"/>
      <c r="V6" s="6"/>
    </row>
    <row r="7" spans="1:23" ht="15.75" customHeight="1" x14ac:dyDescent="0.15">
      <c r="A7" s="7" t="s">
        <v>16</v>
      </c>
      <c r="B7" s="20">
        <f>B3+B4*(1-B3)</f>
        <v>0.27004</v>
      </c>
      <c r="C7" s="6"/>
      <c r="D7" s="6"/>
      <c r="E7" s="6"/>
      <c r="F7" s="6"/>
      <c r="G7" s="11" t="s">
        <v>17</v>
      </c>
      <c r="H7" s="12">
        <v>5.76</v>
      </c>
      <c r="I7" s="6"/>
      <c r="O7" s="6"/>
      <c r="P7" s="6"/>
      <c r="Q7" s="6"/>
      <c r="R7" s="6"/>
      <c r="S7" s="6"/>
      <c r="T7" s="6"/>
      <c r="U7" s="6"/>
      <c r="V7" s="6"/>
    </row>
    <row r="8" spans="1:23" ht="15.75" customHeight="1" x14ac:dyDescent="0.15">
      <c r="A8" s="11" t="s">
        <v>18</v>
      </c>
      <c r="B8" s="20">
        <f>IF(B2&gt;15, 1.5, 2)</f>
        <v>2</v>
      </c>
      <c r="C8" s="6"/>
      <c r="D8" s="6"/>
      <c r="E8" s="6"/>
      <c r="F8" s="6"/>
      <c r="G8" s="3"/>
      <c r="H8" s="3"/>
      <c r="I8" s="6"/>
      <c r="O8" s="6"/>
      <c r="P8" s="6"/>
      <c r="Q8" s="6"/>
      <c r="R8" s="6"/>
      <c r="S8" s="6"/>
      <c r="T8" s="6"/>
      <c r="U8" s="6"/>
      <c r="V8" s="6"/>
    </row>
    <row r="9" spans="1:23" ht="15.75" customHeight="1" x14ac:dyDescent="0.15">
      <c r="C9" s="6"/>
      <c r="D9" s="6"/>
      <c r="E9" s="6"/>
      <c r="F9" s="6"/>
      <c r="G9" s="6"/>
      <c r="H9" s="6"/>
      <c r="I9" s="146" t="s">
        <v>19</v>
      </c>
      <c r="J9" s="147"/>
      <c r="K9" s="148"/>
      <c r="O9" s="6"/>
      <c r="P9" s="6"/>
      <c r="Q9" s="6"/>
      <c r="R9" s="6"/>
      <c r="S9" s="6"/>
      <c r="T9" s="6"/>
      <c r="U9" s="6"/>
      <c r="V9" s="6"/>
    </row>
    <row r="10" spans="1:23" x14ac:dyDescent="0.2">
      <c r="A10" s="21" t="s">
        <v>20</v>
      </c>
      <c r="B10" s="21" t="s">
        <v>21</v>
      </c>
      <c r="C10" s="21" t="s">
        <v>22</v>
      </c>
      <c r="D10" s="21" t="s">
        <v>23</v>
      </c>
      <c r="E10" s="21" t="s">
        <v>24</v>
      </c>
      <c r="F10" s="21" t="s">
        <v>25</v>
      </c>
      <c r="G10" s="22" t="s">
        <v>26</v>
      </c>
      <c r="H10" s="23"/>
      <c r="I10" s="24" t="s">
        <v>27</v>
      </c>
      <c r="J10" s="3"/>
      <c r="K10" s="25" t="s">
        <v>28</v>
      </c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">
      <c r="A11" s="26" t="s">
        <v>29</v>
      </c>
      <c r="B11" s="27">
        <f>- E1</f>
        <v>-5900000</v>
      </c>
      <c r="C11" s="28"/>
      <c r="D11" s="28"/>
      <c r="E11" s="28"/>
      <c r="F11" s="27">
        <f t="shared" ref="F11:F20" si="0">B11 + E11</f>
        <v>-5900000</v>
      </c>
      <c r="G11" s="10">
        <f t="shared" ref="G11:G18" si="1">F11</f>
        <v>-5900000</v>
      </c>
      <c r="H11" s="27"/>
      <c r="I11" s="29">
        <v>0</v>
      </c>
      <c r="J11" s="27">
        <f>G11</f>
        <v>-5900000</v>
      </c>
      <c r="K11" s="10">
        <f>J11</f>
        <v>-5900000</v>
      </c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">
      <c r="A12" s="26">
        <v>1</v>
      </c>
      <c r="B12" s="27">
        <f>$E$3-E5</f>
        <v>1180000</v>
      </c>
      <c r="C12" s="27">
        <f t="shared" ref="C12:C19" si="2">$E$1*H2%</f>
        <v>1180000</v>
      </c>
      <c r="D12" s="27">
        <f t="shared" ref="D12:D20" si="3">B12-C12</f>
        <v>0</v>
      </c>
      <c r="E12" s="27">
        <f t="shared" ref="E12:E20" si="4">- $B$7 * D12</f>
        <v>0</v>
      </c>
      <c r="F12" s="27">
        <f t="shared" si="0"/>
        <v>1180000</v>
      </c>
      <c r="G12" s="10">
        <f t="shared" si="1"/>
        <v>1180000</v>
      </c>
      <c r="H12" s="27"/>
      <c r="I12" s="29">
        <v>1</v>
      </c>
      <c r="J12" s="30">
        <f t="array" ref="J12">NPV(B1,G12)</f>
        <v>1072727.2727272727</v>
      </c>
      <c r="K12" s="31">
        <f t="shared" ref="K12:K19" si="5">K11+J12</f>
        <v>-4827272.7272727275</v>
      </c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">
      <c r="A13" s="26">
        <v>2</v>
      </c>
      <c r="B13" s="27">
        <f>$E$3*$B$5</f>
        <v>1293750</v>
      </c>
      <c r="C13" s="27">
        <f t="shared" si="2"/>
        <v>1888000</v>
      </c>
      <c r="D13" s="27">
        <f t="shared" si="3"/>
        <v>-594250</v>
      </c>
      <c r="E13" s="27">
        <f t="shared" si="4"/>
        <v>160471.26999999999</v>
      </c>
      <c r="F13" s="27">
        <f t="shared" si="0"/>
        <v>1454221.27</v>
      </c>
      <c r="G13" s="10">
        <f t="shared" si="1"/>
        <v>1454221.27</v>
      </c>
      <c r="H13" s="27"/>
      <c r="I13" s="29">
        <v>2</v>
      </c>
      <c r="J13" s="30">
        <f t="array" ref="J13">NPV(B1,0,G13)</f>
        <v>1201835.7603305783</v>
      </c>
      <c r="K13" s="31">
        <f t="shared" si="5"/>
        <v>-3625436.9669421492</v>
      </c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">
      <c r="A14" s="26">
        <v>3</v>
      </c>
      <c r="B14" s="27">
        <f t="shared" ref="B14:B19" si="6">B13*$B$5</f>
        <v>1339031.25</v>
      </c>
      <c r="C14" s="27">
        <f t="shared" si="2"/>
        <v>1132800</v>
      </c>
      <c r="D14" s="27">
        <f t="shared" si="3"/>
        <v>206231.25</v>
      </c>
      <c r="E14" s="27">
        <f t="shared" si="4"/>
        <v>-55690.686750000001</v>
      </c>
      <c r="F14" s="27">
        <f t="shared" si="0"/>
        <v>1283340.5632499999</v>
      </c>
      <c r="G14" s="10">
        <f t="shared" si="1"/>
        <v>1283340.5632499999</v>
      </c>
      <c r="H14" s="27"/>
      <c r="I14" s="29">
        <v>3</v>
      </c>
      <c r="J14" s="30">
        <f t="array" ref="J14">NPV(B1,0,0,G14)</f>
        <v>964192.75976709207</v>
      </c>
      <c r="K14" s="31">
        <f t="shared" si="5"/>
        <v>-2661244.2071750574</v>
      </c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">
      <c r="A15" s="26">
        <v>4</v>
      </c>
      <c r="B15" s="27">
        <f t="shared" si="6"/>
        <v>1385897.34375</v>
      </c>
      <c r="C15" s="27">
        <f t="shared" si="2"/>
        <v>679680</v>
      </c>
      <c r="D15" s="27">
        <f t="shared" si="3"/>
        <v>706217.34375</v>
      </c>
      <c r="E15" s="27">
        <f t="shared" si="4"/>
        <v>-190706.93150625</v>
      </c>
      <c r="F15" s="27">
        <f t="shared" si="0"/>
        <v>1195190.4122437499</v>
      </c>
      <c r="G15" s="10">
        <f t="shared" si="1"/>
        <v>1195190.4122437499</v>
      </c>
      <c r="H15" s="27"/>
      <c r="I15" s="29">
        <v>4</v>
      </c>
      <c r="J15" s="30">
        <f t="array" ref="J15">NPV(B1,0,0,0,G15)</f>
        <v>816331.13328580663</v>
      </c>
      <c r="K15" s="31">
        <f t="shared" si="5"/>
        <v>-1844913.0738892509</v>
      </c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">
      <c r="A16" s="26">
        <v>5</v>
      </c>
      <c r="B16" s="27">
        <f t="shared" si="6"/>
        <v>1434403.75078125</v>
      </c>
      <c r="C16" s="27">
        <f t="shared" si="2"/>
        <v>679680</v>
      </c>
      <c r="D16" s="27">
        <f t="shared" si="3"/>
        <v>754723.75078124995</v>
      </c>
      <c r="E16" s="27">
        <f t="shared" si="4"/>
        <v>-203805.60166096874</v>
      </c>
      <c r="F16" s="27">
        <f t="shared" si="0"/>
        <v>1230598.1491202812</v>
      </c>
      <c r="G16" s="10">
        <f t="shared" si="1"/>
        <v>1230598.1491202812</v>
      </c>
      <c r="H16" s="27"/>
      <c r="I16" s="29">
        <v>5</v>
      </c>
      <c r="J16" s="30">
        <f t="array" ref="J16">NPV(B1,0,0,0,0,G16)</f>
        <v>764104.63090591214</v>
      </c>
      <c r="K16" s="31">
        <f t="shared" si="5"/>
        <v>-1080808.4429833386</v>
      </c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">
      <c r="A17" s="26">
        <v>6</v>
      </c>
      <c r="B17" s="27">
        <f t="shared" si="6"/>
        <v>1484607.8820585937</v>
      </c>
      <c r="C17" s="27">
        <f t="shared" si="2"/>
        <v>339840</v>
      </c>
      <c r="D17" s="27">
        <f t="shared" si="3"/>
        <v>1144767.8820585937</v>
      </c>
      <c r="E17" s="27">
        <f t="shared" si="4"/>
        <v>-309133.11887110263</v>
      </c>
      <c r="F17" s="27">
        <f t="shared" si="0"/>
        <v>1175474.7631874911</v>
      </c>
      <c r="G17" s="10">
        <f t="shared" si="1"/>
        <v>1175474.7631874911</v>
      </c>
      <c r="H17" s="27"/>
      <c r="I17" s="29">
        <v>6</v>
      </c>
      <c r="J17" s="30">
        <f t="array" ref="J17">NPV(B1,0,0,0,0,0,G17)</f>
        <v>663524.85925547604</v>
      </c>
      <c r="K17" s="31">
        <f t="shared" si="5"/>
        <v>-417283.58372786257</v>
      </c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">
      <c r="A18" s="26">
        <v>7</v>
      </c>
      <c r="B18" s="27">
        <f t="shared" si="6"/>
        <v>1536569.1579306442</v>
      </c>
      <c r="C18" s="27">
        <f t="shared" si="2"/>
        <v>0</v>
      </c>
      <c r="D18" s="27">
        <f t="shared" si="3"/>
        <v>1536569.1579306442</v>
      </c>
      <c r="E18" s="27">
        <f t="shared" si="4"/>
        <v>-414935.13540759118</v>
      </c>
      <c r="F18" s="27">
        <f t="shared" si="0"/>
        <v>1121634.022523053</v>
      </c>
      <c r="G18" s="10">
        <f t="shared" si="1"/>
        <v>1121634.022523053</v>
      </c>
      <c r="H18" s="27"/>
      <c r="I18" s="29">
        <v>7</v>
      </c>
      <c r="J18" s="30">
        <f t="array" ref="J18">NPV(B1,0,0,0,0,0,0,G18)</f>
        <v>575575.60434146773</v>
      </c>
      <c r="K18" s="31">
        <f t="shared" si="5"/>
        <v>158292.02061360516</v>
      </c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">
      <c r="A19" s="26">
        <v>8</v>
      </c>
      <c r="B19" s="27">
        <f t="shared" si="6"/>
        <v>1590349.0784582167</v>
      </c>
      <c r="C19" s="27">
        <f t="shared" si="2"/>
        <v>0</v>
      </c>
      <c r="D19" s="27">
        <f t="shared" si="3"/>
        <v>1590349.0784582167</v>
      </c>
      <c r="E19" s="27">
        <f t="shared" si="4"/>
        <v>-429457.86514685687</v>
      </c>
      <c r="F19" s="27">
        <f t="shared" si="0"/>
        <v>1160891.2133113598</v>
      </c>
      <c r="G19" s="10">
        <f>F19+F20</f>
        <v>1299583.6133113597</v>
      </c>
      <c r="H19" s="27"/>
      <c r="I19" s="29">
        <v>8</v>
      </c>
      <c r="J19" s="30">
        <f t="array" ref="J19">NPV(B1,0,0,0,0,0,0,0,G19)</f>
        <v>606265.34680938115</v>
      </c>
      <c r="K19" s="31">
        <f t="shared" si="5"/>
        <v>764557.36742298631</v>
      </c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">
      <c r="A20" s="26">
        <v>8</v>
      </c>
      <c r="B20" s="27">
        <f>E2</f>
        <v>190000</v>
      </c>
      <c r="C20" s="27">
        <f>$E$1*H9%</f>
        <v>0</v>
      </c>
      <c r="D20" s="27">
        <f t="shared" si="3"/>
        <v>190000</v>
      </c>
      <c r="E20" s="27">
        <f t="shared" si="4"/>
        <v>-51307.6</v>
      </c>
      <c r="F20" s="27">
        <f t="shared" si="0"/>
        <v>138692.4</v>
      </c>
      <c r="G20" s="10"/>
      <c r="H20" s="27"/>
      <c r="I20" s="32"/>
      <c r="J20" s="33"/>
      <c r="K20" s="34"/>
      <c r="O20" s="6"/>
      <c r="P20" s="6"/>
      <c r="Q20" s="6"/>
      <c r="R20" s="6"/>
      <c r="S20" s="6"/>
      <c r="T20" s="6"/>
      <c r="U20" s="6"/>
      <c r="V20" s="6"/>
      <c r="W20" s="6"/>
    </row>
    <row r="21" spans="1:23" ht="15.75" customHeight="1" x14ac:dyDescent="0.15">
      <c r="A21" s="35"/>
      <c r="B21" s="35"/>
      <c r="C21" s="35"/>
      <c r="D21" s="35"/>
      <c r="E21" s="35"/>
      <c r="F21" s="35"/>
      <c r="G21" s="36"/>
      <c r="H21" s="37"/>
      <c r="I21" s="37"/>
      <c r="J21" s="38">
        <f>SUM(J11:J19)</f>
        <v>764557.36742298631</v>
      </c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">
      <c r="A22" s="6"/>
      <c r="B22" s="6"/>
      <c r="C22" s="6"/>
      <c r="D22" s="6"/>
      <c r="E22" s="39"/>
      <c r="F22" s="40" t="s">
        <v>30</v>
      </c>
      <c r="G22" s="41">
        <f t="array" ref="G22">NPV($B$1,G12:G19)+G11</f>
        <v>764557.36742298678</v>
      </c>
      <c r="H22" s="39"/>
      <c r="I22" s="42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3" x14ac:dyDescent="0.2">
      <c r="A23" s="6"/>
      <c r="B23" s="6"/>
      <c r="C23" s="6"/>
      <c r="D23" s="6"/>
      <c r="E23" s="39"/>
      <c r="F23" s="43" t="s">
        <v>31</v>
      </c>
      <c r="G23" s="44">
        <f>PMT($B$1,$E$4,-G22)</f>
        <v>143311.70461618746</v>
      </c>
      <c r="H23" s="39"/>
      <c r="I23" s="42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3" x14ac:dyDescent="0.2">
      <c r="A24" s="6"/>
      <c r="B24" s="6"/>
      <c r="C24" s="6"/>
      <c r="D24" s="6"/>
      <c r="E24" s="39"/>
      <c r="F24" s="45" t="s">
        <v>32</v>
      </c>
      <c r="G24" s="46">
        <f>IRR(G11:G19, $B$1)</f>
        <v>0.13518971479854636</v>
      </c>
      <c r="H24" s="39"/>
      <c r="I24" s="42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3" x14ac:dyDescent="0.2">
      <c r="A25" s="6"/>
      <c r="B25" s="6"/>
      <c r="C25" s="6"/>
      <c r="D25" s="6"/>
      <c r="E25" s="39"/>
      <c r="H25" s="39"/>
      <c r="I25" s="42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3" x14ac:dyDescent="0.2">
      <c r="A26" s="149" t="s">
        <v>33</v>
      </c>
      <c r="B26" s="150"/>
      <c r="C26" s="150"/>
      <c r="D26" s="47">
        <v>0</v>
      </c>
      <c r="E26" s="39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3" ht="15.75" customHeight="1" x14ac:dyDescent="0.15">
      <c r="A27" s="149" t="s">
        <v>34</v>
      </c>
      <c r="B27" s="150"/>
      <c r="C27" s="150"/>
      <c r="D27" s="28">
        <f>B20-D26</f>
        <v>190000</v>
      </c>
      <c r="H27" s="6"/>
      <c r="I27" s="42"/>
      <c r="J27" s="6"/>
      <c r="K27" s="2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3" ht="15.75" customHeight="1" x14ac:dyDescent="0.15">
      <c r="A28" s="6"/>
      <c r="B28" s="6"/>
      <c r="C28" s="6"/>
      <c r="D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3" ht="15.75" customHeight="1" x14ac:dyDescent="0.15">
      <c r="A29" s="48" t="s">
        <v>35</v>
      </c>
      <c r="B29" s="49" t="s">
        <v>36</v>
      </c>
      <c r="C29" s="6"/>
      <c r="D29" s="6"/>
      <c r="F29" s="6"/>
      <c r="G29" s="6"/>
      <c r="H29" s="50" t="s">
        <v>27</v>
      </c>
      <c r="I29" s="51" t="s">
        <v>37</v>
      </c>
      <c r="J29" s="51" t="s">
        <v>38</v>
      </c>
      <c r="K29" s="52" t="s">
        <v>39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3" ht="15.75" customHeight="1" x14ac:dyDescent="0.15">
      <c r="A30" s="48" t="s">
        <v>40</v>
      </c>
      <c r="B30" s="49" t="s">
        <v>41</v>
      </c>
      <c r="C30" s="6"/>
      <c r="D30" s="6"/>
      <c r="E30" s="6"/>
      <c r="F30" s="6"/>
      <c r="G30" s="6"/>
      <c r="H30" s="53" t="s">
        <v>5</v>
      </c>
      <c r="I30" s="6">
        <v>0.90910000000000002</v>
      </c>
      <c r="J30" s="6">
        <v>1</v>
      </c>
      <c r="K30" s="54">
        <v>1.1000000000000001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3" ht="15.75" customHeight="1" x14ac:dyDescent="0.15">
      <c r="A31" s="48" t="s">
        <v>42</v>
      </c>
      <c r="B31" s="49" t="s">
        <v>43</v>
      </c>
      <c r="C31" s="6"/>
      <c r="D31" s="6"/>
      <c r="E31" s="6"/>
      <c r="F31" s="6"/>
      <c r="G31" s="6"/>
      <c r="H31" s="53" t="s">
        <v>8</v>
      </c>
      <c r="I31" s="6">
        <v>0.82640000000000002</v>
      </c>
      <c r="J31" s="6">
        <v>0.47620000000000001</v>
      </c>
      <c r="K31" s="5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3" ht="15.75" customHeight="1" x14ac:dyDescent="0.15">
      <c r="A32" s="48" t="s">
        <v>44</v>
      </c>
      <c r="B32" s="49" t="s">
        <v>45</v>
      </c>
      <c r="C32" s="6"/>
      <c r="D32" s="6"/>
      <c r="E32" s="6"/>
      <c r="F32" s="6"/>
      <c r="G32" s="6"/>
      <c r="H32" s="53" t="s">
        <v>11</v>
      </c>
      <c r="I32" s="6">
        <v>0.75129999999999997</v>
      </c>
      <c r="J32" s="6">
        <v>0.30209999999999998</v>
      </c>
      <c r="K32" s="5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.75" customHeight="1" x14ac:dyDescent="0.15">
      <c r="A33" s="48" t="s">
        <v>46</v>
      </c>
      <c r="B33" s="49" t="s">
        <v>47</v>
      </c>
      <c r="C33" s="6"/>
      <c r="D33" s="6"/>
      <c r="E33" s="6"/>
      <c r="F33" s="6"/>
      <c r="G33" s="54"/>
      <c r="H33" s="6" t="s">
        <v>14</v>
      </c>
      <c r="I33" s="6">
        <v>0.68300000000000005</v>
      </c>
      <c r="J33" s="6">
        <v>0.2155</v>
      </c>
      <c r="K33" s="5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 x14ac:dyDescent="0.15">
      <c r="A34" s="48" t="s">
        <v>48</v>
      </c>
      <c r="B34" s="49" t="s">
        <v>49</v>
      </c>
      <c r="C34" s="6"/>
      <c r="D34" s="6"/>
      <c r="E34" s="6"/>
      <c r="F34" s="6"/>
      <c r="G34" s="6"/>
      <c r="H34" s="53" t="s">
        <v>15</v>
      </c>
      <c r="I34" s="6">
        <v>0.62090000000000001</v>
      </c>
      <c r="J34" s="6">
        <v>0.1638</v>
      </c>
      <c r="K34" s="5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 x14ac:dyDescent="0.15">
      <c r="A35" s="48" t="s">
        <v>50</v>
      </c>
      <c r="B35" s="49" t="s">
        <v>51</v>
      </c>
      <c r="C35" s="6"/>
      <c r="D35" s="6"/>
      <c r="E35" s="6"/>
      <c r="F35" s="6"/>
      <c r="G35" s="6"/>
      <c r="H35" s="53" t="s">
        <v>17</v>
      </c>
      <c r="I35" s="6">
        <v>0.5645</v>
      </c>
      <c r="J35" s="6">
        <v>0.12959999999999999</v>
      </c>
      <c r="K35" s="5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 x14ac:dyDescent="0.15">
      <c r="A36" s="48" t="s">
        <v>52</v>
      </c>
      <c r="B36" s="49" t="s">
        <v>53</v>
      </c>
      <c r="C36" s="6"/>
      <c r="D36" s="6"/>
      <c r="E36" s="6"/>
      <c r="F36" s="6"/>
      <c r="G36" s="6"/>
      <c r="H36" s="53" t="s">
        <v>54</v>
      </c>
      <c r="I36" s="6">
        <v>0.51319999999999999</v>
      </c>
      <c r="J36" s="6">
        <v>0.10539999999999999</v>
      </c>
      <c r="K36" s="5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 x14ac:dyDescent="0.15">
      <c r="A37" s="48" t="s">
        <v>55</v>
      </c>
      <c r="B37" s="49" t="s">
        <v>56</v>
      </c>
      <c r="C37" s="6"/>
      <c r="D37" s="6"/>
      <c r="E37" s="6"/>
      <c r="F37" s="6"/>
      <c r="G37" s="6"/>
      <c r="H37" s="55" t="s">
        <v>57</v>
      </c>
      <c r="I37" s="56">
        <v>0.46650000000000003</v>
      </c>
      <c r="J37" s="56">
        <v>8.7400000000000005E-2</v>
      </c>
      <c r="K37" s="5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 x14ac:dyDescent="0.15">
      <c r="A38" s="48" t="s">
        <v>58</v>
      </c>
      <c r="B38" s="49" t="s">
        <v>59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5.75" customHeight="1" x14ac:dyDescent="0.15">
      <c r="A39" s="48" t="s">
        <v>60</v>
      </c>
      <c r="B39" s="49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5.75" customHeight="1" x14ac:dyDescent="0.15">
      <c r="A40" s="48" t="s">
        <v>62</v>
      </c>
      <c r="B40" s="49" t="s">
        <v>63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5.75" customHeight="1" x14ac:dyDescent="0.15">
      <c r="A41" s="48" t="s">
        <v>64</v>
      </c>
      <c r="B41" s="49" t="s">
        <v>65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5.75" customHeight="1" x14ac:dyDescent="0.15">
      <c r="A42" s="48" t="s">
        <v>66</v>
      </c>
      <c r="B42" s="49" t="s">
        <v>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5.75" customHeight="1" x14ac:dyDescent="0.15">
      <c r="A43" s="48" t="s">
        <v>68</v>
      </c>
      <c r="B43" s="49" t="s">
        <v>69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5.75" customHeight="1" x14ac:dyDescent="0.15">
      <c r="A44" s="48" t="s">
        <v>70</v>
      </c>
      <c r="B44" s="49" t="s">
        <v>71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5.7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.7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spans="1:22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spans="1:22" ht="13" x14ac:dyDescent="0.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 spans="1:22" ht="13" x14ac:dyDescent="0.15"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spans="1:22" ht="13" x14ac:dyDescent="0.15"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 spans="1:22" ht="13" x14ac:dyDescent="0.15"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spans="1:22" ht="13" x14ac:dyDescent="0.15"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spans="1:22" ht="13" x14ac:dyDescent="0.15"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</sheetData>
  <mergeCells count="4">
    <mergeCell ref="G1:H1"/>
    <mergeCell ref="I9:K9"/>
    <mergeCell ref="A26:C26"/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5"/>
  <sheetViews>
    <sheetView workbookViewId="0"/>
  </sheetViews>
  <sheetFormatPr baseColWidth="10" defaultColWidth="12.6640625" defaultRowHeight="15.75" customHeight="1" x14ac:dyDescent="0.15"/>
  <cols>
    <col min="1" max="1" width="14.33203125" customWidth="1"/>
    <col min="3" max="3" width="14" customWidth="1"/>
    <col min="4" max="4" width="15.83203125" customWidth="1"/>
    <col min="7" max="8" width="13.6640625" customWidth="1"/>
    <col min="11" max="11" width="13.33203125" customWidth="1"/>
  </cols>
  <sheetData>
    <row r="1" spans="1:23" ht="15.75" customHeight="1" x14ac:dyDescent="0.15">
      <c r="A1" s="58" t="s">
        <v>0</v>
      </c>
      <c r="B1" s="59">
        <v>0.1</v>
      </c>
      <c r="C1" s="6"/>
      <c r="D1" s="58" t="s">
        <v>1</v>
      </c>
      <c r="E1" s="60">
        <v>2970297.03</v>
      </c>
      <c r="F1" s="6"/>
      <c r="G1" s="61"/>
      <c r="H1" s="144" t="s">
        <v>2</v>
      </c>
      <c r="I1" s="145"/>
      <c r="J1" s="6"/>
      <c r="L1" s="61" t="s">
        <v>37</v>
      </c>
      <c r="M1" s="61" t="s">
        <v>38</v>
      </c>
      <c r="N1" s="6" t="s">
        <v>39</v>
      </c>
      <c r="O1" s="6"/>
      <c r="P1" s="6"/>
      <c r="Q1" s="6"/>
      <c r="R1" s="6"/>
      <c r="S1" s="6"/>
      <c r="T1" s="6"/>
      <c r="U1" s="6"/>
      <c r="V1" s="6"/>
      <c r="W1" s="6"/>
    </row>
    <row r="2" spans="1:23" ht="15.75" customHeight="1" x14ac:dyDescent="0.15">
      <c r="A2" s="62" t="s">
        <v>3</v>
      </c>
      <c r="B2" s="63">
        <v>5</v>
      </c>
      <c r="C2" s="6"/>
      <c r="D2" s="62" t="s">
        <v>4</v>
      </c>
      <c r="E2" s="64">
        <v>210000</v>
      </c>
      <c r="F2" s="6"/>
      <c r="G2" s="6"/>
      <c r="H2" s="11" t="s">
        <v>5</v>
      </c>
      <c r="I2" s="12">
        <v>20</v>
      </c>
      <c r="J2" s="6"/>
      <c r="K2" s="6" t="s">
        <v>5</v>
      </c>
      <c r="L2" s="6">
        <v>0.90910000000000002</v>
      </c>
      <c r="M2" s="6">
        <v>1</v>
      </c>
      <c r="N2" s="6">
        <v>1.1000000000000001</v>
      </c>
      <c r="O2" s="6"/>
      <c r="P2" s="6"/>
      <c r="Q2" s="6"/>
      <c r="R2" s="6"/>
      <c r="S2" s="6"/>
      <c r="T2" s="6"/>
      <c r="U2" s="6"/>
      <c r="V2" s="6"/>
      <c r="W2" s="6"/>
    </row>
    <row r="3" spans="1:23" ht="15.75" customHeight="1" x14ac:dyDescent="0.15">
      <c r="A3" s="62" t="s">
        <v>6</v>
      </c>
      <c r="B3" s="65">
        <v>7.5999999999999998E-2</v>
      </c>
      <c r="C3" s="6"/>
      <c r="D3" s="62" t="s">
        <v>7</v>
      </c>
      <c r="E3" s="64">
        <v>710000</v>
      </c>
      <c r="F3" s="6"/>
      <c r="G3" s="6"/>
      <c r="H3" s="11" t="s">
        <v>8</v>
      </c>
      <c r="I3" s="12">
        <v>32</v>
      </c>
      <c r="J3" s="6"/>
      <c r="K3" s="6" t="s">
        <v>8</v>
      </c>
      <c r="L3" s="6">
        <v>0.82640000000000002</v>
      </c>
      <c r="M3" s="6">
        <v>0.47620000000000001</v>
      </c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.75" customHeight="1" x14ac:dyDescent="0.15">
      <c r="A4" s="62" t="s">
        <v>9</v>
      </c>
      <c r="B4" s="66">
        <v>0.21</v>
      </c>
      <c r="C4" s="6"/>
      <c r="D4" s="62" t="s">
        <v>10</v>
      </c>
      <c r="E4" s="63">
        <v>8</v>
      </c>
      <c r="F4" s="6"/>
      <c r="G4" s="6"/>
      <c r="H4" s="11" t="s">
        <v>11</v>
      </c>
      <c r="I4" s="12">
        <v>19.2</v>
      </c>
      <c r="J4" s="6"/>
      <c r="K4" s="6" t="s">
        <v>11</v>
      </c>
      <c r="L4" s="6">
        <v>0.75129999999999997</v>
      </c>
      <c r="M4" s="6">
        <v>0.30209999999999998</v>
      </c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.75" customHeight="1" x14ac:dyDescent="0.15">
      <c r="A5" s="62" t="s">
        <v>72</v>
      </c>
      <c r="B5" s="67">
        <v>1.0349999999999999</v>
      </c>
      <c r="C5" s="6"/>
      <c r="D5" s="53" t="s">
        <v>73</v>
      </c>
      <c r="E5" s="68">
        <v>90000</v>
      </c>
      <c r="F5" s="6"/>
      <c r="G5" s="6"/>
      <c r="H5" s="11" t="s">
        <v>14</v>
      </c>
      <c r="I5" s="12">
        <v>11.52</v>
      </c>
      <c r="J5" s="6"/>
      <c r="K5" s="6" t="s">
        <v>14</v>
      </c>
      <c r="L5" s="6">
        <v>0.68300000000000005</v>
      </c>
      <c r="M5" s="6">
        <v>0.2155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5.75" customHeight="1" x14ac:dyDescent="0.15">
      <c r="A6" s="62" t="s">
        <v>16</v>
      </c>
      <c r="B6" s="69">
        <f>B3+B4*(1-B3)</f>
        <v>0.27004</v>
      </c>
      <c r="C6" s="6"/>
      <c r="D6" s="53"/>
      <c r="E6" s="68"/>
      <c r="F6" s="6"/>
      <c r="G6" s="6"/>
      <c r="H6" s="11" t="s">
        <v>15</v>
      </c>
      <c r="I6" s="12">
        <v>11.52</v>
      </c>
      <c r="J6" s="6"/>
      <c r="K6" s="6" t="s">
        <v>15</v>
      </c>
      <c r="L6" s="6">
        <v>0.62090000000000001</v>
      </c>
      <c r="M6" s="6">
        <v>0.1638</v>
      </c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5.75" customHeight="1" x14ac:dyDescent="0.15">
      <c r="A7" s="55" t="s">
        <v>18</v>
      </c>
      <c r="B7" s="70">
        <f>IF(B2&gt;15, 1.5, 2)</f>
        <v>2</v>
      </c>
      <c r="C7" s="6"/>
      <c r="D7" s="62" t="s">
        <v>74</v>
      </c>
      <c r="E7" s="68">
        <f>9000</f>
        <v>9000</v>
      </c>
      <c r="F7" s="6"/>
      <c r="G7" s="6"/>
      <c r="H7" s="11" t="s">
        <v>17</v>
      </c>
      <c r="I7" s="12">
        <v>5.76</v>
      </c>
      <c r="J7" s="6"/>
      <c r="K7" s="6" t="s">
        <v>17</v>
      </c>
      <c r="L7" s="6">
        <v>0.5645</v>
      </c>
      <c r="M7" s="6">
        <v>0.12959999999999999</v>
      </c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.75" customHeight="1" x14ac:dyDescent="0.15">
      <c r="C8" s="6"/>
      <c r="D8" s="62" t="s">
        <v>75</v>
      </c>
      <c r="E8" s="68">
        <v>29000</v>
      </c>
      <c r="F8" s="6"/>
      <c r="G8" s="6"/>
      <c r="H8" s="3"/>
      <c r="I8" s="3"/>
      <c r="J8" s="6"/>
      <c r="K8" s="6" t="s">
        <v>54</v>
      </c>
      <c r="L8" s="6">
        <v>0.51319999999999999</v>
      </c>
      <c r="M8" s="6">
        <v>0.10539999999999999</v>
      </c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5.75" customHeight="1" x14ac:dyDescent="0.15">
      <c r="C9" s="6"/>
      <c r="D9" s="62" t="s">
        <v>13</v>
      </c>
      <c r="E9" s="68">
        <v>21000</v>
      </c>
      <c r="F9" s="6"/>
      <c r="G9" s="6"/>
      <c r="H9" s="6"/>
      <c r="I9" s="6"/>
      <c r="J9" s="6"/>
      <c r="K9" s="6" t="s">
        <v>57</v>
      </c>
      <c r="L9" s="6">
        <v>0.46650000000000003</v>
      </c>
      <c r="M9" s="6">
        <v>8.7400000000000005E-2</v>
      </c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5.75" customHeight="1" x14ac:dyDescent="0.15">
      <c r="A10" s="9"/>
      <c r="B10" s="6"/>
      <c r="C10" s="6"/>
      <c r="D10" s="55" t="s">
        <v>76</v>
      </c>
      <c r="E10" s="71">
        <v>90000</v>
      </c>
      <c r="F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1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75" customHeight="1" x14ac:dyDescent="0.15">
      <c r="A12" s="72"/>
      <c r="B12" s="72"/>
      <c r="C12" s="17"/>
      <c r="D12" s="17"/>
      <c r="E12" s="17"/>
      <c r="F12" s="17"/>
      <c r="G12" s="17"/>
      <c r="H12" s="6"/>
      <c r="I12" s="151" t="s">
        <v>19</v>
      </c>
      <c r="J12" s="147"/>
      <c r="K12" s="148"/>
      <c r="L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">
      <c r="A13" s="73" t="s">
        <v>20</v>
      </c>
      <c r="B13" s="21" t="s">
        <v>21</v>
      </c>
      <c r="C13" s="21" t="s">
        <v>22</v>
      </c>
      <c r="D13" s="21" t="s">
        <v>23</v>
      </c>
      <c r="E13" s="21" t="s">
        <v>24</v>
      </c>
      <c r="F13" s="21" t="s">
        <v>25</v>
      </c>
      <c r="G13" s="22" t="s">
        <v>77</v>
      </c>
      <c r="H13" s="74"/>
      <c r="I13" s="75" t="s">
        <v>27</v>
      </c>
      <c r="J13" s="76"/>
      <c r="K13" s="77" t="s">
        <v>28</v>
      </c>
      <c r="L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">
      <c r="A14" s="26" t="s">
        <v>29</v>
      </c>
      <c r="B14" s="27">
        <f>- E1</f>
        <v>-2970297.03</v>
      </c>
      <c r="C14" s="28"/>
      <c r="D14" s="28"/>
      <c r="E14" s="28"/>
      <c r="F14" s="27">
        <f t="shared" ref="F14:F23" si="0">B14 + E14</f>
        <v>-2970297.03</v>
      </c>
      <c r="G14" s="10">
        <f t="shared" ref="G14:G21" si="1">F14</f>
        <v>-2970297.03</v>
      </c>
      <c r="H14" s="43"/>
      <c r="I14" s="29">
        <v>0</v>
      </c>
      <c r="J14" s="27">
        <f>G14</f>
        <v>-2970297.03</v>
      </c>
      <c r="K14" s="10">
        <f>J14</f>
        <v>-2970297.03</v>
      </c>
      <c r="L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2">
      <c r="A15" s="26">
        <v>1</v>
      </c>
      <c r="B15" s="27">
        <f>$E$3-E7-E8-E9+E10</f>
        <v>741000</v>
      </c>
      <c r="C15" s="27">
        <f t="shared" ref="C15:C23" si="2">$E$1*I2%</f>
        <v>594059.40599999996</v>
      </c>
      <c r="D15" s="27">
        <f t="shared" ref="D15:D23" si="3">B15-C15</f>
        <v>146940.59400000004</v>
      </c>
      <c r="E15" s="27">
        <f t="shared" ref="E15:E23" si="4">- $B$6 * D15</f>
        <v>-39679.838003760015</v>
      </c>
      <c r="F15" s="27">
        <f t="shared" si="0"/>
        <v>701320.16199624003</v>
      </c>
      <c r="G15" s="10">
        <f t="shared" si="1"/>
        <v>701320.16199624003</v>
      </c>
      <c r="H15" s="43"/>
      <c r="I15" s="29">
        <v>1</v>
      </c>
      <c r="J15" s="30">
        <f t="array" ref="J15">NPV(B1,G15)</f>
        <v>637563.78363294539</v>
      </c>
      <c r="K15" s="31">
        <f t="shared" ref="K15:K22" si="5">K14+J15</f>
        <v>-2332733.2463670545</v>
      </c>
      <c r="L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2">
      <c r="A16" s="26">
        <v>2</v>
      </c>
      <c r="B16" s="27">
        <f>$E$3*$B$5</f>
        <v>734850</v>
      </c>
      <c r="C16" s="27">
        <f t="shared" si="2"/>
        <v>950495.04959999991</v>
      </c>
      <c r="D16" s="27">
        <f t="shared" si="3"/>
        <v>-215645.04959999991</v>
      </c>
      <c r="E16" s="27">
        <f t="shared" si="4"/>
        <v>58232.789193983976</v>
      </c>
      <c r="F16" s="27">
        <f t="shared" si="0"/>
        <v>793082.789193984</v>
      </c>
      <c r="G16" s="10">
        <f t="shared" si="1"/>
        <v>793082.789193984</v>
      </c>
      <c r="H16" s="43"/>
      <c r="I16" s="29">
        <v>2</v>
      </c>
      <c r="J16" s="30">
        <f t="array" ref="J16">NPV(B1,0,G16)</f>
        <v>655440.32164792065</v>
      </c>
      <c r="K16" s="31">
        <f t="shared" si="5"/>
        <v>-1677292.9247191339</v>
      </c>
      <c r="L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">
      <c r="A17" s="26">
        <v>3</v>
      </c>
      <c r="B17" s="27">
        <f t="shared" ref="B17:B22" si="6">B16*$B$5</f>
        <v>760569.74999999988</v>
      </c>
      <c r="C17" s="27">
        <f t="shared" si="2"/>
        <v>570297.02975999995</v>
      </c>
      <c r="D17" s="27">
        <f t="shared" si="3"/>
        <v>190272.72023999994</v>
      </c>
      <c r="E17" s="27">
        <f t="shared" si="4"/>
        <v>-51381.245373609585</v>
      </c>
      <c r="F17" s="27">
        <f t="shared" si="0"/>
        <v>709188.50462639029</v>
      </c>
      <c r="G17" s="10">
        <f t="shared" si="1"/>
        <v>709188.50462639029</v>
      </c>
      <c r="H17" s="43"/>
      <c r="I17" s="29">
        <v>3</v>
      </c>
      <c r="J17" s="30">
        <f t="array" ref="J17">NPV(B1,0,0,G17)</f>
        <v>532823.82015506399</v>
      </c>
      <c r="K17" s="31">
        <f t="shared" si="5"/>
        <v>-1144469.1045640698</v>
      </c>
      <c r="L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">
      <c r="A18" s="26">
        <v>4</v>
      </c>
      <c r="B18" s="27">
        <f t="shared" si="6"/>
        <v>787189.6912499998</v>
      </c>
      <c r="C18" s="27">
        <f t="shared" si="2"/>
        <v>342178.21785599994</v>
      </c>
      <c r="D18" s="27">
        <f t="shared" si="3"/>
        <v>445011.47339399986</v>
      </c>
      <c r="E18" s="27">
        <f t="shared" si="4"/>
        <v>-120170.89827531572</v>
      </c>
      <c r="F18" s="27">
        <f t="shared" si="0"/>
        <v>667018.79297468404</v>
      </c>
      <c r="G18" s="10">
        <f t="shared" si="1"/>
        <v>667018.79297468404</v>
      </c>
      <c r="H18" s="43"/>
      <c r="I18" s="29">
        <v>4</v>
      </c>
      <c r="J18" s="30">
        <f t="array" ref="J18">NPV(B1,0,0,0,G18)</f>
        <v>455582.81058307749</v>
      </c>
      <c r="K18" s="31">
        <f t="shared" si="5"/>
        <v>-688886.29398099228</v>
      </c>
      <c r="L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">
      <c r="A19" s="26">
        <v>5</v>
      </c>
      <c r="B19" s="27">
        <f t="shared" si="6"/>
        <v>814741.33044374979</v>
      </c>
      <c r="C19" s="27">
        <f t="shared" si="2"/>
        <v>342178.21785599994</v>
      </c>
      <c r="D19" s="27">
        <f t="shared" si="3"/>
        <v>472563.11258774984</v>
      </c>
      <c r="E19" s="27">
        <f t="shared" si="4"/>
        <v>-127610.94292319597</v>
      </c>
      <c r="F19" s="27">
        <f t="shared" si="0"/>
        <v>687130.38752055378</v>
      </c>
      <c r="G19" s="10">
        <f t="shared" si="1"/>
        <v>687130.38752055378</v>
      </c>
      <c r="H19" s="43"/>
      <c r="I19" s="29">
        <v>5</v>
      </c>
      <c r="J19" s="30">
        <f t="array" ref="J19">NPV(B1,0,0,0,0,G19)</f>
        <v>426653.90933341207</v>
      </c>
      <c r="K19" s="31">
        <f t="shared" si="5"/>
        <v>-262232.38464758021</v>
      </c>
      <c r="L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">
      <c r="A20" s="26">
        <v>6</v>
      </c>
      <c r="B20" s="27">
        <f t="shared" si="6"/>
        <v>843257.27700928098</v>
      </c>
      <c r="C20" s="27">
        <f t="shared" si="2"/>
        <v>171089.10892799997</v>
      </c>
      <c r="D20" s="27">
        <f t="shared" si="3"/>
        <v>672168.16808128101</v>
      </c>
      <c r="E20" s="27">
        <f t="shared" si="4"/>
        <v>-181512.29210866912</v>
      </c>
      <c r="F20" s="27">
        <f t="shared" si="0"/>
        <v>661744.98490061192</v>
      </c>
      <c r="G20" s="10">
        <f t="shared" si="1"/>
        <v>661744.98490061192</v>
      </c>
      <c r="H20" s="43"/>
      <c r="I20" s="29">
        <v>6</v>
      </c>
      <c r="J20" s="30">
        <f t="array" ref="J20">NPV(B1,0,0,0,0,0,G20)</f>
        <v>373537.7923202258</v>
      </c>
      <c r="K20" s="31">
        <f t="shared" si="5"/>
        <v>111305.40767264558</v>
      </c>
      <c r="L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">
      <c r="A21" s="26">
        <v>7</v>
      </c>
      <c r="B21" s="27">
        <f t="shared" si="6"/>
        <v>872771.28170460579</v>
      </c>
      <c r="C21" s="27">
        <f t="shared" si="2"/>
        <v>0</v>
      </c>
      <c r="D21" s="27">
        <f t="shared" si="3"/>
        <v>872771.28170460579</v>
      </c>
      <c r="E21" s="27">
        <f t="shared" si="4"/>
        <v>-235683.15691151176</v>
      </c>
      <c r="F21" s="27">
        <f t="shared" si="0"/>
        <v>637088.124793094</v>
      </c>
      <c r="G21" s="10">
        <f t="shared" si="1"/>
        <v>637088.124793094</v>
      </c>
      <c r="H21" s="43"/>
      <c r="I21" s="29">
        <v>7</v>
      </c>
      <c r="J21" s="30">
        <f t="array" ref="J21">NPV(B1,0,0,0,0,0,0,G21)</f>
        <v>326926.94326595357</v>
      </c>
      <c r="K21" s="31">
        <f t="shared" si="5"/>
        <v>438232.35093859915</v>
      </c>
      <c r="L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">
      <c r="A22" s="26">
        <v>8</v>
      </c>
      <c r="B22" s="27">
        <f t="shared" si="6"/>
        <v>903318.27656426688</v>
      </c>
      <c r="C22" s="27">
        <f t="shared" si="2"/>
        <v>0</v>
      </c>
      <c r="D22" s="27">
        <f t="shared" si="3"/>
        <v>903318.27656426688</v>
      </c>
      <c r="E22" s="27">
        <f t="shared" si="4"/>
        <v>-243932.06740341464</v>
      </c>
      <c r="F22" s="27">
        <f t="shared" si="0"/>
        <v>659386.20916085225</v>
      </c>
      <c r="G22" s="10">
        <f>F22+F23</f>
        <v>812677.80916085222</v>
      </c>
      <c r="H22" s="43"/>
      <c r="I22" s="78">
        <v>8</v>
      </c>
      <c r="J22" s="79">
        <f t="array" ref="J22">NPV(B1,0,0,0,0,0,0,0,G22)</f>
        <v>379120.19570621458</v>
      </c>
      <c r="K22" s="80">
        <f t="shared" si="5"/>
        <v>817352.54664481373</v>
      </c>
      <c r="L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">
      <c r="A23" s="81">
        <v>8</v>
      </c>
      <c r="B23" s="82">
        <f>E2</f>
        <v>210000</v>
      </c>
      <c r="C23" s="82">
        <f t="shared" si="2"/>
        <v>0</v>
      </c>
      <c r="D23" s="82">
        <f t="shared" si="3"/>
        <v>210000</v>
      </c>
      <c r="E23" s="82">
        <f t="shared" si="4"/>
        <v>-56708.4</v>
      </c>
      <c r="F23" s="82">
        <f t="shared" si="0"/>
        <v>153291.6</v>
      </c>
      <c r="G23" s="83"/>
      <c r="H23" s="43"/>
      <c r="I23" s="8"/>
      <c r="J23" s="30"/>
      <c r="K23" s="84"/>
      <c r="L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">
      <c r="A24" s="26"/>
      <c r="B24" s="28"/>
      <c r="C24" s="27"/>
      <c r="D24" s="27"/>
      <c r="E24" s="27"/>
      <c r="F24" s="27"/>
      <c r="G24" s="27"/>
      <c r="H24" s="27"/>
      <c r="I24" s="8"/>
      <c r="J24" s="30"/>
      <c r="K24" s="84"/>
      <c r="L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">
      <c r="A25" s="6"/>
      <c r="B25" s="6"/>
      <c r="C25" s="6"/>
      <c r="D25" s="6"/>
      <c r="E25" s="85"/>
      <c r="F25" s="36" t="s">
        <v>30</v>
      </c>
      <c r="G25" s="41">
        <f t="array" ref="G25">NPV($B$1,G15:G22)+G14</f>
        <v>817352.54664481338</v>
      </c>
      <c r="H25" s="86"/>
      <c r="I25" s="6"/>
      <c r="J25" s="27">
        <f>SUM(J14:J22)</f>
        <v>817352.54664481373</v>
      </c>
      <c r="K25" s="6"/>
      <c r="L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">
      <c r="A26" s="6"/>
      <c r="B26" s="6"/>
      <c r="C26" s="6"/>
      <c r="D26" s="6"/>
      <c r="E26" s="85"/>
      <c r="F26" s="27" t="s">
        <v>31</v>
      </c>
      <c r="G26" s="44">
        <f>PMT($B$1,$E$4,-G25)</f>
        <v>153207.84511810896</v>
      </c>
      <c r="H26" s="86"/>
      <c r="I26" s="6"/>
      <c r="J26" s="2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">
      <c r="A27" s="6"/>
      <c r="B27" s="6"/>
      <c r="C27" s="6"/>
      <c r="D27" s="6"/>
      <c r="E27" s="87"/>
      <c r="F27" s="88" t="s">
        <v>32</v>
      </c>
      <c r="G27" s="46">
        <f>IRR(G14:G22, $B$1)</f>
        <v>0.17239717005929101</v>
      </c>
      <c r="H27" s="86"/>
      <c r="I27" s="6"/>
      <c r="J27" s="42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5.7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5.75" customHeight="1" x14ac:dyDescent="0.15">
      <c r="A29" s="6" t="s">
        <v>78</v>
      </c>
      <c r="B29" s="6" t="s">
        <v>79</v>
      </c>
      <c r="C29" s="6" t="s">
        <v>80</v>
      </c>
      <c r="D29" s="47">
        <v>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5.75" customHeight="1" x14ac:dyDescent="0.15">
      <c r="A30" s="6" t="s">
        <v>81</v>
      </c>
      <c r="B30" s="6" t="s">
        <v>82</v>
      </c>
      <c r="C30" s="6" t="s">
        <v>78</v>
      </c>
      <c r="D30" s="28">
        <f>B23-D29</f>
        <v>210000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5.7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5.7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5.75" customHeight="1" x14ac:dyDescent="0.15">
      <c r="A33" s="48" t="s">
        <v>35</v>
      </c>
      <c r="B33" s="49" t="s">
        <v>36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5.75" customHeight="1" x14ac:dyDescent="0.15">
      <c r="A34" s="48" t="s">
        <v>40</v>
      </c>
      <c r="B34" s="49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5.75" customHeight="1" x14ac:dyDescent="0.15">
      <c r="A35" s="48" t="s">
        <v>42</v>
      </c>
      <c r="B35" s="49" t="s">
        <v>43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5.75" customHeight="1" x14ac:dyDescent="0.15">
      <c r="A36" s="48" t="s">
        <v>44</v>
      </c>
      <c r="B36" s="49" t="s">
        <v>45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5.75" customHeight="1" x14ac:dyDescent="0.15">
      <c r="A37" s="48" t="s">
        <v>46</v>
      </c>
      <c r="B37" s="49" t="s">
        <v>47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5.75" customHeight="1" x14ac:dyDescent="0.15">
      <c r="A38" s="48" t="s">
        <v>48</v>
      </c>
      <c r="B38" s="49" t="s">
        <v>49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15.75" customHeight="1" x14ac:dyDescent="0.15">
      <c r="A39" s="48" t="s">
        <v>50</v>
      </c>
      <c r="B39" s="49" t="s">
        <v>51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15.75" customHeight="1" x14ac:dyDescent="0.15">
      <c r="A40" s="48" t="s">
        <v>52</v>
      </c>
      <c r="B40" s="49" t="s">
        <v>53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5.75" customHeight="1" x14ac:dyDescent="0.15">
      <c r="A41" s="48" t="s">
        <v>55</v>
      </c>
      <c r="B41" s="49" t="s">
        <v>56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5.75" customHeight="1" x14ac:dyDescent="0.15">
      <c r="A42" s="48" t="s">
        <v>58</v>
      </c>
      <c r="B42" s="49" t="s">
        <v>59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5.75" customHeight="1" x14ac:dyDescent="0.15">
      <c r="A43" s="48" t="s">
        <v>60</v>
      </c>
      <c r="B43" s="49" t="s">
        <v>61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5.75" customHeight="1" x14ac:dyDescent="0.15">
      <c r="A44" s="48" t="s">
        <v>62</v>
      </c>
      <c r="B44" s="49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15.75" customHeight="1" x14ac:dyDescent="0.15">
      <c r="A45" s="48" t="s">
        <v>64</v>
      </c>
      <c r="B45" s="49" t="s">
        <v>65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15.75" customHeight="1" x14ac:dyDescent="0.15">
      <c r="A46" s="48" t="s">
        <v>66</v>
      </c>
      <c r="B46" s="49" t="s">
        <v>67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3" x14ac:dyDescent="0.15">
      <c r="A47" s="48" t="s">
        <v>68</v>
      </c>
      <c r="B47" s="49" t="s">
        <v>69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3" x14ac:dyDescent="0.15">
      <c r="A48" s="48" t="s">
        <v>70</v>
      </c>
      <c r="B48" s="49" t="s">
        <v>71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:23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:23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:23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3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:23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:23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3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:23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:23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3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:23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:23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 spans="1:23" ht="13" x14ac:dyDescent="0.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 spans="1:23" ht="13" x14ac:dyDescent="0.1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 spans="1:23" ht="13" x14ac:dyDescent="0.1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 spans="1:23" ht="13" x14ac:dyDescent="0.1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 spans="1:23" ht="13" x14ac:dyDescent="0.1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</sheetData>
  <mergeCells count="2">
    <mergeCell ref="H1:I1"/>
    <mergeCell ref="I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"/>
  <sheetViews>
    <sheetView workbookViewId="0"/>
  </sheetViews>
  <sheetFormatPr baseColWidth="10" defaultColWidth="12.6640625" defaultRowHeight="15.75" customHeight="1" x14ac:dyDescent="0.15"/>
  <cols>
    <col min="3" max="3" width="14.83203125" customWidth="1"/>
    <col min="7" max="7" width="14.83203125" customWidth="1"/>
    <col min="10" max="10" width="14.1640625" bestFit="1" customWidth="1"/>
    <col min="11" max="11" width="13.33203125" customWidth="1"/>
  </cols>
  <sheetData>
    <row r="1" spans="1:26" x14ac:dyDescent="0.2">
      <c r="A1" s="89" t="s">
        <v>0</v>
      </c>
      <c r="B1" s="90">
        <v>0.1</v>
      </c>
      <c r="C1" s="91"/>
      <c r="D1" s="89" t="s">
        <v>1</v>
      </c>
      <c r="E1" s="92">
        <v>9500000</v>
      </c>
      <c r="F1" s="91"/>
      <c r="G1" s="152" t="s">
        <v>2</v>
      </c>
      <c r="H1" s="148"/>
      <c r="I1" s="91"/>
      <c r="J1" s="93" t="s">
        <v>27</v>
      </c>
      <c r="K1" s="94" t="s">
        <v>37</v>
      </c>
      <c r="L1" s="95" t="s">
        <v>38</v>
      </c>
      <c r="M1" s="91"/>
      <c r="N1" s="91"/>
      <c r="O1" s="91"/>
      <c r="P1" s="91"/>
      <c r="Q1" s="91"/>
      <c r="R1" s="91"/>
      <c r="S1" s="91"/>
      <c r="T1" s="91"/>
      <c r="U1" s="96"/>
      <c r="V1" s="96"/>
      <c r="W1" s="97"/>
      <c r="X1" s="97"/>
      <c r="Y1" s="97"/>
      <c r="Z1" s="97"/>
    </row>
    <row r="2" spans="1:26" x14ac:dyDescent="0.2">
      <c r="A2" s="98" t="s">
        <v>3</v>
      </c>
      <c r="B2" s="99">
        <v>5</v>
      </c>
      <c r="C2" s="91"/>
      <c r="D2" s="98" t="s">
        <v>83</v>
      </c>
      <c r="E2" s="100">
        <v>905000</v>
      </c>
      <c r="F2" s="91"/>
      <c r="G2" s="101" t="s">
        <v>5</v>
      </c>
      <c r="H2" s="99">
        <v>20</v>
      </c>
      <c r="I2" s="91"/>
      <c r="J2" s="101" t="s">
        <v>5</v>
      </c>
      <c r="K2" s="102">
        <v>0.90910000000000002</v>
      </c>
      <c r="L2" s="99">
        <v>1</v>
      </c>
      <c r="M2" s="91"/>
      <c r="N2" s="91"/>
      <c r="O2" s="91"/>
      <c r="P2" s="91"/>
      <c r="Q2" s="91"/>
      <c r="R2" s="91"/>
      <c r="S2" s="91"/>
      <c r="T2" s="91"/>
      <c r="U2" s="96"/>
      <c r="V2" s="96"/>
      <c r="W2" s="97"/>
      <c r="X2" s="97"/>
      <c r="Y2" s="97"/>
      <c r="Z2" s="97"/>
    </row>
    <row r="3" spans="1:26" x14ac:dyDescent="0.2">
      <c r="A3" s="98" t="s">
        <v>6</v>
      </c>
      <c r="B3" s="103">
        <v>7.5999999999999998E-2</v>
      </c>
      <c r="C3" s="91"/>
      <c r="D3" s="98" t="s">
        <v>7</v>
      </c>
      <c r="E3" s="100">
        <v>1305000</v>
      </c>
      <c r="F3" s="91"/>
      <c r="G3" s="101" t="s">
        <v>8</v>
      </c>
      <c r="H3" s="99">
        <v>32</v>
      </c>
      <c r="I3" s="91"/>
      <c r="J3" s="101" t="s">
        <v>8</v>
      </c>
      <c r="K3" s="102">
        <v>0.82640000000000002</v>
      </c>
      <c r="L3" s="99">
        <v>0.47620000000000001</v>
      </c>
      <c r="M3" s="91"/>
      <c r="N3" s="91"/>
      <c r="O3" s="91"/>
      <c r="P3" s="91"/>
      <c r="Q3" s="91"/>
      <c r="R3" s="91"/>
      <c r="S3" s="91"/>
      <c r="T3" s="91"/>
      <c r="U3" s="96"/>
      <c r="V3" s="96"/>
      <c r="W3" s="97"/>
      <c r="X3" s="97"/>
      <c r="Y3" s="97"/>
      <c r="Z3" s="97"/>
    </row>
    <row r="4" spans="1:26" x14ac:dyDescent="0.2">
      <c r="A4" s="98" t="s">
        <v>9</v>
      </c>
      <c r="B4" s="104">
        <v>0.21</v>
      </c>
      <c r="C4" s="91"/>
      <c r="D4" s="98" t="s">
        <v>84</v>
      </c>
      <c r="E4" s="99">
        <v>8</v>
      </c>
      <c r="F4" s="91"/>
      <c r="G4" s="101" t="s">
        <v>11</v>
      </c>
      <c r="H4" s="99">
        <v>19.2</v>
      </c>
      <c r="I4" s="91"/>
      <c r="J4" s="101" t="s">
        <v>11</v>
      </c>
      <c r="K4" s="102">
        <v>0.75129999999999997</v>
      </c>
      <c r="L4" s="99">
        <v>0.30209999999999998</v>
      </c>
      <c r="M4" s="91"/>
      <c r="N4" s="91"/>
      <c r="O4" s="91"/>
      <c r="P4" s="91"/>
      <c r="Q4" s="91"/>
      <c r="R4" s="91"/>
      <c r="S4" s="91"/>
      <c r="T4" s="91"/>
      <c r="U4" s="96"/>
      <c r="V4" s="96"/>
      <c r="W4" s="97"/>
      <c r="X4" s="97"/>
      <c r="Y4" s="97"/>
      <c r="Z4" s="97"/>
    </row>
    <row r="5" spans="1:26" x14ac:dyDescent="0.2">
      <c r="A5" s="98" t="s">
        <v>12</v>
      </c>
      <c r="B5" s="103">
        <v>1.0349999999999999</v>
      </c>
      <c r="C5" s="91"/>
      <c r="D5" s="105"/>
      <c r="E5" s="106"/>
      <c r="F5" s="91"/>
      <c r="G5" s="101" t="s">
        <v>14</v>
      </c>
      <c r="H5" s="99">
        <v>11.52</v>
      </c>
      <c r="I5" s="91"/>
      <c r="J5" s="101" t="s">
        <v>14</v>
      </c>
      <c r="K5" s="102">
        <v>0.68300000000000005</v>
      </c>
      <c r="L5" s="99">
        <v>0.2155</v>
      </c>
      <c r="M5" s="91"/>
      <c r="N5" s="91"/>
      <c r="O5" s="91"/>
      <c r="P5" s="91"/>
      <c r="Q5" s="91"/>
      <c r="R5" s="91"/>
      <c r="S5" s="91"/>
      <c r="T5" s="91"/>
      <c r="U5" s="96"/>
      <c r="V5" s="96"/>
      <c r="W5" s="97"/>
      <c r="X5" s="97"/>
      <c r="Y5" s="97"/>
      <c r="Z5" s="97"/>
    </row>
    <row r="6" spans="1:26" x14ac:dyDescent="0.2">
      <c r="A6" s="98"/>
      <c r="B6" s="107"/>
      <c r="C6" s="91"/>
      <c r="D6" s="108"/>
      <c r="E6" s="109"/>
      <c r="F6" s="91"/>
      <c r="G6" s="101" t="s">
        <v>15</v>
      </c>
      <c r="H6" s="99">
        <v>11.52</v>
      </c>
      <c r="I6" s="91"/>
      <c r="J6" s="101" t="s">
        <v>15</v>
      </c>
      <c r="K6" s="102">
        <v>0.62090000000000001</v>
      </c>
      <c r="L6" s="99">
        <v>0.1638</v>
      </c>
      <c r="M6" s="91"/>
      <c r="N6" s="91"/>
      <c r="O6" s="91"/>
      <c r="P6" s="91"/>
      <c r="Q6" s="91"/>
      <c r="R6" s="91"/>
      <c r="S6" s="91"/>
      <c r="T6" s="91"/>
      <c r="U6" s="96"/>
      <c r="V6" s="96"/>
      <c r="W6" s="97"/>
      <c r="X6" s="97"/>
      <c r="Y6" s="97"/>
      <c r="Z6" s="97"/>
    </row>
    <row r="7" spans="1:26" x14ac:dyDescent="0.2">
      <c r="A7" s="98" t="s">
        <v>16</v>
      </c>
      <c r="B7" s="104">
        <v>0.27</v>
      </c>
      <c r="C7" s="91"/>
      <c r="D7" s="91"/>
      <c r="E7" s="110"/>
      <c r="F7" s="91"/>
      <c r="G7" s="105" t="s">
        <v>17</v>
      </c>
      <c r="H7" s="111">
        <v>5.76</v>
      </c>
      <c r="I7" s="91"/>
      <c r="J7" s="101" t="s">
        <v>17</v>
      </c>
      <c r="K7" s="102">
        <v>0.5645</v>
      </c>
      <c r="L7" s="99">
        <v>0.12959999999999999</v>
      </c>
      <c r="M7" s="91"/>
      <c r="N7" s="91"/>
      <c r="O7" s="91"/>
      <c r="P7" s="91"/>
      <c r="Q7" s="91"/>
      <c r="R7" s="91"/>
      <c r="S7" s="91"/>
      <c r="T7" s="91"/>
      <c r="U7" s="96"/>
      <c r="V7" s="96"/>
      <c r="W7" s="97"/>
      <c r="X7" s="97"/>
      <c r="Y7" s="97"/>
      <c r="Z7" s="97"/>
    </row>
    <row r="8" spans="1:26" x14ac:dyDescent="0.2">
      <c r="A8" s="105" t="s">
        <v>18</v>
      </c>
      <c r="B8" s="112">
        <v>2</v>
      </c>
      <c r="C8" s="91"/>
      <c r="D8" s="91"/>
      <c r="E8" s="91"/>
      <c r="F8" s="91"/>
      <c r="G8" s="91"/>
      <c r="H8" s="91"/>
      <c r="I8" s="91"/>
      <c r="J8" s="101" t="s">
        <v>54</v>
      </c>
      <c r="K8" s="102">
        <v>0.51319999999999999</v>
      </c>
      <c r="L8" s="99">
        <v>0.10539999999999999</v>
      </c>
      <c r="M8" s="91"/>
      <c r="N8" s="91"/>
      <c r="O8" s="91"/>
      <c r="P8" s="91"/>
      <c r="Q8" s="91"/>
      <c r="R8" s="91"/>
      <c r="S8" s="91"/>
      <c r="T8" s="91"/>
      <c r="U8" s="96"/>
      <c r="V8" s="96"/>
      <c r="W8" s="97"/>
      <c r="X8" s="97"/>
      <c r="Y8" s="97"/>
      <c r="Z8" s="97"/>
    </row>
    <row r="9" spans="1:26" x14ac:dyDescent="0.2">
      <c r="A9" s="113"/>
      <c r="B9" s="91"/>
      <c r="C9" s="91"/>
      <c r="D9" s="91"/>
      <c r="E9" s="91"/>
      <c r="F9" s="91"/>
      <c r="G9" s="91"/>
      <c r="H9" s="91"/>
      <c r="I9" s="91"/>
      <c r="J9" s="105" t="s">
        <v>57</v>
      </c>
      <c r="K9" s="114">
        <v>0.46650000000000003</v>
      </c>
      <c r="L9" s="111">
        <v>8.7400000000000005E-2</v>
      </c>
      <c r="M9" s="91"/>
      <c r="N9" s="91"/>
      <c r="O9" s="91"/>
      <c r="P9" s="91"/>
      <c r="Q9" s="91"/>
      <c r="R9" s="91"/>
      <c r="S9" s="91"/>
      <c r="T9" s="91"/>
      <c r="U9" s="96"/>
      <c r="V9" s="96"/>
      <c r="W9" s="97"/>
      <c r="X9" s="97"/>
      <c r="Y9" s="97"/>
      <c r="Z9" s="97"/>
    </row>
    <row r="10" spans="1:26" x14ac:dyDescent="0.2">
      <c r="A10" s="113"/>
      <c r="B10" s="91"/>
      <c r="C10" s="91"/>
      <c r="D10" s="91"/>
      <c r="E10" s="91"/>
      <c r="F10" s="91"/>
      <c r="G10" s="108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6"/>
      <c r="V10" s="96"/>
      <c r="W10" s="97"/>
      <c r="X10" s="97"/>
      <c r="Y10" s="97"/>
      <c r="Z10" s="97"/>
    </row>
    <row r="11" spans="1:26" x14ac:dyDescent="0.2">
      <c r="A11" s="115" t="s">
        <v>20</v>
      </c>
      <c r="B11" s="116" t="s">
        <v>21</v>
      </c>
      <c r="C11" s="116" t="s">
        <v>22</v>
      </c>
      <c r="D11" s="116" t="s">
        <v>23</v>
      </c>
      <c r="E11" s="116" t="s">
        <v>24</v>
      </c>
      <c r="F11" s="116" t="s">
        <v>25</v>
      </c>
      <c r="G11" s="117" t="s">
        <v>26</v>
      </c>
      <c r="H11" s="118"/>
      <c r="I11" s="153" t="s">
        <v>19</v>
      </c>
      <c r="J11" s="147"/>
      <c r="K11" s="148"/>
      <c r="L11" s="91"/>
      <c r="M11" s="91"/>
      <c r="N11" s="91"/>
      <c r="O11" s="91"/>
      <c r="P11" s="91"/>
      <c r="Q11" s="91"/>
      <c r="R11" s="91"/>
      <c r="S11" s="91"/>
      <c r="T11" s="91"/>
      <c r="U11" s="96"/>
      <c r="V11" s="96"/>
      <c r="W11" s="97"/>
      <c r="X11" s="97"/>
      <c r="Y11" s="97"/>
      <c r="Z11" s="97"/>
    </row>
    <row r="12" spans="1:26" x14ac:dyDescent="0.2">
      <c r="A12" s="119">
        <v>0</v>
      </c>
      <c r="B12" s="120">
        <f>-E1</f>
        <v>-9500000</v>
      </c>
      <c r="C12" s="91"/>
      <c r="D12" s="91"/>
      <c r="E12" s="91"/>
      <c r="F12" s="120">
        <f>B12</f>
        <v>-9500000</v>
      </c>
      <c r="G12" s="100">
        <f t="shared" ref="G12:G19" si="0">F12</f>
        <v>-9500000</v>
      </c>
      <c r="H12" s="121"/>
      <c r="I12" s="122" t="s">
        <v>27</v>
      </c>
      <c r="J12" s="123"/>
      <c r="K12" s="124" t="s">
        <v>28</v>
      </c>
      <c r="M12" s="91"/>
      <c r="N12" s="91"/>
      <c r="O12" s="91"/>
      <c r="P12" s="91"/>
      <c r="Q12" s="91"/>
      <c r="R12" s="91"/>
      <c r="S12" s="91"/>
      <c r="T12" s="91"/>
      <c r="U12" s="96"/>
      <c r="V12" s="96"/>
      <c r="W12" s="97"/>
      <c r="X12" s="97"/>
      <c r="Y12" s="97"/>
      <c r="Z12" s="97"/>
    </row>
    <row r="13" spans="1:26" x14ac:dyDescent="0.2">
      <c r="A13" s="119">
        <v>1</v>
      </c>
      <c r="B13" s="120">
        <f>E3</f>
        <v>1305000</v>
      </c>
      <c r="C13" s="120">
        <f t="shared" ref="C13:C21" si="1">$E$1*H2%</f>
        <v>1900000</v>
      </c>
      <c r="D13" s="120">
        <f t="shared" ref="D13:D21" si="2">B13-C13</f>
        <v>-595000</v>
      </c>
      <c r="E13" s="120">
        <f t="shared" ref="E13:E21" si="3">-D13*$B$7</f>
        <v>160650</v>
      </c>
      <c r="F13" s="120">
        <f t="shared" ref="F13:F21" si="4">B13+E13</f>
        <v>1465650</v>
      </c>
      <c r="G13" s="100">
        <f t="shared" si="0"/>
        <v>1465650</v>
      </c>
      <c r="H13" s="121"/>
      <c r="I13" s="125">
        <v>0</v>
      </c>
      <c r="J13" s="120">
        <f>G12</f>
        <v>-9500000</v>
      </c>
      <c r="K13" s="100">
        <f>J13</f>
        <v>-9500000</v>
      </c>
      <c r="M13" s="91"/>
      <c r="N13" s="91"/>
      <c r="O13" s="91"/>
      <c r="P13" s="91"/>
      <c r="Q13" s="91"/>
      <c r="R13" s="91"/>
      <c r="S13" s="91"/>
      <c r="T13" s="91"/>
      <c r="U13" s="96"/>
      <c r="V13" s="96"/>
      <c r="W13" s="97"/>
      <c r="X13" s="97"/>
      <c r="Y13" s="97"/>
      <c r="Z13" s="97"/>
    </row>
    <row r="14" spans="1:26" x14ac:dyDescent="0.2">
      <c r="A14" s="119">
        <v>2</v>
      </c>
      <c r="B14" s="120">
        <f t="shared" ref="B14:B20" si="5">B13*$B$5</f>
        <v>1350675</v>
      </c>
      <c r="C14" s="120">
        <f t="shared" si="1"/>
        <v>3040000</v>
      </c>
      <c r="D14" s="120">
        <f t="shared" si="2"/>
        <v>-1689325</v>
      </c>
      <c r="E14" s="120">
        <f t="shared" si="3"/>
        <v>456117.75000000006</v>
      </c>
      <c r="F14" s="120">
        <f t="shared" si="4"/>
        <v>1806792.75</v>
      </c>
      <c r="G14" s="100">
        <f t="shared" si="0"/>
        <v>1806792.75</v>
      </c>
      <c r="H14" s="121"/>
      <c r="I14" s="125">
        <v>1</v>
      </c>
      <c r="J14" s="126">
        <f t="array" ref="J14">NPV($B$1,F13)</f>
        <v>1332409.0909090908</v>
      </c>
      <c r="K14" s="127">
        <f t="shared" ref="K14:K21" si="6">K13+J14</f>
        <v>-8167590.9090909092</v>
      </c>
      <c r="M14" s="91"/>
      <c r="N14" s="91"/>
      <c r="O14" s="91"/>
      <c r="P14" s="91"/>
      <c r="Q14" s="91"/>
      <c r="R14" s="91"/>
      <c r="S14" s="91"/>
      <c r="T14" s="91"/>
      <c r="U14" s="96"/>
      <c r="V14" s="96"/>
      <c r="W14" s="97"/>
      <c r="X14" s="97"/>
      <c r="Y14" s="97"/>
      <c r="Z14" s="97"/>
    </row>
    <row r="15" spans="1:26" x14ac:dyDescent="0.2">
      <c r="A15" s="119">
        <v>3</v>
      </c>
      <c r="B15" s="120">
        <f t="shared" si="5"/>
        <v>1397948.625</v>
      </c>
      <c r="C15" s="120">
        <f t="shared" si="1"/>
        <v>1824000</v>
      </c>
      <c r="D15" s="120">
        <f t="shared" si="2"/>
        <v>-426051.375</v>
      </c>
      <c r="E15" s="120">
        <f t="shared" si="3"/>
        <v>115033.87125000001</v>
      </c>
      <c r="F15" s="120">
        <f t="shared" si="4"/>
        <v>1512982.4962500001</v>
      </c>
      <c r="G15" s="100">
        <f t="shared" si="0"/>
        <v>1512982.4962500001</v>
      </c>
      <c r="H15" s="121"/>
      <c r="I15" s="125">
        <v>2</v>
      </c>
      <c r="J15" s="126">
        <f t="array" ref="J15">NPV($B$1,0,F14)</f>
        <v>1493217.1487603304</v>
      </c>
      <c r="K15" s="127">
        <f t="shared" si="6"/>
        <v>-6674373.7603305783</v>
      </c>
      <c r="M15" s="91"/>
      <c r="N15" s="91"/>
      <c r="O15" s="91"/>
      <c r="P15" s="91"/>
      <c r="Q15" s="91"/>
      <c r="R15" s="91"/>
      <c r="S15" s="91"/>
      <c r="T15" s="91"/>
      <c r="U15" s="96"/>
      <c r="V15" s="96"/>
      <c r="W15" s="97"/>
      <c r="X15" s="97"/>
      <c r="Y15" s="97"/>
      <c r="Z15" s="97"/>
    </row>
    <row r="16" spans="1:26" x14ac:dyDescent="0.2">
      <c r="A16" s="119">
        <v>4</v>
      </c>
      <c r="B16" s="120">
        <f t="shared" si="5"/>
        <v>1446876.8268749998</v>
      </c>
      <c r="C16" s="120">
        <f t="shared" si="1"/>
        <v>1094400</v>
      </c>
      <c r="D16" s="120">
        <f t="shared" si="2"/>
        <v>352476.8268749998</v>
      </c>
      <c r="E16" s="120">
        <f t="shared" si="3"/>
        <v>-95168.743256249945</v>
      </c>
      <c r="F16" s="120">
        <f t="shared" si="4"/>
        <v>1351708.0836187499</v>
      </c>
      <c r="G16" s="100">
        <f t="shared" si="0"/>
        <v>1351708.0836187499</v>
      </c>
      <c r="H16" s="121"/>
      <c r="I16" s="125">
        <v>3</v>
      </c>
      <c r="J16" s="126">
        <f t="array" ref="J16">NPV($B$1,0,0,F15)</f>
        <v>1136726.1429376407</v>
      </c>
      <c r="K16" s="127">
        <f t="shared" si="6"/>
        <v>-5537647.6173929377</v>
      </c>
      <c r="M16" s="91"/>
      <c r="N16" s="91"/>
      <c r="O16" s="91"/>
      <c r="P16" s="91"/>
      <c r="Q16" s="91"/>
      <c r="R16" s="91"/>
      <c r="S16" s="91"/>
      <c r="T16" s="91"/>
      <c r="U16" s="96"/>
      <c r="V16" s="96"/>
      <c r="W16" s="97"/>
      <c r="X16" s="97"/>
      <c r="Y16" s="97"/>
      <c r="Z16" s="97"/>
    </row>
    <row r="17" spans="1:26" x14ac:dyDescent="0.2">
      <c r="A17" s="119">
        <v>5</v>
      </c>
      <c r="B17" s="120">
        <f t="shared" si="5"/>
        <v>1497517.5158156247</v>
      </c>
      <c r="C17" s="120">
        <f t="shared" si="1"/>
        <v>1094400</v>
      </c>
      <c r="D17" s="120">
        <f t="shared" si="2"/>
        <v>403117.51581562473</v>
      </c>
      <c r="E17" s="120">
        <f t="shared" si="3"/>
        <v>-108841.72927021868</v>
      </c>
      <c r="F17" s="120">
        <f t="shared" si="4"/>
        <v>1388675.7865454061</v>
      </c>
      <c r="G17" s="100">
        <f t="shared" si="0"/>
        <v>1388675.7865454061</v>
      </c>
      <c r="H17" s="121"/>
      <c r="I17" s="125">
        <v>4</v>
      </c>
      <c r="J17" s="126">
        <f t="array" ref="J17">NPV($B$1,0,0,0,F16)</f>
        <v>923234.80883733986</v>
      </c>
      <c r="K17" s="127">
        <f t="shared" si="6"/>
        <v>-4614412.8085555974</v>
      </c>
      <c r="M17" s="91"/>
      <c r="N17" s="91"/>
      <c r="O17" s="91"/>
      <c r="P17" s="91"/>
      <c r="Q17" s="91"/>
      <c r="R17" s="91"/>
      <c r="S17" s="91"/>
      <c r="T17" s="91"/>
      <c r="U17" s="96"/>
      <c r="V17" s="96"/>
      <c r="W17" s="97"/>
      <c r="X17" s="97"/>
      <c r="Y17" s="97"/>
      <c r="Z17" s="97"/>
    </row>
    <row r="18" spans="1:26" x14ac:dyDescent="0.2">
      <c r="A18" s="119">
        <v>6</v>
      </c>
      <c r="B18" s="120">
        <f t="shared" si="5"/>
        <v>1549930.6288691715</v>
      </c>
      <c r="C18" s="120">
        <f t="shared" si="1"/>
        <v>547200</v>
      </c>
      <c r="D18" s="120">
        <f t="shared" si="2"/>
        <v>1002730.6288691715</v>
      </c>
      <c r="E18" s="120">
        <f t="shared" si="3"/>
        <v>-270737.26979467634</v>
      </c>
      <c r="F18" s="120">
        <f t="shared" si="4"/>
        <v>1279193.3590744953</v>
      </c>
      <c r="G18" s="100">
        <f t="shared" si="0"/>
        <v>1279193.3590744953</v>
      </c>
      <c r="H18" s="121"/>
      <c r="I18" s="125">
        <v>5</v>
      </c>
      <c r="J18" s="126">
        <f t="array" ref="J18">NPV($B$1,0,0,0,0,F17)</f>
        <v>862258.40668198606</v>
      </c>
      <c r="K18" s="127">
        <f t="shared" si="6"/>
        <v>-3752154.4018736114</v>
      </c>
      <c r="M18" s="91"/>
      <c r="N18" s="91"/>
      <c r="O18" s="91"/>
      <c r="P18" s="91"/>
      <c r="Q18" s="91"/>
      <c r="R18" s="91"/>
      <c r="S18" s="91"/>
      <c r="T18" s="91"/>
      <c r="U18" s="96"/>
      <c r="V18" s="96"/>
      <c r="W18" s="97"/>
      <c r="X18" s="97"/>
      <c r="Y18" s="97"/>
      <c r="Z18" s="97"/>
    </row>
    <row r="19" spans="1:26" x14ac:dyDescent="0.2">
      <c r="A19" s="119">
        <v>7</v>
      </c>
      <c r="B19" s="120">
        <f t="shared" si="5"/>
        <v>1604178.2008795924</v>
      </c>
      <c r="C19" s="120">
        <f t="shared" si="1"/>
        <v>0</v>
      </c>
      <c r="D19" s="120">
        <f t="shared" si="2"/>
        <v>1604178.2008795924</v>
      </c>
      <c r="E19" s="120">
        <f t="shared" si="3"/>
        <v>-433128.11423748999</v>
      </c>
      <c r="F19" s="120">
        <f t="shared" si="4"/>
        <v>1171050.0866421023</v>
      </c>
      <c r="G19" s="100">
        <f t="shared" si="0"/>
        <v>1171050.0866421023</v>
      </c>
      <c r="H19" s="121"/>
      <c r="I19" s="125">
        <v>6</v>
      </c>
      <c r="J19" s="126">
        <f t="array" ref="J19">NPV($B$1,0,0,0,0,0,F18)</f>
        <v>722071.30269547284</v>
      </c>
      <c r="K19" s="127">
        <f t="shared" si="6"/>
        <v>-3030083.0991781387</v>
      </c>
      <c r="M19" s="91"/>
      <c r="N19" s="91"/>
      <c r="O19" s="91"/>
      <c r="P19" s="91"/>
      <c r="Q19" s="91"/>
      <c r="R19" s="91"/>
      <c r="S19" s="91"/>
      <c r="T19" s="91"/>
      <c r="U19" s="96"/>
      <c r="V19" s="96"/>
      <c r="W19" s="97"/>
      <c r="X19" s="97"/>
      <c r="Y19" s="97"/>
      <c r="Z19" s="97"/>
    </row>
    <row r="20" spans="1:26" x14ac:dyDescent="0.2">
      <c r="A20" s="119">
        <v>8</v>
      </c>
      <c r="B20" s="120">
        <f t="shared" si="5"/>
        <v>1660324.437910378</v>
      </c>
      <c r="C20" s="120">
        <f t="shared" si="1"/>
        <v>0</v>
      </c>
      <c r="D20" s="120">
        <f t="shared" si="2"/>
        <v>1660324.437910378</v>
      </c>
      <c r="E20" s="120">
        <f t="shared" si="3"/>
        <v>-448287.59823580208</v>
      </c>
      <c r="F20" s="120">
        <f t="shared" si="4"/>
        <v>1212036.839674576</v>
      </c>
      <c r="G20" s="100">
        <f>F20+F21</f>
        <v>1872686.839674576</v>
      </c>
      <c r="H20" s="121"/>
      <c r="I20" s="125">
        <v>7</v>
      </c>
      <c r="J20" s="126">
        <f t="array" ref="J20">NPV($B$1,0,0,0,0,0,0,F19)</f>
        <v>600933.85881516698</v>
      </c>
      <c r="K20" s="127">
        <f t="shared" si="6"/>
        <v>-2429149.2403629716</v>
      </c>
      <c r="M20" s="91"/>
      <c r="N20" s="91"/>
      <c r="O20" s="91"/>
      <c r="P20" s="91"/>
      <c r="Q20" s="91"/>
      <c r="R20" s="91"/>
      <c r="S20" s="91"/>
      <c r="T20" s="91"/>
      <c r="U20" s="96"/>
      <c r="V20" s="96"/>
      <c r="W20" s="97"/>
      <c r="X20" s="97"/>
      <c r="Y20" s="97"/>
      <c r="Z20" s="97"/>
    </row>
    <row r="21" spans="1:26" x14ac:dyDescent="0.2">
      <c r="A21" s="128">
        <v>8</v>
      </c>
      <c r="B21" s="129">
        <f>E2</f>
        <v>905000</v>
      </c>
      <c r="C21" s="129">
        <f t="shared" si="1"/>
        <v>0</v>
      </c>
      <c r="D21" s="129">
        <f t="shared" si="2"/>
        <v>905000</v>
      </c>
      <c r="E21" s="129">
        <f t="shared" si="3"/>
        <v>-244350.00000000003</v>
      </c>
      <c r="F21" s="129">
        <f t="shared" si="4"/>
        <v>660650</v>
      </c>
      <c r="G21" s="106"/>
      <c r="H21" s="121"/>
      <c r="I21" s="130">
        <v>8</v>
      </c>
      <c r="J21" s="131">
        <f t="array" ref="J21">NPV($B$1,0,0,0,0,0,0,0,G20)</f>
        <v>873622.23152983084</v>
      </c>
      <c r="K21" s="132">
        <f t="shared" si="6"/>
        <v>-1555527.0088331406</v>
      </c>
      <c r="M21" s="91"/>
      <c r="N21" s="91"/>
      <c r="O21" s="91"/>
      <c r="P21" s="91"/>
      <c r="Q21" s="91"/>
      <c r="R21" s="91"/>
      <c r="S21" s="91"/>
      <c r="T21" s="91"/>
      <c r="U21" s="96"/>
      <c r="V21" s="96"/>
      <c r="W21" s="97"/>
      <c r="X21" s="97"/>
      <c r="Y21" s="97"/>
      <c r="Z21" s="97"/>
    </row>
    <row r="22" spans="1:26" x14ac:dyDescent="0.2">
      <c r="A22" s="133"/>
      <c r="B22" s="133"/>
      <c r="C22" s="134"/>
      <c r="D22" s="133"/>
      <c r="E22" s="133"/>
      <c r="F22" s="133"/>
      <c r="G22" s="134"/>
      <c r="H22" s="134"/>
      <c r="I22" s="102"/>
      <c r="J22" s="126"/>
      <c r="K22" s="126"/>
      <c r="M22" s="91"/>
      <c r="N22" s="91"/>
      <c r="O22" s="91"/>
      <c r="P22" s="91"/>
      <c r="Q22" s="91"/>
      <c r="R22" s="91"/>
      <c r="S22" s="91"/>
      <c r="T22" s="91"/>
      <c r="U22" s="96"/>
      <c r="V22" s="96"/>
      <c r="W22" s="97"/>
      <c r="X22" s="97"/>
      <c r="Y22" s="97"/>
      <c r="Z22" s="97"/>
    </row>
    <row r="23" spans="1:26" x14ac:dyDescent="0.2">
      <c r="A23" s="91"/>
      <c r="B23" s="91"/>
      <c r="C23" s="91"/>
      <c r="D23" s="91"/>
      <c r="E23" s="135"/>
      <c r="F23" s="136" t="s">
        <v>85</v>
      </c>
      <c r="G23" s="137">
        <f t="array" ref="G23">NPV($B$1,G13:G20)+G12</f>
        <v>-1555527.0088331429</v>
      </c>
      <c r="H23" s="91"/>
      <c r="I23" s="102"/>
      <c r="J23" s="126">
        <f>SUM(J13:J21)</f>
        <v>-1555527.0088331406</v>
      </c>
      <c r="K23" s="126"/>
      <c r="M23" s="91"/>
      <c r="N23" s="91"/>
      <c r="O23" s="91"/>
      <c r="P23" s="91"/>
      <c r="Q23" s="91"/>
      <c r="R23" s="91"/>
      <c r="S23" s="91"/>
      <c r="T23" s="91"/>
      <c r="U23" s="96"/>
      <c r="V23" s="96"/>
      <c r="W23" s="97"/>
      <c r="X23" s="97"/>
      <c r="Y23" s="97"/>
      <c r="Z23" s="97"/>
    </row>
    <row r="24" spans="1:26" x14ac:dyDescent="0.2">
      <c r="A24" s="91"/>
      <c r="B24" s="91"/>
      <c r="C24" s="91"/>
      <c r="D24" s="91"/>
      <c r="E24" s="135"/>
      <c r="F24" s="125" t="s">
        <v>31</v>
      </c>
      <c r="G24" s="138">
        <f>PMT($B$1,$E$4,-G23)</f>
        <v>-291574.23198181664</v>
      </c>
      <c r="I24" s="91"/>
      <c r="J24" s="91"/>
      <c r="K24" s="91"/>
      <c r="M24" s="91"/>
      <c r="N24" s="91"/>
      <c r="O24" s="91"/>
      <c r="P24" s="91"/>
      <c r="Q24" s="91"/>
      <c r="R24" s="91"/>
      <c r="S24" s="91"/>
      <c r="T24" s="91"/>
      <c r="U24" s="96"/>
      <c r="V24" s="96"/>
      <c r="W24" s="97"/>
      <c r="X24" s="97"/>
      <c r="Y24" s="97"/>
      <c r="Z24" s="97"/>
    </row>
    <row r="25" spans="1:26" x14ac:dyDescent="0.2">
      <c r="A25" s="91"/>
      <c r="B25" s="91"/>
      <c r="C25" s="91"/>
      <c r="D25" s="91"/>
      <c r="F25" s="139" t="s">
        <v>32</v>
      </c>
      <c r="G25" s="140">
        <f>IRR(G12:G20,$B$1)</f>
        <v>5.253035607807699E-2</v>
      </c>
      <c r="H25" s="91"/>
      <c r="I25" s="91"/>
      <c r="J25" s="121"/>
      <c r="K25" s="91"/>
      <c r="M25" s="91"/>
      <c r="N25" s="91"/>
      <c r="O25" s="91"/>
      <c r="P25" s="91"/>
      <c r="Q25" s="91"/>
      <c r="R25" s="91"/>
      <c r="S25" s="91"/>
      <c r="T25" s="91"/>
      <c r="U25" s="96"/>
      <c r="V25" s="96"/>
      <c r="W25" s="97"/>
      <c r="X25" s="97"/>
      <c r="Y25" s="97"/>
      <c r="Z25" s="97"/>
    </row>
    <row r="26" spans="1:26" x14ac:dyDescent="0.2">
      <c r="A26" s="91"/>
      <c r="B26" s="91"/>
      <c r="C26" s="91"/>
      <c r="D26" s="91"/>
      <c r="E26" s="91"/>
      <c r="F26" s="91"/>
      <c r="G26" s="91"/>
      <c r="H26" s="91"/>
      <c r="I26" s="102"/>
      <c r="M26" s="91"/>
      <c r="N26" s="91"/>
      <c r="O26" s="91"/>
      <c r="P26" s="91"/>
      <c r="Q26" s="91"/>
      <c r="R26" s="91"/>
      <c r="S26" s="91"/>
      <c r="T26" s="91"/>
      <c r="U26" s="96"/>
      <c r="V26" s="96"/>
      <c r="W26" s="97"/>
      <c r="X26" s="97"/>
      <c r="Y26" s="97"/>
      <c r="Z26" s="97"/>
    </row>
    <row r="27" spans="1:26" x14ac:dyDescent="0.2">
      <c r="A27" s="91" t="s">
        <v>78</v>
      </c>
      <c r="B27" s="91" t="s">
        <v>79</v>
      </c>
      <c r="C27" s="91" t="s">
        <v>80</v>
      </c>
      <c r="D27" s="102" t="s">
        <v>86</v>
      </c>
      <c r="E27" s="108"/>
      <c r="F27" s="91"/>
      <c r="G27" s="91"/>
      <c r="H27" s="91"/>
      <c r="I27" s="102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6"/>
      <c r="V27" s="96"/>
      <c r="W27" s="97"/>
      <c r="X27" s="97"/>
      <c r="Y27" s="97"/>
      <c r="Z27" s="97"/>
    </row>
    <row r="28" spans="1:26" x14ac:dyDescent="0.2">
      <c r="A28" s="91" t="s">
        <v>81</v>
      </c>
      <c r="B28" s="91" t="s">
        <v>82</v>
      </c>
      <c r="C28" s="91" t="s">
        <v>78</v>
      </c>
      <c r="D28" s="121">
        <v>190000</v>
      </c>
      <c r="E28" s="108"/>
      <c r="F28" s="91"/>
      <c r="G28" s="91"/>
      <c r="H28" s="91"/>
      <c r="I28" s="102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6"/>
      <c r="V28" s="96"/>
      <c r="W28" s="97"/>
      <c r="X28" s="97"/>
      <c r="Y28" s="97"/>
      <c r="Z28" s="97"/>
    </row>
    <row r="29" spans="1:26" x14ac:dyDescent="0.2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6"/>
      <c r="V29" s="96"/>
      <c r="W29" s="97"/>
      <c r="X29" s="97"/>
      <c r="Y29" s="97"/>
      <c r="Z29" s="97"/>
    </row>
    <row r="30" spans="1:26" x14ac:dyDescent="0.2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6"/>
      <c r="V30" s="96"/>
      <c r="W30" s="97"/>
      <c r="X30" s="97"/>
      <c r="Y30" s="97"/>
      <c r="Z30" s="97"/>
    </row>
    <row r="31" spans="1:26" x14ac:dyDescent="0.2">
      <c r="A31" s="141" t="s">
        <v>35</v>
      </c>
      <c r="B31" s="91" t="e">
        <f>ROUND( (A1 + A2 * ( 1 - A1) ), 2)</f>
        <v>#VALUE!</v>
      </c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6"/>
      <c r="V31" s="96"/>
      <c r="W31" s="97"/>
      <c r="X31" s="97"/>
      <c r="Y31" s="97"/>
      <c r="Z31" s="97"/>
    </row>
    <row r="32" spans="1:26" x14ac:dyDescent="0.2">
      <c r="A32" s="141" t="s">
        <v>40</v>
      </c>
      <c r="B32" s="91" t="e">
        <f>IF(#REF!&gt;15, 1.5, 2)</f>
        <v>#REF!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6"/>
      <c r="V32" s="96"/>
      <c r="W32" s="97"/>
      <c r="X32" s="97"/>
      <c r="Y32" s="97"/>
      <c r="Z32" s="97"/>
    </row>
    <row r="33" spans="1:26" x14ac:dyDescent="0.2">
      <c r="A33" s="141" t="s">
        <v>42</v>
      </c>
      <c r="B33" s="91" t="e">
        <f xml:space="preserve"> -#REF!</f>
        <v>#REF!</v>
      </c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6"/>
      <c r="V33" s="96"/>
      <c r="W33" s="97"/>
      <c r="X33" s="97"/>
      <c r="Y33" s="97"/>
      <c r="Z33" s="97"/>
    </row>
    <row r="34" spans="1:26" x14ac:dyDescent="0.2">
      <c r="A34" s="141" t="s">
        <v>44</v>
      </c>
      <c r="B34" s="91" t="e">
        <f>#REF! + D7</f>
        <v>#REF!</v>
      </c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6"/>
      <c r="V34" s="96"/>
      <c r="W34" s="97"/>
      <c r="X34" s="97"/>
      <c r="Y34" s="97"/>
      <c r="Z34" s="97"/>
    </row>
    <row r="35" spans="1:26" x14ac:dyDescent="0.2">
      <c r="A35" s="141" t="s">
        <v>46</v>
      </c>
      <c r="B35" s="110">
        <f>E7</f>
        <v>0</v>
      </c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6"/>
      <c r="V35" s="96"/>
      <c r="W35" s="97"/>
      <c r="X35" s="97"/>
      <c r="Y35" s="97"/>
      <c r="Z35" s="97"/>
    </row>
    <row r="36" spans="1:26" x14ac:dyDescent="0.2">
      <c r="A36" s="141" t="s">
        <v>48</v>
      </c>
      <c r="B36" s="91" t="e">
        <f>#REF!</f>
        <v>#REF!</v>
      </c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6"/>
      <c r="V36" s="96"/>
      <c r="W36" s="97"/>
      <c r="X36" s="97"/>
      <c r="Y36" s="97"/>
      <c r="Z36" s="97"/>
    </row>
    <row r="37" spans="1:26" x14ac:dyDescent="0.2">
      <c r="A37" s="141" t="s">
        <v>50</v>
      </c>
      <c r="B37" s="91" t="str">
        <f>$D$1</f>
        <v>Capital Investment =</v>
      </c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6"/>
      <c r="V37" s="96"/>
      <c r="W37" s="97"/>
      <c r="X37" s="97"/>
      <c r="Y37" s="97"/>
      <c r="Z37" s="97"/>
    </row>
    <row r="38" spans="1:26" x14ac:dyDescent="0.2">
      <c r="A38" s="141" t="s">
        <v>52</v>
      </c>
      <c r="B38" s="91" t="e">
        <f>IF(#REF!=#REF!+1, 0.5*#REF!, VDB(#REF!, 0,#REF!, MAX( 0,#REF!- 1.5),#REF!- 0.5, $A$5, FALSE) )</f>
        <v>#REF!</v>
      </c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6"/>
      <c r="V38" s="96"/>
      <c r="W38" s="97"/>
      <c r="X38" s="97"/>
      <c r="Y38" s="97"/>
      <c r="Z38" s="97"/>
    </row>
    <row r="39" spans="1:26" x14ac:dyDescent="0.2">
      <c r="A39" s="141" t="s">
        <v>55</v>
      </c>
      <c r="B39" s="91" t="e">
        <f>#REF! -#REF!</f>
        <v>#REF!</v>
      </c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6"/>
      <c r="V39" s="96"/>
      <c r="W39" s="97"/>
      <c r="X39" s="97"/>
      <c r="Y39" s="97"/>
      <c r="Z39" s="97"/>
    </row>
    <row r="40" spans="1:26" x14ac:dyDescent="0.2">
      <c r="A40" s="141" t="s">
        <v>58</v>
      </c>
      <c r="B40" s="91" t="e">
        <f>- $A$4 * C8</f>
        <v>#VALUE!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6"/>
      <c r="V40" s="96"/>
      <c r="W40" s="97"/>
      <c r="X40" s="97"/>
      <c r="Y40" s="97"/>
      <c r="Z40" s="97"/>
    </row>
    <row r="41" spans="1:26" x14ac:dyDescent="0.2">
      <c r="A41" s="141" t="s">
        <v>60</v>
      </c>
      <c r="B41" s="110">
        <f>E15 + E16</f>
        <v>19865.127993750066</v>
      </c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6"/>
      <c r="V41" s="96"/>
      <c r="W41" s="97"/>
      <c r="X41" s="97"/>
      <c r="Y41" s="97"/>
      <c r="Z41" s="97"/>
    </row>
    <row r="42" spans="1:26" x14ac:dyDescent="0.2">
      <c r="A42" s="141" t="s">
        <v>62</v>
      </c>
      <c r="B42" s="91">
        <f>A15 + A16</f>
        <v>7</v>
      </c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6"/>
      <c r="V42" s="96"/>
      <c r="W42" s="97"/>
      <c r="X42" s="97"/>
      <c r="Y42" s="97"/>
      <c r="Z42" s="97"/>
    </row>
    <row r="43" spans="1:26" x14ac:dyDescent="0.2">
      <c r="A43" s="141" t="s">
        <v>64</v>
      </c>
      <c r="B43" s="91" t="e">
        <f>#REF!</f>
        <v>#REF!</v>
      </c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6"/>
      <c r="V43" s="96"/>
      <c r="W43" s="97"/>
      <c r="X43" s="97"/>
      <c r="Y43" s="97"/>
      <c r="Z43" s="97"/>
    </row>
    <row r="44" spans="1:26" x14ac:dyDescent="0.2">
      <c r="A44" s="141" t="s">
        <v>66</v>
      </c>
      <c r="B44" s="91" t="e">
        <f t="array" ref="B44">NPV(#REF!, F8:F15) + F7</f>
        <v>#REF!</v>
      </c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6"/>
      <c r="V44" s="96"/>
      <c r="W44" s="97"/>
      <c r="X44" s="97"/>
      <c r="Y44" s="97"/>
      <c r="Z44" s="97"/>
    </row>
    <row r="45" spans="1:26" x14ac:dyDescent="0.2">
      <c r="A45" s="141" t="s">
        <v>68</v>
      </c>
      <c r="B45" s="91" t="e">
        <f>PMT(#REF!, $D$2, - F18)</f>
        <v>#REF!</v>
      </c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6"/>
      <c r="V45" s="96"/>
      <c r="W45" s="97"/>
      <c r="X45" s="97"/>
      <c r="Y45" s="97"/>
      <c r="Z45" s="97"/>
    </row>
    <row r="46" spans="1:26" x14ac:dyDescent="0.2">
      <c r="A46" s="141" t="s">
        <v>70</v>
      </c>
      <c r="B46" s="91" t="e">
        <f xml:space="preserve"> IRR(F7:F15,#REF!)</f>
        <v>#REF!</v>
      </c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6"/>
      <c r="V46" s="96"/>
      <c r="W46" s="97"/>
      <c r="X46" s="97"/>
      <c r="Y46" s="97"/>
      <c r="Z46" s="97"/>
    </row>
    <row r="47" spans="1:26" x14ac:dyDescent="0.2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6"/>
      <c r="V47" s="96"/>
      <c r="W47" s="97"/>
      <c r="X47" s="97"/>
      <c r="Y47" s="97"/>
      <c r="Z47" s="97"/>
    </row>
    <row r="48" spans="1:26" x14ac:dyDescent="0.2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6"/>
      <c r="V48" s="96"/>
      <c r="W48" s="97"/>
      <c r="X48" s="97"/>
      <c r="Y48" s="97"/>
      <c r="Z48" s="97"/>
    </row>
    <row r="49" spans="1:26" x14ac:dyDescent="0.2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6"/>
      <c r="V49" s="96"/>
      <c r="W49" s="97"/>
      <c r="X49" s="97"/>
      <c r="Y49" s="97"/>
      <c r="Z49" s="97"/>
    </row>
    <row r="50" spans="1:26" x14ac:dyDescent="0.2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6"/>
      <c r="V50" s="96"/>
      <c r="W50" s="97"/>
      <c r="X50" s="97"/>
      <c r="Y50" s="97"/>
      <c r="Z50" s="97"/>
    </row>
    <row r="51" spans="1:26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6"/>
      <c r="V51" s="96"/>
      <c r="W51" s="97"/>
      <c r="X51" s="97"/>
      <c r="Y51" s="97"/>
      <c r="Z51" s="97"/>
    </row>
    <row r="52" spans="1:26" x14ac:dyDescent="0.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6"/>
      <c r="V52" s="96"/>
      <c r="W52" s="97"/>
      <c r="X52" s="97"/>
      <c r="Y52" s="97"/>
      <c r="Z52" s="97"/>
    </row>
    <row r="53" spans="1:26" x14ac:dyDescent="0.2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6"/>
      <c r="V53" s="96"/>
      <c r="W53" s="97"/>
      <c r="X53" s="97"/>
      <c r="Y53" s="97"/>
      <c r="Z53" s="97"/>
    </row>
    <row r="54" spans="1:26" x14ac:dyDescent="0.2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6"/>
      <c r="V54" s="96"/>
      <c r="W54" s="97"/>
      <c r="X54" s="97"/>
      <c r="Y54" s="97"/>
      <c r="Z54" s="97"/>
    </row>
    <row r="55" spans="1:26" x14ac:dyDescent="0.2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6"/>
      <c r="V55" s="96"/>
      <c r="W55" s="97"/>
      <c r="X55" s="97"/>
      <c r="Y55" s="97"/>
      <c r="Z55" s="97"/>
    </row>
    <row r="56" spans="1:26" x14ac:dyDescent="0.2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6"/>
      <c r="V56" s="96"/>
      <c r="W56" s="97"/>
      <c r="X56" s="97"/>
      <c r="Y56" s="97"/>
      <c r="Z56" s="97"/>
    </row>
    <row r="57" spans="1:26" x14ac:dyDescent="0.2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6"/>
      <c r="V57" s="96"/>
      <c r="W57" s="97"/>
      <c r="X57" s="97"/>
      <c r="Y57" s="97"/>
      <c r="Z57" s="97"/>
    </row>
    <row r="58" spans="1:26" x14ac:dyDescent="0.2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6"/>
      <c r="V58" s="96"/>
      <c r="W58" s="97"/>
      <c r="X58" s="97"/>
      <c r="Y58" s="97"/>
      <c r="Z58" s="97"/>
    </row>
    <row r="59" spans="1:26" x14ac:dyDescent="0.2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6"/>
      <c r="V59" s="96"/>
      <c r="W59" s="97"/>
      <c r="X59" s="97"/>
      <c r="Y59" s="97"/>
      <c r="Z59" s="97"/>
    </row>
    <row r="60" spans="1:26" x14ac:dyDescent="0.2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6"/>
      <c r="V60" s="96"/>
      <c r="W60" s="97"/>
      <c r="X60" s="97"/>
      <c r="Y60" s="97"/>
      <c r="Z60" s="97"/>
    </row>
    <row r="61" spans="1:26" x14ac:dyDescent="0.2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6"/>
      <c r="V61" s="96"/>
      <c r="W61" s="97"/>
      <c r="X61" s="97"/>
      <c r="Y61" s="97"/>
      <c r="Z61" s="97"/>
    </row>
    <row r="62" spans="1:26" x14ac:dyDescent="0.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6"/>
      <c r="V62" s="96"/>
      <c r="W62" s="97"/>
      <c r="X62" s="97"/>
      <c r="Y62" s="97"/>
      <c r="Z62" s="97"/>
    </row>
    <row r="63" spans="1:26" x14ac:dyDescent="0.2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6"/>
      <c r="V63" s="96"/>
      <c r="W63" s="97"/>
      <c r="X63" s="97"/>
      <c r="Y63" s="97"/>
      <c r="Z63" s="97"/>
    </row>
    <row r="64" spans="1:26" x14ac:dyDescent="0.2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6"/>
      <c r="V64" s="96"/>
      <c r="W64" s="97"/>
      <c r="X64" s="97"/>
      <c r="Y64" s="97"/>
      <c r="Z64" s="97"/>
    </row>
    <row r="65" spans="1:26" x14ac:dyDescent="0.2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6"/>
      <c r="V65" s="96"/>
      <c r="W65" s="97"/>
      <c r="X65" s="97"/>
      <c r="Y65" s="97"/>
      <c r="Z65" s="97"/>
    </row>
    <row r="66" spans="1:26" x14ac:dyDescent="0.2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6"/>
      <c r="V66" s="96"/>
      <c r="W66" s="97"/>
      <c r="X66" s="97"/>
      <c r="Y66" s="97"/>
      <c r="Z66" s="97"/>
    </row>
    <row r="67" spans="1:26" x14ac:dyDescent="0.2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6"/>
      <c r="V67" s="96"/>
      <c r="W67" s="97"/>
      <c r="X67" s="97"/>
      <c r="Y67" s="97"/>
      <c r="Z67" s="97"/>
    </row>
    <row r="68" spans="1:26" x14ac:dyDescent="0.2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6"/>
      <c r="V68" s="96"/>
      <c r="W68" s="97"/>
      <c r="X68" s="97"/>
      <c r="Y68" s="97"/>
      <c r="Z68" s="97"/>
    </row>
    <row r="69" spans="1:26" x14ac:dyDescent="0.2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6"/>
      <c r="V69" s="96"/>
      <c r="W69" s="97"/>
      <c r="X69" s="97"/>
      <c r="Y69" s="97"/>
      <c r="Z69" s="97"/>
    </row>
    <row r="70" spans="1:26" x14ac:dyDescent="0.2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6"/>
      <c r="V70" s="96"/>
      <c r="W70" s="97"/>
      <c r="X70" s="97"/>
      <c r="Y70" s="97"/>
      <c r="Z70" s="97"/>
    </row>
    <row r="71" spans="1:26" x14ac:dyDescent="0.2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6"/>
      <c r="V71" s="96"/>
      <c r="W71" s="97"/>
      <c r="X71" s="97"/>
      <c r="Y71" s="97"/>
      <c r="Z71" s="97"/>
    </row>
    <row r="72" spans="1:26" x14ac:dyDescent="0.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6"/>
      <c r="V72" s="96"/>
      <c r="W72" s="97"/>
      <c r="X72" s="97"/>
      <c r="Y72" s="97"/>
      <c r="Z72" s="97"/>
    </row>
    <row r="73" spans="1:26" x14ac:dyDescent="0.2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6"/>
      <c r="V73" s="96"/>
      <c r="W73" s="97"/>
      <c r="X73" s="97"/>
      <c r="Y73" s="97"/>
      <c r="Z73" s="97"/>
    </row>
    <row r="74" spans="1:26" x14ac:dyDescent="0.2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6"/>
      <c r="V74" s="96"/>
      <c r="W74" s="97"/>
      <c r="X74" s="97"/>
      <c r="Y74" s="97"/>
      <c r="Z74" s="97"/>
    </row>
    <row r="75" spans="1:26" x14ac:dyDescent="0.2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6"/>
      <c r="V75" s="96"/>
      <c r="W75" s="97"/>
      <c r="X75" s="97"/>
      <c r="Y75" s="97"/>
      <c r="Z75" s="97"/>
    </row>
    <row r="76" spans="1:26" x14ac:dyDescent="0.2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6"/>
      <c r="V76" s="96"/>
      <c r="W76" s="97"/>
      <c r="X76" s="97"/>
      <c r="Y76" s="97"/>
      <c r="Z76" s="97"/>
    </row>
    <row r="77" spans="1:26" x14ac:dyDescent="0.2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6"/>
      <c r="V77" s="96"/>
      <c r="W77" s="97"/>
      <c r="X77" s="97"/>
      <c r="Y77" s="97"/>
      <c r="Z77" s="97"/>
    </row>
    <row r="78" spans="1:26" x14ac:dyDescent="0.2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6"/>
      <c r="V78" s="96"/>
      <c r="W78" s="97"/>
      <c r="X78" s="97"/>
      <c r="Y78" s="97"/>
      <c r="Z78" s="97"/>
    </row>
    <row r="79" spans="1:26" x14ac:dyDescent="0.2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6"/>
      <c r="V79" s="96"/>
      <c r="W79" s="97"/>
      <c r="X79" s="97"/>
      <c r="Y79" s="97"/>
      <c r="Z79" s="97"/>
    </row>
    <row r="80" spans="1:26" x14ac:dyDescent="0.2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6"/>
      <c r="V80" s="96"/>
      <c r="W80" s="97"/>
      <c r="X80" s="97"/>
      <c r="Y80" s="97"/>
      <c r="Z80" s="97"/>
    </row>
    <row r="81" spans="1:26" x14ac:dyDescent="0.2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6"/>
      <c r="V81" s="96"/>
      <c r="W81" s="97"/>
      <c r="X81" s="97"/>
      <c r="Y81" s="97"/>
      <c r="Z81" s="97"/>
    </row>
    <row r="82" spans="1:26" x14ac:dyDescent="0.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6"/>
      <c r="V82" s="96"/>
      <c r="W82" s="97"/>
      <c r="X82" s="97"/>
      <c r="Y82" s="97"/>
      <c r="Z82" s="97"/>
    </row>
    <row r="83" spans="1:26" x14ac:dyDescent="0.2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6"/>
      <c r="V83" s="96"/>
      <c r="W83" s="97"/>
      <c r="X83" s="97"/>
      <c r="Y83" s="97"/>
      <c r="Z83" s="97"/>
    </row>
    <row r="84" spans="1:26" x14ac:dyDescent="0.2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6"/>
      <c r="V84" s="96"/>
      <c r="W84" s="97"/>
      <c r="X84" s="97"/>
      <c r="Y84" s="97"/>
      <c r="Z84" s="97"/>
    </row>
    <row r="85" spans="1:26" x14ac:dyDescent="0.2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6"/>
      <c r="V85" s="96"/>
      <c r="W85" s="97"/>
      <c r="X85" s="97"/>
      <c r="Y85" s="97"/>
      <c r="Z85" s="97"/>
    </row>
    <row r="86" spans="1:26" x14ac:dyDescent="0.2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6"/>
      <c r="V86" s="96"/>
      <c r="W86" s="97"/>
      <c r="X86" s="97"/>
      <c r="Y86" s="97"/>
      <c r="Z86" s="97"/>
    </row>
    <row r="87" spans="1:26" x14ac:dyDescent="0.2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6"/>
      <c r="V87" s="96"/>
      <c r="W87" s="97"/>
      <c r="X87" s="97"/>
      <c r="Y87" s="97"/>
      <c r="Z87" s="97"/>
    </row>
    <row r="88" spans="1:26" x14ac:dyDescent="0.2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6"/>
      <c r="V88" s="96"/>
      <c r="W88" s="97"/>
      <c r="X88" s="97"/>
      <c r="Y88" s="97"/>
      <c r="Z88" s="97"/>
    </row>
    <row r="89" spans="1:26" x14ac:dyDescent="0.2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6"/>
      <c r="V89" s="96"/>
      <c r="W89" s="97"/>
      <c r="X89" s="97"/>
      <c r="Y89" s="97"/>
      <c r="Z89" s="97"/>
    </row>
    <row r="90" spans="1:26" x14ac:dyDescent="0.2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6"/>
      <c r="V90" s="96"/>
      <c r="W90" s="97"/>
      <c r="X90" s="97"/>
      <c r="Y90" s="97"/>
      <c r="Z90" s="97"/>
    </row>
    <row r="91" spans="1:26" x14ac:dyDescent="0.2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6"/>
      <c r="V91" s="96"/>
      <c r="W91" s="97"/>
      <c r="X91" s="97"/>
      <c r="Y91" s="97"/>
      <c r="Z91" s="97"/>
    </row>
    <row r="92" spans="1:26" x14ac:dyDescent="0.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6"/>
      <c r="V92" s="96"/>
      <c r="W92" s="97"/>
      <c r="X92" s="97"/>
      <c r="Y92" s="97"/>
      <c r="Z92" s="97"/>
    </row>
    <row r="93" spans="1:26" x14ac:dyDescent="0.2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6"/>
      <c r="V93" s="96"/>
      <c r="W93" s="97"/>
      <c r="X93" s="97"/>
      <c r="Y93" s="97"/>
      <c r="Z93" s="97"/>
    </row>
    <row r="94" spans="1:26" x14ac:dyDescent="0.2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6"/>
      <c r="V94" s="96"/>
      <c r="W94" s="97"/>
      <c r="X94" s="97"/>
      <c r="Y94" s="97"/>
      <c r="Z94" s="97"/>
    </row>
    <row r="95" spans="1:26" x14ac:dyDescent="0.2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6"/>
      <c r="V95" s="96"/>
      <c r="W95" s="97"/>
      <c r="X95" s="97"/>
      <c r="Y95" s="97"/>
      <c r="Z95" s="97"/>
    </row>
    <row r="96" spans="1:26" x14ac:dyDescent="0.2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6"/>
      <c r="V96" s="96"/>
      <c r="W96" s="97"/>
      <c r="X96" s="97"/>
      <c r="Y96" s="97"/>
      <c r="Z96" s="97"/>
    </row>
    <row r="97" spans="9:26" x14ac:dyDescent="0.2"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6"/>
      <c r="V97" s="96"/>
      <c r="W97" s="97"/>
      <c r="X97" s="97"/>
      <c r="Y97" s="97"/>
      <c r="Z97" s="97"/>
    </row>
    <row r="98" spans="9:26" x14ac:dyDescent="0.2"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6"/>
      <c r="V98" s="96"/>
      <c r="W98" s="97"/>
      <c r="X98" s="97"/>
      <c r="Y98" s="97"/>
      <c r="Z98" s="97"/>
    </row>
    <row r="99" spans="9:26" x14ac:dyDescent="0.2"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6"/>
      <c r="V99" s="96"/>
      <c r="W99" s="97"/>
      <c r="X99" s="97"/>
    </row>
  </sheetData>
  <mergeCells count="2">
    <mergeCell ref="G1:H1"/>
    <mergeCell ref="I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D13"/>
  <sheetViews>
    <sheetView tabSelected="1" workbookViewId="0">
      <selection activeCell="K5" sqref="K5"/>
    </sheetView>
  </sheetViews>
  <sheetFormatPr baseColWidth="10" defaultColWidth="12.6640625" defaultRowHeight="15.75" customHeight="1" x14ac:dyDescent="0.15"/>
  <cols>
    <col min="2" max="2" width="14.1640625" bestFit="1" customWidth="1"/>
    <col min="3" max="3" width="17.6640625" customWidth="1"/>
    <col min="4" max="4" width="15.1640625" customWidth="1"/>
  </cols>
  <sheetData>
    <row r="2" spans="1:4" ht="15.75" customHeight="1" x14ac:dyDescent="0.15">
      <c r="A2" s="142" t="s">
        <v>27</v>
      </c>
      <c r="B2" s="6" t="s">
        <v>87</v>
      </c>
      <c r="C2" s="6" t="s">
        <v>88</v>
      </c>
      <c r="D2" s="6" t="s">
        <v>89</v>
      </c>
    </row>
    <row r="3" spans="1:4" ht="15.75" customHeight="1" x14ac:dyDescent="0.15">
      <c r="A3" s="8">
        <v>0</v>
      </c>
      <c r="B3" s="27">
        <v>-5900000</v>
      </c>
      <c r="C3" s="27">
        <v>-2970297.03</v>
      </c>
      <c r="D3" s="27">
        <v>-9500000</v>
      </c>
    </row>
    <row r="4" spans="1:4" ht="15.75" customHeight="1" x14ac:dyDescent="0.15">
      <c r="A4" s="8">
        <v>1</v>
      </c>
      <c r="B4" s="84">
        <v>-4827272.7272727275</v>
      </c>
      <c r="C4" s="84">
        <v>-2332733.2463670545</v>
      </c>
      <c r="D4" s="84">
        <v>-8167590.9090909092</v>
      </c>
    </row>
    <row r="5" spans="1:4" ht="15.75" customHeight="1" x14ac:dyDescent="0.15">
      <c r="A5" s="8">
        <v>2</v>
      </c>
      <c r="B5" s="84">
        <v>-3625436.9669421492</v>
      </c>
      <c r="C5" s="84">
        <v>-1677292.9247191339</v>
      </c>
      <c r="D5" s="84">
        <v>-6674373.7603305783</v>
      </c>
    </row>
    <row r="6" spans="1:4" ht="15.75" customHeight="1" x14ac:dyDescent="0.15">
      <c r="A6" s="8">
        <v>3</v>
      </c>
      <c r="B6" s="84">
        <v>-2661244.2071750574</v>
      </c>
      <c r="C6" s="84">
        <v>-1144469.10456407</v>
      </c>
      <c r="D6" s="84">
        <v>-5537647.6173929377</v>
      </c>
    </row>
    <row r="7" spans="1:4" ht="15.75" customHeight="1" x14ac:dyDescent="0.15">
      <c r="A7" s="8">
        <v>4</v>
      </c>
      <c r="B7" s="84">
        <v>-1844913.0738892506</v>
      </c>
      <c r="C7" s="84">
        <v>-688886.2939809924</v>
      </c>
      <c r="D7" s="84">
        <v>-4614412.8085555974</v>
      </c>
    </row>
    <row r="8" spans="1:4" ht="15.75" customHeight="1" x14ac:dyDescent="0.15">
      <c r="A8" s="8">
        <v>5</v>
      </c>
      <c r="B8" s="84">
        <v>-1080808.4429833384</v>
      </c>
      <c r="C8" s="84">
        <v>-262232.38464758027</v>
      </c>
      <c r="D8" s="84">
        <v>-3752154.4018736114</v>
      </c>
    </row>
    <row r="9" spans="1:4" ht="15.75" customHeight="1" x14ac:dyDescent="0.15">
      <c r="A9" s="8">
        <v>6</v>
      </c>
      <c r="B9" s="84">
        <v>-417283.58372786222</v>
      </c>
      <c r="C9" s="84">
        <v>111305.40767264558</v>
      </c>
      <c r="D9" s="84">
        <v>-3030083.0991781382</v>
      </c>
    </row>
    <row r="10" spans="1:4" ht="15.75" customHeight="1" x14ac:dyDescent="0.15">
      <c r="A10" s="8">
        <v>7</v>
      </c>
      <c r="B10" s="84">
        <v>158292.02061360551</v>
      </c>
      <c r="C10" s="84">
        <v>438232.35093859915</v>
      </c>
      <c r="D10" s="84">
        <v>-2429149.2403629711</v>
      </c>
    </row>
    <row r="11" spans="1:4" ht="15.75" customHeight="1" x14ac:dyDescent="0.15">
      <c r="A11" s="8">
        <v>8</v>
      </c>
      <c r="B11" s="84">
        <v>764557.36742298666</v>
      </c>
      <c r="C11" s="84">
        <v>817352.54664481373</v>
      </c>
      <c r="D11" s="84">
        <v>-1555527.0088331401</v>
      </c>
    </row>
    <row r="12" spans="1:4" ht="15.75" customHeight="1" x14ac:dyDescent="0.15">
      <c r="A12" s="8"/>
      <c r="B12" s="84"/>
      <c r="C12" s="84"/>
      <c r="D12" s="143"/>
    </row>
    <row r="13" spans="1:4" ht="15.75" customHeight="1" x14ac:dyDescent="0.15">
      <c r="A13" s="8"/>
      <c r="B13" s="84"/>
      <c r="C13" s="84"/>
      <c r="D13" s="8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</vt:lpstr>
      <vt:lpstr>Robot</vt:lpstr>
      <vt:lpstr>Craft</vt:lpstr>
      <vt:lpstr>Breakeven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2023-04-27T19:02:00Z</dcterms:modified>
</cp:coreProperties>
</file>