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CV's\BA\"/>
    </mc:Choice>
  </mc:AlternateContent>
  <xr:revisionPtr revIDLastSave="0" documentId="13_ncr:1_{17618BAD-916D-494E-9EC4-CE67B0455A7C}" xr6:coauthVersionLast="47" xr6:coauthVersionMax="47" xr10:uidLastSave="{00000000-0000-0000-0000-000000000000}"/>
  <bookViews>
    <workbookView xWindow="-108" yWindow="-108" windowWidth="23256" windowHeight="13176" activeTab="1" xr2:uid="{33789786-0A13-4E50-85FF-02F3F120AFC3}"/>
  </bookViews>
  <sheets>
    <sheet name="Sheet1" sheetId="1" r:id="rId1"/>
    <sheet name="Sheet2" sheetId="2" r:id="rId2"/>
    <sheet name="Sheet3" sheetId="3" r:id="rId3"/>
    <sheet name="Sheet4" sheetId="4" r:id="rId4"/>
    <sheet name="Test" sheetId="5" r:id="rId5"/>
    <sheet name="Sheet6" sheetId="6" r:id="rId6"/>
    <sheet name="Sheet5" sheetId="7" r:id="rId7"/>
    <sheet name="Sheet7" sheetId="8" r:id="rId8"/>
    <sheet name="Sheet8" sheetId="9" r:id="rId9"/>
    <sheet name="Sheet9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0" l="1"/>
  <c r="J3" i="10" s="1"/>
  <c r="J4" i="10"/>
  <c r="J5" i="10"/>
  <c r="J6" i="10"/>
  <c r="J7" i="10"/>
  <c r="J8" i="10"/>
  <c r="J9" i="10"/>
  <c r="J10" i="10"/>
  <c r="J11" i="10"/>
  <c r="J12" i="10"/>
  <c r="J13" i="10"/>
  <c r="J14" i="10"/>
  <c r="I4" i="10"/>
  <c r="I5" i="10"/>
  <c r="I6" i="10"/>
  <c r="I7" i="10"/>
  <c r="I8" i="10"/>
  <c r="I9" i="10"/>
  <c r="I10" i="10"/>
  <c r="I11" i="10"/>
  <c r="I12" i="10"/>
  <c r="I13" i="10"/>
  <c r="I14" i="10"/>
  <c r="B33" i="9"/>
  <c r="B39" i="9"/>
  <c r="B32" i="9" s="1"/>
  <c r="E22" i="9"/>
  <c r="E23" i="9"/>
  <c r="E21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6" i="9" s="1"/>
  <c r="F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" i="9"/>
  <c r="D26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3" i="9"/>
  <c r="B42" i="8"/>
  <c r="B40" i="8"/>
  <c r="B14" i="2"/>
  <c r="F5" i="8"/>
  <c r="F4" i="8"/>
  <c r="E16" i="7"/>
  <c r="E17" i="7" s="1"/>
  <c r="F17" i="7"/>
  <c r="F16" i="7"/>
  <c r="D16" i="7"/>
  <c r="C16" i="7"/>
  <c r="B28" i="7"/>
  <c r="B27" i="7"/>
  <c r="B23" i="7"/>
  <c r="B24" i="7"/>
  <c r="B25" i="7"/>
  <c r="B26" i="7"/>
  <c r="B22" i="7"/>
  <c r="F12" i="7"/>
  <c r="F13" i="7"/>
  <c r="F14" i="7"/>
  <c r="F15" i="7"/>
  <c r="F11" i="7"/>
  <c r="E12" i="7"/>
  <c r="E13" i="7"/>
  <c r="E14" i="7"/>
  <c r="E15" i="7"/>
  <c r="E11" i="7"/>
  <c r="D12" i="7"/>
  <c r="D13" i="7"/>
  <c r="D14" i="7"/>
  <c r="D15" i="7"/>
  <c r="D11" i="7"/>
  <c r="C12" i="7"/>
  <c r="C13" i="7"/>
  <c r="C14" i="7"/>
  <c r="C15" i="7"/>
  <c r="C11" i="7"/>
  <c r="B42" i="6"/>
  <c r="B43" i="6" s="1"/>
  <c r="G36" i="6"/>
  <c r="H36" i="6"/>
  <c r="H24" i="6"/>
  <c r="H25" i="6"/>
  <c r="H26" i="6"/>
  <c r="H27" i="6"/>
  <c r="H28" i="6"/>
  <c r="H29" i="6"/>
  <c r="H30" i="6"/>
  <c r="H31" i="6"/>
  <c r="H32" i="6"/>
  <c r="H33" i="6"/>
  <c r="H34" i="6"/>
  <c r="G24" i="6"/>
  <c r="G25" i="6"/>
  <c r="G26" i="6"/>
  <c r="G27" i="6"/>
  <c r="G28" i="6"/>
  <c r="G29" i="6"/>
  <c r="G30" i="6"/>
  <c r="G31" i="6"/>
  <c r="G32" i="6"/>
  <c r="G33" i="6"/>
  <c r="G34" i="6"/>
  <c r="H23" i="6"/>
  <c r="G23" i="6"/>
  <c r="F36" i="6"/>
  <c r="F24" i="6"/>
  <c r="F25" i="6"/>
  <c r="F26" i="6"/>
  <c r="F27" i="6"/>
  <c r="F28" i="6"/>
  <c r="F29" i="6"/>
  <c r="F30" i="6"/>
  <c r="F31" i="6"/>
  <c r="F32" i="6"/>
  <c r="F33" i="6"/>
  <c r="F34" i="6"/>
  <c r="F23" i="6"/>
  <c r="D24" i="6"/>
  <c r="D25" i="6"/>
  <c r="D26" i="6"/>
  <c r="D27" i="6"/>
  <c r="D28" i="6"/>
  <c r="D29" i="6"/>
  <c r="D30" i="6"/>
  <c r="D31" i="6"/>
  <c r="D32" i="6"/>
  <c r="D33" i="6"/>
  <c r="D34" i="6"/>
  <c r="D23" i="6"/>
  <c r="C24" i="6"/>
  <c r="C25" i="6"/>
  <c r="C26" i="6"/>
  <c r="C27" i="6"/>
  <c r="C28" i="6"/>
  <c r="C29" i="6"/>
  <c r="C30" i="6"/>
  <c r="C31" i="6"/>
  <c r="C32" i="6"/>
  <c r="C33" i="6"/>
  <c r="C34" i="6"/>
  <c r="C23" i="6"/>
  <c r="B24" i="6"/>
  <c r="B25" i="6"/>
  <c r="B26" i="6"/>
  <c r="B27" i="6"/>
  <c r="B28" i="6"/>
  <c r="B29" i="6"/>
  <c r="B30" i="6"/>
  <c r="B31" i="6"/>
  <c r="B32" i="6"/>
  <c r="B33" i="6"/>
  <c r="B34" i="6"/>
  <c r="B23" i="6"/>
  <c r="B4" i="5"/>
  <c r="B13" i="5"/>
  <c r="B17" i="5" s="1"/>
  <c r="B7" i="5"/>
  <c r="B22" i="5" s="1"/>
  <c r="B17" i="4"/>
  <c r="B15" i="4"/>
  <c r="B14" i="4"/>
  <c r="B19" i="4" s="1"/>
  <c r="C13" i="3"/>
  <c r="C9" i="3"/>
  <c r="B18" i="2"/>
  <c r="G12" i="8"/>
  <c r="C17" i="4"/>
  <c r="C18" i="2"/>
  <c r="G5" i="8"/>
  <c r="C15" i="4"/>
  <c r="C14" i="4"/>
  <c r="G11" i="8"/>
  <c r="G7" i="8"/>
  <c r="G6" i="8"/>
  <c r="G10" i="8"/>
  <c r="G8" i="8"/>
  <c r="G9" i="8"/>
  <c r="F6" i="8" l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B45" i="6"/>
  <c r="B46" i="6"/>
  <c r="B24" i="5"/>
  <c r="B21" i="4"/>
  <c r="H16" i="4" s="1"/>
  <c r="C14" i="3"/>
  <c r="H4" i="3" s="1"/>
  <c r="B10" i="2"/>
  <c r="B19" i="2" s="1"/>
  <c r="B20" i="2" s="1"/>
  <c r="G5" i="2" s="1"/>
  <c r="B12" i="8" l="1"/>
  <c r="B14" i="8" s="1"/>
  <c r="B47" i="6"/>
  <c r="G40" i="6" l="1"/>
  <c r="F111" i="6"/>
</calcChain>
</file>

<file path=xl/sharedStrings.xml><?xml version="1.0" encoding="utf-8"?>
<sst xmlns="http://schemas.openxmlformats.org/spreadsheetml/2006/main" count="215" uniqueCount="161">
  <si>
    <t xml:space="preserve">Budget </t>
  </si>
  <si>
    <t xml:space="preserve">Costs </t>
  </si>
  <si>
    <t xml:space="preserve">Fixed </t>
  </si>
  <si>
    <t>variable cost</t>
  </si>
  <si>
    <t xml:space="preserve">Revenue </t>
  </si>
  <si>
    <t xml:space="preserve">Full price </t>
  </si>
  <si>
    <t xml:space="preserve">reduced price </t>
  </si>
  <si>
    <t xml:space="preserve">no.of items ordered </t>
  </si>
  <si>
    <t>Demand</t>
  </si>
  <si>
    <t>no.of items sold (FP)</t>
  </si>
  <si>
    <t>no.of items sold (Reduced)</t>
  </si>
  <si>
    <t xml:space="preserve">Total cost </t>
  </si>
  <si>
    <t xml:space="preserve">Total revenue </t>
  </si>
  <si>
    <t xml:space="preserve">Total profit </t>
  </si>
  <si>
    <t xml:space="preserve">Quality sweater company </t>
  </si>
  <si>
    <t xml:space="preserve">Cost per catalog </t>
  </si>
  <si>
    <t xml:space="preserve">Mailing each </t>
  </si>
  <si>
    <t>Reply env</t>
  </si>
  <si>
    <t xml:space="preserve">printing </t>
  </si>
  <si>
    <t>Variable:</t>
  </si>
  <si>
    <t>per order</t>
  </si>
  <si>
    <t xml:space="preserve">Avg customer order </t>
  </si>
  <si>
    <t xml:space="preserve">REVENUE </t>
  </si>
  <si>
    <t xml:space="preserve">Labor and material </t>
  </si>
  <si>
    <t xml:space="preserve">per catalog </t>
  </si>
  <si>
    <t xml:space="preserve">response rate </t>
  </si>
  <si>
    <t>Catalog ordered</t>
  </si>
  <si>
    <t xml:space="preserve">Total order </t>
  </si>
  <si>
    <t>Total rev</t>
  </si>
  <si>
    <t xml:space="preserve">a) Data table </t>
  </si>
  <si>
    <t xml:space="preserve">Response rates </t>
  </si>
  <si>
    <t xml:space="preserve">Profit </t>
  </si>
  <si>
    <t xml:space="preserve">c) </t>
  </si>
  <si>
    <t>No</t>
  </si>
  <si>
    <t xml:space="preserve">Break even point </t>
  </si>
  <si>
    <t>Sales</t>
  </si>
  <si>
    <t xml:space="preserve">days open </t>
  </si>
  <si>
    <t>sales</t>
  </si>
  <si>
    <t>fc</t>
  </si>
  <si>
    <t>vc</t>
  </si>
  <si>
    <t xml:space="preserve">price </t>
  </si>
  <si>
    <t>total weekly rev</t>
  </si>
  <si>
    <t xml:space="preserve">Daily sales </t>
  </si>
  <si>
    <t xml:space="preserve">weekly profit </t>
  </si>
  <si>
    <t>total weeklycist</t>
  </si>
  <si>
    <t xml:space="preserve">total weekly profit </t>
  </si>
  <si>
    <t xml:space="preserve">B&amp;N bookstore </t>
  </si>
  <si>
    <t xml:space="preserve">Regular price </t>
  </si>
  <si>
    <t xml:space="preserve">Order </t>
  </si>
  <si>
    <t>Ordered</t>
  </si>
  <si>
    <t>atleast</t>
  </si>
  <si>
    <t>500-4500</t>
  </si>
  <si>
    <t xml:space="preserve">Sale price </t>
  </si>
  <si>
    <t>Surplus</t>
  </si>
  <si>
    <t xml:space="preserve">Surplus 2 </t>
  </si>
  <si>
    <t>Costs</t>
  </si>
  <si>
    <t>Rev</t>
  </si>
  <si>
    <t>Profit</t>
  </si>
  <si>
    <t>Cost</t>
  </si>
  <si>
    <t xml:space="preserve">Copy shop </t>
  </si>
  <si>
    <t xml:space="preserve">Copier rent </t>
  </si>
  <si>
    <t xml:space="preserve">per copy </t>
  </si>
  <si>
    <t>VC</t>
  </si>
  <si>
    <t xml:space="preserve">Price </t>
  </si>
  <si>
    <t xml:space="preserve">per year </t>
  </si>
  <si>
    <t>500-2000</t>
  </si>
  <si>
    <t xml:space="preserve">per day </t>
  </si>
  <si>
    <t xml:space="preserve">Copier </t>
  </si>
  <si>
    <t>DailyDemand</t>
  </si>
  <si>
    <t>Annual demand</t>
  </si>
  <si>
    <t xml:space="preserve">Total annual cost </t>
  </si>
  <si>
    <t>Copies made per year</t>
  </si>
  <si>
    <t xml:space="preserve">Total rev </t>
  </si>
  <si>
    <t>Max copies</t>
  </si>
  <si>
    <t>Fc</t>
  </si>
  <si>
    <t>per month</t>
  </si>
  <si>
    <t>month</t>
  </si>
  <si>
    <t>qty</t>
  </si>
  <si>
    <t xml:space="preserve">Linear </t>
  </si>
  <si>
    <t xml:space="preserve">Linear y=mx+c </t>
  </si>
  <si>
    <t xml:space="preserve">Power </t>
  </si>
  <si>
    <t>Exp y=ae^(bx)</t>
  </si>
  <si>
    <t>Power y=ax^b</t>
  </si>
  <si>
    <t xml:space="preserve">intercept c </t>
  </si>
  <si>
    <t>slope</t>
  </si>
  <si>
    <t xml:space="preserve">constant </t>
  </si>
  <si>
    <t>exponent</t>
  </si>
  <si>
    <t>const</t>
  </si>
  <si>
    <t xml:space="preserve">Predictions based on models </t>
  </si>
  <si>
    <t xml:space="preserve">Exponential </t>
  </si>
  <si>
    <t>Absolute percent err</t>
  </si>
  <si>
    <t>linear</t>
  </si>
  <si>
    <t>power</t>
  </si>
  <si>
    <t>exp</t>
  </si>
  <si>
    <t>avg</t>
  </si>
  <si>
    <t xml:space="preserve">business model </t>
  </si>
  <si>
    <t>Unit cost</t>
  </si>
  <si>
    <t>Sale price</t>
  </si>
  <si>
    <t>demand (00's)</t>
  </si>
  <si>
    <t xml:space="preserve">actual demand </t>
  </si>
  <si>
    <t xml:space="preserve">Cost </t>
  </si>
  <si>
    <t>rev</t>
  </si>
  <si>
    <t>profit</t>
  </si>
  <si>
    <t xml:space="preserve">Unit cost </t>
  </si>
  <si>
    <t>Year</t>
  </si>
  <si>
    <t>Revenue (millions of USD)</t>
  </si>
  <si>
    <t xml:space="preserve">Year number </t>
  </si>
  <si>
    <t xml:space="preserve">Actual data </t>
  </si>
  <si>
    <t xml:space="preserve">Forecast </t>
  </si>
  <si>
    <t xml:space="preserve">Absulute percent error </t>
  </si>
  <si>
    <t>Power</t>
  </si>
  <si>
    <t xml:space="preserve">Exp </t>
  </si>
  <si>
    <t>constant</t>
  </si>
  <si>
    <t>b</t>
  </si>
  <si>
    <t>EXP fn</t>
  </si>
  <si>
    <t>Exp rev</t>
  </si>
  <si>
    <t>Gopher Drugs</t>
  </si>
  <si>
    <t xml:space="preserve">Development cost </t>
  </si>
  <si>
    <t>million</t>
  </si>
  <si>
    <t>lifetime</t>
  </si>
  <si>
    <t>years</t>
  </si>
  <si>
    <t xml:space="preserve">year 1 margin </t>
  </si>
  <si>
    <t xml:space="preserve">inc thru year </t>
  </si>
  <si>
    <t xml:space="preserve">rate of increase </t>
  </si>
  <si>
    <t>rate of dec</t>
  </si>
  <si>
    <t xml:space="preserve">discount rate </t>
  </si>
  <si>
    <t xml:space="preserve">Cash flows </t>
  </si>
  <si>
    <t xml:space="preserve">End of year </t>
  </si>
  <si>
    <t xml:space="preserve">gross margin ($M) </t>
  </si>
  <si>
    <t xml:space="preserve">(Net) Present Value </t>
  </si>
  <si>
    <t>NPV</t>
  </si>
  <si>
    <t xml:space="preserve">Year </t>
  </si>
  <si>
    <t xml:space="preserve">Cash inflows </t>
  </si>
  <si>
    <t>Investment</t>
  </si>
  <si>
    <r>
      <t>N</t>
    </r>
    <r>
      <rPr>
        <b/>
        <sz val="11"/>
        <color theme="1"/>
        <rFont val="Aptos Narrow"/>
        <family val="2"/>
        <scheme val="minor"/>
      </rPr>
      <t>PV</t>
    </r>
  </si>
  <si>
    <t xml:space="preserve">NPV </t>
  </si>
  <si>
    <t>Average of Seasonally Adjusted Sales</t>
  </si>
  <si>
    <t>.</t>
  </si>
  <si>
    <t>% growth</t>
  </si>
  <si>
    <t>-</t>
  </si>
  <si>
    <t>Avg</t>
  </si>
  <si>
    <t>Exp</t>
  </si>
  <si>
    <t>Constant</t>
  </si>
  <si>
    <t>Absolute error</t>
  </si>
  <si>
    <t xml:space="preserve">TOY COMPANY </t>
  </si>
  <si>
    <t>sale price</t>
  </si>
  <si>
    <t>Revenue</t>
  </si>
  <si>
    <t>SG&amp;A</t>
  </si>
  <si>
    <t>Decrease</t>
  </si>
  <si>
    <t>Financial Estimates for Potential Projects (in $millions)</t>
  </si>
  <si>
    <t>Project Index</t>
  </si>
  <si>
    <t>Functional Area (FA)</t>
  </si>
  <si>
    <t>Partnership Percentage</t>
  </si>
  <si>
    <t>Capex Year 1</t>
  </si>
  <si>
    <t>Capex Year 2</t>
  </si>
  <si>
    <t>Capex Year 3</t>
  </si>
  <si>
    <t>FA1</t>
  </si>
  <si>
    <t>FA2</t>
  </si>
  <si>
    <t>FA3</t>
  </si>
  <si>
    <t>Total Capex</t>
  </si>
  <si>
    <t xml:space="preserve">in billions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</si>
</sst>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&quot;$&quot;#,##0.00"/>
    <numFmt numFmtId="165" formatCode="0.0%"/>
    <numFmt numFmtId="166" formatCode="&quot;$&quot;#,##0"/>
    <numFmt numFmtId="167" formatCode="0.000%"/>
    <numFmt numFmtId="168" formatCode="&quot;$&quot;#,##0.0"/>
    <numFmt numFmtId="169" formatCode="0.0"/>
    <numFmt numFmtId="170" formatCode="_(&quot;$&quot;* #,##0_);_(&quot;$&quot;* \(#,##0\);_(&quot;$&quot;* &quot;-&quot;??_);_(@_)"/>
    <numFmt numFmtId="171" formatCode="&quot;$&quot;#,##0.0_);[Red]\(&quot;$&quot;#,##0.0\)"/>
  </numFmts>
  <fonts count="2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6"/>
      <color rgb="FF9C57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rgb="FF3F3F76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  <font>
      <sz val="10"/>
      <color rgb="FF1F1F1F"/>
      <name val="Source Sans Pro"/>
      <family val="2"/>
    </font>
    <font>
      <b/>
      <i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2" tint="-9.9978637043366805E-2"/>
      <name val="Aptos Narrow"/>
      <family val="2"/>
      <scheme val="minor"/>
    </font>
    <font>
      <b/>
      <sz val="11"/>
      <color theme="2" tint="-0.249977111117893"/>
      <name val="Aptos Narrow"/>
      <family val="2"/>
      <scheme val="minor"/>
    </font>
    <font>
      <b/>
      <i/>
      <sz val="11"/>
      <color theme="2" tint="-0.249977111117893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9" fontId="4" fillId="0" borderId="0" applyFont="0" applyFill="0" applyBorder="0" applyAlignment="0" applyProtection="0"/>
    <xf numFmtId="0" fontId="5" fillId="3" borderId="0" applyNumberFormat="0" applyBorder="0" applyAlignment="0" applyProtection="0"/>
    <xf numFmtId="0" fontId="6" fillId="4" borderId="1" applyNumberFormat="0" applyAlignment="0" applyProtection="0"/>
    <xf numFmtId="0" fontId="17" fillId="10" borderId="19" applyNumberFormat="0" applyAlignment="0" applyProtection="0"/>
    <xf numFmtId="44" fontId="4" fillId="0" borderId="0" applyFont="0" applyFill="0" applyBorder="0" applyAlignment="0" applyProtection="0"/>
    <xf numFmtId="0" fontId="4" fillId="11" borderId="20" applyNumberFormat="0" applyFont="0" applyAlignment="0" applyProtection="0"/>
    <xf numFmtId="0" fontId="4" fillId="12" borderId="0" applyNumberFormat="0" applyBorder="0" applyAlignment="0" applyProtection="0"/>
    <xf numFmtId="0" fontId="21" fillId="16" borderId="1" applyNumberFormat="0" applyAlignment="0" applyProtection="0"/>
  </cellStyleXfs>
  <cellXfs count="15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0" fillId="0" borderId="0" xfId="0" applyNumberFormat="1"/>
    <xf numFmtId="3" fontId="0" fillId="0" borderId="0" xfId="0" applyNumberFormat="1"/>
    <xf numFmtId="0" fontId="8" fillId="0" borderId="0" xfId="0" applyFont="1"/>
    <xf numFmtId="0" fontId="9" fillId="0" borderId="0" xfId="0" applyFont="1"/>
    <xf numFmtId="166" fontId="0" fillId="0" borderId="0" xfId="0" applyNumberFormat="1"/>
    <xf numFmtId="42" fontId="2" fillId="0" borderId="0" xfId="0" applyNumberFormat="1" applyFont="1"/>
    <xf numFmtId="0" fontId="10" fillId="4" borderId="1" xfId="4" applyFont="1"/>
    <xf numFmtId="0" fontId="0" fillId="0" borderId="0" xfId="0" applyAlignment="1">
      <alignment horizontal="center"/>
    </xf>
    <xf numFmtId="42" fontId="0" fillId="0" borderId="0" xfId="0" applyNumberFormat="1" applyAlignment="1">
      <alignment horizontal="center"/>
    </xf>
    <xf numFmtId="42" fontId="11" fillId="0" borderId="0" xfId="0" applyNumberFormat="1" applyFont="1" applyAlignment="1">
      <alignment horizontal="center"/>
    </xf>
    <xf numFmtId="165" fontId="0" fillId="0" borderId="0" xfId="2" applyNumberFormat="1" applyFont="1" applyAlignment="1">
      <alignment horizontal="center"/>
    </xf>
    <xf numFmtId="10" fontId="0" fillId="5" borderId="0" xfId="2" applyNumberFormat="1" applyFont="1" applyFill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11" fillId="0" borderId="5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6" borderId="0" xfId="0" applyFill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166" fontId="0" fillId="0" borderId="8" xfId="0" applyNumberFormat="1" applyBorder="1"/>
    <xf numFmtId="166" fontId="0" fillId="0" borderId="13" xfId="0" applyNumberFormat="1" applyBorder="1"/>
    <xf numFmtId="166" fontId="0" fillId="0" borderId="15" xfId="0" applyNumberFormat="1" applyBorder="1"/>
    <xf numFmtId="166" fontId="0" fillId="0" borderId="16" xfId="0" applyNumberFormat="1" applyBorder="1"/>
    <xf numFmtId="166" fontId="13" fillId="0" borderId="8" xfId="0" applyNumberFormat="1" applyFont="1" applyBorder="1"/>
    <xf numFmtId="0" fontId="2" fillId="6" borderId="8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168" fontId="0" fillId="0" borderId="0" xfId="0" applyNumberFormat="1"/>
    <xf numFmtId="166" fontId="0" fillId="7" borderId="0" xfId="0" applyNumberFormat="1" applyFill="1"/>
    <xf numFmtId="0" fontId="0" fillId="8" borderId="0" xfId="0" applyFill="1"/>
    <xf numFmtId="168" fontId="14" fillId="0" borderId="0" xfId="0" applyNumberFormat="1" applyFont="1"/>
    <xf numFmtId="0" fontId="15" fillId="0" borderId="0" xfId="0" applyFont="1"/>
    <xf numFmtId="168" fontId="0" fillId="9" borderId="0" xfId="0" applyNumberFormat="1" applyFill="1"/>
    <xf numFmtId="0" fontId="0" fillId="0" borderId="18" xfId="0" applyBorder="1"/>
    <xf numFmtId="0" fontId="2" fillId="0" borderId="17" xfId="0" applyFont="1" applyBorder="1"/>
    <xf numFmtId="0" fontId="12" fillId="0" borderId="4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5" fontId="13" fillId="9" borderId="0" xfId="0" applyNumberFormat="1" applyFont="1" applyFill="1"/>
    <xf numFmtId="0" fontId="16" fillId="0" borderId="0" xfId="0" applyFont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7" fillId="10" borderId="19" xfId="5" applyAlignment="1">
      <alignment horizontal="center" vertical="center"/>
    </xf>
    <xf numFmtId="169" fontId="0" fillId="0" borderId="0" xfId="0" applyNumberFormat="1"/>
    <xf numFmtId="0" fontId="17" fillId="10" borderId="21" xfId="5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7" fillId="10" borderId="24" xfId="5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9" fontId="0" fillId="0" borderId="8" xfId="0" applyNumberFormat="1" applyBorder="1"/>
    <xf numFmtId="0" fontId="2" fillId="11" borderId="9" xfId="7" applyFont="1" applyBorder="1"/>
    <xf numFmtId="0" fontId="2" fillId="11" borderId="10" xfId="7" applyFont="1" applyBorder="1"/>
    <xf numFmtId="0" fontId="2" fillId="11" borderId="11" xfId="7" applyFont="1" applyBorder="1"/>
    <xf numFmtId="169" fontId="0" fillId="0" borderId="12" xfId="0" applyNumberFormat="1" applyBorder="1"/>
    <xf numFmtId="169" fontId="0" fillId="0" borderId="13" xfId="0" applyNumberFormat="1" applyBorder="1"/>
    <xf numFmtId="169" fontId="0" fillId="0" borderId="14" xfId="0" applyNumberFormat="1" applyBorder="1"/>
    <xf numFmtId="169" fontId="0" fillId="0" borderId="15" xfId="0" applyNumberFormat="1" applyBorder="1"/>
    <xf numFmtId="169" fontId="0" fillId="0" borderId="16" xfId="0" applyNumberFormat="1" applyBorder="1"/>
    <xf numFmtId="165" fontId="2" fillId="0" borderId="0" xfId="2" applyNumberFormat="1" applyFont="1" applyFill="1" applyBorder="1"/>
    <xf numFmtId="165" fontId="2" fillId="13" borderId="0" xfId="2" applyNumberFormat="1" applyFont="1" applyFill="1" applyBorder="1"/>
    <xf numFmtId="165" fontId="0" fillId="0" borderId="0" xfId="2" applyNumberFormat="1" applyFont="1" applyAlignment="1">
      <alignment horizontal="center" vertical="center"/>
    </xf>
    <xf numFmtId="0" fontId="0" fillId="14" borderId="0" xfId="0" applyFill="1"/>
    <xf numFmtId="44" fontId="0" fillId="0" borderId="0" xfId="6" applyFont="1"/>
    <xf numFmtId="0" fontId="0" fillId="8" borderId="8" xfId="0" applyFill="1" applyBorder="1"/>
    <xf numFmtId="1" fontId="0" fillId="0" borderId="8" xfId="0" applyNumberFormat="1" applyBorder="1"/>
    <xf numFmtId="44" fontId="2" fillId="0" borderId="0" xfId="6" applyFont="1"/>
    <xf numFmtId="170" fontId="18" fillId="0" borderId="0" xfId="0" applyNumberFormat="1" applyFont="1"/>
    <xf numFmtId="170" fontId="2" fillId="0" borderId="0" xfId="0" applyNumberFormat="1" applyFont="1"/>
    <xf numFmtId="170" fontId="2" fillId="14" borderId="0" xfId="0" applyNumberFormat="1" applyFont="1" applyFill="1"/>
    <xf numFmtId="0" fontId="2" fillId="11" borderId="0" xfId="7" applyFont="1" applyBorder="1" applyAlignment="1">
      <alignment horizontal="center" vertical="center"/>
    </xf>
    <xf numFmtId="0" fontId="12" fillId="0" borderId="0" xfId="0" applyFont="1"/>
    <xf numFmtId="0" fontId="2" fillId="14" borderId="0" xfId="0" applyFont="1" applyFill="1"/>
    <xf numFmtId="44" fontId="18" fillId="0" borderId="0" xfId="0" applyNumberFormat="1" applyFont="1" applyAlignment="1">
      <alignment horizontal="center" vertical="center"/>
    </xf>
    <xf numFmtId="170" fontId="0" fillId="0" borderId="0" xfId="6" applyNumberFormat="1" applyFont="1"/>
    <xf numFmtId="0" fontId="4" fillId="12" borderId="0" xfId="8" applyAlignment="1">
      <alignment horizontal="center"/>
    </xf>
    <xf numFmtId="168" fontId="0" fillId="0" borderId="0" xfId="0" applyNumberFormat="1" applyAlignment="1">
      <alignment horizontal="center"/>
    </xf>
    <xf numFmtId="169" fontId="0" fillId="13" borderId="0" xfId="0" applyNumberFormat="1" applyFill="1"/>
    <xf numFmtId="0" fontId="0" fillId="0" borderId="14" xfId="0" applyBorder="1"/>
    <xf numFmtId="0" fontId="4" fillId="12" borderId="0" xfId="8" applyBorder="1" applyAlignment="1">
      <alignment horizontal="center"/>
    </xf>
    <xf numFmtId="0" fontId="0" fillId="15" borderId="0" xfId="0" applyFill="1"/>
    <xf numFmtId="169" fontId="0" fillId="0" borderId="0" xfId="0" applyNumberFormat="1" applyAlignment="1">
      <alignment horizontal="center"/>
    </xf>
    <xf numFmtId="2" fontId="0" fillId="0" borderId="0" xfId="0" applyNumberFormat="1"/>
    <xf numFmtId="9" fontId="0" fillId="0" borderId="0" xfId="2" applyFont="1" applyBorder="1"/>
    <xf numFmtId="0" fontId="19" fillId="0" borderId="0" xfId="0" applyFont="1"/>
    <xf numFmtId="9" fontId="19" fillId="0" borderId="0" xfId="0" applyNumberFormat="1" applyFont="1"/>
    <xf numFmtId="0" fontId="20" fillId="13" borderId="0" xfId="0" applyFont="1" applyFill="1"/>
    <xf numFmtId="9" fontId="2" fillId="0" borderId="0" xfId="0" applyNumberFormat="1" applyFont="1"/>
    <xf numFmtId="0" fontId="2" fillId="8" borderId="12" xfId="0" applyFont="1" applyFill="1" applyBorder="1"/>
    <xf numFmtId="0" fontId="2" fillId="8" borderId="13" xfId="0" applyFont="1" applyFill="1" applyBorder="1"/>
    <xf numFmtId="164" fontId="0" fillId="0" borderId="13" xfId="0" applyNumberFormat="1" applyBorder="1" applyAlignment="1">
      <alignment horizontal="center"/>
    </xf>
    <xf numFmtId="167" fontId="2" fillId="0" borderId="0" xfId="2" applyNumberFormat="1" applyFont="1"/>
    <xf numFmtId="0" fontId="2" fillId="0" borderId="0" xfId="0" applyFont="1" applyAlignment="1">
      <alignment horizontal="center"/>
    </xf>
    <xf numFmtId="8" fontId="0" fillId="0" borderId="0" xfId="0" applyNumberFormat="1"/>
    <xf numFmtId="0" fontId="2" fillId="17" borderId="0" xfId="0" applyFont="1" applyFill="1"/>
    <xf numFmtId="8" fontId="2" fillId="17" borderId="0" xfId="0" applyNumberFormat="1" applyFont="1" applyFill="1"/>
    <xf numFmtId="9" fontId="0" fillId="0" borderId="0" xfId="0" applyNumberFormat="1"/>
    <xf numFmtId="171" fontId="0" fillId="0" borderId="0" xfId="0" applyNumberFormat="1"/>
    <xf numFmtId="6" fontId="0" fillId="0" borderId="0" xfId="0" applyNumberFormat="1"/>
    <xf numFmtId="6" fontId="2" fillId="0" borderId="0" xfId="0" applyNumberFormat="1" applyFont="1"/>
    <xf numFmtId="0" fontId="0" fillId="0" borderId="0" xfId="0" applyAlignment="1">
      <alignment horizontal="center" vertical="center"/>
    </xf>
    <xf numFmtId="165" fontId="0" fillId="0" borderId="0" xfId="2" applyNumberFormat="1" applyFont="1"/>
    <xf numFmtId="0" fontId="2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165" fontId="2" fillId="0" borderId="0" xfId="0" applyNumberFormat="1" applyFont="1"/>
    <xf numFmtId="0" fontId="21" fillId="16" borderId="1" xfId="9"/>
    <xf numFmtId="165" fontId="21" fillId="16" borderId="1" xfId="9" applyNumberFormat="1"/>
    <xf numFmtId="0" fontId="0" fillId="0" borderId="8" xfId="0" applyBorder="1" applyAlignment="1">
      <alignment horizontal="center"/>
    </xf>
    <xf numFmtId="9" fontId="0" fillId="0" borderId="8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9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9" fontId="0" fillId="0" borderId="34" xfId="0" applyNumberFormat="1" applyBorder="1" applyAlignment="1">
      <alignment horizontal="center"/>
    </xf>
    <xf numFmtId="0" fontId="0" fillId="0" borderId="35" xfId="0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0" fillId="13" borderId="34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3" fillId="2" borderId="0" xfId="1" applyFont="1" applyAlignment="1">
      <alignment horizontal="center" vertical="center"/>
    </xf>
    <xf numFmtId="0" fontId="7" fillId="3" borderId="0" xfId="3" applyFont="1" applyAlignment="1">
      <alignment horizontal="center"/>
    </xf>
    <xf numFmtId="0" fontId="5" fillId="3" borderId="0" xfId="3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 vertical="center" textRotation="90" wrapText="1"/>
    </xf>
    <xf numFmtId="0" fontId="12" fillId="0" borderId="14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0">
    <cellStyle name="60% - Accent5" xfId="8" builtinId="48"/>
    <cellStyle name="Calculation" xfId="9" builtinId="22"/>
    <cellStyle name="Check Cell" xfId="5" builtinId="23"/>
    <cellStyle name="Currency" xfId="6" builtinId="4"/>
    <cellStyle name="Good" xfId="1" builtinId="26"/>
    <cellStyle name="Input" xfId="4" builtinId="20"/>
    <cellStyle name="Neutral" xfId="3" builtinId="28"/>
    <cellStyle name="Normal" xfId="0" builtinId="0"/>
    <cellStyle name="Note" xfId="7" builtinId="10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Rate vs Profit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Sheet2!$F$6:$F$16</c:f>
              <c:numCache>
                <c:formatCode>0.0%</c:formatCode>
                <c:ptCount val="11"/>
                <c:pt idx="0">
                  <c:v>0.03</c:v>
                </c:pt>
                <c:pt idx="1">
                  <c:v>3.5000000000000003E-2</c:v>
                </c:pt>
                <c:pt idx="2">
                  <c:v>0.04</c:v>
                </c:pt>
                <c:pt idx="3">
                  <c:v>4.4999999999999998E-2</c:v>
                </c:pt>
                <c:pt idx="4">
                  <c:v>0.05</c:v>
                </c:pt>
                <c:pt idx="5">
                  <c:v>5.5E-2</c:v>
                </c:pt>
                <c:pt idx="6">
                  <c:v>0.06</c:v>
                </c:pt>
                <c:pt idx="7">
                  <c:v>6.5000000000000002E-2</c:v>
                </c:pt>
                <c:pt idx="8">
                  <c:v>7.0000000000000007E-2</c:v>
                </c:pt>
                <c:pt idx="9">
                  <c:v>7.4999999999999997E-2</c:v>
                </c:pt>
                <c:pt idx="10">
                  <c:v>0.08</c:v>
                </c:pt>
              </c:numCache>
            </c:numRef>
          </c:xVal>
          <c:yVal>
            <c:numRef>
              <c:f>Sheet2!$G$6:$G$16</c:f>
              <c:numCache>
                <c:formatCode>_("$"* #,##0_);_("$"* \(#,##0\);_("$"* "-"_);_(@_)</c:formatCode>
                <c:ptCount val="11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8B-4870-BE01-FB80A9313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481264"/>
        <c:axId val="441319392"/>
      </c:scatterChart>
      <c:valAx>
        <c:axId val="65148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rates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19392"/>
        <c:crosses val="autoZero"/>
        <c:crossBetween val="midCat"/>
      </c:valAx>
      <c:valAx>
        <c:axId val="441319392"/>
        <c:scaling>
          <c:orientation val="minMax"/>
        </c:scaling>
        <c:delete val="0"/>
        <c:axPos val="l"/>
        <c:majorGridlines>
          <c:spPr>
            <a:ln w="9525" cap="flat" cmpd="thinThick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48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Price vs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Sheet6!$C$1</c:f>
              <c:strCache>
                <c:ptCount val="1"/>
                <c:pt idx="0">
                  <c:v>qty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682677165354332"/>
                  <c:y val="-0.553320574511519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2950721784776903"/>
                  <c:y val="-0.378514144065325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0964632545931759"/>
                  <c:y val="-0.44127588218139402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Sheet6!$B$2:$B$13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Sheet6!$C$2:$C$13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4-47A3-AE3B-A2EBF8DC7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833887"/>
        <c:axId val="492390479"/>
      </c:scatterChart>
      <c:valAx>
        <c:axId val="48483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390479"/>
        <c:crosses val="autoZero"/>
        <c:crossBetween val="midCat"/>
      </c:valAx>
      <c:valAx>
        <c:axId val="4923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33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Sheet6!$F$41:$F$107</c:f>
              <c:numCache>
                <c:formatCode>General</c:formatCode>
                <c:ptCount val="67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610</c:v>
                </c:pt>
                <c:pt idx="36">
                  <c:v>620</c:v>
                </c:pt>
                <c:pt idx="37">
                  <c:v>630</c:v>
                </c:pt>
                <c:pt idx="38">
                  <c:v>640</c:v>
                </c:pt>
                <c:pt idx="39">
                  <c:v>650</c:v>
                </c:pt>
                <c:pt idx="40">
                  <c:v>660</c:v>
                </c:pt>
                <c:pt idx="41">
                  <c:v>670</c:v>
                </c:pt>
                <c:pt idx="42">
                  <c:v>680</c:v>
                </c:pt>
                <c:pt idx="43">
                  <c:v>690</c:v>
                </c:pt>
                <c:pt idx="44">
                  <c:v>700</c:v>
                </c:pt>
                <c:pt idx="45">
                  <c:v>710</c:v>
                </c:pt>
                <c:pt idx="46">
                  <c:v>720</c:v>
                </c:pt>
                <c:pt idx="47">
                  <c:v>730</c:v>
                </c:pt>
                <c:pt idx="48">
                  <c:v>740</c:v>
                </c:pt>
                <c:pt idx="49">
                  <c:v>750</c:v>
                </c:pt>
                <c:pt idx="50">
                  <c:v>760</c:v>
                </c:pt>
                <c:pt idx="51">
                  <c:v>770</c:v>
                </c:pt>
                <c:pt idx="52">
                  <c:v>780</c:v>
                </c:pt>
                <c:pt idx="53">
                  <c:v>790</c:v>
                </c:pt>
                <c:pt idx="54">
                  <c:v>800</c:v>
                </c:pt>
                <c:pt idx="55">
                  <c:v>810</c:v>
                </c:pt>
                <c:pt idx="56">
                  <c:v>820</c:v>
                </c:pt>
                <c:pt idx="57">
                  <c:v>830</c:v>
                </c:pt>
                <c:pt idx="58">
                  <c:v>840</c:v>
                </c:pt>
                <c:pt idx="59">
                  <c:v>850</c:v>
                </c:pt>
                <c:pt idx="60">
                  <c:v>860</c:v>
                </c:pt>
                <c:pt idx="61">
                  <c:v>870</c:v>
                </c:pt>
                <c:pt idx="62">
                  <c:v>880</c:v>
                </c:pt>
                <c:pt idx="63">
                  <c:v>890</c:v>
                </c:pt>
                <c:pt idx="64">
                  <c:v>900</c:v>
                </c:pt>
                <c:pt idx="65">
                  <c:v>910</c:v>
                </c:pt>
                <c:pt idx="66">
                  <c:v>920</c:v>
                </c:pt>
              </c:numCache>
            </c:numRef>
          </c:cat>
          <c:val>
            <c:numRef>
              <c:f>Sheet6!$G$41:$G$107</c:f>
              <c:numCache>
                <c:formatCode>_("$"* #,##0_);_("$"* \(#,##0\);_("$"* "-"??_);_(@_)</c:formatCode>
                <c:ptCount val="67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>
                  <c:v>1024731.2726827315</c:v>
                </c:pt>
                <c:pt idx="36">
                  <c:v>1021022.2237432048</c:v>
                </c:pt>
                <c:pt idx="37">
                  <c:v>1017088.2634793159</c:v>
                </c:pt>
                <c:pt idx="38">
                  <c:v>1012954.7173026291</c:v>
                </c:pt>
                <c:pt idx="39">
                  <c:v>1008644.4924491229</c:v>
                </c:pt>
                <c:pt idx="40">
                  <c:v>1004178.3234829371</c:v>
                </c:pt>
                <c:pt idx="41">
                  <c:v>999574.99043870345</c:v>
                </c:pt>
                <c:pt idx="42">
                  <c:v>994851.51295467373</c:v>
                </c:pt>
                <c:pt idx="43">
                  <c:v>990023.32329994719</c:v>
                </c:pt>
                <c:pt idx="44">
                  <c:v>985104.42081539321</c:v>
                </c:pt>
                <c:pt idx="45">
                  <c:v>980107.50995916908</c:v>
                </c:pt>
                <c:pt idx="46">
                  <c:v>975044.1238656675</c:v>
                </c:pt>
                <c:pt idx="47">
                  <c:v>969924.73508398188</c:v>
                </c:pt>
                <c:pt idx="48">
                  <c:v>964758.8549528002</c:v>
                </c:pt>
                <c:pt idx="49">
                  <c:v>959555.12288789009</c:v>
                </c:pt>
                <c:pt idx="50">
                  <c:v>954321.38670201262</c:v>
                </c:pt>
                <c:pt idx="51">
                  <c:v>949064.7749414182</c:v>
                </c:pt>
                <c:pt idx="52">
                  <c:v>943791.76210536808</c:v>
                </c:pt>
                <c:pt idx="53">
                  <c:v>938508.22751260083</c:v>
                </c:pt>
                <c:pt idx="54">
                  <c:v>933219.50848926988</c:v>
                </c:pt>
                <c:pt idx="55">
                  <c:v>927930.44847494666</c:v>
                </c:pt>
                <c:pt idx="56">
                  <c:v>922645.44057495799</c:v>
                </c:pt>
                <c:pt idx="57">
                  <c:v>917368.46702761366</c:v>
                </c:pt>
                <c:pt idx="58">
                  <c:v>912103.13500239153</c:v>
                </c:pt>
                <c:pt idx="59">
                  <c:v>906852.70909909625</c:v>
                </c:pt>
                <c:pt idx="60">
                  <c:v>901620.14087741717</c:v>
                </c:pt>
                <c:pt idx="61">
                  <c:v>896408.09571059258</c:v>
                </c:pt>
                <c:pt idx="62">
                  <c:v>891218.97722535138</c:v>
                </c:pt>
                <c:pt idx="63">
                  <c:v>886054.94956237264</c:v>
                </c:pt>
                <c:pt idx="64">
                  <c:v>880917.95766693447</c:v>
                </c:pt>
                <c:pt idx="65">
                  <c:v>875809.74579744879</c:v>
                </c:pt>
                <c:pt idx="66">
                  <c:v>870731.87442029815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F3-45A8-BA59-F92869508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24112288"/>
        <c:axId val="630796879"/>
      </c:lineChart>
      <c:catAx>
        <c:axId val="62411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796879"/>
        <c:crosses val="autoZero"/>
        <c:auto val="1"/>
        <c:lblAlgn val="ctr"/>
        <c:lblOffset val="100"/>
        <c:noMultiLvlLbl val="0"/>
      </c:catAx>
      <c:valAx>
        <c:axId val="630796879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1228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Sheet5!$C$1</c:f>
              <c:strCache>
                <c:ptCount val="1"/>
                <c:pt idx="0">
                  <c:v>Revenue (millions of USD)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4288232720909885"/>
                  <c:y val="-0.180836249635462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341185476815398"/>
                  <c:y val="-0.26151647710702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Sheet5!$B$2:$B$7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Sheet5!$C$2:$C$7</c:f>
              <c:numCache>
                <c:formatCode>"$"#,##0.0</c:formatCode>
                <c:ptCount val="6"/>
                <c:pt idx="0">
                  <c:v>218.6</c:v>
                </c:pt>
                <c:pt idx="1">
                  <c:v>435</c:v>
                </c:pt>
                <c:pt idx="2">
                  <c:v>915</c:v>
                </c:pt>
                <c:pt idx="3">
                  <c:v>1825.9</c:v>
                </c:pt>
                <c:pt idx="4">
                  <c:v>4021.8</c:v>
                </c:pt>
                <c:pt idx="5">
                  <c:v>3582.1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1D-47CE-ABED-98241B474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831967"/>
        <c:axId val="630798367"/>
      </c:scatterChart>
      <c:valAx>
        <c:axId val="48483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number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798367"/>
        <c:crosses val="autoZero"/>
        <c:crossBetween val="midCat"/>
      </c:valAx>
      <c:valAx>
        <c:axId val="63079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&quot;$&quot;#,##0" sourceLinked="0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31967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Sales over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Sheet8!$C$1</c:f>
              <c:strCache>
                <c:ptCount val="1"/>
                <c:pt idx="0">
                  <c:v>Average of Seasonally Adjusted Sales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7.9025371828521429E-2"/>
                  <c:y val="-0.143935185185185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Sheet8!$B$2:$B$21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Sheet8!$C$2:$C$21</c:f>
              <c:numCache>
                <c:formatCode>"$"#,##0.0_);[Red]\("$"#,##0.0\)</c:formatCode>
                <c:ptCount val="20"/>
                <c:pt idx="0">
                  <c:v>150781.17000000001</c:v>
                </c:pt>
                <c:pt idx="1">
                  <c:v>161696.25</c:v>
                </c:pt>
                <c:pt idx="2">
                  <c:v>175688.83</c:v>
                </c:pt>
                <c:pt idx="3">
                  <c:v>185437.25</c:v>
                </c:pt>
                <c:pt idx="4">
                  <c:v>196728.17</c:v>
                </c:pt>
                <c:pt idx="5">
                  <c:v>206334.07999999999</c:v>
                </c:pt>
                <c:pt idx="6">
                  <c:v>215657.67</c:v>
                </c:pt>
                <c:pt idx="7">
                  <c:v>233872</c:v>
                </c:pt>
                <c:pt idx="8">
                  <c:v>248748.25</c:v>
                </c:pt>
                <c:pt idx="9">
                  <c:v>255663.75</c:v>
                </c:pt>
                <c:pt idx="10">
                  <c:v>261272.42</c:v>
                </c:pt>
                <c:pt idx="11">
                  <c:v>272232.5</c:v>
                </c:pt>
                <c:pt idx="12">
                  <c:v>288987.5</c:v>
                </c:pt>
                <c:pt idx="13">
                  <c:v>307826.08</c:v>
                </c:pt>
                <c:pt idx="14">
                  <c:v>323823.08</c:v>
                </c:pt>
                <c:pt idx="15">
                  <c:v>334008</c:v>
                </c:pt>
                <c:pt idx="16">
                  <c:v>328780.33</c:v>
                </c:pt>
                <c:pt idx="17">
                  <c:v>303288.92</c:v>
                </c:pt>
                <c:pt idx="18">
                  <c:v>323964.17</c:v>
                </c:pt>
                <c:pt idx="19">
                  <c:v>349717.75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0C-4E4A-AE4E-20CEBC85D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293711"/>
        <c:axId val="692471264"/>
      </c:scatterChart>
      <c:valAx>
        <c:axId val="1474293711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471264"/>
        <c:crosses val="autoZero"/>
        <c:crossBetween val="midCat"/>
      </c:valAx>
      <c:valAx>
        <c:axId val="69247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sales ($M)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_);[Red]\(&quot;$&quot;#,##0.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293711"/>
        <c:crosses val="autoZero"/>
        <c:crossBetween val="midCat"/>
        <c:majorUnit val="1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216878</xdr:colOff>
      <xdr:row>0</xdr:row>
      <xdr:rowOff>230204</xdr:rowOff>
    </xdr:from>
    <xdr:to>
      <xdr:col>21</xdr:col>
      <xdr:colOff>555359</xdr:colOff>
      <xdr:row>18</xdr:row>
      <xdr:rowOff>134753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60389A-60A4-4414-9B12-91039787D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0710" y="230204"/>
          <a:ext cx="7044081" cy="3337560"/>
        </a:xfrm>
        <a:prstGeom prst="rect">
          <a:avLst/>
        </a:prstGeom>
      </xdr:spPr>
    </xdr:pic>
    <xdr:clientData/>
  </xdr:twoCellAnchor>
  <xdr:twoCellAnchor>
    <xdr:from>
      <xdr:col>3</xdr:col>
      <xdr:colOff>525780</xdr:colOff>
      <xdr:row>18</xdr:row>
      <xdr:rowOff>15240</xdr:rowOff>
    </xdr:from>
    <xdr:to>
      <xdr:col>9</xdr:col>
      <xdr:colOff>281940</xdr:colOff>
      <xdr:row>33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C76140-5117-3BD6-C22D-30F6672E2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187094</xdr:colOff>
      <xdr:row>0</xdr:row>
      <xdr:rowOff>0</xdr:rowOff>
    </xdr:from>
    <xdr:to>
      <xdr:col>21</xdr:col>
      <xdr:colOff>162052</xdr:colOff>
      <xdr:row>13</xdr:row>
      <xdr:rowOff>152964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493AD7-8CD6-C58F-5948-BFC6DC78D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48483" y="0"/>
          <a:ext cx="6649513" cy="25377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582930</xdr:colOff>
      <xdr:row>1</xdr:row>
      <xdr:rowOff>41910</xdr:rowOff>
    </xdr:from>
    <xdr:to>
      <xdr:col>16</xdr:col>
      <xdr:colOff>278130</xdr:colOff>
      <xdr:row>15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AE5BC8-5030-0E11-98E0-E61B62D44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38</xdr:row>
      <xdr:rowOff>0</xdr:rowOff>
    </xdr:from>
    <xdr:to>
      <xdr:col>15</xdr:col>
      <xdr:colOff>312420</xdr:colOff>
      <xdr:row>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0BE566-06CC-36E6-48A6-66477465D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240501</xdr:colOff>
      <xdr:row>5</xdr:row>
      <xdr:rowOff>81302</xdr:rowOff>
    </xdr:from>
    <xdr:to>
      <xdr:col>16</xdr:col>
      <xdr:colOff>545301</xdr:colOff>
      <xdr:row>20</xdr:row>
      <xdr:rowOff>81303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A095AD-0D78-F18B-166A-B83765507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121920</xdr:colOff>
      <xdr:row>0</xdr:row>
      <xdr:rowOff>7621</xdr:rowOff>
    </xdr:from>
    <xdr:to>
      <xdr:col>23</xdr:col>
      <xdr:colOff>308137</xdr:colOff>
      <xdr:row>16</xdr:row>
      <xdr:rowOff>126285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EF3BD3-C0F1-3B01-B6DE-64998AD37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7120" y="7621"/>
          <a:ext cx="6891817" cy="30523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0</xdr:row>
      <xdr:rowOff>121920</xdr:rowOff>
    </xdr:from>
    <xdr:to>
      <xdr:col>16</xdr:col>
      <xdr:colOff>190500</xdr:colOff>
      <xdr:row>15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9AFDF5-7605-FD82-8374-3AA227F219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198120</xdr:colOff>
      <xdr:row>21</xdr:row>
      <xdr:rowOff>106680</xdr:rowOff>
    </xdr:from>
    <xdr:to>
      <xdr:col>18</xdr:col>
      <xdr:colOff>458716</xdr:colOff>
      <xdr:row>34</xdr:row>
      <xdr:rowOff>75078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6D08CD-E393-5D3D-3DE2-54C1C2BF7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9440" y="3947160"/>
          <a:ext cx="7575796" cy="23458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8ACE-4C59-4DA9-84BA-69EE83324075}">
  <dimension ref="A1:B20"/>
  <sheetViews>
    <sheetView workbookViewId="0">
      <selection activeCell="J7" sqref="J7"/>
    </sheetView>
  </sheetViews>
  <sheetFormatPr defaultRowHeight="14.4" x14ac:dyDescent="0.3"/>
  <cols>
    <col min="1" max="1" width="30.6640625" customWidth="1"/>
    <col min="2" max="2" width="18.77734375" customWidth="1"/>
  </cols>
  <sheetData>
    <row r="1" spans="1:2" ht="36.6" customHeight="1" x14ac:dyDescent="0.3">
      <c r="A1" s="143" t="s">
        <v>0</v>
      </c>
      <c r="B1" s="143"/>
    </row>
    <row r="3" spans="1:2" x14ac:dyDescent="0.3">
      <c r="A3" s="1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7" spans="1:2" x14ac:dyDescent="0.3">
      <c r="A7" s="1" t="s">
        <v>4</v>
      </c>
    </row>
    <row r="8" spans="1:2" x14ac:dyDescent="0.3">
      <c r="A8" t="s">
        <v>5</v>
      </c>
    </row>
    <row r="9" spans="1:2" x14ac:dyDescent="0.3">
      <c r="A9" t="s">
        <v>6</v>
      </c>
    </row>
    <row r="13" spans="1:2" x14ac:dyDescent="0.3">
      <c r="A13" t="s">
        <v>7</v>
      </c>
    </row>
    <row r="14" spans="1:2" x14ac:dyDescent="0.3">
      <c r="A14" t="s">
        <v>8</v>
      </c>
    </row>
    <row r="15" spans="1:2" x14ac:dyDescent="0.3">
      <c r="A15" t="s">
        <v>9</v>
      </c>
    </row>
    <row r="16" spans="1:2" x14ac:dyDescent="0.3">
      <c r="A16" t="s">
        <v>10</v>
      </c>
    </row>
    <row r="18" spans="1:1" x14ac:dyDescent="0.3">
      <c r="A18" s="2" t="s">
        <v>11</v>
      </c>
    </row>
    <row r="19" spans="1:1" x14ac:dyDescent="0.3">
      <c r="A19" s="2" t="s">
        <v>12</v>
      </c>
    </row>
    <row r="20" spans="1:1" x14ac:dyDescent="0.3">
      <c r="A20" s="2" t="s">
        <v>13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6383-3397-40AD-B382-2F0FD2F99613}">
  <dimension ref="A1:I22"/>
  <sheetViews>
    <sheetView tabSelected="1" zoomScale="95" workbookViewId="0">
      <selection activeCell="G14" sqref="G14"/>
    </sheetView>
  </sheetViews>
  <sheetFormatPr defaultRowHeight="14.4" x14ac:dyDescent="0.3"/>
  <cols>
    <col min="1" max="1" width="29.6640625" customWidth="1"/>
    <col min="2" max="2" width="36.88671875" style="3" customWidth="1"/>
    <col min="6" max="6" width="20.21875" customWidth="1"/>
    <col min="7" max="7" width="14.44140625" customWidth="1"/>
  </cols>
  <sheetData>
    <row r="1" spans="1:9" ht="21" x14ac:dyDescent="0.4">
      <c r="A1" s="144" t="s">
        <v>14</v>
      </c>
      <c r="B1" s="144"/>
    </row>
    <row r="3" spans="1:9" ht="15.6" x14ac:dyDescent="0.3">
      <c r="A3" s="5" t="s">
        <v>1</v>
      </c>
      <c r="F3" s="9" t="s">
        <v>29</v>
      </c>
      <c r="I3" t="s">
        <v>32</v>
      </c>
    </row>
    <row r="4" spans="1:9" ht="15.6" x14ac:dyDescent="0.3">
      <c r="A4" t="s">
        <v>18</v>
      </c>
      <c r="B4" s="3">
        <v>20000</v>
      </c>
      <c r="F4" s="5" t="s">
        <v>30</v>
      </c>
      <c r="G4" s="5" t="s">
        <v>31</v>
      </c>
      <c r="I4" t="s">
        <v>33</v>
      </c>
    </row>
    <row r="5" spans="1:9" x14ac:dyDescent="0.3">
      <c r="A5" s="1" t="s">
        <v>19</v>
      </c>
      <c r="F5" s="10"/>
      <c r="G5" s="12">
        <f>B20</f>
        <v>0</v>
      </c>
    </row>
    <row r="6" spans="1:9" x14ac:dyDescent="0.3">
      <c r="A6" t="s">
        <v>15</v>
      </c>
      <c r="B6" s="3">
        <v>0.1</v>
      </c>
      <c r="C6" t="s">
        <v>24</v>
      </c>
      <c r="F6" s="13">
        <v>0.03</v>
      </c>
      <c r="G6" s="11">
        <f t="dataTable" ref="G6:G16" dt2D="0" dtr="0" r1="B13"/>
        <v>-21600</v>
      </c>
    </row>
    <row r="7" spans="1:9" x14ac:dyDescent="0.3">
      <c r="A7" t="s">
        <v>16</v>
      </c>
      <c r="B7" s="3">
        <v>0.15</v>
      </c>
      <c r="C7" t="s">
        <v>24</v>
      </c>
      <c r="F7" s="13">
        <v>3.5000000000000003E-2</v>
      </c>
      <c r="G7" s="11">
        <v>-17700</v>
      </c>
    </row>
    <row r="8" spans="1:9" x14ac:dyDescent="0.3">
      <c r="A8" t="s">
        <v>17</v>
      </c>
      <c r="B8" s="3">
        <v>0.2</v>
      </c>
      <c r="C8" t="s">
        <v>20</v>
      </c>
      <c r="F8" s="13">
        <v>0.04</v>
      </c>
      <c r="G8" s="11">
        <v>-13800</v>
      </c>
    </row>
    <row r="9" spans="1:9" x14ac:dyDescent="0.3">
      <c r="A9" t="s">
        <v>23</v>
      </c>
      <c r="B9" s="3">
        <v>32</v>
      </c>
      <c r="C9" t="s">
        <v>20</v>
      </c>
      <c r="F9" s="13">
        <v>4.4999999999999998E-2</v>
      </c>
      <c r="G9" s="11">
        <v>-9900</v>
      </c>
    </row>
    <row r="10" spans="1:9" x14ac:dyDescent="0.3">
      <c r="A10" s="1" t="s">
        <v>11</v>
      </c>
      <c r="B10" s="7">
        <f>B4+(B6+B7)*B11+(B8+B9)*B14</f>
        <v>230769.23076923081</v>
      </c>
      <c r="F10" s="13">
        <v>0.05</v>
      </c>
      <c r="G10" s="11">
        <v>-6000</v>
      </c>
    </row>
    <row r="11" spans="1:9" x14ac:dyDescent="0.3">
      <c r="A11" s="1" t="s">
        <v>26</v>
      </c>
      <c r="B11" s="4">
        <v>100000</v>
      </c>
      <c r="F11" s="13">
        <v>5.5E-2</v>
      </c>
      <c r="G11" s="11">
        <v>-2100.0000000000291</v>
      </c>
    </row>
    <row r="12" spans="1:9" x14ac:dyDescent="0.3">
      <c r="F12" s="13">
        <v>0.06</v>
      </c>
      <c r="G12" s="11">
        <v>1799.9999999999709</v>
      </c>
    </row>
    <row r="13" spans="1:9" x14ac:dyDescent="0.3">
      <c r="A13" t="s">
        <v>25</v>
      </c>
      <c r="B13" s="14">
        <v>5.7692307692307702E-2</v>
      </c>
      <c r="F13" s="13">
        <v>6.5000000000000002E-2</v>
      </c>
      <c r="G13" s="11">
        <v>5699.9999999999709</v>
      </c>
    </row>
    <row r="14" spans="1:9" x14ac:dyDescent="0.3">
      <c r="A14" t="s">
        <v>27</v>
      </c>
      <c r="B14" s="4">
        <f>B11*B13</f>
        <v>5769.2307692307704</v>
      </c>
      <c r="F14" s="13">
        <v>7.0000000000000007E-2</v>
      </c>
      <c r="G14" s="11">
        <v>9600</v>
      </c>
    </row>
    <row r="15" spans="1:9" x14ac:dyDescent="0.3">
      <c r="F15" s="13">
        <v>7.4999999999999997E-2</v>
      </c>
      <c r="G15" s="11">
        <v>13500</v>
      </c>
    </row>
    <row r="16" spans="1:9" x14ac:dyDescent="0.3">
      <c r="A16" s="1" t="s">
        <v>22</v>
      </c>
      <c r="F16" s="13">
        <v>0.08</v>
      </c>
      <c r="G16" s="11">
        <v>17400</v>
      </c>
    </row>
    <row r="17" spans="1:3" x14ac:dyDescent="0.3">
      <c r="A17" t="s">
        <v>21</v>
      </c>
      <c r="B17" s="3">
        <v>40</v>
      </c>
    </row>
    <row r="18" spans="1:3" x14ac:dyDescent="0.3">
      <c r="A18" t="s">
        <v>28</v>
      </c>
      <c r="B18" s="3">
        <f>B17*B14</f>
        <v>230769.23076923081</v>
      </c>
      <c r="C18" s="6" t="str">
        <f ca="1">_xlfn.FORMULATEXT(B18)</f>
        <v>=B17*B14</v>
      </c>
    </row>
    <row r="19" spans="1:3" x14ac:dyDescent="0.3">
      <c r="A19" t="s">
        <v>11</v>
      </c>
      <c r="B19" s="3">
        <f>B10</f>
        <v>230769.23076923081</v>
      </c>
    </row>
    <row r="20" spans="1:3" x14ac:dyDescent="0.3">
      <c r="A20" t="s">
        <v>13</v>
      </c>
      <c r="B20" s="8">
        <f>B18-B19</f>
        <v>0</v>
      </c>
    </row>
    <row r="22" spans="1:3" x14ac:dyDescent="0.3">
      <c r="A22" t="s">
        <v>34</v>
      </c>
      <c r="B22" s="105">
        <v>5.7700000000000001E-2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5513-956E-498C-BC57-DBFB47B15BB2}">
  <dimension ref="A2:H18"/>
  <sheetViews>
    <sheetView zoomScaleNormal="100" workbookViewId="0">
      <selection activeCell="G19" sqref="G19"/>
    </sheetView>
  </sheetViews>
  <sheetFormatPr defaultRowHeight="14.4" x14ac:dyDescent="0.3"/>
  <cols>
    <col min="7" max="7" width="11.5546875" customWidth="1"/>
    <col min="8" max="8" width="12.6640625" customWidth="1"/>
  </cols>
  <sheetData>
    <row r="2" spans="1:8" ht="15" thickBot="1" x14ac:dyDescent="0.35">
      <c r="A2" t="s">
        <v>35</v>
      </c>
    </row>
    <row r="3" spans="1:8" x14ac:dyDescent="0.3">
      <c r="A3" t="s">
        <v>36</v>
      </c>
      <c r="C3">
        <v>6</v>
      </c>
      <c r="G3" s="15" t="s">
        <v>42</v>
      </c>
      <c r="H3" s="16" t="s">
        <v>43</v>
      </c>
    </row>
    <row r="4" spans="1:8" x14ac:dyDescent="0.3">
      <c r="A4" t="s">
        <v>37</v>
      </c>
      <c r="B4" t="s">
        <v>37</v>
      </c>
      <c r="C4">
        <v>50</v>
      </c>
      <c r="G4" s="17"/>
      <c r="H4" s="18">
        <f>$C$14</f>
        <v>550</v>
      </c>
    </row>
    <row r="5" spans="1:8" x14ac:dyDescent="0.3">
      <c r="G5" s="19">
        <v>10</v>
      </c>
      <c r="H5" s="20">
        <f t="dataTable" ref="H5:H18" dt2D="0" dtr="0" r1="C4"/>
        <v>-290</v>
      </c>
    </row>
    <row r="6" spans="1:8" x14ac:dyDescent="0.3">
      <c r="G6" s="19">
        <v>20</v>
      </c>
      <c r="H6" s="20">
        <v>-80</v>
      </c>
    </row>
    <row r="7" spans="1:8" x14ac:dyDescent="0.3">
      <c r="A7" t="s">
        <v>38</v>
      </c>
      <c r="C7">
        <v>500</v>
      </c>
      <c r="G7" s="19">
        <v>30</v>
      </c>
      <c r="H7" s="20">
        <v>130</v>
      </c>
    </row>
    <row r="8" spans="1:8" x14ac:dyDescent="0.3">
      <c r="A8" t="s">
        <v>39</v>
      </c>
      <c r="C8">
        <v>0.5</v>
      </c>
      <c r="G8" s="19">
        <v>40</v>
      </c>
      <c r="H8" s="20">
        <v>340</v>
      </c>
    </row>
    <row r="9" spans="1:8" x14ac:dyDescent="0.3">
      <c r="A9" t="s">
        <v>44</v>
      </c>
      <c r="C9">
        <f>C7+C8*C4*C3</f>
        <v>650</v>
      </c>
      <c r="G9" s="19">
        <v>50</v>
      </c>
      <c r="H9" s="20">
        <v>550</v>
      </c>
    </row>
    <row r="10" spans="1:8" x14ac:dyDescent="0.3">
      <c r="G10" s="19">
        <v>60</v>
      </c>
      <c r="H10" s="20">
        <v>760</v>
      </c>
    </row>
    <row r="11" spans="1:8" x14ac:dyDescent="0.3">
      <c r="G11" s="19">
        <v>70</v>
      </c>
      <c r="H11" s="20">
        <v>970</v>
      </c>
    </row>
    <row r="12" spans="1:8" x14ac:dyDescent="0.3">
      <c r="A12" t="s">
        <v>40</v>
      </c>
      <c r="C12">
        <v>4</v>
      </c>
      <c r="G12" s="19">
        <v>80</v>
      </c>
      <c r="H12" s="20">
        <v>1180</v>
      </c>
    </row>
    <row r="13" spans="1:8" x14ac:dyDescent="0.3">
      <c r="A13" t="s">
        <v>41</v>
      </c>
      <c r="C13">
        <f>C12*C4*C3</f>
        <v>1200</v>
      </c>
      <c r="G13" s="19">
        <v>90</v>
      </c>
      <c r="H13" s="20">
        <v>1390</v>
      </c>
    </row>
    <row r="14" spans="1:8" x14ac:dyDescent="0.3">
      <c r="A14" t="s">
        <v>45</v>
      </c>
      <c r="C14">
        <f>C13-C9</f>
        <v>550</v>
      </c>
      <c r="G14" s="19">
        <v>100</v>
      </c>
      <c r="H14" s="20">
        <v>1600</v>
      </c>
    </row>
    <row r="15" spans="1:8" x14ac:dyDescent="0.3">
      <c r="G15" s="19">
        <v>110</v>
      </c>
      <c r="H15" s="20">
        <v>1810</v>
      </c>
    </row>
    <row r="16" spans="1:8" x14ac:dyDescent="0.3">
      <c r="G16" s="19">
        <v>120</v>
      </c>
      <c r="H16" s="20">
        <v>2020</v>
      </c>
    </row>
    <row r="17" spans="7:8" x14ac:dyDescent="0.3">
      <c r="G17" s="19">
        <v>130</v>
      </c>
      <c r="H17" s="20">
        <v>2230</v>
      </c>
    </row>
    <row r="18" spans="7:8" ht="15" thickBot="1" x14ac:dyDescent="0.35">
      <c r="G18" s="21">
        <v>140</v>
      </c>
      <c r="H18" s="22">
        <v>2440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DE9A-344A-456D-A0AA-70757BF3F7BA}">
  <dimension ref="A1:Q25"/>
  <sheetViews>
    <sheetView zoomScale="108" workbookViewId="0">
      <selection activeCell="I17" sqref="I17"/>
    </sheetView>
  </sheetViews>
  <sheetFormatPr defaultRowHeight="14.4" x14ac:dyDescent="0.3"/>
  <cols>
    <col min="1" max="1" width="13.77734375" customWidth="1"/>
    <col min="2" max="2" width="19.88671875" customWidth="1"/>
  </cols>
  <sheetData>
    <row r="1" spans="1:17" x14ac:dyDescent="0.3">
      <c r="A1" s="145" t="s">
        <v>46</v>
      </c>
      <c r="B1" s="145"/>
      <c r="C1" s="145"/>
    </row>
    <row r="3" spans="1:17" x14ac:dyDescent="0.3">
      <c r="G3" t="s">
        <v>50</v>
      </c>
    </row>
    <row r="4" spans="1:17" x14ac:dyDescent="0.3">
      <c r="A4" t="s">
        <v>47</v>
      </c>
      <c r="B4" s="7">
        <v>30</v>
      </c>
      <c r="G4" s="26" t="s">
        <v>49</v>
      </c>
      <c r="H4" s="26" t="s">
        <v>58</v>
      </c>
    </row>
    <row r="5" spans="1:17" x14ac:dyDescent="0.3">
      <c r="A5" t="s">
        <v>52</v>
      </c>
      <c r="B5" s="7">
        <v>10</v>
      </c>
      <c r="G5" s="26">
        <v>0</v>
      </c>
      <c r="H5" s="26">
        <v>24</v>
      </c>
    </row>
    <row r="6" spans="1:17" x14ac:dyDescent="0.3">
      <c r="B6" s="7"/>
      <c r="G6" s="26">
        <v>1000</v>
      </c>
      <c r="H6" s="26">
        <v>23</v>
      </c>
    </row>
    <row r="7" spans="1:17" x14ac:dyDescent="0.3">
      <c r="B7" s="7"/>
      <c r="G7" s="26">
        <v>2000</v>
      </c>
      <c r="H7" s="26">
        <v>22.25</v>
      </c>
    </row>
    <row r="8" spans="1:17" x14ac:dyDescent="0.3">
      <c r="B8" s="7"/>
      <c r="G8" s="26">
        <v>3000</v>
      </c>
      <c r="H8" s="26">
        <v>21.75</v>
      </c>
    </row>
    <row r="9" spans="1:17" x14ac:dyDescent="0.3">
      <c r="G9" s="26">
        <v>4000</v>
      </c>
      <c r="H9" s="26">
        <v>21.3</v>
      </c>
    </row>
    <row r="11" spans="1:17" x14ac:dyDescent="0.3">
      <c r="A11" s="1" t="s">
        <v>8</v>
      </c>
      <c r="B11" s="23">
        <v>500</v>
      </c>
      <c r="C11" t="s">
        <v>51</v>
      </c>
    </row>
    <row r="12" spans="1:17" x14ac:dyDescent="0.3">
      <c r="A12" s="1" t="s">
        <v>48</v>
      </c>
      <c r="B12" s="23">
        <v>500</v>
      </c>
    </row>
    <row r="14" spans="1:17" ht="15" thickBot="1" x14ac:dyDescent="0.35">
      <c r="A14" t="s">
        <v>53</v>
      </c>
      <c r="B14">
        <f>MAX(B12-B11,0)</f>
        <v>0</v>
      </c>
      <c r="C14" t="str">
        <f ca="1">_xlfn.FORMULATEXT(B14)</f>
        <v>=MAX(B12-B11,0)</v>
      </c>
    </row>
    <row r="15" spans="1:17" x14ac:dyDescent="0.3">
      <c r="A15" t="s">
        <v>54</v>
      </c>
      <c r="B15">
        <f>IF(B11&gt;B12,0,B12-B11)</f>
        <v>0</v>
      </c>
      <c r="C15" t="str">
        <f ca="1">_xlfn.FORMULATEXT(B15)</f>
        <v>=IF(B11&gt;B12,0,B12-B11)</v>
      </c>
      <c r="G15" s="27"/>
      <c r="H15" s="28"/>
      <c r="I15" s="146" t="s">
        <v>8</v>
      </c>
      <c r="J15" s="146"/>
      <c r="K15" s="146"/>
      <c r="L15" s="146"/>
      <c r="M15" s="146"/>
      <c r="N15" s="146"/>
      <c r="O15" s="146"/>
      <c r="P15" s="146"/>
      <c r="Q15" s="147"/>
    </row>
    <row r="16" spans="1:17" x14ac:dyDescent="0.3">
      <c r="G16" s="29"/>
      <c r="H16" s="34">
        <f>B21</f>
        <v>3000</v>
      </c>
      <c r="I16" s="35">
        <v>500</v>
      </c>
      <c r="J16" s="35">
        <v>1000</v>
      </c>
      <c r="K16" s="35">
        <v>1500</v>
      </c>
      <c r="L16" s="35">
        <v>2000</v>
      </c>
      <c r="M16" s="35">
        <v>2500</v>
      </c>
      <c r="N16" s="35">
        <v>3000</v>
      </c>
      <c r="O16" s="35">
        <v>3500</v>
      </c>
      <c r="P16" s="35">
        <v>4000</v>
      </c>
      <c r="Q16" s="36">
        <v>4500</v>
      </c>
    </row>
    <row r="17" spans="1:17" x14ac:dyDescent="0.3">
      <c r="A17" s="1" t="s">
        <v>55</v>
      </c>
      <c r="B17" s="7">
        <f>VLOOKUP(B12,G4:H9,2,TRUE)*B12</f>
        <v>12000</v>
      </c>
      <c r="C17" t="str">
        <f ca="1">_xlfn.FORMULATEXT(B17)</f>
        <v>=VLOOKUP(B12,G4:H9,2,TRUE)*B12</v>
      </c>
      <c r="G17" s="148" t="s">
        <v>49</v>
      </c>
      <c r="H17" s="35">
        <v>500</v>
      </c>
      <c r="I17" s="30">
        <f t="dataTable" ref="I17:Q25" dt2D="1" dtr="1" r1="B11" r2="B12"/>
        <v>3000</v>
      </c>
      <c r="J17" s="30">
        <v>3000</v>
      </c>
      <c r="K17" s="30">
        <v>3000</v>
      </c>
      <c r="L17" s="30">
        <v>3000</v>
      </c>
      <c r="M17" s="30">
        <v>3000</v>
      </c>
      <c r="N17" s="30">
        <v>3000</v>
      </c>
      <c r="O17" s="30">
        <v>3000</v>
      </c>
      <c r="P17" s="30">
        <v>3000</v>
      </c>
      <c r="Q17" s="31">
        <v>3000</v>
      </c>
    </row>
    <row r="18" spans="1:17" x14ac:dyDescent="0.3">
      <c r="A18" s="1"/>
      <c r="B18" s="7"/>
      <c r="G18" s="148"/>
      <c r="H18" s="35">
        <v>1000</v>
      </c>
      <c r="I18" s="30">
        <v>-3000</v>
      </c>
      <c r="J18" s="30">
        <v>7000</v>
      </c>
      <c r="K18" s="30">
        <v>7000</v>
      </c>
      <c r="L18" s="30">
        <v>7000</v>
      </c>
      <c r="M18" s="30">
        <v>7000</v>
      </c>
      <c r="N18" s="30">
        <v>7000</v>
      </c>
      <c r="O18" s="30">
        <v>7000</v>
      </c>
      <c r="P18" s="30">
        <v>7000</v>
      </c>
      <c r="Q18" s="31">
        <v>7000</v>
      </c>
    </row>
    <row r="19" spans="1:17" x14ac:dyDescent="0.3">
      <c r="A19" s="1" t="s">
        <v>56</v>
      </c>
      <c r="B19" s="7">
        <f>MIN(B11:B12)*B4+B14*B5</f>
        <v>15000</v>
      </c>
      <c r="G19" s="148"/>
      <c r="H19" s="35">
        <v>1500</v>
      </c>
      <c r="I19" s="30">
        <v>-9500</v>
      </c>
      <c r="J19" s="30">
        <v>500</v>
      </c>
      <c r="K19" s="30">
        <v>10500</v>
      </c>
      <c r="L19" s="30">
        <v>10500</v>
      </c>
      <c r="M19" s="30">
        <v>10500</v>
      </c>
      <c r="N19" s="30">
        <v>10500</v>
      </c>
      <c r="O19" s="30">
        <v>10500</v>
      </c>
      <c r="P19" s="30">
        <v>10500</v>
      </c>
      <c r="Q19" s="31">
        <v>10500</v>
      </c>
    </row>
    <row r="20" spans="1:17" x14ac:dyDescent="0.3">
      <c r="A20" s="1"/>
      <c r="B20" s="7"/>
      <c r="G20" s="148"/>
      <c r="H20" s="35">
        <v>2000</v>
      </c>
      <c r="I20" s="30">
        <v>-14500</v>
      </c>
      <c r="J20" s="30">
        <v>-4500</v>
      </c>
      <c r="K20" s="30">
        <v>5500</v>
      </c>
      <c r="L20" s="30">
        <v>15500</v>
      </c>
      <c r="M20" s="30">
        <v>15500</v>
      </c>
      <c r="N20" s="30">
        <v>15500</v>
      </c>
      <c r="O20" s="30">
        <v>15500</v>
      </c>
      <c r="P20" s="30">
        <v>15500</v>
      </c>
      <c r="Q20" s="31">
        <v>15500</v>
      </c>
    </row>
    <row r="21" spans="1:17" x14ac:dyDescent="0.3">
      <c r="A21" s="1" t="s">
        <v>57</v>
      </c>
      <c r="B21" s="7">
        <f>B19-B17</f>
        <v>3000</v>
      </c>
      <c r="G21" s="148"/>
      <c r="H21" s="35">
        <v>2500</v>
      </c>
      <c r="I21" s="30">
        <v>-20625</v>
      </c>
      <c r="J21" s="30">
        <v>-10625</v>
      </c>
      <c r="K21" s="30">
        <v>-625</v>
      </c>
      <c r="L21" s="30">
        <v>9375</v>
      </c>
      <c r="M21" s="30">
        <v>19375</v>
      </c>
      <c r="N21" s="30">
        <v>19375</v>
      </c>
      <c r="O21" s="30">
        <v>19375</v>
      </c>
      <c r="P21" s="30">
        <v>19375</v>
      </c>
      <c r="Q21" s="31">
        <v>19375</v>
      </c>
    </row>
    <row r="22" spans="1:17" x14ac:dyDescent="0.3">
      <c r="G22" s="148"/>
      <c r="H22" s="35">
        <v>3000</v>
      </c>
      <c r="I22" s="30">
        <v>-25250</v>
      </c>
      <c r="J22" s="30">
        <v>-15250</v>
      </c>
      <c r="K22" s="30">
        <v>-5250</v>
      </c>
      <c r="L22" s="30">
        <v>4750</v>
      </c>
      <c r="M22" s="30">
        <v>14750</v>
      </c>
      <c r="N22" s="30">
        <v>24750</v>
      </c>
      <c r="O22" s="30">
        <v>24750</v>
      </c>
      <c r="P22" s="30">
        <v>24750</v>
      </c>
      <c r="Q22" s="31">
        <v>24750</v>
      </c>
    </row>
    <row r="23" spans="1:17" x14ac:dyDescent="0.3">
      <c r="G23" s="148"/>
      <c r="H23" s="35">
        <v>3500</v>
      </c>
      <c r="I23" s="30">
        <v>-31125</v>
      </c>
      <c r="J23" s="30">
        <v>-21125</v>
      </c>
      <c r="K23" s="30">
        <v>-11125</v>
      </c>
      <c r="L23" s="30">
        <v>-1125</v>
      </c>
      <c r="M23" s="30">
        <v>8875</v>
      </c>
      <c r="N23" s="30">
        <v>18875</v>
      </c>
      <c r="O23" s="30">
        <v>28875</v>
      </c>
      <c r="P23" s="30">
        <v>28875</v>
      </c>
      <c r="Q23" s="31">
        <v>28875</v>
      </c>
    </row>
    <row r="24" spans="1:17" x14ac:dyDescent="0.3">
      <c r="G24" s="148"/>
      <c r="H24" s="35">
        <v>4000</v>
      </c>
      <c r="I24" s="30">
        <v>-35200</v>
      </c>
      <c r="J24" s="30">
        <v>-25200</v>
      </c>
      <c r="K24" s="30">
        <v>-15200</v>
      </c>
      <c r="L24" s="30">
        <v>-5200</v>
      </c>
      <c r="M24" s="30">
        <v>4800</v>
      </c>
      <c r="N24" s="30">
        <v>14800</v>
      </c>
      <c r="O24" s="30">
        <v>24800</v>
      </c>
      <c r="P24" s="30">
        <v>34800</v>
      </c>
      <c r="Q24" s="31">
        <v>34800</v>
      </c>
    </row>
    <row r="25" spans="1:17" ht="15" thickBot="1" x14ac:dyDescent="0.35">
      <c r="G25" s="149"/>
      <c r="H25" s="37">
        <v>4500</v>
      </c>
      <c r="I25" s="32">
        <v>-40850</v>
      </c>
      <c r="J25" s="32">
        <v>-30850</v>
      </c>
      <c r="K25" s="32">
        <v>-20850</v>
      </c>
      <c r="L25" s="32">
        <v>-10850</v>
      </c>
      <c r="M25" s="32">
        <v>-850</v>
      </c>
      <c r="N25" s="32">
        <v>9150</v>
      </c>
      <c r="O25" s="32">
        <v>19150</v>
      </c>
      <c r="P25" s="32">
        <v>29150</v>
      </c>
      <c r="Q25" s="33">
        <v>39150</v>
      </c>
    </row>
  </sheetData>
  <mergeCells count="3">
    <mergeCell ref="A1:C1"/>
    <mergeCell ref="I15:Q15"/>
    <mergeCell ref="G17:G25"/>
  </mergeCells>
  <conditionalFormatting sqref="I17:Q25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{DD9CD68F-FD2F-4740-B1D7-038DAE99CF1A}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D9CD68F-FD2F-4740-B1D7-038DAE99CF1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I17:Q25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395E-2E8B-4451-8C33-81679628B8E4}">
  <sheetPr codeName="Sheet1"/>
  <dimension ref="A1:L24"/>
  <sheetViews>
    <sheetView workbookViewId="0">
      <selection activeCell="G19" sqref="G19"/>
    </sheetView>
  </sheetViews>
  <sheetFormatPr defaultRowHeight="14.4" x14ac:dyDescent="0.3"/>
  <cols>
    <col min="1" max="1" width="19.77734375" customWidth="1"/>
    <col min="2" max="2" width="23.33203125" customWidth="1"/>
    <col min="3" max="3" width="17.77734375" customWidth="1"/>
    <col min="8" max="8" width="10.21875" bestFit="1" customWidth="1"/>
    <col min="9" max="9" width="6.5546875" bestFit="1" customWidth="1"/>
    <col min="10" max="10" width="9.44140625" bestFit="1" customWidth="1"/>
  </cols>
  <sheetData>
    <row r="1" spans="1:12" x14ac:dyDescent="0.3">
      <c r="A1" s="1" t="s">
        <v>59</v>
      </c>
    </row>
    <row r="3" spans="1:12" ht="15" thickBot="1" x14ac:dyDescent="0.35">
      <c r="A3" t="s">
        <v>67</v>
      </c>
      <c r="B3">
        <v>1</v>
      </c>
    </row>
    <row r="4" spans="1:12" x14ac:dyDescent="0.3">
      <c r="A4" t="s">
        <v>73</v>
      </c>
      <c r="B4">
        <f>100000*B3</f>
        <v>100000</v>
      </c>
      <c r="H4" s="48">
        <v>-29800</v>
      </c>
      <c r="I4" s="45">
        <v>500</v>
      </c>
      <c r="J4" s="45">
        <v>1000</v>
      </c>
      <c r="K4" s="45">
        <v>1500</v>
      </c>
      <c r="L4" s="16">
        <v>2000</v>
      </c>
    </row>
    <row r="5" spans="1:12" x14ac:dyDescent="0.3">
      <c r="H5" s="46">
        <v>1</v>
      </c>
      <c r="I5">
        <f t="dataTable" ref="I5:L9" dt2D="1" dtr="1" r1="B6" r2="B3"/>
        <v>-29800</v>
      </c>
      <c r="J5">
        <v>-29800</v>
      </c>
      <c r="K5">
        <v>-29800</v>
      </c>
      <c r="L5" s="24">
        <v>-29800</v>
      </c>
    </row>
    <row r="6" spans="1:12" x14ac:dyDescent="0.3">
      <c r="A6" s="1" t="s">
        <v>68</v>
      </c>
      <c r="B6" s="23">
        <v>500</v>
      </c>
      <c r="C6" t="s">
        <v>65</v>
      </c>
      <c r="D6" t="s">
        <v>66</v>
      </c>
      <c r="H6" s="46">
        <v>2</v>
      </c>
      <c r="I6">
        <v>-29800</v>
      </c>
      <c r="J6">
        <v>-29800</v>
      </c>
      <c r="K6">
        <v>-29800</v>
      </c>
      <c r="L6" s="24">
        <v>-29800</v>
      </c>
    </row>
    <row r="7" spans="1:12" x14ac:dyDescent="0.3">
      <c r="A7" s="1" t="s">
        <v>69</v>
      </c>
      <c r="B7" s="23">
        <f>B6*365</f>
        <v>182500</v>
      </c>
      <c r="H7" s="46">
        <v>3</v>
      </c>
      <c r="I7">
        <v>-29800</v>
      </c>
      <c r="J7">
        <v>-29800</v>
      </c>
      <c r="K7">
        <v>-29800</v>
      </c>
      <c r="L7" s="24">
        <v>-29800</v>
      </c>
    </row>
    <row r="8" spans="1:12" x14ac:dyDescent="0.3">
      <c r="H8" s="46">
        <v>4</v>
      </c>
      <c r="I8">
        <v>-29800</v>
      </c>
      <c r="J8">
        <v>-29800</v>
      </c>
      <c r="K8">
        <v>-29800</v>
      </c>
      <c r="L8" s="24">
        <v>-29800</v>
      </c>
    </row>
    <row r="9" spans="1:12" ht="15" thickBot="1" x14ac:dyDescent="0.35">
      <c r="A9" t="s">
        <v>71</v>
      </c>
      <c r="B9" s="40">
        <v>100000</v>
      </c>
      <c r="H9" s="47">
        <v>5</v>
      </c>
      <c r="I9" s="44">
        <v>-29800</v>
      </c>
      <c r="J9" s="44">
        <v>-29800</v>
      </c>
      <c r="K9" s="44">
        <v>-29800</v>
      </c>
      <c r="L9" s="25">
        <v>-29800</v>
      </c>
    </row>
    <row r="10" spans="1:12" x14ac:dyDescent="0.3">
      <c r="I10" s="38"/>
    </row>
    <row r="11" spans="1:12" ht="15.6" x14ac:dyDescent="0.3">
      <c r="A11" s="42" t="s">
        <v>55</v>
      </c>
    </row>
    <row r="12" spans="1:12" x14ac:dyDescent="0.3">
      <c r="A12" t="s">
        <v>74</v>
      </c>
      <c r="B12">
        <v>400</v>
      </c>
      <c r="C12" t="s">
        <v>75</v>
      </c>
    </row>
    <row r="13" spans="1:12" x14ac:dyDescent="0.3">
      <c r="A13" t="s">
        <v>60</v>
      </c>
      <c r="B13" s="7">
        <f>5000*B3</f>
        <v>5000</v>
      </c>
    </row>
    <row r="14" spans="1:12" x14ac:dyDescent="0.3">
      <c r="A14" t="s">
        <v>62</v>
      </c>
      <c r="B14" s="38">
        <v>0.3</v>
      </c>
      <c r="C14" t="s">
        <v>61</v>
      </c>
    </row>
    <row r="15" spans="1:12" x14ac:dyDescent="0.3">
      <c r="A15" s="1"/>
    </row>
    <row r="16" spans="1:12" x14ac:dyDescent="0.3">
      <c r="A16" s="1"/>
    </row>
    <row r="17" spans="1:3" x14ac:dyDescent="0.3">
      <c r="A17" s="1" t="s">
        <v>70</v>
      </c>
      <c r="B17" s="39">
        <f>12*B12+B13*B3+B14*B9</f>
        <v>39800</v>
      </c>
      <c r="C17" s="41"/>
    </row>
    <row r="19" spans="1:3" x14ac:dyDescent="0.3">
      <c r="A19" s="1" t="s">
        <v>4</v>
      </c>
      <c r="B19" s="38"/>
    </row>
    <row r="20" spans="1:3" x14ac:dyDescent="0.3">
      <c r="A20" t="s">
        <v>63</v>
      </c>
      <c r="B20" s="38">
        <v>0.1</v>
      </c>
      <c r="C20" t="s">
        <v>61</v>
      </c>
    </row>
    <row r="22" spans="1:3" x14ac:dyDescent="0.3">
      <c r="A22" s="1" t="s">
        <v>72</v>
      </c>
      <c r="B22" s="38">
        <f>B20*B9</f>
        <v>10000</v>
      </c>
    </row>
    <row r="24" spans="1:3" x14ac:dyDescent="0.3">
      <c r="A24" s="1" t="s">
        <v>57</v>
      </c>
      <c r="B24" s="43">
        <f>B22-B17</f>
        <v>-29800</v>
      </c>
      <c r="C24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AC5E-6509-463A-86F6-597EFBE11245}">
  <dimension ref="A1:O178"/>
  <sheetViews>
    <sheetView workbookViewId="0">
      <selection activeCell="G68" sqref="G68"/>
    </sheetView>
  </sheetViews>
  <sheetFormatPr defaultRowHeight="14.4" x14ac:dyDescent="0.3"/>
  <cols>
    <col min="1" max="1" width="15.77734375" customWidth="1"/>
    <col min="2" max="2" width="15.5546875" customWidth="1"/>
    <col min="3" max="3" width="14.88671875" customWidth="1"/>
    <col min="4" max="4" width="12.33203125" customWidth="1"/>
    <col min="5" max="5" width="13.88671875" customWidth="1"/>
    <col min="6" max="6" width="15.77734375" customWidth="1"/>
    <col min="7" max="7" width="15" customWidth="1"/>
    <col min="8" max="8" width="12.77734375" bestFit="1" customWidth="1"/>
    <col min="9" max="13" width="14.44140625" bestFit="1" customWidth="1"/>
  </cols>
  <sheetData>
    <row r="1" spans="1:15" ht="35.4" customHeight="1" thickTop="1" thickBot="1" x14ac:dyDescent="0.35">
      <c r="A1" s="56" t="s">
        <v>76</v>
      </c>
      <c r="B1" s="56" t="s">
        <v>40</v>
      </c>
      <c r="C1" s="56" t="s">
        <v>77</v>
      </c>
    </row>
    <row r="2" spans="1:15" ht="21.6" thickTop="1" x14ac:dyDescent="0.4">
      <c r="A2" s="50">
        <v>1</v>
      </c>
      <c r="B2" s="54">
        <v>450</v>
      </c>
      <c r="C2" s="52">
        <v>45</v>
      </c>
      <c r="O2" s="49"/>
    </row>
    <row r="3" spans="1:15" x14ac:dyDescent="0.3">
      <c r="A3" s="50">
        <v>2</v>
      </c>
      <c r="B3" s="54">
        <v>300</v>
      </c>
      <c r="C3" s="52">
        <v>103</v>
      </c>
    </row>
    <row r="4" spans="1:15" x14ac:dyDescent="0.3">
      <c r="A4" s="50">
        <v>3</v>
      </c>
      <c r="B4" s="54">
        <v>440</v>
      </c>
      <c r="C4" s="52">
        <v>49</v>
      </c>
    </row>
    <row r="5" spans="1:15" x14ac:dyDescent="0.3">
      <c r="A5" s="50">
        <v>4</v>
      </c>
      <c r="B5" s="54">
        <v>360</v>
      </c>
      <c r="C5" s="52">
        <v>86</v>
      </c>
    </row>
    <row r="6" spans="1:15" x14ac:dyDescent="0.3">
      <c r="A6" s="50">
        <v>5</v>
      </c>
      <c r="B6" s="54">
        <v>290</v>
      </c>
      <c r="C6" s="52">
        <v>125</v>
      </c>
    </row>
    <row r="7" spans="1:15" x14ac:dyDescent="0.3">
      <c r="A7" s="50">
        <v>6</v>
      </c>
      <c r="B7" s="54">
        <v>450</v>
      </c>
      <c r="C7" s="52">
        <v>52</v>
      </c>
    </row>
    <row r="8" spans="1:15" x14ac:dyDescent="0.3">
      <c r="A8" s="50">
        <v>7</v>
      </c>
      <c r="B8" s="54">
        <v>340</v>
      </c>
      <c r="C8" s="52">
        <v>87</v>
      </c>
    </row>
    <row r="9" spans="1:15" x14ac:dyDescent="0.3">
      <c r="A9" s="50">
        <v>8</v>
      </c>
      <c r="B9" s="54">
        <v>370</v>
      </c>
      <c r="C9" s="52">
        <v>68</v>
      </c>
    </row>
    <row r="10" spans="1:15" x14ac:dyDescent="0.3">
      <c r="A10" s="50">
        <v>9</v>
      </c>
      <c r="B10" s="54">
        <v>500</v>
      </c>
      <c r="C10" s="52">
        <v>45</v>
      </c>
    </row>
    <row r="11" spans="1:15" x14ac:dyDescent="0.3">
      <c r="A11" s="50">
        <v>10</v>
      </c>
      <c r="B11" s="54">
        <v>490</v>
      </c>
      <c r="C11" s="52">
        <v>44</v>
      </c>
    </row>
    <row r="12" spans="1:15" x14ac:dyDescent="0.3">
      <c r="A12" s="50">
        <v>11</v>
      </c>
      <c r="B12" s="54">
        <v>430</v>
      </c>
      <c r="C12" s="52">
        <v>58</v>
      </c>
    </row>
    <row r="13" spans="1:15" ht="15" thickBot="1" x14ac:dyDescent="0.35">
      <c r="A13" s="51">
        <v>12</v>
      </c>
      <c r="B13" s="55">
        <v>390</v>
      </c>
      <c r="C13" s="53">
        <v>68</v>
      </c>
    </row>
    <row r="16" spans="1:15" x14ac:dyDescent="0.3">
      <c r="A16" s="150" t="s">
        <v>79</v>
      </c>
      <c r="B16" s="150"/>
      <c r="C16" s="150" t="s">
        <v>82</v>
      </c>
      <c r="D16" s="150"/>
      <c r="E16" s="150" t="s">
        <v>81</v>
      </c>
      <c r="F16" s="150"/>
    </row>
    <row r="17" spans="1:8" x14ac:dyDescent="0.3">
      <c r="A17" t="s">
        <v>83</v>
      </c>
      <c r="B17">
        <v>211.31</v>
      </c>
      <c r="C17" t="s">
        <v>87</v>
      </c>
      <c r="D17">
        <v>5871064</v>
      </c>
      <c r="E17" t="s">
        <v>85</v>
      </c>
      <c r="F17">
        <v>466.51</v>
      </c>
    </row>
    <row r="18" spans="1:8" x14ac:dyDescent="0.3">
      <c r="A18" t="s">
        <v>84</v>
      </c>
      <c r="B18">
        <v>-0.35460000000000003</v>
      </c>
      <c r="C18" t="s">
        <v>80</v>
      </c>
      <c r="D18">
        <v>-1.9079999999999999</v>
      </c>
      <c r="E18" t="s">
        <v>86</v>
      </c>
      <c r="F18">
        <v>-5.0000000000000001E-3</v>
      </c>
    </row>
    <row r="20" spans="1:8" x14ac:dyDescent="0.3">
      <c r="A20" s="1" t="s">
        <v>88</v>
      </c>
      <c r="G20" s="1" t="s">
        <v>90</v>
      </c>
    </row>
    <row r="21" spans="1:8" ht="15" thickBot="1" x14ac:dyDescent="0.35"/>
    <row r="22" spans="1:8" ht="15.6" thickTop="1" thickBot="1" x14ac:dyDescent="0.35">
      <c r="A22" s="58" t="s">
        <v>40</v>
      </c>
      <c r="B22" s="65" t="s">
        <v>78</v>
      </c>
      <c r="C22" s="66" t="s">
        <v>80</v>
      </c>
      <c r="D22" s="67" t="s">
        <v>89</v>
      </c>
      <c r="E22" s="61" t="s">
        <v>77</v>
      </c>
      <c r="F22" s="84" t="s">
        <v>91</v>
      </c>
      <c r="G22" s="84" t="s">
        <v>92</v>
      </c>
      <c r="H22" s="84" t="s">
        <v>93</v>
      </c>
    </row>
    <row r="23" spans="1:8" ht="15" thickTop="1" x14ac:dyDescent="0.3">
      <c r="A23" s="59">
        <v>450</v>
      </c>
      <c r="B23" s="68">
        <f>$B$18*A23+$B$17</f>
        <v>51.739999999999981</v>
      </c>
      <c r="C23" s="64">
        <f>$D$17*A23^$D$18</f>
        <v>50.861286169919921</v>
      </c>
      <c r="D23" s="69">
        <f>$F$17*EXP($F$18*A23)</f>
        <v>49.169792250355329</v>
      </c>
      <c r="E23" s="62">
        <v>45</v>
      </c>
      <c r="F23" s="75">
        <f>ABS(B23-E23)/E23</f>
        <v>0.14977777777777734</v>
      </c>
      <c r="G23" s="75">
        <f>ABS(C23-E23)/E23</f>
        <v>0.13025080377599826</v>
      </c>
      <c r="H23" s="75">
        <f>ABS(D23-E23)/E23</f>
        <v>9.2662050007896193E-2</v>
      </c>
    </row>
    <row r="24" spans="1:8" x14ac:dyDescent="0.3">
      <c r="A24" s="59">
        <v>300</v>
      </c>
      <c r="B24" s="68">
        <f t="shared" ref="B24:B34" si="0">$B$18*A24+$B$17</f>
        <v>104.92999999999999</v>
      </c>
      <c r="C24" s="64">
        <f t="shared" ref="C24:C34" si="1">$D$17*A24^$D$18</f>
        <v>110.2476803704582</v>
      </c>
      <c r="D24" s="69">
        <f t="shared" ref="D24:D34" si="2">$F$17*EXP($F$18*A24)</f>
        <v>104.09245101084399</v>
      </c>
      <c r="E24" s="62">
        <v>103</v>
      </c>
      <c r="F24" s="75">
        <f t="shared" ref="F24:F34" si="3">ABS(B24-E24)/E24</f>
        <v>1.8737864077669832E-2</v>
      </c>
      <c r="G24" s="75">
        <f t="shared" ref="G24:G34" si="4">ABS(C24-E24)/E24</f>
        <v>7.0365828839399985E-2</v>
      </c>
      <c r="H24" s="75">
        <f t="shared" ref="H24:H34" si="5">ABS(D24-E24)/E24</f>
        <v>1.0606320493630948E-2</v>
      </c>
    </row>
    <row r="25" spans="1:8" x14ac:dyDescent="0.3">
      <c r="A25" s="59">
        <v>440</v>
      </c>
      <c r="B25" s="68">
        <f t="shared" si="0"/>
        <v>55.286000000000001</v>
      </c>
      <c r="C25" s="64">
        <f t="shared" si="1"/>
        <v>53.089557787712614</v>
      </c>
      <c r="D25" s="69">
        <f t="shared" si="2"/>
        <v>51.69078140761237</v>
      </c>
      <c r="E25" s="62">
        <v>49</v>
      </c>
      <c r="F25" s="75">
        <f t="shared" si="3"/>
        <v>0.12828571428571431</v>
      </c>
      <c r="G25" s="75">
        <f t="shared" si="4"/>
        <v>8.3460363014543154E-2</v>
      </c>
      <c r="H25" s="75">
        <f t="shared" si="5"/>
        <v>5.4913906277803466E-2</v>
      </c>
    </row>
    <row r="26" spans="1:8" x14ac:dyDescent="0.3">
      <c r="A26" s="59">
        <v>360</v>
      </c>
      <c r="B26" s="68">
        <f t="shared" si="0"/>
        <v>83.653999999999996</v>
      </c>
      <c r="C26" s="64">
        <f t="shared" si="1"/>
        <v>77.85592038588905</v>
      </c>
      <c r="D26" s="69">
        <f t="shared" si="2"/>
        <v>77.113584344252331</v>
      </c>
      <c r="E26" s="62">
        <v>86</v>
      </c>
      <c r="F26" s="75">
        <f t="shared" si="3"/>
        <v>2.7279069767441901E-2</v>
      </c>
      <c r="G26" s="75">
        <f t="shared" si="4"/>
        <v>9.4698600164080812E-2</v>
      </c>
      <c r="H26" s="75">
        <f t="shared" si="5"/>
        <v>0.10333041460171709</v>
      </c>
    </row>
    <row r="27" spans="1:8" x14ac:dyDescent="0.3">
      <c r="A27" s="59">
        <v>290</v>
      </c>
      <c r="B27" s="68">
        <f t="shared" si="0"/>
        <v>108.476</v>
      </c>
      <c r="C27" s="64">
        <f t="shared" si="1"/>
        <v>117.61465381582187</v>
      </c>
      <c r="D27" s="69">
        <f t="shared" si="2"/>
        <v>109.42938509863754</v>
      </c>
      <c r="E27" s="62">
        <v>125</v>
      </c>
      <c r="F27" s="75">
        <f t="shared" si="3"/>
        <v>0.132192</v>
      </c>
      <c r="G27" s="75">
        <f t="shared" si="4"/>
        <v>5.9082769473425063E-2</v>
      </c>
      <c r="H27" s="75">
        <f t="shared" si="5"/>
        <v>0.12456491921089968</v>
      </c>
    </row>
    <row r="28" spans="1:8" x14ac:dyDescent="0.3">
      <c r="A28" s="59">
        <v>450</v>
      </c>
      <c r="B28" s="68">
        <f t="shared" si="0"/>
        <v>51.739999999999981</v>
      </c>
      <c r="C28" s="64">
        <f t="shared" si="1"/>
        <v>50.861286169919921</v>
      </c>
      <c r="D28" s="69">
        <f t="shared" si="2"/>
        <v>49.169792250355329</v>
      </c>
      <c r="E28" s="62">
        <v>52</v>
      </c>
      <c r="F28" s="75">
        <f t="shared" si="3"/>
        <v>5.0000000000003713E-3</v>
      </c>
      <c r="G28" s="75">
        <f t="shared" si="4"/>
        <v>2.1898342886155355E-2</v>
      </c>
      <c r="H28" s="75">
        <f t="shared" si="5"/>
        <v>5.4427072108551369E-2</v>
      </c>
    </row>
    <row r="29" spans="1:8" x14ac:dyDescent="0.3">
      <c r="A29" s="59">
        <v>340</v>
      </c>
      <c r="B29" s="68">
        <f t="shared" si="0"/>
        <v>90.745999999999995</v>
      </c>
      <c r="C29" s="64">
        <f t="shared" si="1"/>
        <v>86.827049006961417</v>
      </c>
      <c r="D29" s="69">
        <f t="shared" si="2"/>
        <v>85.223690805841244</v>
      </c>
      <c r="E29" s="62">
        <v>87</v>
      </c>
      <c r="F29" s="75">
        <f t="shared" si="3"/>
        <v>4.3057471264367757E-2</v>
      </c>
      <c r="G29" s="75">
        <f t="shared" si="4"/>
        <v>1.9879424487193459E-3</v>
      </c>
      <c r="H29" s="75">
        <f t="shared" si="5"/>
        <v>2.0417347059296046E-2</v>
      </c>
    </row>
    <row r="30" spans="1:8" x14ac:dyDescent="0.3">
      <c r="A30" s="59">
        <v>370</v>
      </c>
      <c r="B30" s="68">
        <f t="shared" si="0"/>
        <v>80.108000000000004</v>
      </c>
      <c r="C30" s="64">
        <f t="shared" si="1"/>
        <v>73.890384263545585</v>
      </c>
      <c r="D30" s="69">
        <f t="shared" si="2"/>
        <v>73.352710456970414</v>
      </c>
      <c r="E30" s="62">
        <v>68</v>
      </c>
      <c r="F30" s="75">
        <f t="shared" si="3"/>
        <v>0.17805882352941182</v>
      </c>
      <c r="G30" s="75">
        <f t="shared" si="4"/>
        <v>8.6623297993317416E-2</v>
      </c>
      <c r="H30" s="75">
        <f t="shared" si="5"/>
        <v>7.8716330249564911E-2</v>
      </c>
    </row>
    <row r="31" spans="1:8" x14ac:dyDescent="0.3">
      <c r="A31" s="59">
        <v>500</v>
      </c>
      <c r="B31" s="68">
        <f t="shared" si="0"/>
        <v>34.009999999999991</v>
      </c>
      <c r="C31" s="64">
        <f t="shared" si="1"/>
        <v>41.59891911995917</v>
      </c>
      <c r="D31" s="69">
        <f t="shared" si="2"/>
        <v>38.293472708035026</v>
      </c>
      <c r="E31" s="62">
        <v>45</v>
      </c>
      <c r="F31" s="75">
        <f t="shared" si="3"/>
        <v>0.24422222222222242</v>
      </c>
      <c r="G31" s="75">
        <f t="shared" si="4"/>
        <v>7.5579575112018446E-2</v>
      </c>
      <c r="H31" s="75">
        <f t="shared" si="5"/>
        <v>0.14903393982144386</v>
      </c>
    </row>
    <row r="32" spans="1:8" x14ac:dyDescent="0.3">
      <c r="A32" s="59">
        <v>490</v>
      </c>
      <c r="B32" s="68">
        <f t="shared" si="0"/>
        <v>37.555999999999983</v>
      </c>
      <c r="C32" s="64">
        <f t="shared" si="1"/>
        <v>43.233728796663705</v>
      </c>
      <c r="D32" s="69">
        <f t="shared" si="2"/>
        <v>40.256821037821332</v>
      </c>
      <c r="E32" s="62">
        <v>44</v>
      </c>
      <c r="F32" s="75">
        <f t="shared" si="3"/>
        <v>0.14645454545454584</v>
      </c>
      <c r="G32" s="75">
        <f t="shared" si="4"/>
        <v>1.7415254621279432E-2</v>
      </c>
      <c r="H32" s="75">
        <f t="shared" si="5"/>
        <v>8.5072249140424272E-2</v>
      </c>
    </row>
    <row r="33" spans="1:8" x14ac:dyDescent="0.3">
      <c r="A33" s="59">
        <v>430</v>
      </c>
      <c r="B33" s="68">
        <f t="shared" si="0"/>
        <v>58.831999999999994</v>
      </c>
      <c r="C33" s="64">
        <f t="shared" si="1"/>
        <v>55.470106712335337</v>
      </c>
      <c r="D33" s="69">
        <f t="shared" si="2"/>
        <v>54.341024442914069</v>
      </c>
      <c r="E33" s="62">
        <v>58</v>
      </c>
      <c r="F33" s="75">
        <f t="shared" si="3"/>
        <v>1.4344827586206787E-2</v>
      </c>
      <c r="G33" s="75">
        <f t="shared" si="4"/>
        <v>4.3618849787321778E-2</v>
      </c>
      <c r="H33" s="75">
        <f t="shared" si="5"/>
        <v>6.3085785466998806E-2</v>
      </c>
    </row>
    <row r="34" spans="1:8" ht="15" thickBot="1" x14ac:dyDescent="0.35">
      <c r="A34" s="60">
        <v>390</v>
      </c>
      <c r="B34" s="70">
        <f t="shared" si="0"/>
        <v>73.015999999999991</v>
      </c>
      <c r="C34" s="71">
        <f t="shared" si="1"/>
        <v>66.829089531318985</v>
      </c>
      <c r="D34" s="72">
        <f t="shared" si="2"/>
        <v>66.372277135824447</v>
      </c>
      <c r="E34" s="63">
        <v>68</v>
      </c>
      <c r="F34" s="75">
        <f t="shared" si="3"/>
        <v>7.3764705882352816E-2</v>
      </c>
      <c r="G34" s="75">
        <f t="shared" si="4"/>
        <v>1.7219271598250221E-2</v>
      </c>
      <c r="H34" s="75">
        <f t="shared" si="5"/>
        <v>2.393710094375813E-2</v>
      </c>
    </row>
    <row r="36" spans="1:8" x14ac:dyDescent="0.3">
      <c r="E36" s="85" t="s">
        <v>94</v>
      </c>
      <c r="F36" s="73">
        <f>AVERAGE(F23:F34)</f>
        <v>9.6764585153975916E-2</v>
      </c>
      <c r="G36" s="74">
        <f t="shared" ref="G36:H36" si="6">AVERAGE(G23:G34)</f>
        <v>5.8516741642875771E-2</v>
      </c>
      <c r="H36" s="73">
        <f t="shared" si="6"/>
        <v>7.17306196151654E-2</v>
      </c>
    </row>
    <row r="39" spans="1:8" x14ac:dyDescent="0.3">
      <c r="A39" s="1" t="s">
        <v>95</v>
      </c>
      <c r="F39" s="1" t="s">
        <v>40</v>
      </c>
      <c r="G39" s="1" t="s">
        <v>102</v>
      </c>
    </row>
    <row r="40" spans="1:8" x14ac:dyDescent="0.3">
      <c r="A40" s="26" t="s">
        <v>96</v>
      </c>
      <c r="B40" s="26">
        <v>250</v>
      </c>
      <c r="G40" s="81">
        <f>B47</f>
        <v>1042213.0017719698</v>
      </c>
    </row>
    <row r="41" spans="1:8" x14ac:dyDescent="0.3">
      <c r="A41" s="26" t="s">
        <v>97</v>
      </c>
      <c r="B41" s="78">
        <v>530</v>
      </c>
      <c r="F41">
        <v>260</v>
      </c>
      <c r="G41" s="82">
        <f t="dataTable" ref="G41:G107" dt2D="0" dtr="0" r1="B41" ca="1"/>
        <v>144859.72842847556</v>
      </c>
    </row>
    <row r="42" spans="1:8" x14ac:dyDescent="0.3">
      <c r="A42" s="26" t="s">
        <v>98</v>
      </c>
      <c r="B42" s="79">
        <f>D17*B41^D18</f>
        <v>37.221892920427493</v>
      </c>
      <c r="F42">
        <v>270</v>
      </c>
      <c r="G42" s="82">
        <v>269590.60184817808</v>
      </c>
    </row>
    <row r="43" spans="1:8" x14ac:dyDescent="0.3">
      <c r="A43" s="26" t="s">
        <v>99</v>
      </c>
      <c r="B43" s="79">
        <f>B42*100</f>
        <v>3722.1892920427495</v>
      </c>
      <c r="F43">
        <v>280</v>
      </c>
      <c r="G43" s="82">
        <v>377277.18719872413</v>
      </c>
    </row>
    <row r="44" spans="1:8" x14ac:dyDescent="0.3">
      <c r="F44">
        <v>290</v>
      </c>
      <c r="G44" s="82">
        <v>470458.61526328744</v>
      </c>
    </row>
    <row r="45" spans="1:8" x14ac:dyDescent="0.3">
      <c r="A45" t="s">
        <v>100</v>
      </c>
      <c r="B45" s="77">
        <f>B40*B43</f>
        <v>930547.32301068737</v>
      </c>
      <c r="F45">
        <v>300</v>
      </c>
      <c r="G45" s="82">
        <v>551238.40185229108</v>
      </c>
    </row>
    <row r="46" spans="1:8" x14ac:dyDescent="0.3">
      <c r="A46" t="s">
        <v>101</v>
      </c>
      <c r="B46" s="77">
        <f>B41*B43</f>
        <v>1972760.3247826572</v>
      </c>
      <c r="F46">
        <v>310</v>
      </c>
      <c r="G46" s="82">
        <v>621369.53021456813</v>
      </c>
    </row>
    <row r="47" spans="1:8" x14ac:dyDescent="0.3">
      <c r="A47" t="s">
        <v>102</v>
      </c>
      <c r="B47" s="80">
        <f>B46-B45</f>
        <v>1042213.0017719698</v>
      </c>
      <c r="F47">
        <v>320</v>
      </c>
      <c r="G47" s="82">
        <v>682320.93416212313</v>
      </c>
    </row>
    <row r="48" spans="1:8" x14ac:dyDescent="0.3">
      <c r="F48">
        <v>330</v>
      </c>
      <c r="G48" s="82">
        <v>735329.86392835062</v>
      </c>
    </row>
    <row r="49" spans="6:7" x14ac:dyDescent="0.3">
      <c r="F49">
        <v>340</v>
      </c>
      <c r="G49" s="82">
        <v>781443.44106265297</v>
      </c>
    </row>
    <row r="50" spans="6:7" x14ac:dyDescent="0.3">
      <c r="F50">
        <v>350</v>
      </c>
      <c r="G50" s="82">
        <v>821551.86522268457</v>
      </c>
    </row>
    <row r="51" spans="6:7" x14ac:dyDescent="0.3">
      <c r="F51">
        <v>360</v>
      </c>
      <c r="G51" s="82">
        <v>856415.12424477958</v>
      </c>
    </row>
    <row r="52" spans="6:7" x14ac:dyDescent="0.3">
      <c r="F52">
        <v>370</v>
      </c>
      <c r="G52" s="82">
        <v>886684.61116254725</v>
      </c>
    </row>
    <row r="53" spans="6:7" x14ac:dyDescent="0.3">
      <c r="F53">
        <v>380</v>
      </c>
      <c r="G53" s="82">
        <v>912920.72098907013</v>
      </c>
    </row>
    <row r="54" spans="6:7" x14ac:dyDescent="0.3">
      <c r="F54">
        <v>390</v>
      </c>
      <c r="G54" s="82">
        <v>935607.253438466</v>
      </c>
    </row>
    <row r="55" spans="6:7" x14ac:dyDescent="0.3">
      <c r="F55">
        <v>400</v>
      </c>
      <c r="G55" s="82">
        <v>955163.26238462282</v>
      </c>
    </row>
    <row r="56" spans="6:7" x14ac:dyDescent="0.3">
      <c r="F56">
        <v>410</v>
      </c>
      <c r="G56" s="82">
        <v>971952.85243747453</v>
      </c>
    </row>
    <row r="57" spans="6:7" x14ac:dyDescent="0.3">
      <c r="F57">
        <v>420</v>
      </c>
      <c r="G57" s="82">
        <v>986293.31587235699</v>
      </c>
    </row>
    <row r="58" spans="6:7" x14ac:dyDescent="0.3">
      <c r="F58">
        <v>430</v>
      </c>
      <c r="G58" s="82">
        <v>998461.92082203622</v>
      </c>
    </row>
    <row r="59" spans="6:7" x14ac:dyDescent="0.3">
      <c r="F59">
        <v>440</v>
      </c>
      <c r="G59" s="82">
        <v>1008701.5979665397</v>
      </c>
    </row>
    <row r="60" spans="6:7" x14ac:dyDescent="0.3">
      <c r="F60">
        <v>450</v>
      </c>
      <c r="G60" s="82">
        <v>1017225.7233983984</v>
      </c>
    </row>
    <row r="61" spans="6:7" x14ac:dyDescent="0.3">
      <c r="F61">
        <v>460</v>
      </c>
      <c r="G61" s="82">
        <v>1024222.1565401531</v>
      </c>
    </row>
    <row r="62" spans="6:7" x14ac:dyDescent="0.3">
      <c r="F62">
        <v>470</v>
      </c>
      <c r="G62" s="82">
        <v>1029856.6614397548</v>
      </c>
    </row>
    <row r="63" spans="6:7" x14ac:dyDescent="0.3">
      <c r="F63">
        <v>480</v>
      </c>
      <c r="G63" s="82">
        <v>1034275.8155834542</v>
      </c>
    </row>
    <row r="64" spans="6:7" x14ac:dyDescent="0.3">
      <c r="F64">
        <v>490</v>
      </c>
      <c r="G64" s="82">
        <v>1037609.4911199291</v>
      </c>
    </row>
    <row r="65" spans="6:7" x14ac:dyDescent="0.3">
      <c r="F65">
        <v>500</v>
      </c>
      <c r="G65" s="82">
        <v>1039972.9779989794</v>
      </c>
    </row>
    <row r="66" spans="6:7" x14ac:dyDescent="0.3">
      <c r="F66">
        <v>510</v>
      </c>
      <c r="G66" s="82">
        <v>1041468.8061629091</v>
      </c>
    </row>
    <row r="67" spans="6:7" x14ac:dyDescent="0.3">
      <c r="F67">
        <v>520</v>
      </c>
      <c r="G67" s="82">
        <v>1042188.3139489595</v>
      </c>
    </row>
    <row r="68" spans="6:7" x14ac:dyDescent="0.3">
      <c r="F68" s="76">
        <v>530</v>
      </c>
      <c r="G68" s="83">
        <v>1042213.0017719698</v>
      </c>
    </row>
    <row r="69" spans="6:7" x14ac:dyDescent="0.3">
      <c r="F69">
        <v>540</v>
      </c>
      <c r="G69" s="82">
        <v>1041615.7035724644</v>
      </c>
    </row>
    <row r="70" spans="6:7" x14ac:dyDescent="0.3">
      <c r="F70">
        <v>550</v>
      </c>
      <c r="G70" s="82">
        <v>1040461.6031350964</v>
      </c>
    </row>
    <row r="71" spans="6:7" x14ac:dyDescent="0.3">
      <c r="F71">
        <v>560</v>
      </c>
      <c r="G71" s="82">
        <v>1038809.1179690239</v>
      </c>
    </row>
    <row r="72" spans="6:7" x14ac:dyDescent="0.3">
      <c r="F72">
        <v>570</v>
      </c>
      <c r="G72" s="82">
        <v>1036710.669808225</v>
      </c>
    </row>
    <row r="73" spans="6:7" x14ac:dyDescent="0.3">
      <c r="F73">
        <v>580</v>
      </c>
      <c r="G73" s="82">
        <v>1034213.3577876764</v>
      </c>
    </row>
    <row r="74" spans="6:7" x14ac:dyDescent="0.3">
      <c r="F74">
        <v>590</v>
      </c>
      <c r="G74" s="82">
        <v>1031359.5478624469</v>
      </c>
    </row>
    <row r="75" spans="6:7" x14ac:dyDescent="0.3">
      <c r="F75">
        <v>600</v>
      </c>
      <c r="G75" s="82">
        <v>1028187.3899667513</v>
      </c>
    </row>
    <row r="76" spans="6:7" x14ac:dyDescent="0.3">
      <c r="F76">
        <v>610</v>
      </c>
      <c r="G76" s="82">
        <v>1024731.2726827315</v>
      </c>
    </row>
    <row r="77" spans="6:7" x14ac:dyDescent="0.3">
      <c r="F77">
        <v>620</v>
      </c>
      <c r="G77" s="82">
        <v>1021022.2237432048</v>
      </c>
    </row>
    <row r="78" spans="6:7" x14ac:dyDescent="0.3">
      <c r="F78">
        <v>630</v>
      </c>
      <c r="G78" s="82">
        <v>1017088.2634793159</v>
      </c>
    </row>
    <row r="79" spans="6:7" x14ac:dyDescent="0.3">
      <c r="F79">
        <v>640</v>
      </c>
      <c r="G79" s="82">
        <v>1012954.7173026291</v>
      </c>
    </row>
    <row r="80" spans="6:7" x14ac:dyDescent="0.3">
      <c r="F80">
        <v>650</v>
      </c>
      <c r="G80" s="82">
        <v>1008644.4924491229</v>
      </c>
    </row>
    <row r="81" spans="6:7" x14ac:dyDescent="0.3">
      <c r="F81">
        <v>660</v>
      </c>
      <c r="G81" s="82">
        <v>1004178.3234829371</v>
      </c>
    </row>
    <row r="82" spans="6:7" x14ac:dyDescent="0.3">
      <c r="F82">
        <v>670</v>
      </c>
      <c r="G82" s="82">
        <v>999574.99043870345</v>
      </c>
    </row>
    <row r="83" spans="6:7" x14ac:dyDescent="0.3">
      <c r="F83">
        <v>680</v>
      </c>
      <c r="G83" s="82">
        <v>994851.51295467373</v>
      </c>
    </row>
    <row r="84" spans="6:7" x14ac:dyDescent="0.3">
      <c r="F84">
        <v>690</v>
      </c>
      <c r="G84" s="82">
        <v>990023.32329994719</v>
      </c>
    </row>
    <row r="85" spans="6:7" x14ac:dyDescent="0.3">
      <c r="F85">
        <v>700</v>
      </c>
      <c r="G85" s="82">
        <v>985104.42081539321</v>
      </c>
    </row>
    <row r="86" spans="6:7" x14ac:dyDescent="0.3">
      <c r="F86">
        <v>710</v>
      </c>
      <c r="G86" s="82">
        <v>980107.50995916908</v>
      </c>
    </row>
    <row r="87" spans="6:7" x14ac:dyDescent="0.3">
      <c r="F87">
        <v>720</v>
      </c>
      <c r="G87" s="82">
        <v>975044.1238656675</v>
      </c>
    </row>
    <row r="88" spans="6:7" x14ac:dyDescent="0.3">
      <c r="F88">
        <v>730</v>
      </c>
      <c r="G88" s="82">
        <v>969924.73508398188</v>
      </c>
    </row>
    <row r="89" spans="6:7" x14ac:dyDescent="0.3">
      <c r="F89">
        <v>740</v>
      </c>
      <c r="G89" s="82">
        <v>964758.8549528002</v>
      </c>
    </row>
    <row r="90" spans="6:7" x14ac:dyDescent="0.3">
      <c r="F90">
        <v>750</v>
      </c>
      <c r="G90" s="82">
        <v>959555.12288789009</v>
      </c>
    </row>
    <row r="91" spans="6:7" x14ac:dyDescent="0.3">
      <c r="F91">
        <v>760</v>
      </c>
      <c r="G91" s="82">
        <v>954321.38670201262</v>
      </c>
    </row>
    <row r="92" spans="6:7" x14ac:dyDescent="0.3">
      <c r="F92">
        <v>770</v>
      </c>
      <c r="G92" s="82">
        <v>949064.7749414182</v>
      </c>
    </row>
    <row r="93" spans="6:7" x14ac:dyDescent="0.3">
      <c r="F93">
        <v>780</v>
      </c>
      <c r="G93" s="82">
        <v>943791.76210536808</v>
      </c>
    </row>
    <row r="94" spans="6:7" x14ac:dyDescent="0.3">
      <c r="F94">
        <v>790</v>
      </c>
      <c r="G94" s="82">
        <v>938508.22751260083</v>
      </c>
    </row>
    <row r="95" spans="6:7" x14ac:dyDescent="0.3">
      <c r="F95">
        <v>800</v>
      </c>
      <c r="G95" s="82">
        <v>933219.50848926988</v>
      </c>
    </row>
    <row r="96" spans="6:7" x14ac:dyDescent="0.3">
      <c r="F96">
        <v>810</v>
      </c>
      <c r="G96" s="82">
        <v>927930.44847494666</v>
      </c>
    </row>
    <row r="97" spans="5:13" x14ac:dyDescent="0.3">
      <c r="F97">
        <v>820</v>
      </c>
      <c r="G97" s="82">
        <v>922645.44057495799</v>
      </c>
    </row>
    <row r="98" spans="5:13" x14ac:dyDescent="0.3">
      <c r="F98">
        <v>830</v>
      </c>
      <c r="G98" s="82">
        <v>917368.46702761366</v>
      </c>
    </row>
    <row r="99" spans="5:13" x14ac:dyDescent="0.3">
      <c r="F99">
        <v>840</v>
      </c>
      <c r="G99" s="82">
        <v>912103.13500239153</v>
      </c>
    </row>
    <row r="100" spans="5:13" x14ac:dyDescent="0.3">
      <c r="F100">
        <v>850</v>
      </c>
      <c r="G100" s="82">
        <v>906852.70909909625</v>
      </c>
    </row>
    <row r="101" spans="5:13" x14ac:dyDescent="0.3">
      <c r="F101">
        <v>860</v>
      </c>
      <c r="G101" s="82">
        <v>901620.14087741717</v>
      </c>
    </row>
    <row r="102" spans="5:13" x14ac:dyDescent="0.3">
      <c r="F102">
        <v>870</v>
      </c>
      <c r="G102" s="82">
        <v>896408.09571059258</v>
      </c>
    </row>
    <row r="103" spans="5:13" x14ac:dyDescent="0.3">
      <c r="F103">
        <v>880</v>
      </c>
      <c r="G103" s="82">
        <v>891218.97722535138</v>
      </c>
    </row>
    <row r="104" spans="5:13" x14ac:dyDescent="0.3">
      <c r="F104">
        <v>890</v>
      </c>
      <c r="G104" s="82">
        <v>886054.94956237264</v>
      </c>
    </row>
    <row r="105" spans="5:13" x14ac:dyDescent="0.3">
      <c r="F105">
        <v>900</v>
      </c>
      <c r="G105" s="82">
        <v>880917.95766693447</v>
      </c>
    </row>
    <row r="106" spans="5:13" x14ac:dyDescent="0.3">
      <c r="F106">
        <v>910</v>
      </c>
      <c r="G106" s="82">
        <v>875809.74579744879</v>
      </c>
    </row>
    <row r="107" spans="5:13" x14ac:dyDescent="0.3">
      <c r="F107">
        <v>920</v>
      </c>
      <c r="G107" s="82">
        <v>870731.87442029815</v>
      </c>
    </row>
    <row r="110" spans="5:13" x14ac:dyDescent="0.3">
      <c r="G110" t="s">
        <v>103</v>
      </c>
    </row>
    <row r="111" spans="5:13" x14ac:dyDescent="0.3">
      <c r="F111" s="87">
        <f>B47</f>
        <v>1042213.0017719698</v>
      </c>
      <c r="G111" s="1">
        <v>250</v>
      </c>
      <c r="H111" s="1">
        <v>300</v>
      </c>
      <c r="I111" s="1">
        <v>350</v>
      </c>
      <c r="J111" s="1">
        <v>400</v>
      </c>
      <c r="K111" s="1">
        <v>450</v>
      </c>
      <c r="L111" s="1">
        <v>500</v>
      </c>
      <c r="M111" s="1">
        <v>550</v>
      </c>
    </row>
    <row r="112" spans="5:13" x14ac:dyDescent="0.3">
      <c r="E112" s="1" t="s">
        <v>63</v>
      </c>
      <c r="F112" s="1">
        <v>260</v>
      </c>
      <c r="G112" s="88">
        <f t="dataTable" ref="G112:M178" dt2D="1" dtr="1" r1="B40" r2="B41"/>
        <v>144859.72842847556</v>
      </c>
      <c r="H112" s="88">
        <v>-579438.91371390224</v>
      </c>
      <c r="I112" s="88">
        <v>-1303737.5558562791</v>
      </c>
      <c r="J112" s="88">
        <v>-2028036.1979986569</v>
      </c>
      <c r="K112" s="88">
        <v>-2752334.8401410338</v>
      </c>
      <c r="L112" s="88">
        <v>-3476633.4822834115</v>
      </c>
      <c r="M112" s="88">
        <v>-4200932.1244257884</v>
      </c>
    </row>
    <row r="113" spans="6:13" x14ac:dyDescent="0.3">
      <c r="F113" s="1">
        <v>270</v>
      </c>
      <c r="G113" s="88">
        <v>269590.60184817808</v>
      </c>
      <c r="H113" s="88">
        <v>-404385.90277226688</v>
      </c>
      <c r="I113" s="88">
        <v>-1078362.4073927123</v>
      </c>
      <c r="J113" s="88">
        <v>-1752338.9120131573</v>
      </c>
      <c r="K113" s="88">
        <v>-2426315.4166336022</v>
      </c>
      <c r="L113" s="88">
        <v>-3100291.9212540481</v>
      </c>
      <c r="M113" s="88">
        <v>-3774268.4258744931</v>
      </c>
    </row>
    <row r="114" spans="6:13" x14ac:dyDescent="0.3">
      <c r="F114" s="1">
        <v>280</v>
      </c>
      <c r="G114" s="88">
        <v>377277.18719872413</v>
      </c>
      <c r="H114" s="88">
        <v>-251518.12479914958</v>
      </c>
      <c r="I114" s="88">
        <v>-880313.43679702282</v>
      </c>
      <c r="J114" s="88">
        <v>-1509108.7487948965</v>
      </c>
      <c r="K114" s="88">
        <v>-2137904.0607927702</v>
      </c>
      <c r="L114" s="88">
        <v>-2766699.3727906439</v>
      </c>
      <c r="M114" s="88">
        <v>-3395494.6847885177</v>
      </c>
    </row>
    <row r="115" spans="6:13" x14ac:dyDescent="0.3">
      <c r="F115" s="1">
        <v>290</v>
      </c>
      <c r="G115" s="88">
        <v>470458.61526328744</v>
      </c>
      <c r="H115" s="88">
        <v>-117614.65381582174</v>
      </c>
      <c r="I115" s="88">
        <v>-705687.9228949314</v>
      </c>
      <c r="J115" s="88">
        <v>-1293761.1919740411</v>
      </c>
      <c r="K115" s="88">
        <v>-1881834.4610531498</v>
      </c>
      <c r="L115" s="88">
        <v>-2469907.7301322594</v>
      </c>
      <c r="M115" s="88">
        <v>-3057980.9992113691</v>
      </c>
    </row>
    <row r="116" spans="6:13" x14ac:dyDescent="0.3">
      <c r="F116" s="1">
        <v>300</v>
      </c>
      <c r="G116" s="88">
        <v>551238.40185229108</v>
      </c>
      <c r="H116" s="88">
        <v>0</v>
      </c>
      <c r="I116" s="88">
        <v>-551238.40185229108</v>
      </c>
      <c r="J116" s="88">
        <v>-1102476.8037045817</v>
      </c>
      <c r="K116" s="88">
        <v>-1653715.2055568728</v>
      </c>
      <c r="L116" s="88">
        <v>-2204953.6074091638</v>
      </c>
      <c r="M116" s="88">
        <v>-2756192.0092614549</v>
      </c>
    </row>
    <row r="117" spans="6:13" x14ac:dyDescent="0.3">
      <c r="F117" s="1">
        <v>310</v>
      </c>
      <c r="G117" s="88">
        <v>621369.53021456813</v>
      </c>
      <c r="H117" s="88">
        <v>103561.58836909477</v>
      </c>
      <c r="I117" s="88">
        <v>-414246.3534763786</v>
      </c>
      <c r="J117" s="88">
        <v>-932054.2953218515</v>
      </c>
      <c r="K117" s="88">
        <v>-1449862.2371673249</v>
      </c>
      <c r="L117" s="88">
        <v>-1967670.1790127978</v>
      </c>
      <c r="M117" s="88">
        <v>-2485478.1208582716</v>
      </c>
    </row>
    <row r="118" spans="6:13" x14ac:dyDescent="0.3">
      <c r="F118" s="1">
        <v>320</v>
      </c>
      <c r="G118" s="88">
        <v>682320.93416212313</v>
      </c>
      <c r="H118" s="88">
        <v>194948.83833203511</v>
      </c>
      <c r="I118" s="88">
        <v>-292423.2574980529</v>
      </c>
      <c r="J118" s="88">
        <v>-779795.35332814092</v>
      </c>
      <c r="K118" s="88">
        <v>-1267167.4491582289</v>
      </c>
      <c r="L118" s="88">
        <v>-1754539.5449883174</v>
      </c>
      <c r="M118" s="88">
        <v>-2241911.640818405</v>
      </c>
    </row>
    <row r="119" spans="6:13" x14ac:dyDescent="0.3">
      <c r="F119" s="1">
        <v>330</v>
      </c>
      <c r="G119" s="88">
        <v>735329.86392835062</v>
      </c>
      <c r="H119" s="88">
        <v>275748.69897313137</v>
      </c>
      <c r="I119" s="88">
        <v>-183832.46598208742</v>
      </c>
      <c r="J119" s="88">
        <v>-643413.63093730668</v>
      </c>
      <c r="K119" s="88">
        <v>-1102994.7958925259</v>
      </c>
      <c r="L119" s="88">
        <v>-1562575.9608477447</v>
      </c>
      <c r="M119" s="88">
        <v>-2022157.125802964</v>
      </c>
    </row>
    <row r="120" spans="6:13" x14ac:dyDescent="0.3">
      <c r="F120" s="1">
        <v>340</v>
      </c>
      <c r="G120" s="88">
        <v>781443.44106265297</v>
      </c>
      <c r="H120" s="88">
        <v>347308.19602784561</v>
      </c>
      <c r="I120" s="88">
        <v>-86827.049006961286</v>
      </c>
      <c r="J120" s="88">
        <v>-520962.29404176865</v>
      </c>
      <c r="K120" s="88">
        <v>-955097.53907657554</v>
      </c>
      <c r="L120" s="88">
        <v>-1389232.7841113824</v>
      </c>
      <c r="M120" s="88">
        <v>-1823368.0291461898</v>
      </c>
    </row>
    <row r="121" spans="6:13" x14ac:dyDescent="0.3">
      <c r="F121" s="1">
        <v>350</v>
      </c>
      <c r="G121" s="88">
        <v>821551.86522268457</v>
      </c>
      <c r="H121" s="88">
        <v>410775.93261134205</v>
      </c>
      <c r="I121" s="88">
        <v>0</v>
      </c>
      <c r="J121" s="88">
        <v>-410775.93261134205</v>
      </c>
      <c r="K121" s="88">
        <v>-821551.86522268457</v>
      </c>
      <c r="L121" s="88">
        <v>-1232327.7978340266</v>
      </c>
      <c r="M121" s="88">
        <v>-1643103.7304453691</v>
      </c>
    </row>
    <row r="122" spans="6:13" x14ac:dyDescent="0.3">
      <c r="F122" s="1">
        <v>360</v>
      </c>
      <c r="G122" s="88">
        <v>856415.12424477958</v>
      </c>
      <c r="H122" s="88">
        <v>467135.52231533453</v>
      </c>
      <c r="I122" s="88">
        <v>77855.920385889243</v>
      </c>
      <c r="J122" s="88">
        <v>-311423.68154355604</v>
      </c>
      <c r="K122" s="88">
        <v>-700703.28347300133</v>
      </c>
      <c r="L122" s="88">
        <v>-1089982.8854024466</v>
      </c>
      <c r="M122" s="88">
        <v>-1479262.4873318919</v>
      </c>
    </row>
    <row r="123" spans="6:13" x14ac:dyDescent="0.3">
      <c r="F123" s="1">
        <v>370</v>
      </c>
      <c r="G123" s="88">
        <v>886684.61116254725</v>
      </c>
      <c r="H123" s="88">
        <v>517232.68984481925</v>
      </c>
      <c r="I123" s="88">
        <v>147780.76852709148</v>
      </c>
      <c r="J123" s="88">
        <v>-221671.15279063676</v>
      </c>
      <c r="K123" s="88">
        <v>-591123.07410836453</v>
      </c>
      <c r="L123" s="88">
        <v>-960574.9954260923</v>
      </c>
      <c r="M123" s="88">
        <v>-1330026.9167438205</v>
      </c>
    </row>
    <row r="124" spans="6:13" x14ac:dyDescent="0.3">
      <c r="F124" s="1">
        <v>380</v>
      </c>
      <c r="G124" s="88">
        <v>912920.72098907013</v>
      </c>
      <c r="H124" s="88">
        <v>561797.36676250491</v>
      </c>
      <c r="I124" s="88">
        <v>210674.01253593946</v>
      </c>
      <c r="J124" s="88">
        <v>-140449.341690626</v>
      </c>
      <c r="K124" s="88">
        <v>-491572.69591719145</v>
      </c>
      <c r="L124" s="88">
        <v>-842696.05014375644</v>
      </c>
      <c r="M124" s="88">
        <v>-1193819.4043703219</v>
      </c>
    </row>
    <row r="125" spans="6:13" x14ac:dyDescent="0.3">
      <c r="F125" s="1">
        <v>390</v>
      </c>
      <c r="G125" s="88">
        <v>935607.253438466</v>
      </c>
      <c r="H125" s="88">
        <v>601461.80578187108</v>
      </c>
      <c r="I125" s="88">
        <v>267316.35812527593</v>
      </c>
      <c r="J125" s="88">
        <v>-66829.08953131875</v>
      </c>
      <c r="K125" s="88">
        <v>-400974.5371879139</v>
      </c>
      <c r="L125" s="88">
        <v>-735119.98484450858</v>
      </c>
      <c r="M125" s="88">
        <v>-1069265.4325011037</v>
      </c>
    </row>
    <row r="126" spans="6:13" x14ac:dyDescent="0.3">
      <c r="F126" s="1">
        <v>400</v>
      </c>
      <c r="G126" s="88">
        <v>955163.26238462282</v>
      </c>
      <c r="H126" s="88">
        <v>636775.50825641514</v>
      </c>
      <c r="I126" s="88">
        <v>318387.75412820745</v>
      </c>
      <c r="J126" s="88">
        <v>0</v>
      </c>
      <c r="K126" s="88">
        <v>-318387.75412820745</v>
      </c>
      <c r="L126" s="88">
        <v>-636775.50825641491</v>
      </c>
      <c r="M126" s="88">
        <v>-955163.26238462236</v>
      </c>
    </row>
    <row r="127" spans="6:13" x14ac:dyDescent="0.3">
      <c r="F127" s="1">
        <v>410</v>
      </c>
      <c r="G127" s="88">
        <v>971952.85243747453</v>
      </c>
      <c r="H127" s="88">
        <v>668217.58605076349</v>
      </c>
      <c r="I127" s="88">
        <v>364482.31966405269</v>
      </c>
      <c r="J127" s="88">
        <v>60747.053277342115</v>
      </c>
      <c r="K127" s="88">
        <v>-242988.21310936892</v>
      </c>
      <c r="L127" s="88">
        <v>-546723.4794960795</v>
      </c>
      <c r="M127" s="88">
        <v>-850458.74588279054</v>
      </c>
    </row>
    <row r="128" spans="6:13" x14ac:dyDescent="0.3">
      <c r="F128" s="1">
        <v>420</v>
      </c>
      <c r="G128" s="88">
        <v>986293.31587235699</v>
      </c>
      <c r="H128" s="88">
        <v>696207.04649813427</v>
      </c>
      <c r="I128" s="88">
        <v>406120.77712391177</v>
      </c>
      <c r="J128" s="88">
        <v>116034.50774968928</v>
      </c>
      <c r="K128" s="88">
        <v>-174051.76162453368</v>
      </c>
      <c r="L128" s="88">
        <v>-464138.03099875618</v>
      </c>
      <c r="M128" s="88">
        <v>-754224.30037297867</v>
      </c>
    </row>
    <row r="129" spans="6:13" x14ac:dyDescent="0.3">
      <c r="F129" s="1">
        <v>430</v>
      </c>
      <c r="G129" s="88">
        <v>998461.92082203622</v>
      </c>
      <c r="H129" s="88">
        <v>721111.38726035948</v>
      </c>
      <c r="I129" s="88">
        <v>443760.85369868297</v>
      </c>
      <c r="J129" s="88">
        <v>166410.32013700623</v>
      </c>
      <c r="K129" s="88">
        <v>-110940.21342467051</v>
      </c>
      <c r="L129" s="88">
        <v>-388290.74698634725</v>
      </c>
      <c r="M129" s="88">
        <v>-665641.28054802399</v>
      </c>
    </row>
    <row r="130" spans="6:13" x14ac:dyDescent="0.3">
      <c r="F130" s="1">
        <v>440</v>
      </c>
      <c r="G130" s="88">
        <v>1008701.5979665397</v>
      </c>
      <c r="H130" s="88">
        <v>743253.80902797659</v>
      </c>
      <c r="I130" s="88">
        <v>477806.02008941351</v>
      </c>
      <c r="J130" s="88">
        <v>212358.23115085065</v>
      </c>
      <c r="K130" s="88">
        <v>-53089.557787712663</v>
      </c>
      <c r="L130" s="88">
        <v>-318537.34672627551</v>
      </c>
      <c r="M130" s="88">
        <v>-583985.13566483883</v>
      </c>
    </row>
    <row r="131" spans="6:13" x14ac:dyDescent="0.3">
      <c r="F131" s="1">
        <v>450</v>
      </c>
      <c r="G131" s="88">
        <v>1017225.7233983984</v>
      </c>
      <c r="H131" s="88">
        <v>762919.29254879872</v>
      </c>
      <c r="I131" s="88">
        <v>508612.86169919907</v>
      </c>
      <c r="J131" s="88">
        <v>254306.43084959942</v>
      </c>
      <c r="K131" s="88">
        <v>0</v>
      </c>
      <c r="L131" s="88">
        <v>-254306.43084959965</v>
      </c>
      <c r="M131" s="88">
        <v>-508612.8616991993</v>
      </c>
    </row>
    <row r="132" spans="6:13" x14ac:dyDescent="0.3">
      <c r="F132" s="1">
        <v>460</v>
      </c>
      <c r="G132" s="88">
        <v>1024222.1565401531</v>
      </c>
      <c r="H132" s="88">
        <v>780359.73831630708</v>
      </c>
      <c r="I132" s="88">
        <v>536497.3200924613</v>
      </c>
      <c r="J132" s="88">
        <v>292634.9018686153</v>
      </c>
      <c r="K132" s="88">
        <v>48772.483644769527</v>
      </c>
      <c r="L132" s="88">
        <v>-195089.93457907671</v>
      </c>
      <c r="M132" s="88">
        <v>-438952.35280292248</v>
      </c>
    </row>
    <row r="133" spans="6:13" x14ac:dyDescent="0.3">
      <c r="F133" s="1">
        <v>470</v>
      </c>
      <c r="G133" s="88">
        <v>1029856.6614397548</v>
      </c>
      <c r="H133" s="88">
        <v>795798.32929435605</v>
      </c>
      <c r="I133" s="88">
        <v>561739.9971489571</v>
      </c>
      <c r="J133" s="88">
        <v>327681.66500355839</v>
      </c>
      <c r="K133" s="88">
        <v>93623.332858159672</v>
      </c>
      <c r="L133" s="88">
        <v>-140434.99928723928</v>
      </c>
      <c r="M133" s="88">
        <v>-374493.33143263776</v>
      </c>
    </row>
    <row r="134" spans="6:13" x14ac:dyDescent="0.3">
      <c r="F134" s="1">
        <v>480</v>
      </c>
      <c r="G134" s="88">
        <v>1034275.8155834542</v>
      </c>
      <c r="H134" s="88">
        <v>809433.24697835557</v>
      </c>
      <c r="I134" s="88">
        <v>584590.67837325693</v>
      </c>
      <c r="J134" s="88">
        <v>359748.10976815806</v>
      </c>
      <c r="K134" s="88">
        <v>134905.54116305942</v>
      </c>
      <c r="L134" s="88">
        <v>-89937.027442039456</v>
      </c>
      <c r="M134" s="88">
        <v>-314779.59604713786</v>
      </c>
    </row>
    <row r="135" spans="6:13" x14ac:dyDescent="0.3">
      <c r="F135" s="1">
        <v>490</v>
      </c>
      <c r="G135" s="88">
        <v>1037609.4911199291</v>
      </c>
      <c r="H135" s="88">
        <v>821440.84713661065</v>
      </c>
      <c r="I135" s="88">
        <v>605272.20315329218</v>
      </c>
      <c r="J135" s="88">
        <v>389103.55916997371</v>
      </c>
      <c r="K135" s="88">
        <v>172934.91518665501</v>
      </c>
      <c r="L135" s="88">
        <v>-43233.728796663694</v>
      </c>
      <c r="M135" s="88">
        <v>-259402.37277998216</v>
      </c>
    </row>
    <row r="136" spans="6:13" x14ac:dyDescent="0.3">
      <c r="F136" s="1">
        <v>500</v>
      </c>
      <c r="G136" s="88">
        <v>1039972.9779989794</v>
      </c>
      <c r="H136" s="88">
        <v>831978.3823991837</v>
      </c>
      <c r="I136" s="88">
        <v>623983.78679938777</v>
      </c>
      <c r="J136" s="88">
        <v>415989.19119959185</v>
      </c>
      <c r="K136" s="88">
        <v>207994.59559979592</v>
      </c>
      <c r="L136" s="88">
        <v>0</v>
      </c>
      <c r="M136" s="88">
        <v>-207994.59559979569</v>
      </c>
    </row>
    <row r="137" spans="6:13" x14ac:dyDescent="0.3">
      <c r="F137" s="1">
        <v>510</v>
      </c>
      <c r="G137" s="88">
        <v>1041468.8061629091</v>
      </c>
      <c r="H137" s="88">
        <v>841186.34343927284</v>
      </c>
      <c r="I137" s="88">
        <v>640903.8807156363</v>
      </c>
      <c r="J137" s="88">
        <v>440621.417992</v>
      </c>
      <c r="K137" s="88">
        <v>240338.9552683637</v>
      </c>
      <c r="L137" s="88">
        <v>40056.4925447274</v>
      </c>
      <c r="M137" s="88">
        <v>-160225.97017890913</v>
      </c>
    </row>
    <row r="138" spans="6:13" x14ac:dyDescent="0.3">
      <c r="F138" s="1">
        <v>520</v>
      </c>
      <c r="G138" s="88">
        <v>1042188.3139489595</v>
      </c>
      <c r="H138" s="88">
        <v>849190.47803248558</v>
      </c>
      <c r="I138" s="88">
        <v>656192.64211601159</v>
      </c>
      <c r="J138" s="88">
        <v>463194.80619953759</v>
      </c>
      <c r="K138" s="88">
        <v>270196.97028306359</v>
      </c>
      <c r="L138" s="88">
        <v>77199.134366589598</v>
      </c>
      <c r="M138" s="88">
        <v>-115798.70154988416</v>
      </c>
    </row>
    <row r="139" spans="6:13" x14ac:dyDescent="0.3">
      <c r="F139" s="86">
        <v>530</v>
      </c>
      <c r="G139" s="88">
        <v>1042213.0017719698</v>
      </c>
      <c r="H139" s="88">
        <v>856103.53716983227</v>
      </c>
      <c r="I139" s="88">
        <v>669994.07256769482</v>
      </c>
      <c r="J139" s="88">
        <v>483884.60796555737</v>
      </c>
      <c r="K139" s="88">
        <v>297775.14336341992</v>
      </c>
      <c r="L139" s="88">
        <v>111665.67876128247</v>
      </c>
      <c r="M139" s="88">
        <v>-74443.78584085498</v>
      </c>
    </row>
    <row r="140" spans="6:13" x14ac:dyDescent="0.3">
      <c r="F140" s="1">
        <v>540</v>
      </c>
      <c r="G140" s="88">
        <v>1041615.7035724644</v>
      </c>
      <c r="H140" s="88">
        <v>862026.78916341881</v>
      </c>
      <c r="I140" s="88">
        <v>682437.87475437322</v>
      </c>
      <c r="J140" s="88">
        <v>502848.96034532762</v>
      </c>
      <c r="K140" s="88">
        <v>323260.04593628203</v>
      </c>
      <c r="L140" s="88">
        <v>143671.13152723666</v>
      </c>
      <c r="M140" s="88">
        <v>-35917.782881808933</v>
      </c>
    </row>
    <row r="141" spans="6:13" x14ac:dyDescent="0.3">
      <c r="F141" s="1">
        <v>550</v>
      </c>
      <c r="G141" s="88">
        <v>1040461.6031350964</v>
      </c>
      <c r="H141" s="88">
        <v>867051.33594591368</v>
      </c>
      <c r="I141" s="88">
        <v>693641.06875673099</v>
      </c>
      <c r="J141" s="88">
        <v>520230.80156754819</v>
      </c>
      <c r="K141" s="88">
        <v>346820.53437836538</v>
      </c>
      <c r="L141" s="88">
        <v>173410.26718918281</v>
      </c>
      <c r="M141" s="88">
        <v>0</v>
      </c>
    </row>
    <row r="142" spans="6:13" x14ac:dyDescent="0.3">
      <c r="F142" s="1">
        <v>560</v>
      </c>
      <c r="G142" s="88">
        <v>1038809.1179690239</v>
      </c>
      <c r="H142" s="88">
        <v>871259.26023208455</v>
      </c>
      <c r="I142" s="88">
        <v>703709.4024951451</v>
      </c>
      <c r="J142" s="88">
        <v>536159.544758206</v>
      </c>
      <c r="K142" s="88">
        <v>368609.68702126667</v>
      </c>
      <c r="L142" s="88">
        <v>201059.82928432734</v>
      </c>
      <c r="M142" s="88">
        <v>33509.971547388006</v>
      </c>
    </row>
    <row r="143" spans="6:13" x14ac:dyDescent="0.3">
      <c r="F143" s="1">
        <v>570</v>
      </c>
      <c r="G143" s="88">
        <v>1036710.669808225</v>
      </c>
      <c r="H143" s="88">
        <v>874724.6276506898</v>
      </c>
      <c r="I143" s="88">
        <v>712738.58549315459</v>
      </c>
      <c r="J143" s="88">
        <v>550752.54333561938</v>
      </c>
      <c r="K143" s="88">
        <v>388766.50117808441</v>
      </c>
      <c r="L143" s="88">
        <v>226780.4590205492</v>
      </c>
      <c r="M143" s="88">
        <v>64794.41686301399</v>
      </c>
    </row>
    <row r="144" spans="6:13" x14ac:dyDescent="0.3">
      <c r="F144" s="1">
        <v>580</v>
      </c>
      <c r="G144" s="88">
        <v>1034213.3577876764</v>
      </c>
      <c r="H144" s="88">
        <v>877514.36418348295</v>
      </c>
      <c r="I144" s="88">
        <v>720815.37057928951</v>
      </c>
      <c r="J144" s="88">
        <v>564116.37697509606</v>
      </c>
      <c r="K144" s="88">
        <v>407417.38337090285</v>
      </c>
      <c r="L144" s="88">
        <v>250718.38976670941</v>
      </c>
      <c r="M144" s="88">
        <v>94019.396162515972</v>
      </c>
    </row>
    <row r="145" spans="6:13" x14ac:dyDescent="0.3">
      <c r="F145" s="1">
        <v>590</v>
      </c>
      <c r="G145" s="88">
        <v>1031359.5478624469</v>
      </c>
      <c r="H145" s="88">
        <v>879689.02611796942</v>
      </c>
      <c r="I145" s="88">
        <v>728018.50437349197</v>
      </c>
      <c r="J145" s="88">
        <v>576347.98262901441</v>
      </c>
      <c r="K145" s="88">
        <v>424677.46088453708</v>
      </c>
      <c r="L145" s="88">
        <v>273006.93914005952</v>
      </c>
      <c r="M145" s="88">
        <v>121336.41739558196</v>
      </c>
    </row>
    <row r="146" spans="6:13" x14ac:dyDescent="0.3">
      <c r="F146" s="1">
        <v>600</v>
      </c>
      <c r="G146" s="88">
        <v>1028187.3899667513</v>
      </c>
      <c r="H146" s="88">
        <v>881303.47711435833</v>
      </c>
      <c r="I146" s="88">
        <v>734419.56426196522</v>
      </c>
      <c r="J146" s="88">
        <v>587535.65140957222</v>
      </c>
      <c r="K146" s="88">
        <v>440651.73855717899</v>
      </c>
      <c r="L146" s="88">
        <v>293767.825704786</v>
      </c>
      <c r="M146" s="88">
        <v>146883.912852393</v>
      </c>
    </row>
    <row r="147" spans="6:13" x14ac:dyDescent="0.3">
      <c r="F147" s="1">
        <v>610</v>
      </c>
      <c r="G147" s="88">
        <v>1024731.2726827315</v>
      </c>
      <c r="H147" s="88">
        <v>882407.48481012986</v>
      </c>
      <c r="I147" s="88">
        <v>740083.69693752832</v>
      </c>
      <c r="J147" s="88">
        <v>597759.90906492667</v>
      </c>
      <c r="K147" s="88">
        <v>455436.12119232514</v>
      </c>
      <c r="L147" s="88">
        <v>313112.33331972361</v>
      </c>
      <c r="M147" s="88">
        <v>170788.54544712184</v>
      </c>
    </row>
    <row r="148" spans="6:13" x14ac:dyDescent="0.3">
      <c r="F148" s="1">
        <v>620</v>
      </c>
      <c r="G148" s="88">
        <v>1021022.2237432048</v>
      </c>
      <c r="H148" s="88">
        <v>883046.24756169063</v>
      </c>
      <c r="I148" s="88">
        <v>745070.27138017653</v>
      </c>
      <c r="J148" s="88">
        <v>607094.29519866221</v>
      </c>
      <c r="K148" s="88">
        <v>469118.31901714811</v>
      </c>
      <c r="L148" s="88">
        <v>331142.34283563402</v>
      </c>
      <c r="M148" s="88">
        <v>193166.36665411969</v>
      </c>
    </row>
    <row r="149" spans="6:13" x14ac:dyDescent="0.3">
      <c r="F149" s="1">
        <v>630</v>
      </c>
      <c r="G149" s="88">
        <v>1017088.2634793159</v>
      </c>
      <c r="H149" s="88">
        <v>883260.86038993229</v>
      </c>
      <c r="I149" s="88">
        <v>749433.45730054856</v>
      </c>
      <c r="J149" s="88">
        <v>615606.05421116482</v>
      </c>
      <c r="K149" s="88">
        <v>481778.65112178121</v>
      </c>
      <c r="L149" s="88">
        <v>347951.24803239759</v>
      </c>
      <c r="M149" s="88">
        <v>214123.84494301397</v>
      </c>
    </row>
    <row r="150" spans="6:13" x14ac:dyDescent="0.3">
      <c r="F150" s="1">
        <v>640</v>
      </c>
      <c r="G150" s="88">
        <v>1012954.7173026291</v>
      </c>
      <c r="H150" s="88">
        <v>883088.7279048562</v>
      </c>
      <c r="I150" s="88">
        <v>753222.73850708327</v>
      </c>
      <c r="J150" s="88">
        <v>623356.74910931021</v>
      </c>
      <c r="K150" s="88">
        <v>493490.75971153728</v>
      </c>
      <c r="L150" s="88">
        <v>363624.77031376422</v>
      </c>
      <c r="M150" s="88">
        <v>233758.7809159914</v>
      </c>
    </row>
    <row r="151" spans="6:13" x14ac:dyDescent="0.3">
      <c r="F151" s="1">
        <v>650</v>
      </c>
      <c r="G151" s="88">
        <v>1008644.4924491229</v>
      </c>
      <c r="H151" s="88">
        <v>882563.93089298252</v>
      </c>
      <c r="I151" s="88">
        <v>756483.36933684221</v>
      </c>
      <c r="J151" s="88">
        <v>630402.80778070178</v>
      </c>
      <c r="K151" s="88">
        <v>504322.24622456147</v>
      </c>
      <c r="L151" s="88">
        <v>378241.68466842105</v>
      </c>
      <c r="M151" s="88">
        <v>252161.12311228062</v>
      </c>
    </row>
    <row r="152" spans="6:13" x14ac:dyDescent="0.3">
      <c r="F152" s="1">
        <v>660</v>
      </c>
      <c r="G152" s="88">
        <v>1004178.3234829371</v>
      </c>
      <c r="H152" s="88">
        <v>881717.55232648132</v>
      </c>
      <c r="I152" s="88">
        <v>759256.78117002558</v>
      </c>
      <c r="J152" s="88">
        <v>636796.01001356984</v>
      </c>
      <c r="K152" s="88">
        <v>514335.23885711422</v>
      </c>
      <c r="L152" s="88">
        <v>391874.46770065837</v>
      </c>
      <c r="M152" s="88">
        <v>269413.69654420274</v>
      </c>
    </row>
    <row r="153" spans="6:13" x14ac:dyDescent="0.3">
      <c r="F153" s="1">
        <v>670</v>
      </c>
      <c r="G153" s="88">
        <v>999574.99043870345</v>
      </c>
      <c r="H153" s="88">
        <v>880577.96776742931</v>
      </c>
      <c r="I153" s="88">
        <v>761580.94509615505</v>
      </c>
      <c r="J153" s="88">
        <v>642583.92242488079</v>
      </c>
      <c r="K153" s="88">
        <v>523586.89975360665</v>
      </c>
      <c r="L153" s="88">
        <v>404589.87708233227</v>
      </c>
      <c r="M153" s="88">
        <v>285592.85441105813</v>
      </c>
    </row>
    <row r="154" spans="6:13" x14ac:dyDescent="0.3">
      <c r="F154" s="1">
        <v>680</v>
      </c>
      <c r="G154" s="88">
        <v>994851.51295467373</v>
      </c>
      <c r="H154" s="88">
        <v>879171.10447157209</v>
      </c>
      <c r="I154" s="88">
        <v>763490.69598847057</v>
      </c>
      <c r="J154" s="88">
        <v>647810.28750536893</v>
      </c>
      <c r="K154" s="88">
        <v>532129.8790222673</v>
      </c>
      <c r="L154" s="88">
        <v>416449.47053916566</v>
      </c>
      <c r="M154" s="88">
        <v>300769.06205606414</v>
      </c>
    </row>
    <row r="155" spans="6:13" x14ac:dyDescent="0.3">
      <c r="F155" s="1">
        <v>690</v>
      </c>
      <c r="G155" s="88">
        <v>990023.32329994719</v>
      </c>
      <c r="H155" s="88">
        <v>877520.67292495316</v>
      </c>
      <c r="I155" s="88">
        <v>765018.02254995925</v>
      </c>
      <c r="J155" s="88">
        <v>652515.37217496522</v>
      </c>
      <c r="K155" s="88">
        <v>540012.72179997119</v>
      </c>
      <c r="L155" s="88">
        <v>427510.07142497716</v>
      </c>
      <c r="M155" s="88">
        <v>315007.42104998324</v>
      </c>
    </row>
    <row r="156" spans="6:13" x14ac:dyDescent="0.3">
      <c r="F156" s="1">
        <v>700</v>
      </c>
      <c r="G156" s="88">
        <v>985104.42081539321</v>
      </c>
      <c r="H156" s="88">
        <v>875648.37405812729</v>
      </c>
      <c r="I156" s="88">
        <v>766192.32730086136</v>
      </c>
      <c r="J156" s="88">
        <v>656736.28054359555</v>
      </c>
      <c r="K156" s="88">
        <v>547280.23378632963</v>
      </c>
      <c r="L156" s="88">
        <v>437824.1870290637</v>
      </c>
      <c r="M156" s="88">
        <v>328368.14027179778</v>
      </c>
    </row>
    <row r="157" spans="6:13" x14ac:dyDescent="0.3">
      <c r="F157" s="1">
        <v>710</v>
      </c>
      <c r="G157" s="88">
        <v>980107.50995916908</v>
      </c>
      <c r="H157" s="88">
        <v>873574.08496360714</v>
      </c>
      <c r="I157" s="88">
        <v>767040.65996804531</v>
      </c>
      <c r="J157" s="88">
        <v>660507.23497248348</v>
      </c>
      <c r="K157" s="88">
        <v>553973.80997692165</v>
      </c>
      <c r="L157" s="88">
        <v>447440.38498135982</v>
      </c>
      <c r="M157" s="88">
        <v>340906.95998579799</v>
      </c>
    </row>
    <row r="158" spans="6:13" x14ac:dyDescent="0.3">
      <c r="F158" s="1">
        <v>720</v>
      </c>
      <c r="G158" s="88">
        <v>975044.1238656675</v>
      </c>
      <c r="H158" s="88">
        <v>871316.02558208595</v>
      </c>
      <c r="I158" s="88">
        <v>767587.92729850428</v>
      </c>
      <c r="J158" s="88">
        <v>663859.82901492261</v>
      </c>
      <c r="K158" s="88">
        <v>560131.73073134094</v>
      </c>
      <c r="L158" s="88">
        <v>456403.63244775927</v>
      </c>
      <c r="M158" s="88">
        <v>352675.53416417772</v>
      </c>
    </row>
    <row r="159" spans="6:13" x14ac:dyDescent="0.3">
      <c r="F159" s="1">
        <v>730</v>
      </c>
      <c r="G159" s="88">
        <v>969924.73508398188</v>
      </c>
      <c r="H159" s="88">
        <v>868890.90851273388</v>
      </c>
      <c r="I159" s="88">
        <v>767857.08194148575</v>
      </c>
      <c r="J159" s="88">
        <v>666823.25537023752</v>
      </c>
      <c r="K159" s="88">
        <v>565789.42879898939</v>
      </c>
      <c r="L159" s="88">
        <v>464755.60222774127</v>
      </c>
      <c r="M159" s="88">
        <v>363721.77565649315</v>
      </c>
    </row>
    <row r="160" spans="6:13" x14ac:dyDescent="0.3">
      <c r="F160" s="1">
        <v>740</v>
      </c>
      <c r="G160" s="88">
        <v>964758.8549528002</v>
      </c>
      <c r="H160" s="88">
        <v>866314.07383516757</v>
      </c>
      <c r="I160" s="88">
        <v>767869.29271753482</v>
      </c>
      <c r="J160" s="88">
        <v>669424.51159990218</v>
      </c>
      <c r="K160" s="88">
        <v>570979.73048226954</v>
      </c>
      <c r="L160" s="88">
        <v>472534.94936463679</v>
      </c>
      <c r="M160" s="88">
        <v>374090.16824700404</v>
      </c>
    </row>
    <row r="161" spans="6:13" x14ac:dyDescent="0.3">
      <c r="F161" s="1">
        <v>750</v>
      </c>
      <c r="G161" s="88">
        <v>959555.12288789009</v>
      </c>
      <c r="H161" s="88">
        <v>863599.61059910117</v>
      </c>
      <c r="I161" s="88">
        <v>767644.09831031214</v>
      </c>
      <c r="J161" s="88">
        <v>671688.58602152311</v>
      </c>
      <c r="K161" s="88">
        <v>575733.07373273408</v>
      </c>
      <c r="L161" s="88">
        <v>479777.56144394504</v>
      </c>
      <c r="M161" s="88">
        <v>383822.04915515613</v>
      </c>
    </row>
    <row r="162" spans="6:13" x14ac:dyDescent="0.3">
      <c r="F162" s="1">
        <v>760</v>
      </c>
      <c r="G162" s="88">
        <v>954321.38670201262</v>
      </c>
      <c r="H162" s="88">
        <v>860760.4664371094</v>
      </c>
      <c r="I162" s="88">
        <v>767199.54617220617</v>
      </c>
      <c r="J162" s="88">
        <v>673638.62590730307</v>
      </c>
      <c r="K162" s="88">
        <v>580077.70564239984</v>
      </c>
      <c r="L162" s="88">
        <v>486516.78537749662</v>
      </c>
      <c r="M162" s="88">
        <v>392955.8651125934</v>
      </c>
    </row>
    <row r="163" spans="6:13" x14ac:dyDescent="0.3">
      <c r="F163" s="1">
        <v>770</v>
      </c>
      <c r="G163" s="88">
        <v>949064.7749414182</v>
      </c>
      <c r="H163" s="88">
        <v>857808.54658166645</v>
      </c>
      <c r="I163" s="88">
        <v>766552.3182219147</v>
      </c>
      <c r="J163" s="88">
        <v>675296.08986216295</v>
      </c>
      <c r="K163" s="88">
        <v>584039.86150241119</v>
      </c>
      <c r="L163" s="88">
        <v>492783.63314265944</v>
      </c>
      <c r="M163" s="88">
        <v>401527.40478290769</v>
      </c>
    </row>
    <row r="164" spans="6:13" x14ac:dyDescent="0.3">
      <c r="F164" s="1">
        <v>780</v>
      </c>
      <c r="G164" s="88">
        <v>943791.76210536808</v>
      </c>
      <c r="H164" s="88">
        <v>854754.80341618229</v>
      </c>
      <c r="I164" s="88">
        <v>765717.84472699661</v>
      </c>
      <c r="J164" s="88">
        <v>676680.88603781094</v>
      </c>
      <c r="K164" s="88">
        <v>587643.92734862538</v>
      </c>
      <c r="L164" s="88">
        <v>498606.96865943971</v>
      </c>
      <c r="M164" s="88">
        <v>409570.00997025403</v>
      </c>
    </row>
    <row r="165" spans="6:13" x14ac:dyDescent="0.3">
      <c r="F165" s="1">
        <v>790</v>
      </c>
      <c r="G165" s="88">
        <v>938508.22751260083</v>
      </c>
      <c r="H165" s="88">
        <v>851609.31755773036</v>
      </c>
      <c r="I165" s="88">
        <v>764710.40760285989</v>
      </c>
      <c r="J165" s="88">
        <v>677811.49764798942</v>
      </c>
      <c r="K165" s="88">
        <v>590912.58769311896</v>
      </c>
      <c r="L165" s="88">
        <v>504013.67773824849</v>
      </c>
      <c r="M165" s="88">
        <v>417114.76778337813</v>
      </c>
    </row>
    <row r="166" spans="6:13" x14ac:dyDescent="0.3">
      <c r="F166" s="1">
        <v>800</v>
      </c>
      <c r="G166" s="88">
        <v>933219.50848926988</v>
      </c>
      <c r="H166" s="88">
        <v>848381.37135388167</v>
      </c>
      <c r="I166" s="88">
        <v>763543.23421849345</v>
      </c>
      <c r="J166" s="88">
        <v>678705.09708310536</v>
      </c>
      <c r="K166" s="88">
        <v>593866.95994771714</v>
      </c>
      <c r="L166" s="88">
        <v>509028.82281232905</v>
      </c>
      <c r="M166" s="88">
        <v>424190.68567694083</v>
      </c>
    </row>
    <row r="167" spans="6:13" x14ac:dyDescent="0.3">
      <c r="F167" s="1">
        <v>810</v>
      </c>
      <c r="G167" s="88">
        <v>927930.44847494666</v>
      </c>
      <c r="H167" s="88">
        <v>845079.51557539788</v>
      </c>
      <c r="I167" s="88">
        <v>762228.58267584909</v>
      </c>
      <c r="J167" s="88">
        <v>679377.6497763003</v>
      </c>
      <c r="K167" s="88">
        <v>596526.71687675139</v>
      </c>
      <c r="L167" s="88">
        <v>513675.78397720261</v>
      </c>
      <c r="M167" s="88">
        <v>430824.85107765382</v>
      </c>
    </row>
    <row r="168" spans="6:13" x14ac:dyDescent="0.3">
      <c r="F168" s="1">
        <v>820</v>
      </c>
      <c r="G168" s="88">
        <v>922645.44057495799</v>
      </c>
      <c r="H168" s="88">
        <v>841711.62999820733</v>
      </c>
      <c r="I168" s="88">
        <v>760777.81942145666</v>
      </c>
      <c r="J168" s="88">
        <v>679844.00884470588</v>
      </c>
      <c r="K168" s="88">
        <v>598910.19826795522</v>
      </c>
      <c r="L168" s="88">
        <v>517976.38769120455</v>
      </c>
      <c r="M168" s="88">
        <v>437042.57711445377</v>
      </c>
    </row>
    <row r="169" spans="6:13" x14ac:dyDescent="0.3">
      <c r="F169" s="1">
        <v>830</v>
      </c>
      <c r="G169" s="88">
        <v>917368.46702761366</v>
      </c>
      <c r="H169" s="88">
        <v>838284.97849075054</v>
      </c>
      <c r="I169" s="88">
        <v>759201.48995388718</v>
      </c>
      <c r="J169" s="88">
        <v>680118.00141702394</v>
      </c>
      <c r="K169" s="88">
        <v>601034.51288016071</v>
      </c>
      <c r="L169" s="88">
        <v>521951.02434329747</v>
      </c>
      <c r="M169" s="88">
        <v>442867.53580643423</v>
      </c>
    </row>
    <row r="170" spans="6:13" x14ac:dyDescent="0.3">
      <c r="F170" s="1">
        <v>840</v>
      </c>
      <c r="G170" s="88">
        <v>912103.13500239153</v>
      </c>
      <c r="H170" s="88">
        <v>834806.25915473117</v>
      </c>
      <c r="I170" s="88">
        <v>757509.38330707094</v>
      </c>
      <c r="J170" s="88">
        <v>680212.50745941058</v>
      </c>
      <c r="K170" s="88">
        <v>602915.63161175034</v>
      </c>
      <c r="L170" s="88">
        <v>525618.75576408999</v>
      </c>
      <c r="M170" s="88">
        <v>448321.87991642975</v>
      </c>
    </row>
    <row r="171" spans="6:13" x14ac:dyDescent="0.3">
      <c r="F171" s="1">
        <v>850</v>
      </c>
      <c r="G171" s="88">
        <v>906852.70909909625</v>
      </c>
      <c r="H171" s="88">
        <v>831281.65000750497</v>
      </c>
      <c r="I171" s="88">
        <v>755710.59091591358</v>
      </c>
      <c r="J171" s="88">
        <v>680139.53182432218</v>
      </c>
      <c r="K171" s="88">
        <v>604568.47273273091</v>
      </c>
      <c r="L171" s="88">
        <v>528997.41364113952</v>
      </c>
      <c r="M171" s="88">
        <v>453426.35454954812</v>
      </c>
    </row>
    <row r="172" spans="6:13" x14ac:dyDescent="0.3">
      <c r="F172" s="1">
        <v>860</v>
      </c>
      <c r="G172" s="88">
        <v>901620.14087741717</v>
      </c>
      <c r="H172" s="88">
        <v>827716.8506415633</v>
      </c>
      <c r="I172" s="88">
        <v>753813.56040570955</v>
      </c>
      <c r="J172" s="88">
        <v>679910.27016985556</v>
      </c>
      <c r="K172" s="88">
        <v>606006.97993400169</v>
      </c>
      <c r="L172" s="88">
        <v>532103.68969814782</v>
      </c>
      <c r="M172" s="88">
        <v>458200.39946229407</v>
      </c>
    </row>
    <row r="173" spans="6:13" x14ac:dyDescent="0.3">
      <c r="F173" s="1">
        <v>870</v>
      </c>
      <c r="G173" s="88">
        <v>896408.09571059258</v>
      </c>
      <c r="H173" s="88">
        <v>824117.12025006092</v>
      </c>
      <c r="I173" s="88">
        <v>751826.14478952927</v>
      </c>
      <c r="J173" s="88">
        <v>679535.16932899761</v>
      </c>
      <c r="K173" s="88">
        <v>607244.19386846595</v>
      </c>
      <c r="L173" s="88">
        <v>534953.2184079343</v>
      </c>
      <c r="M173" s="88">
        <v>462662.24294740264</v>
      </c>
    </row>
    <row r="174" spans="6:13" x14ac:dyDescent="0.3">
      <c r="F174" s="1">
        <v>880</v>
      </c>
      <c r="G174" s="88">
        <v>891218.97722535138</v>
      </c>
      <c r="H174" s="88">
        <v>820487.31236619642</v>
      </c>
      <c r="I174" s="88">
        <v>749755.64750704158</v>
      </c>
      <c r="J174" s="88">
        <v>679023.98264788673</v>
      </c>
      <c r="K174" s="88">
        <v>608292.31778873189</v>
      </c>
      <c r="L174" s="88">
        <v>537560.65292957693</v>
      </c>
      <c r="M174" s="88">
        <v>466828.98807042209</v>
      </c>
    </row>
    <row r="175" spans="6:13" x14ac:dyDescent="0.3">
      <c r="F175" s="1">
        <v>890</v>
      </c>
      <c r="G175" s="88">
        <v>886054.94956237264</v>
      </c>
      <c r="H175" s="88">
        <v>816831.90662781219</v>
      </c>
      <c r="I175" s="88">
        <v>747608.86369325186</v>
      </c>
      <c r="J175" s="88">
        <v>678385.82075869152</v>
      </c>
      <c r="K175" s="88">
        <v>609162.77782413119</v>
      </c>
      <c r="L175" s="88">
        <v>539939.73488957086</v>
      </c>
      <c r="M175" s="88">
        <v>470716.69195501041</v>
      </c>
    </row>
    <row r="176" spans="6:13" x14ac:dyDescent="0.3">
      <c r="F176" s="1">
        <v>900</v>
      </c>
      <c r="G176" s="88">
        <v>880917.95766693447</v>
      </c>
      <c r="H176" s="88">
        <v>813155.03784640098</v>
      </c>
      <c r="I176" s="88">
        <v>745392.11802586762</v>
      </c>
      <c r="J176" s="88">
        <v>677629.19820533413</v>
      </c>
      <c r="K176" s="88">
        <v>609866.27838480077</v>
      </c>
      <c r="L176" s="88">
        <v>542103.35856426728</v>
      </c>
      <c r="M176" s="88">
        <v>474340.43874373392</v>
      </c>
    </row>
    <row r="177" spans="6:13" x14ac:dyDescent="0.3">
      <c r="F177" s="1">
        <v>910</v>
      </c>
      <c r="G177" s="88">
        <v>875809.74579744879</v>
      </c>
      <c r="H177" s="88">
        <v>809460.52263097535</v>
      </c>
      <c r="I177" s="88">
        <v>743111.29946450202</v>
      </c>
      <c r="J177" s="88">
        <v>676762.07629802858</v>
      </c>
      <c r="K177" s="88">
        <v>610412.85313155525</v>
      </c>
      <c r="L177" s="88">
        <v>544063.62996508181</v>
      </c>
      <c r="M177" s="88">
        <v>477714.40679860848</v>
      </c>
    </row>
    <row r="178" spans="6:13" x14ac:dyDescent="0.3">
      <c r="F178" s="1">
        <v>920</v>
      </c>
      <c r="G178" s="88">
        <v>870731.87442029815</v>
      </c>
      <c r="H178" s="88">
        <v>805751.8837919177</v>
      </c>
      <c r="I178" s="88">
        <v>740771.89316353726</v>
      </c>
      <c r="J178" s="88">
        <v>675791.90253515681</v>
      </c>
      <c r="K178" s="88">
        <v>610811.91190677637</v>
      </c>
      <c r="L178" s="88">
        <v>545831.92127839592</v>
      </c>
      <c r="M178" s="88">
        <v>480851.93065001548</v>
      </c>
    </row>
  </sheetData>
  <mergeCells count="3">
    <mergeCell ref="C16:D16"/>
    <mergeCell ref="A16:B16"/>
    <mergeCell ref="E16:F16"/>
  </mergeCells>
  <conditionalFormatting sqref="G41:G107">
    <cfRule type="cellIs" dxfId="2" priority="4" operator="equal">
      <formula>593536</formula>
    </cfRule>
  </conditionalFormatting>
  <conditionalFormatting sqref="G112:G178">
    <cfRule type="top10" dxfId="1" priority="2" rank="1"/>
  </conditionalFormatting>
  <conditionalFormatting sqref="G112:M17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2:H178">
    <cfRule type="top10" dxfId="0" priority="1" rank="1"/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D4E9-7D77-46F1-A8BD-A605D3DC1348}">
  <dimension ref="A1:H28"/>
  <sheetViews>
    <sheetView zoomScale="109" workbookViewId="0">
      <selection activeCell="D24" sqref="D24"/>
    </sheetView>
  </sheetViews>
  <sheetFormatPr defaultRowHeight="14.4" x14ac:dyDescent="0.3"/>
  <cols>
    <col min="1" max="1" width="17.88671875" customWidth="1"/>
    <col min="2" max="2" width="21.5546875" customWidth="1"/>
    <col min="3" max="3" width="21.5546875" bestFit="1" customWidth="1"/>
    <col min="5" max="5" width="13.33203125" customWidth="1"/>
    <col min="6" max="6" width="12.6640625" customWidth="1"/>
  </cols>
  <sheetData>
    <row r="1" spans="1:8" x14ac:dyDescent="0.3">
      <c r="A1" s="89" t="s">
        <v>104</v>
      </c>
      <c r="B1" s="89" t="s">
        <v>106</v>
      </c>
      <c r="C1" s="89" t="s">
        <v>105</v>
      </c>
    </row>
    <row r="2" spans="1:8" x14ac:dyDescent="0.3">
      <c r="A2" s="10">
        <v>2017</v>
      </c>
      <c r="B2" s="10">
        <v>1</v>
      </c>
      <c r="C2" s="90">
        <v>218.6</v>
      </c>
      <c r="E2" s="26" t="s">
        <v>111</v>
      </c>
      <c r="F2" s="26"/>
      <c r="G2" s="26" t="s">
        <v>110</v>
      </c>
      <c r="H2" s="26"/>
    </row>
    <row r="3" spans="1:8" x14ac:dyDescent="0.3">
      <c r="A3" s="10">
        <v>2018</v>
      </c>
      <c r="B3" s="10">
        <v>2</v>
      </c>
      <c r="C3" s="90">
        <v>435</v>
      </c>
      <c r="E3" s="26" t="s">
        <v>112</v>
      </c>
      <c r="F3" s="26">
        <v>103.59</v>
      </c>
      <c r="G3" s="26" t="s">
        <v>112</v>
      </c>
      <c r="H3" s="26">
        <v>170.97</v>
      </c>
    </row>
    <row r="4" spans="1:8" x14ac:dyDescent="0.3">
      <c r="A4" s="10">
        <v>2019</v>
      </c>
      <c r="B4" s="10">
        <v>3</v>
      </c>
      <c r="C4" s="90">
        <v>915</v>
      </c>
      <c r="E4" s="26" t="s">
        <v>113</v>
      </c>
      <c r="F4" s="26">
        <v>0.72589999999999999</v>
      </c>
      <c r="G4" s="26" t="s">
        <v>113</v>
      </c>
      <c r="H4" s="26">
        <v>1.7511000000000001</v>
      </c>
    </row>
    <row r="5" spans="1:8" x14ac:dyDescent="0.3">
      <c r="A5" s="10">
        <v>2020</v>
      </c>
      <c r="B5" s="10">
        <v>4</v>
      </c>
      <c r="C5" s="90">
        <v>1825.9</v>
      </c>
    </row>
    <row r="6" spans="1:8" x14ac:dyDescent="0.3">
      <c r="A6" s="10">
        <v>2021</v>
      </c>
      <c r="B6" s="10">
        <v>5</v>
      </c>
      <c r="C6" s="90">
        <v>4021.8</v>
      </c>
    </row>
    <row r="7" spans="1:8" x14ac:dyDescent="0.3">
      <c r="A7" s="10">
        <v>2022</v>
      </c>
      <c r="B7" s="10">
        <v>6</v>
      </c>
      <c r="C7" s="90">
        <v>3582.1</v>
      </c>
    </row>
    <row r="9" spans="1:8" x14ac:dyDescent="0.3">
      <c r="A9" s="150" t="s">
        <v>107</v>
      </c>
      <c r="B9" s="150"/>
      <c r="C9" s="150" t="s">
        <v>108</v>
      </c>
      <c r="D9" s="150"/>
      <c r="E9" s="150" t="s">
        <v>109</v>
      </c>
      <c r="F9" s="150"/>
    </row>
    <row r="10" spans="1:8" x14ac:dyDescent="0.3">
      <c r="A10" s="93" t="s">
        <v>106</v>
      </c>
      <c r="B10" s="93" t="s">
        <v>105</v>
      </c>
      <c r="C10" s="94" t="s">
        <v>89</v>
      </c>
      <c r="D10" s="94" t="s">
        <v>110</v>
      </c>
      <c r="E10" s="94" t="s">
        <v>89</v>
      </c>
      <c r="F10" s="94" t="s">
        <v>110</v>
      </c>
    </row>
    <row r="11" spans="1:8" x14ac:dyDescent="0.3">
      <c r="A11" s="10">
        <v>1</v>
      </c>
      <c r="B11" s="95">
        <v>218.6</v>
      </c>
      <c r="C11" s="96">
        <f>$F$3*EXP($F$4*A11)</f>
        <v>214.07807824032759</v>
      </c>
      <c r="D11" s="96">
        <f>$H$3*A11^$H$4</f>
        <v>170.97</v>
      </c>
      <c r="E11" s="97">
        <f>ABS(C11-B11)/B11</f>
        <v>2.0685826896946063E-2</v>
      </c>
      <c r="F11" s="97">
        <f>ABS(D11-B11)/B11</f>
        <v>0.2178865507776761</v>
      </c>
    </row>
    <row r="12" spans="1:8" x14ac:dyDescent="0.3">
      <c r="A12" s="10">
        <v>2</v>
      </c>
      <c r="B12" s="95">
        <v>435</v>
      </c>
      <c r="C12" s="96">
        <f t="shared" ref="C12:C15" si="0">$F$3*EXP($F$4*A12)</f>
        <v>442.41165733248204</v>
      </c>
      <c r="D12" s="96">
        <f t="shared" ref="D12:D16" si="1">$H$3*A12^$H$4</f>
        <v>575.51087833709835</v>
      </c>
      <c r="E12" s="97">
        <f t="shared" ref="E12:E15" si="2">ABS(C12-B12)/B12</f>
        <v>1.7038292718349508E-2</v>
      </c>
      <c r="F12" s="97">
        <f t="shared" ref="F12:F16" si="3">ABS(D12-B12)/B12</f>
        <v>0.32301351341861689</v>
      </c>
    </row>
    <row r="13" spans="1:8" x14ac:dyDescent="0.3">
      <c r="A13" s="10">
        <v>3</v>
      </c>
      <c r="B13" s="95">
        <v>915</v>
      </c>
      <c r="C13" s="96">
        <f t="shared" si="0"/>
        <v>914.28359294194479</v>
      </c>
      <c r="D13" s="96">
        <f t="shared" si="1"/>
        <v>1170.5957441095538</v>
      </c>
      <c r="E13" s="97">
        <f t="shared" si="2"/>
        <v>7.8295853339367281E-4</v>
      </c>
      <c r="F13" s="97">
        <f t="shared" si="3"/>
        <v>0.2793396110486927</v>
      </c>
    </row>
    <row r="14" spans="1:8" x14ac:dyDescent="0.3">
      <c r="A14" s="10">
        <v>4</v>
      </c>
      <c r="B14" s="95">
        <v>1825.9</v>
      </c>
      <c r="C14" s="96">
        <f t="shared" si="0"/>
        <v>1889.449508096086</v>
      </c>
      <c r="D14" s="96">
        <f t="shared" si="1"/>
        <v>1937.2566595562869</v>
      </c>
      <c r="E14" s="97">
        <f t="shared" si="2"/>
        <v>3.4804484416499207E-2</v>
      </c>
      <c r="F14" s="97">
        <f t="shared" si="3"/>
        <v>6.0987271787220979E-2</v>
      </c>
    </row>
    <row r="15" spans="1:8" x14ac:dyDescent="0.3">
      <c r="A15" s="10">
        <v>5</v>
      </c>
      <c r="B15" s="95">
        <v>4021.8</v>
      </c>
      <c r="C15" s="96">
        <f t="shared" si="0"/>
        <v>3904.7178262896268</v>
      </c>
      <c r="D15" s="96">
        <f t="shared" si="1"/>
        <v>2863.4281246022297</v>
      </c>
      <c r="E15" s="97">
        <f t="shared" si="2"/>
        <v>2.9111883661637413E-2</v>
      </c>
      <c r="F15" s="97">
        <f t="shared" si="3"/>
        <v>0.28802324217956399</v>
      </c>
    </row>
    <row r="16" spans="1:8" x14ac:dyDescent="0.3">
      <c r="A16" s="10">
        <v>6</v>
      </c>
      <c r="B16" s="95">
        <v>3582.1</v>
      </c>
      <c r="C16" s="96">
        <f>$F$3*EXP($F$4*A16)</f>
        <v>8069.4515718006751</v>
      </c>
      <c r="D16" s="96">
        <f t="shared" si="1"/>
        <v>3940.4023212853626</v>
      </c>
      <c r="E16" s="97">
        <f>ABS(C16-B16)/B16</f>
        <v>1.2527153267079856</v>
      </c>
      <c r="F16" s="97">
        <f t="shared" si="3"/>
        <v>0.100025772950326</v>
      </c>
    </row>
    <row r="17" spans="1:6" x14ac:dyDescent="0.3">
      <c r="D17" s="98" t="s">
        <v>94</v>
      </c>
      <c r="E17" s="99">
        <f>AVERAGE(E11:E16)</f>
        <v>0.22585646215580191</v>
      </c>
      <c r="F17" s="99">
        <f>AVERAGE(F11:F16)</f>
        <v>0.21154599369368277</v>
      </c>
    </row>
    <row r="19" spans="1:6" x14ac:dyDescent="0.3">
      <c r="A19" t="s">
        <v>114</v>
      </c>
    </row>
    <row r="21" spans="1:6" x14ac:dyDescent="0.3">
      <c r="A21" s="89" t="s">
        <v>106</v>
      </c>
      <c r="B21" t="s">
        <v>115</v>
      </c>
    </row>
    <row r="22" spans="1:6" x14ac:dyDescent="0.3">
      <c r="A22" s="10">
        <v>1</v>
      </c>
      <c r="B22" s="57">
        <f>$F$3*EXP($F$4*A11)</f>
        <v>214.07807824032759</v>
      </c>
    </row>
    <row r="23" spans="1:6" x14ac:dyDescent="0.3">
      <c r="A23" s="10">
        <v>2</v>
      </c>
      <c r="B23" s="57">
        <f t="shared" ref="B23:B26" si="4">$F$3*EXP($F$4*A12)</f>
        <v>442.41165733248204</v>
      </c>
    </row>
    <row r="24" spans="1:6" x14ac:dyDescent="0.3">
      <c r="A24" s="10">
        <v>3</v>
      </c>
      <c r="B24" s="57">
        <f t="shared" si="4"/>
        <v>914.28359294194479</v>
      </c>
    </row>
    <row r="25" spans="1:6" x14ac:dyDescent="0.3">
      <c r="A25" s="10">
        <v>4</v>
      </c>
      <c r="B25" s="57">
        <f t="shared" si="4"/>
        <v>1889.449508096086</v>
      </c>
    </row>
    <row r="26" spans="1:6" x14ac:dyDescent="0.3">
      <c r="A26" s="10">
        <v>5</v>
      </c>
      <c r="B26" s="57">
        <f t="shared" si="4"/>
        <v>3904.7178262896268</v>
      </c>
    </row>
    <row r="27" spans="1:6" x14ac:dyDescent="0.3">
      <c r="A27" s="10">
        <v>6</v>
      </c>
      <c r="B27" s="57">
        <f>$F$3*EXP($F$4*A27)</f>
        <v>8069.4515718006751</v>
      </c>
      <c r="C27">
        <v>2022</v>
      </c>
    </row>
    <row r="28" spans="1:6" x14ac:dyDescent="0.3">
      <c r="A28" s="10">
        <v>7</v>
      </c>
      <c r="B28" s="91">
        <f>$F$3*EXP($F$4*A28)</f>
        <v>16676.24949265836</v>
      </c>
      <c r="C28">
        <v>2023</v>
      </c>
    </row>
  </sheetData>
  <mergeCells count="3">
    <mergeCell ref="E9:F9"/>
    <mergeCell ref="C9:D9"/>
    <mergeCell ref="A9:B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DF8C-2F07-4020-8E80-20D0B242A39C}">
  <dimension ref="A1:G42"/>
  <sheetViews>
    <sheetView workbookViewId="0">
      <selection activeCell="C42" sqref="C42"/>
    </sheetView>
  </sheetViews>
  <sheetFormatPr defaultRowHeight="14.4" x14ac:dyDescent="0.3"/>
  <cols>
    <col min="1" max="1" width="17.44140625" customWidth="1"/>
    <col min="2" max="2" width="11.6640625" bestFit="1" customWidth="1"/>
    <col min="5" max="5" width="10" bestFit="1" customWidth="1"/>
    <col min="6" max="6" width="15.5546875" style="10" bestFit="1" customWidth="1"/>
  </cols>
  <sheetData>
    <row r="1" spans="1:7" ht="15" thickBot="1" x14ac:dyDescent="0.35">
      <c r="A1" s="100" t="s">
        <v>116</v>
      </c>
      <c r="F1"/>
    </row>
    <row r="2" spans="1:7" x14ac:dyDescent="0.3">
      <c r="E2" s="151" t="s">
        <v>126</v>
      </c>
      <c r="F2" s="152"/>
    </row>
    <row r="3" spans="1:7" x14ac:dyDescent="0.3">
      <c r="A3" t="s">
        <v>117</v>
      </c>
      <c r="B3" s="1">
        <v>9.3000000000000007</v>
      </c>
      <c r="C3" t="s">
        <v>118</v>
      </c>
      <c r="E3" s="102" t="s">
        <v>127</v>
      </c>
      <c r="F3" s="103" t="s">
        <v>128</v>
      </c>
    </row>
    <row r="4" spans="1:7" x14ac:dyDescent="0.3">
      <c r="A4" t="s">
        <v>119</v>
      </c>
      <c r="B4" s="1">
        <v>20</v>
      </c>
      <c r="C4" t="s">
        <v>120</v>
      </c>
      <c r="E4" s="29">
        <v>1</v>
      </c>
      <c r="F4" s="104">
        <f>B5</f>
        <v>1.2</v>
      </c>
    </row>
    <row r="5" spans="1:7" x14ac:dyDescent="0.3">
      <c r="A5" t="s">
        <v>121</v>
      </c>
      <c r="B5" s="1">
        <v>1.2</v>
      </c>
      <c r="C5" t="s">
        <v>118</v>
      </c>
      <c r="E5" s="29">
        <v>2</v>
      </c>
      <c r="F5" s="104">
        <f>IF(E5&lt;$B$6,F4+F4*$B$7,F4-F4*$B$8)</f>
        <v>1.26</v>
      </c>
      <c r="G5" t="str">
        <f ca="1">_xlfn.FORMULATEXT(F5)</f>
        <v>=IF(E5&lt;$B$6,F4+F4*$B$7,F4-F4*$B$8)</v>
      </c>
    </row>
    <row r="6" spans="1:7" x14ac:dyDescent="0.3">
      <c r="A6" t="s">
        <v>122</v>
      </c>
      <c r="B6" s="1">
        <v>7</v>
      </c>
      <c r="C6" t="s">
        <v>120</v>
      </c>
      <c r="E6" s="29">
        <v>3</v>
      </c>
      <c r="F6" s="104">
        <f>IF(E6&lt;$B$6,F5+F5*$B$7,F5-F5*$B$8)</f>
        <v>1.323</v>
      </c>
      <c r="G6" t="str">
        <f t="shared" ref="G6:G12" ca="1" si="0">_xlfn.FORMULATEXT(F6)</f>
        <v>=IF(E6&lt;$B$6,F5+F5*$B$7,F5-F5*$B$8)</v>
      </c>
    </row>
    <row r="7" spans="1:7" x14ac:dyDescent="0.3">
      <c r="A7" t="s">
        <v>123</v>
      </c>
      <c r="B7" s="101">
        <v>0.05</v>
      </c>
      <c r="E7" s="29">
        <v>4</v>
      </c>
      <c r="F7" s="104">
        <f t="shared" ref="F7:F23" si="1">IF(E7&lt;$B$6,F6+F6*$B$7,F6-F6*$B$8)</f>
        <v>1.3891499999999999</v>
      </c>
      <c r="G7" t="str">
        <f t="shared" ca="1" si="0"/>
        <v>=IF(E7&lt;$B$6,F6+F6*$B$7,F6-F6*$B$8)</v>
      </c>
    </row>
    <row r="8" spans="1:7" x14ac:dyDescent="0.3">
      <c r="A8" t="s">
        <v>124</v>
      </c>
      <c r="B8" s="101">
        <v>0.06</v>
      </c>
      <c r="E8" s="29">
        <v>5</v>
      </c>
      <c r="F8" s="104">
        <f t="shared" si="1"/>
        <v>1.4586074999999998</v>
      </c>
      <c r="G8" t="str">
        <f t="shared" ca="1" si="0"/>
        <v>=IF(E8&lt;$B$6,F7+F7*$B$7,F7-F7*$B$8)</v>
      </c>
    </row>
    <row r="9" spans="1:7" x14ac:dyDescent="0.3">
      <c r="A9" t="s">
        <v>125</v>
      </c>
      <c r="B9" s="101">
        <v>0.1182463991241787</v>
      </c>
      <c r="E9" s="29">
        <v>6</v>
      </c>
      <c r="F9" s="104">
        <f t="shared" si="1"/>
        <v>1.5315378749999997</v>
      </c>
      <c r="G9" t="str">
        <f t="shared" ca="1" si="0"/>
        <v>=IF(E9&lt;$B$6,F8+F8*$B$7,F8-F8*$B$8)</v>
      </c>
    </row>
    <row r="10" spans="1:7" x14ac:dyDescent="0.3">
      <c r="E10" s="29">
        <v>7</v>
      </c>
      <c r="F10" s="104">
        <f t="shared" si="1"/>
        <v>1.4396456024999997</v>
      </c>
      <c r="G10" t="str">
        <f t="shared" ca="1" si="0"/>
        <v>=IF(E10&lt;$B$6,F9+F9*$B$7,F9-F9*$B$8)</v>
      </c>
    </row>
    <row r="11" spans="1:7" x14ac:dyDescent="0.3">
      <c r="E11" s="29">
        <v>8</v>
      </c>
      <c r="F11" s="104">
        <f t="shared" si="1"/>
        <v>1.3532668663499998</v>
      </c>
      <c r="G11" t="str">
        <f t="shared" ca="1" si="0"/>
        <v>=IF(E11&lt;$B$6,F10+F10*$B$7,F10-F10*$B$8)</v>
      </c>
    </row>
    <row r="12" spans="1:7" x14ac:dyDescent="0.3">
      <c r="A12" t="s">
        <v>129</v>
      </c>
      <c r="B12" s="107">
        <f>NPV(B9,F4:F23)</f>
        <v>9.2999063366954839</v>
      </c>
      <c r="E12" s="29">
        <v>9</v>
      </c>
      <c r="F12" s="104">
        <f t="shared" si="1"/>
        <v>1.2720708543689998</v>
      </c>
      <c r="G12" t="str">
        <f t="shared" ca="1" si="0"/>
        <v>=IF(E12&lt;$B$6,F11+F11*$B$7,F11-F11*$B$8)</v>
      </c>
    </row>
    <row r="13" spans="1:7" x14ac:dyDescent="0.3">
      <c r="A13" t="s">
        <v>117</v>
      </c>
      <c r="B13" s="1">
        <v>9.3000000000000007</v>
      </c>
      <c r="E13" s="29">
        <v>10</v>
      </c>
      <c r="F13" s="104">
        <f t="shared" si="1"/>
        <v>1.1957466031068598</v>
      </c>
    </row>
    <row r="14" spans="1:7" x14ac:dyDescent="0.3">
      <c r="A14" s="108" t="s">
        <v>130</v>
      </c>
      <c r="B14" s="109">
        <f>B12-B13</f>
        <v>-9.3663304516766743E-5</v>
      </c>
      <c r="E14" s="29">
        <v>11</v>
      </c>
      <c r="F14" s="104">
        <f t="shared" si="1"/>
        <v>1.1240018069204483</v>
      </c>
    </row>
    <row r="15" spans="1:7" x14ac:dyDescent="0.3">
      <c r="E15" s="29">
        <v>12</v>
      </c>
      <c r="F15" s="104">
        <f t="shared" si="1"/>
        <v>1.0565616985052213</v>
      </c>
    </row>
    <row r="16" spans="1:7" x14ac:dyDescent="0.3">
      <c r="E16" s="29">
        <v>13</v>
      </c>
      <c r="F16" s="104">
        <f t="shared" si="1"/>
        <v>0.99316799659490806</v>
      </c>
    </row>
    <row r="17" spans="3:6" x14ac:dyDescent="0.3">
      <c r="E17" s="29">
        <v>14</v>
      </c>
      <c r="F17" s="104">
        <f t="shared" si="1"/>
        <v>0.93357791679921354</v>
      </c>
    </row>
    <row r="18" spans="3:6" x14ac:dyDescent="0.3">
      <c r="E18" s="29">
        <v>15</v>
      </c>
      <c r="F18" s="104">
        <f t="shared" si="1"/>
        <v>0.87756324179126077</v>
      </c>
    </row>
    <row r="19" spans="3:6" x14ac:dyDescent="0.3">
      <c r="E19" s="29">
        <v>16</v>
      </c>
      <c r="F19" s="104">
        <f t="shared" si="1"/>
        <v>0.82490944728378512</v>
      </c>
    </row>
    <row r="20" spans="3:6" x14ac:dyDescent="0.3">
      <c r="E20" s="29">
        <v>17</v>
      </c>
      <c r="F20" s="104">
        <f t="shared" si="1"/>
        <v>0.77541488044675799</v>
      </c>
    </row>
    <row r="21" spans="3:6" x14ac:dyDescent="0.3">
      <c r="E21" s="29">
        <v>18</v>
      </c>
      <c r="F21" s="104">
        <f t="shared" si="1"/>
        <v>0.7288899876199525</v>
      </c>
    </row>
    <row r="22" spans="3:6" x14ac:dyDescent="0.3">
      <c r="E22" s="29">
        <v>19</v>
      </c>
      <c r="F22" s="104">
        <f t="shared" si="1"/>
        <v>0.68515658836275539</v>
      </c>
    </row>
    <row r="23" spans="3:6" ht="15" thickBot="1" x14ac:dyDescent="0.35">
      <c r="E23" s="92">
        <v>20</v>
      </c>
      <c r="F23" s="104">
        <f t="shared" si="1"/>
        <v>0.64404719306099012</v>
      </c>
    </row>
    <row r="30" spans="3:6" x14ac:dyDescent="0.3">
      <c r="C30" t="s">
        <v>131</v>
      </c>
      <c r="D30" t="s">
        <v>132</v>
      </c>
    </row>
    <row r="31" spans="3:6" x14ac:dyDescent="0.3">
      <c r="C31">
        <v>1</v>
      </c>
      <c r="D31">
        <v>30000</v>
      </c>
    </row>
    <row r="32" spans="3:6" x14ac:dyDescent="0.3">
      <c r="C32">
        <v>2</v>
      </c>
      <c r="D32">
        <v>65000</v>
      </c>
    </row>
    <row r="33" spans="1:4" x14ac:dyDescent="0.3">
      <c r="C33">
        <v>3</v>
      </c>
      <c r="D33">
        <v>80000</v>
      </c>
    </row>
    <row r="34" spans="1:4" x14ac:dyDescent="0.3">
      <c r="C34">
        <v>4</v>
      </c>
      <c r="D34">
        <v>75000</v>
      </c>
    </row>
    <row r="35" spans="1:4" x14ac:dyDescent="0.3">
      <c r="C35">
        <v>5</v>
      </c>
      <c r="D35">
        <v>55000</v>
      </c>
    </row>
    <row r="37" spans="1:4" x14ac:dyDescent="0.3">
      <c r="A37" t="s">
        <v>133</v>
      </c>
      <c r="B37">
        <v>150000</v>
      </c>
    </row>
    <row r="38" spans="1:4" x14ac:dyDescent="0.3">
      <c r="A38" t="s">
        <v>125</v>
      </c>
      <c r="B38" s="110">
        <v>0.15</v>
      </c>
    </row>
    <row r="40" spans="1:4" x14ac:dyDescent="0.3">
      <c r="A40" t="s">
        <v>134</v>
      </c>
      <c r="B40" s="112">
        <f>NPV(B38,D31:D35)</f>
        <v>198063.80735147279</v>
      </c>
    </row>
    <row r="41" spans="1:4" x14ac:dyDescent="0.3">
      <c r="A41" t="s">
        <v>133</v>
      </c>
      <c r="B41" s="112">
        <v>150000</v>
      </c>
    </row>
    <row r="42" spans="1:4" x14ac:dyDescent="0.3">
      <c r="A42" t="s">
        <v>135</v>
      </c>
      <c r="B42" s="113">
        <f>B40-B41</f>
        <v>48063.807351472788</v>
      </c>
    </row>
  </sheetData>
  <mergeCells count="1">
    <mergeCell ref="E2:F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3DF0-26CF-4E47-9732-91A126B1E868}">
  <dimension ref="A1:L39"/>
  <sheetViews>
    <sheetView workbookViewId="0">
      <selection activeCell="F31" sqref="F31"/>
    </sheetView>
  </sheetViews>
  <sheetFormatPr defaultRowHeight="14.4" x14ac:dyDescent="0.3"/>
  <cols>
    <col min="1" max="2" width="13.33203125" customWidth="1"/>
    <col min="3" max="3" width="31.88671875" customWidth="1"/>
    <col min="4" max="4" width="11.6640625" bestFit="1" customWidth="1"/>
    <col min="5" max="5" width="15.5546875" customWidth="1"/>
    <col min="6" max="6" width="12.6640625" bestFit="1" customWidth="1"/>
  </cols>
  <sheetData>
    <row r="1" spans="1:6" x14ac:dyDescent="0.3">
      <c r="A1" s="1" t="s">
        <v>104</v>
      </c>
      <c r="B1" s="1" t="s">
        <v>106</v>
      </c>
      <c r="C1" s="1" t="s">
        <v>136</v>
      </c>
      <c r="D1" s="1" t="s">
        <v>138</v>
      </c>
      <c r="E1" s="1" t="s">
        <v>141</v>
      </c>
      <c r="F1" s="123" t="s">
        <v>143</v>
      </c>
    </row>
    <row r="2" spans="1:6" x14ac:dyDescent="0.3">
      <c r="A2">
        <v>1992</v>
      </c>
      <c r="B2" s="114">
        <v>1</v>
      </c>
      <c r="C2" s="111">
        <v>150781.17000000001</v>
      </c>
      <c r="D2" s="111" t="s">
        <v>139</v>
      </c>
      <c r="E2" s="111">
        <f>$L$20*EXP($L$21*B2)</f>
        <v>165143.66740010298</v>
      </c>
      <c r="F2" s="124">
        <f>ABS(C2-E2)/E2</f>
        <v>8.6969713257645673E-2</v>
      </c>
    </row>
    <row r="3" spans="1:6" x14ac:dyDescent="0.3">
      <c r="A3">
        <v>1993</v>
      </c>
      <c r="B3" s="114">
        <v>2</v>
      </c>
      <c r="C3" s="111">
        <v>161696.25</v>
      </c>
      <c r="D3" s="115">
        <f>(C3-C2)/C2</f>
        <v>7.2390206283715577E-2</v>
      </c>
      <c r="E3" s="111">
        <f t="shared" ref="E3:E20" si="0">$L$20*EXP($L$21*B3)</f>
        <v>172399.73249357322</v>
      </c>
      <c r="F3" s="124">
        <f t="shared" ref="F3:F21" si="1">ABS(C3-E3)/E3</f>
        <v>6.2085261611251198E-2</v>
      </c>
    </row>
    <row r="4" spans="1:6" x14ac:dyDescent="0.3">
      <c r="A4">
        <v>1994</v>
      </c>
      <c r="B4" s="114">
        <v>3</v>
      </c>
      <c r="C4" s="111">
        <v>175688.83</v>
      </c>
      <c r="D4" s="115">
        <f t="shared" ref="D4:D21" si="2">(C4-C3)/C3</f>
        <v>8.6536206003540506E-2</v>
      </c>
      <c r="E4" s="111">
        <f t="shared" si="0"/>
        <v>179974.61381214956</v>
      </c>
      <c r="F4" s="124">
        <f t="shared" si="1"/>
        <v>2.3813268556991635E-2</v>
      </c>
    </row>
    <row r="5" spans="1:6" x14ac:dyDescent="0.3">
      <c r="A5">
        <v>1995</v>
      </c>
      <c r="B5" s="114">
        <v>4</v>
      </c>
      <c r="C5" s="111">
        <v>185437.25</v>
      </c>
      <c r="D5" s="115">
        <f t="shared" si="2"/>
        <v>5.5486851383778998E-2</v>
      </c>
      <c r="E5" s="111">
        <f t="shared" si="0"/>
        <v>187882.31946960744</v>
      </c>
      <c r="F5" s="124">
        <f t="shared" si="1"/>
        <v>1.3013834811651658E-2</v>
      </c>
    </row>
    <row r="6" spans="1:6" x14ac:dyDescent="0.3">
      <c r="A6">
        <v>1996</v>
      </c>
      <c r="B6" s="114">
        <v>5</v>
      </c>
      <c r="C6" s="111">
        <v>196728.17</v>
      </c>
      <c r="D6" s="115">
        <f t="shared" si="2"/>
        <v>6.0888090176056932E-2</v>
      </c>
      <c r="E6" s="111">
        <f t="shared" si="0"/>
        <v>196137.47306675219</v>
      </c>
      <c r="F6" s="124">
        <f t="shared" si="1"/>
        <v>3.011647514428741E-3</v>
      </c>
    </row>
    <row r="7" spans="1:6" x14ac:dyDescent="0.3">
      <c r="A7">
        <v>1997</v>
      </c>
      <c r="B7" s="114">
        <v>6</v>
      </c>
      <c r="C7" s="111">
        <v>206334.07999999999</v>
      </c>
      <c r="D7" s="115">
        <f t="shared" si="2"/>
        <v>4.8828340140611146E-2</v>
      </c>
      <c r="E7" s="111">
        <f t="shared" si="0"/>
        <v>204755.34073462404</v>
      </c>
      <c r="F7" s="124">
        <f t="shared" si="1"/>
        <v>7.7103691640556127E-3</v>
      </c>
    </row>
    <row r="8" spans="1:6" x14ac:dyDescent="0.3">
      <c r="A8">
        <v>1998</v>
      </c>
      <c r="B8" s="114">
        <v>7</v>
      </c>
      <c r="C8" s="111">
        <v>215657.67</v>
      </c>
      <c r="D8" s="115">
        <f t="shared" si="2"/>
        <v>4.5186863944143528E-2</v>
      </c>
      <c r="E8" s="111">
        <f t="shared" si="0"/>
        <v>213751.8593659233</v>
      </c>
      <c r="F8" s="124">
        <f t="shared" si="1"/>
        <v>8.9159955835244505E-3</v>
      </c>
    </row>
    <row r="9" spans="1:6" x14ac:dyDescent="0.3">
      <c r="A9">
        <v>1999</v>
      </c>
      <c r="B9" s="114">
        <v>8</v>
      </c>
      <c r="C9" s="111">
        <v>233872</v>
      </c>
      <c r="D9" s="115">
        <f t="shared" si="2"/>
        <v>8.4459458362876619E-2</v>
      </c>
      <c r="E9" s="111">
        <f t="shared" si="0"/>
        <v>223143.66608686617</v>
      </c>
      <c r="F9" s="124">
        <f t="shared" si="1"/>
        <v>4.8078146699254573E-2</v>
      </c>
    </row>
    <row r="10" spans="1:6" x14ac:dyDescent="0.3">
      <c r="A10">
        <v>2000</v>
      </c>
      <c r="B10" s="114">
        <v>9</v>
      </c>
      <c r="C10" s="111">
        <v>248748.25</v>
      </c>
      <c r="D10" s="115">
        <f t="shared" si="2"/>
        <v>6.3608512348635154E-2</v>
      </c>
      <c r="E10" s="111">
        <f t="shared" si="0"/>
        <v>232948.12902397109</v>
      </c>
      <c r="F10" s="124">
        <f t="shared" si="1"/>
        <v>6.7826777756188908E-2</v>
      </c>
    </row>
    <row r="11" spans="1:6" x14ac:dyDescent="0.3">
      <c r="A11">
        <v>2001</v>
      </c>
      <c r="B11" s="114">
        <v>10</v>
      </c>
      <c r="C11" s="111">
        <v>255663.75</v>
      </c>
      <c r="D11" s="115">
        <f t="shared" si="2"/>
        <v>2.7801200611461588E-2</v>
      </c>
      <c r="E11" s="111">
        <f t="shared" si="0"/>
        <v>243183.37942267326</v>
      </c>
      <c r="F11" s="124">
        <f t="shared" si="1"/>
        <v>5.132082055507093E-2</v>
      </c>
    </row>
    <row r="12" spans="1:6" x14ac:dyDescent="0.3">
      <c r="A12">
        <v>2002</v>
      </c>
      <c r="B12" s="114">
        <v>11</v>
      </c>
      <c r="C12" s="111">
        <v>261272.42</v>
      </c>
      <c r="D12" s="115">
        <f t="shared" si="2"/>
        <v>2.1937681818404105E-2</v>
      </c>
      <c r="E12" s="111">
        <f t="shared" si="0"/>
        <v>253868.34517716331</v>
      </c>
      <c r="F12" s="124">
        <f t="shared" si="1"/>
        <v>2.9165017866523413E-2</v>
      </c>
    </row>
    <row r="13" spans="1:6" x14ac:dyDescent="0.3">
      <c r="A13">
        <v>2003</v>
      </c>
      <c r="B13" s="114">
        <v>12</v>
      </c>
      <c r="C13" s="111">
        <v>272232.5</v>
      </c>
      <c r="D13" s="115">
        <f t="shared" si="2"/>
        <v>4.194885935530427E-2</v>
      </c>
      <c r="E13" s="111">
        <f t="shared" si="0"/>
        <v>265022.78583345655</v>
      </c>
      <c r="F13" s="124">
        <f t="shared" si="1"/>
        <v>2.7204129425588773E-2</v>
      </c>
    </row>
    <row r="14" spans="1:6" x14ac:dyDescent="0.3">
      <c r="A14">
        <v>2004</v>
      </c>
      <c r="B14" s="114">
        <v>13</v>
      </c>
      <c r="C14" s="111">
        <v>288987.5</v>
      </c>
      <c r="D14" s="115">
        <f t="shared" si="2"/>
        <v>6.154665589156328E-2</v>
      </c>
      <c r="E14" s="111">
        <f t="shared" si="0"/>
        <v>276667.32913042337</v>
      </c>
      <c r="F14" s="124">
        <f t="shared" si="1"/>
        <v>4.4530631456556238E-2</v>
      </c>
    </row>
    <row r="15" spans="1:6" x14ac:dyDescent="0.3">
      <c r="A15">
        <v>2005</v>
      </c>
      <c r="B15" s="114">
        <v>14</v>
      </c>
      <c r="C15" s="111">
        <v>307826.08</v>
      </c>
      <c r="D15" s="115">
        <f t="shared" si="2"/>
        <v>6.5188217483455227E-2</v>
      </c>
      <c r="E15" s="111">
        <f t="shared" si="0"/>
        <v>288823.50914635573</v>
      </c>
      <c r="F15" s="124">
        <f t="shared" si="1"/>
        <v>6.5793019791941854E-2</v>
      </c>
    </row>
    <row r="16" spans="1:6" x14ac:dyDescent="0.3">
      <c r="A16">
        <v>2006</v>
      </c>
      <c r="B16" s="114">
        <v>15</v>
      </c>
      <c r="C16" s="111">
        <v>323823.08</v>
      </c>
      <c r="D16" s="115">
        <f t="shared" si="2"/>
        <v>5.1967656541641954E-2</v>
      </c>
      <c r="E16" s="111">
        <f t="shared" si="0"/>
        <v>301513.80612161325</v>
      </c>
      <c r="F16" s="124">
        <f t="shared" si="1"/>
        <v>7.399088673700234E-2</v>
      </c>
    </row>
    <row r="17" spans="1:12" x14ac:dyDescent="0.3">
      <c r="A17">
        <v>2007</v>
      </c>
      <c r="B17" s="114">
        <v>16</v>
      </c>
      <c r="C17" s="111">
        <v>334008</v>
      </c>
      <c r="D17" s="115">
        <f t="shared" si="2"/>
        <v>3.1452112678317996E-2</v>
      </c>
      <c r="E17" s="111">
        <f t="shared" si="0"/>
        <v>314761.68803099269</v>
      </c>
      <c r="F17" s="124">
        <f t="shared" si="1"/>
        <v>6.1145662578579889E-2</v>
      </c>
    </row>
    <row r="18" spans="1:12" x14ac:dyDescent="0.3">
      <c r="A18">
        <v>2008</v>
      </c>
      <c r="B18" s="114">
        <v>17</v>
      </c>
      <c r="C18" s="111">
        <v>328780.33</v>
      </c>
      <c r="D18" s="115">
        <f t="shared" si="2"/>
        <v>-1.5651331704629779E-2</v>
      </c>
      <c r="E18" s="111">
        <f t="shared" si="0"/>
        <v>328591.65398269973</v>
      </c>
      <c r="F18" s="124">
        <f t="shared" si="1"/>
        <v>5.741960120211019E-4</v>
      </c>
    </row>
    <row r="19" spans="1:12" x14ac:dyDescent="0.3">
      <c r="A19">
        <v>2009</v>
      </c>
      <c r="B19" s="114">
        <v>18</v>
      </c>
      <c r="C19" s="111">
        <v>303288.92</v>
      </c>
      <c r="D19" s="115">
        <f t="shared" si="2"/>
        <v>-7.7533257540072523E-2</v>
      </c>
      <c r="E19" s="111">
        <f t="shared" si="0"/>
        <v>343029.27952418046</v>
      </c>
      <c r="F19" s="124">
        <f t="shared" si="1"/>
        <v>0.11585121707192093</v>
      </c>
      <c r="K19" s="116" t="s">
        <v>141</v>
      </c>
      <c r="L19" s="117"/>
    </row>
    <row r="20" spans="1:12" x14ac:dyDescent="0.3">
      <c r="A20">
        <v>2010</v>
      </c>
      <c r="B20" s="114">
        <v>19</v>
      </c>
      <c r="C20" s="111">
        <v>323964.17</v>
      </c>
      <c r="D20" s="115">
        <f t="shared" si="2"/>
        <v>6.8170146143156168E-2</v>
      </c>
      <c r="E20" s="111">
        <f t="shared" si="0"/>
        <v>358101.26393859531</v>
      </c>
      <c r="F20" s="124">
        <f t="shared" si="1"/>
        <v>9.5328046494828664E-2</v>
      </c>
      <c r="K20" s="118" t="s">
        <v>142</v>
      </c>
      <c r="L20" s="119">
        <v>158193</v>
      </c>
    </row>
    <row r="21" spans="1:12" x14ac:dyDescent="0.3">
      <c r="A21">
        <v>2011</v>
      </c>
      <c r="B21" s="114">
        <v>20</v>
      </c>
      <c r="C21" s="111">
        <v>349717.75</v>
      </c>
      <c r="D21" s="115">
        <f t="shared" si="2"/>
        <v>7.9495149108619073E-2</v>
      </c>
      <c r="E21" s="111">
        <f>$L$20*EXP($L$21*B21)</f>
        <v>373835.47961940081</v>
      </c>
      <c r="F21" s="124">
        <f t="shared" si="1"/>
        <v>6.4514287525504255E-2</v>
      </c>
      <c r="K21" s="120" t="s">
        <v>113</v>
      </c>
      <c r="L21" s="121">
        <v>4.2999999999999997E-2</v>
      </c>
    </row>
    <row r="22" spans="1:12" x14ac:dyDescent="0.3">
      <c r="A22">
        <v>2025</v>
      </c>
      <c r="B22" s="114">
        <v>34</v>
      </c>
      <c r="E22" s="111">
        <f t="shared" ref="E22:E23" si="3">$L$20*EXP($L$21*B22)</f>
        <v>682536.36423284397</v>
      </c>
    </row>
    <row r="23" spans="1:12" x14ac:dyDescent="0.3">
      <c r="A23">
        <v>2050</v>
      </c>
      <c r="B23" s="114">
        <v>59</v>
      </c>
      <c r="E23" s="111">
        <f t="shared" si="3"/>
        <v>1999826.7015583178</v>
      </c>
    </row>
    <row r="26" spans="1:12" x14ac:dyDescent="0.3">
      <c r="C26" s="1" t="s">
        <v>140</v>
      </c>
      <c r="D26" s="122">
        <f>AVERAGE(D3:D21)</f>
        <v>4.5984611527925261E-2</v>
      </c>
      <c r="F26" s="122">
        <f>AVERAGE(F2:F21)</f>
        <v>4.7542146523526542E-2</v>
      </c>
    </row>
    <row r="29" spans="1:12" x14ac:dyDescent="0.3">
      <c r="A29" s="85" t="s">
        <v>144</v>
      </c>
    </row>
    <row r="31" spans="1:12" x14ac:dyDescent="0.3">
      <c r="A31" s="1" t="s">
        <v>58</v>
      </c>
      <c r="B31">
        <v>4</v>
      </c>
      <c r="D31" t="s">
        <v>131</v>
      </c>
    </row>
    <row r="32" spans="1:12" x14ac:dyDescent="0.3">
      <c r="A32" t="s">
        <v>62</v>
      </c>
      <c r="B32">
        <f>B39/2</f>
        <v>1000000</v>
      </c>
      <c r="D32">
        <v>1</v>
      </c>
    </row>
    <row r="33" spans="1:4" x14ac:dyDescent="0.3">
      <c r="A33" t="s">
        <v>147</v>
      </c>
      <c r="B33">
        <f>40%*B39</f>
        <v>800000</v>
      </c>
      <c r="D33">
        <v>2</v>
      </c>
    </row>
    <row r="34" spans="1:4" x14ac:dyDescent="0.3">
      <c r="A34" t="s">
        <v>148</v>
      </c>
      <c r="B34" s="101">
        <v>0.02</v>
      </c>
      <c r="D34">
        <v>3</v>
      </c>
    </row>
    <row r="35" spans="1:4" x14ac:dyDescent="0.3">
      <c r="D35">
        <v>4</v>
      </c>
    </row>
    <row r="36" spans="1:4" x14ac:dyDescent="0.3">
      <c r="A36" s="1" t="s">
        <v>35</v>
      </c>
      <c r="B36">
        <v>80000</v>
      </c>
      <c r="D36">
        <v>5</v>
      </c>
    </row>
    <row r="37" spans="1:4" x14ac:dyDescent="0.3">
      <c r="A37" t="s">
        <v>145</v>
      </c>
      <c r="B37">
        <v>25</v>
      </c>
    </row>
    <row r="39" spans="1:4" x14ac:dyDescent="0.3">
      <c r="A39" s="1" t="s">
        <v>146</v>
      </c>
      <c r="B39">
        <f>B37*B36</f>
        <v>2000000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E4F9-FB3E-479C-8016-F1C7FE1F88E8}">
  <dimension ref="A1:K14"/>
  <sheetViews>
    <sheetView workbookViewId="0">
      <selection activeCell="O13" sqref="O13"/>
    </sheetView>
  </sheetViews>
  <sheetFormatPr defaultRowHeight="14.4" x14ac:dyDescent="0.3"/>
  <cols>
    <col min="1" max="1" width="11.88671875" bestFit="1" customWidth="1"/>
    <col min="2" max="2" width="17.88671875" bestFit="1" customWidth="1"/>
    <col min="3" max="3" width="20.5546875" bestFit="1" customWidth="1"/>
    <col min="4" max="6" width="11.5546875" bestFit="1" customWidth="1"/>
    <col min="7" max="7" width="4.5546875" bestFit="1" customWidth="1"/>
    <col min="9" max="9" width="10.6640625" bestFit="1" customWidth="1"/>
  </cols>
  <sheetData>
    <row r="1" spans="1:11" ht="15" thickBot="1" x14ac:dyDescent="0.35">
      <c r="A1" s="153" t="s">
        <v>149</v>
      </c>
      <c r="B1" s="154"/>
      <c r="C1" s="154"/>
      <c r="D1" s="154"/>
      <c r="E1" s="154"/>
      <c r="F1" s="154"/>
      <c r="G1" s="155"/>
    </row>
    <row r="2" spans="1:11" ht="15" thickBot="1" x14ac:dyDescent="0.35">
      <c r="A2" s="137" t="s">
        <v>150</v>
      </c>
      <c r="B2" s="138" t="s">
        <v>151</v>
      </c>
      <c r="C2" s="138" t="s">
        <v>152</v>
      </c>
      <c r="D2" s="138" t="s">
        <v>153</v>
      </c>
      <c r="E2" s="138" t="s">
        <v>154</v>
      </c>
      <c r="F2" s="138" t="s">
        <v>155</v>
      </c>
      <c r="G2" s="139" t="s">
        <v>130</v>
      </c>
      <c r="I2" s="106" t="s">
        <v>159</v>
      </c>
      <c r="J2" s="106" t="s">
        <v>160</v>
      </c>
    </row>
    <row r="3" spans="1:11" ht="15" thickTop="1" x14ac:dyDescent="0.3">
      <c r="A3" s="133">
        <v>1</v>
      </c>
      <c r="B3" s="140" t="s">
        <v>156</v>
      </c>
      <c r="C3" s="135">
        <v>1</v>
      </c>
      <c r="D3" s="134">
        <v>250</v>
      </c>
      <c r="E3" s="134">
        <v>100</v>
      </c>
      <c r="F3" s="134">
        <v>100</v>
      </c>
      <c r="G3" s="136">
        <v>60</v>
      </c>
      <c r="I3">
        <f>SUM(D3:F3)</f>
        <v>450</v>
      </c>
      <c r="J3">
        <f>I3/1000</f>
        <v>0.45</v>
      </c>
    </row>
    <row r="4" spans="1:11" x14ac:dyDescent="0.3">
      <c r="A4" s="127">
        <v>2</v>
      </c>
      <c r="B4" s="141" t="s">
        <v>156</v>
      </c>
      <c r="C4" s="126">
        <v>0.33</v>
      </c>
      <c r="D4" s="125">
        <v>500</v>
      </c>
      <c r="E4" s="125">
        <v>300</v>
      </c>
      <c r="F4" s="125">
        <v>300</v>
      </c>
      <c r="G4" s="128">
        <v>180</v>
      </c>
      <c r="I4">
        <f t="shared" ref="I4:I14" si="0">SUM(D4:F4)</f>
        <v>1100</v>
      </c>
      <c r="J4">
        <f t="shared" ref="J4:J14" si="1">I4/1000</f>
        <v>1.1000000000000001</v>
      </c>
    </row>
    <row r="5" spans="1:11" x14ac:dyDescent="0.3">
      <c r="A5" s="127">
        <v>3</v>
      </c>
      <c r="B5" s="141" t="s">
        <v>156</v>
      </c>
      <c r="C5" s="126">
        <v>0.5</v>
      </c>
      <c r="D5" s="125">
        <v>100</v>
      </c>
      <c r="E5" s="125">
        <v>200</v>
      </c>
      <c r="F5" s="125">
        <v>400</v>
      </c>
      <c r="G5" s="128">
        <v>80</v>
      </c>
      <c r="I5">
        <f t="shared" si="0"/>
        <v>700</v>
      </c>
      <c r="J5">
        <f t="shared" si="1"/>
        <v>0.7</v>
      </c>
    </row>
    <row r="6" spans="1:11" x14ac:dyDescent="0.3">
      <c r="A6" s="127">
        <v>4</v>
      </c>
      <c r="B6" s="141" t="s">
        <v>156</v>
      </c>
      <c r="C6" s="126">
        <v>1</v>
      </c>
      <c r="D6" s="125">
        <v>750</v>
      </c>
      <c r="E6" s="125">
        <v>500</v>
      </c>
      <c r="F6" s="125">
        <v>300</v>
      </c>
      <c r="G6" s="128">
        <v>310</v>
      </c>
      <c r="I6">
        <f t="shared" si="0"/>
        <v>1550</v>
      </c>
      <c r="J6">
        <f t="shared" si="1"/>
        <v>1.55</v>
      </c>
    </row>
    <row r="7" spans="1:11" x14ac:dyDescent="0.3">
      <c r="A7" s="127">
        <v>5</v>
      </c>
      <c r="B7" s="141" t="s">
        <v>156</v>
      </c>
      <c r="C7" s="126">
        <v>0.75</v>
      </c>
      <c r="D7" s="125">
        <v>200</v>
      </c>
      <c r="E7" s="125">
        <v>400</v>
      </c>
      <c r="F7" s="125">
        <v>800</v>
      </c>
      <c r="G7" s="128">
        <v>220</v>
      </c>
      <c r="I7">
        <f t="shared" si="0"/>
        <v>1400</v>
      </c>
      <c r="J7">
        <f t="shared" si="1"/>
        <v>1.4</v>
      </c>
    </row>
    <row r="8" spans="1:11" x14ac:dyDescent="0.3">
      <c r="A8" s="127">
        <v>6</v>
      </c>
      <c r="B8" s="142" t="s">
        <v>157</v>
      </c>
      <c r="C8" s="126">
        <v>0.5</v>
      </c>
      <c r="D8" s="125">
        <v>1000</v>
      </c>
      <c r="E8" s="125">
        <v>300</v>
      </c>
      <c r="F8" s="125">
        <v>300</v>
      </c>
      <c r="G8" s="128">
        <v>180</v>
      </c>
      <c r="I8">
        <f t="shared" si="0"/>
        <v>1600</v>
      </c>
      <c r="J8">
        <f t="shared" si="1"/>
        <v>1.6</v>
      </c>
    </row>
    <row r="9" spans="1:11" x14ac:dyDescent="0.3">
      <c r="A9" s="127">
        <v>7</v>
      </c>
      <c r="B9" s="142" t="s">
        <v>157</v>
      </c>
      <c r="C9" s="126">
        <v>1</v>
      </c>
      <c r="D9" s="125">
        <v>750</v>
      </c>
      <c r="E9" s="125">
        <v>750</v>
      </c>
      <c r="F9" s="125">
        <v>300</v>
      </c>
      <c r="G9" s="128">
        <v>410</v>
      </c>
      <c r="I9">
        <f t="shared" si="0"/>
        <v>1800</v>
      </c>
      <c r="J9">
        <f t="shared" si="1"/>
        <v>1.8</v>
      </c>
    </row>
    <row r="10" spans="1:11" x14ac:dyDescent="0.3">
      <c r="A10" s="127">
        <v>8</v>
      </c>
      <c r="B10" s="142" t="s">
        <v>157</v>
      </c>
      <c r="C10" s="126">
        <v>1</v>
      </c>
      <c r="D10" s="125">
        <v>800</v>
      </c>
      <c r="E10" s="125">
        <v>700</v>
      </c>
      <c r="F10" s="125">
        <v>600</v>
      </c>
      <c r="G10" s="128">
        <v>280</v>
      </c>
      <c r="I10">
        <f t="shared" si="0"/>
        <v>2100</v>
      </c>
      <c r="J10">
        <f t="shared" si="1"/>
        <v>2.1</v>
      </c>
    </row>
    <row r="11" spans="1:11" x14ac:dyDescent="0.3">
      <c r="A11" s="127">
        <v>9</v>
      </c>
      <c r="B11" s="142" t="s">
        <v>157</v>
      </c>
      <c r="C11" s="126">
        <v>0.67</v>
      </c>
      <c r="D11" s="125">
        <v>400</v>
      </c>
      <c r="E11" s="125">
        <v>600</v>
      </c>
      <c r="F11" s="125">
        <v>800</v>
      </c>
      <c r="G11" s="128">
        <v>380</v>
      </c>
      <c r="I11">
        <f t="shared" si="0"/>
        <v>1800</v>
      </c>
      <c r="J11">
        <f t="shared" si="1"/>
        <v>1.8</v>
      </c>
    </row>
    <row r="12" spans="1:11" x14ac:dyDescent="0.3">
      <c r="A12" s="127">
        <v>10</v>
      </c>
      <c r="B12" s="125" t="s">
        <v>158</v>
      </c>
      <c r="C12" s="126">
        <v>1</v>
      </c>
      <c r="D12" s="125">
        <v>100</v>
      </c>
      <c r="E12" s="125">
        <v>200</v>
      </c>
      <c r="F12" s="125">
        <v>400</v>
      </c>
      <c r="G12" s="128">
        <v>100</v>
      </c>
      <c r="I12">
        <f t="shared" si="0"/>
        <v>700</v>
      </c>
      <c r="J12">
        <f t="shared" si="1"/>
        <v>0.7</v>
      </c>
    </row>
    <row r="13" spans="1:11" x14ac:dyDescent="0.3">
      <c r="A13" s="127">
        <v>11</v>
      </c>
      <c r="B13" s="125" t="s">
        <v>158</v>
      </c>
      <c r="C13" s="126">
        <v>0.5</v>
      </c>
      <c r="D13" s="125">
        <v>700</v>
      </c>
      <c r="E13" s="125">
        <v>500</v>
      </c>
      <c r="F13" s="125">
        <v>300</v>
      </c>
      <c r="G13" s="128">
        <v>260</v>
      </c>
      <c r="I13">
        <f t="shared" si="0"/>
        <v>1500</v>
      </c>
      <c r="J13">
        <f t="shared" si="1"/>
        <v>1.5</v>
      </c>
    </row>
    <row r="14" spans="1:11" ht="15" thickBot="1" x14ac:dyDescent="0.35">
      <c r="A14" s="129">
        <v>12</v>
      </c>
      <c r="B14" s="130" t="s">
        <v>158</v>
      </c>
      <c r="C14" s="131">
        <v>1</v>
      </c>
      <c r="D14" s="130">
        <v>1500</v>
      </c>
      <c r="E14" s="130">
        <v>400</v>
      </c>
      <c r="F14" s="130">
        <v>400</v>
      </c>
      <c r="G14" s="132">
        <v>340</v>
      </c>
      <c r="I14">
        <f t="shared" si="0"/>
        <v>2300</v>
      </c>
      <c r="J14">
        <f t="shared" si="1"/>
        <v>2.2999999999999998</v>
      </c>
      <c r="K14" t="s">
        <v>137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Test</vt:lpstr>
      <vt:lpstr>Sheet6</vt:lpstr>
      <vt:lpstr>Sheet5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raahim.farooq@gmail.com</dc:creator>
  <cp:lastModifiedBy>raahim.farooq@gmail.com</cp:lastModifiedBy>
  <dcterms:created xsi:type="dcterms:W3CDTF">2024-01-28T09:33:02Z</dcterms:created>
  <dcterms:modified xsi:type="dcterms:W3CDTF">2024-02-10T14:31:26Z</dcterms:modified>
</cp:coreProperties>
</file>