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achelbittar/Documents/GitHub/UofT/"/>
    </mc:Choice>
  </mc:AlternateContent>
  <bookViews>
    <workbookView xWindow="0" yWindow="460" windowWidth="28800" windowHeight="16500" tabRatio="500" activeTab="4"/>
  </bookViews>
  <sheets>
    <sheet name="Answer 1" sheetId="1" r:id="rId1"/>
    <sheet name="Question 1" sheetId="2" r:id="rId2"/>
    <sheet name="Answer 2" sheetId="3" r:id="rId3"/>
    <sheet name="Question 2" sheetId="4" r:id="rId4"/>
    <sheet name="Sheet1" sheetId="6" r:id="rId5"/>
    <sheet name="Sheet5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G2" i="6"/>
  <c r="D2" i="6"/>
  <c r="E2" i="6"/>
  <c r="K4" i="6"/>
  <c r="K5" i="6"/>
  <c r="K6" i="6"/>
  <c r="K7" i="6"/>
  <c r="K8" i="6"/>
  <c r="B5" i="6"/>
  <c r="L4" i="6"/>
  <c r="G6" i="6"/>
  <c r="F6" i="6"/>
  <c r="E6" i="6"/>
  <c r="D6" i="6"/>
  <c r="C6" i="6"/>
  <c r="L7" i="6"/>
  <c r="L6" i="6"/>
  <c r="B9" i="6"/>
  <c r="L8" i="6"/>
  <c r="L5" i="6"/>
  <c r="D8" i="6"/>
  <c r="D4" i="6"/>
  <c r="D9" i="6"/>
  <c r="E8" i="6"/>
  <c r="E4" i="6"/>
  <c r="E9" i="6"/>
  <c r="F8" i="6"/>
  <c r="F4" i="6"/>
  <c r="F9" i="6"/>
  <c r="G8" i="6"/>
  <c r="G4" i="6"/>
  <c r="G9" i="6"/>
  <c r="C8" i="6"/>
  <c r="C4" i="6"/>
  <c r="C9" i="6"/>
  <c r="B8" i="6"/>
  <c r="H8" i="6"/>
  <c r="H4" i="6"/>
  <c r="Q4" i="1"/>
  <c r="Q5" i="1"/>
  <c r="Q6" i="1"/>
  <c r="Q7" i="1"/>
  <c r="Q8" i="1"/>
  <c r="Q9" i="1"/>
  <c r="O3" i="1"/>
  <c r="O4" i="1"/>
  <c r="O5" i="1"/>
  <c r="O6" i="1"/>
  <c r="O7" i="1"/>
  <c r="K6" i="1"/>
  <c r="J6" i="1"/>
  <c r="I6" i="1"/>
  <c r="H6" i="1"/>
  <c r="G6" i="1"/>
  <c r="O8" i="1"/>
  <c r="O9" i="1"/>
  <c r="B8" i="3"/>
  <c r="B9" i="3"/>
  <c r="C4" i="3"/>
  <c r="C6" i="3"/>
  <c r="C8" i="3"/>
  <c r="C9" i="3"/>
  <c r="D4" i="3"/>
  <c r="J6" i="3"/>
  <c r="K7" i="3"/>
  <c r="D6" i="3"/>
  <c r="D8" i="3"/>
  <c r="D9" i="3"/>
  <c r="E2" i="3"/>
  <c r="E4" i="3"/>
  <c r="K8" i="3"/>
  <c r="E6" i="3"/>
  <c r="E8" i="3"/>
  <c r="E9" i="3"/>
  <c r="F2" i="3"/>
  <c r="F4" i="3"/>
  <c r="K9" i="3"/>
  <c r="F6" i="3"/>
  <c r="F8" i="3"/>
  <c r="F9" i="3"/>
  <c r="G2" i="3"/>
  <c r="G4" i="3"/>
  <c r="K10" i="3"/>
  <c r="K11" i="3"/>
  <c r="G6" i="3"/>
  <c r="G8" i="3"/>
  <c r="G9" i="3"/>
  <c r="H9" i="3"/>
  <c r="H8" i="3"/>
  <c r="H11" i="3"/>
  <c r="H12" i="3"/>
  <c r="B10" i="3"/>
  <c r="C10" i="3"/>
  <c r="D10" i="3"/>
  <c r="E10" i="3"/>
  <c r="F10" i="3"/>
  <c r="F12" i="3"/>
  <c r="G10" i="3"/>
  <c r="H4" i="3"/>
  <c r="G8" i="1"/>
  <c r="G4" i="1"/>
  <c r="G9" i="1"/>
  <c r="H8" i="1"/>
  <c r="H2" i="1"/>
  <c r="H4" i="1"/>
  <c r="H9" i="1"/>
  <c r="I8" i="1"/>
  <c r="I2" i="1"/>
  <c r="I4" i="1"/>
  <c r="I9" i="1"/>
  <c r="J8" i="1"/>
  <c r="J2" i="1"/>
  <c r="J4" i="1"/>
  <c r="J9" i="1"/>
  <c r="K8" i="1"/>
  <c r="K2" i="1"/>
  <c r="K4" i="1"/>
  <c r="K9" i="1"/>
  <c r="F8" i="1"/>
  <c r="F9" i="1"/>
  <c r="L9" i="1"/>
  <c r="L8" i="1"/>
  <c r="L12" i="1"/>
  <c r="F10" i="1"/>
  <c r="G10" i="1"/>
  <c r="H10" i="1"/>
  <c r="I10" i="1"/>
  <c r="J10" i="1"/>
  <c r="I11" i="1"/>
  <c r="K10" i="1"/>
  <c r="L4" i="1"/>
</calcChain>
</file>

<file path=xl/sharedStrings.xml><?xml version="1.0" encoding="utf-8"?>
<sst xmlns="http://schemas.openxmlformats.org/spreadsheetml/2006/main" count="60" uniqueCount="24">
  <si>
    <t>year 0</t>
  </si>
  <si>
    <t>year 1</t>
  </si>
  <si>
    <t>year 2</t>
  </si>
  <si>
    <t>year 3</t>
  </si>
  <si>
    <t>year 4</t>
  </si>
  <si>
    <t>year 5</t>
  </si>
  <si>
    <t>Value of Benefits</t>
  </si>
  <si>
    <t xml:space="preserve">
PV of Benefits</t>
  </si>
  <si>
    <t>DF 10%</t>
  </si>
  <si>
    <t>Total</t>
  </si>
  <si>
    <t>Ongoing costs</t>
  </si>
  <si>
    <t>Development Costs</t>
  </si>
  <si>
    <t>Discount Factor
 DF (10%)</t>
  </si>
  <si>
    <t>Present Value
of Costs</t>
  </si>
  <si>
    <t>PV of net of
Benefits &amp; Costs</t>
  </si>
  <si>
    <t>Cummulative NPV</t>
  </si>
  <si>
    <t>Payback</t>
  </si>
  <si>
    <t>ROI</t>
  </si>
  <si>
    <t>hoje</t>
  </si>
  <si>
    <t xml:space="preserve"> 3 anos e 26 dias</t>
  </si>
  <si>
    <t>You have been asked to calculate the PAYBACK and ROI for the proposed implementation of
an ERP system. The costs are as follows: Initial Hardware Cost $400,000, Initial Consulting
Fee $50,000. There is also a Software Licensing Fee which will be an initial amount of $1.5
million and a yearly maintenance amount of 10% of this amount. This yearly maintenance fee
is expected to increase by 20% every year. There will also be ongoing maintenance costs of
$100,000. This cost is expected to increase by 15% for the next 5 years. It is forecasted that
the benefits will be $900,000 at the end of year 1 and will increase by $150,000 every
subsequent year.</t>
  </si>
  <si>
    <t>You have been asked to calculate the PAYBACK and ROI
for the proposed implementation of an CRM system. The
costs are as follows: Initial Consulting Fee $200,000.
Software Licensing Fee will cost an initial amount of $3.5
million. Subsequently, there will be a yearly maintenance
amount of 20% of the initial amount. This yearly
maintenance fee is expected to increase by 10% every
year. There will also be ongoing maintenance costs of
$100,000. This cost will remain constant for the next 5
years. It is forecasted that the benefits will be $2 million at
the end of year 1 and year 2. Benefits will increase by
$900,000 every subsequent year thereafter</t>
  </si>
  <si>
    <t>3 years + 51 days</t>
  </si>
  <si>
    <t>You have been asked to calculate the PAYBACK and ROI for the proposed implementation of a
Payroll system. The costs are as follows: Initial Consulting Fee Cost $780,000, Initial Tax Fee
$25,000. The Initial Software to be installed cost $3.7 million and a yearly maintenance amount of
2% of this amount. This yearly maintenance fee is expected to increase by 3% every year after.
The ongoing maintenance costs is determined to be 12% of the Total Development Cost. This
cost is expected to increase by 7% for the subsequent years. It is forecasted that the benefits will
start at $800,000 at the end of year 1 and will double in the next two years and will increase by
50% every subsequent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</si>
</sst>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.00"/>
    <numFmt numFmtId="165" formatCode="&quot;$&quot;#,##0"/>
  </numFmts>
  <fonts count="1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theme="1"/>
      <name val="Calibri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8"/>
      <color theme="1"/>
      <name val="Calibri"/>
      <scheme val="minor"/>
    </font>
    <font>
      <b/>
      <sz val="20"/>
      <color rgb="FFFF0000"/>
      <name val="Calibri"/>
      <scheme val="minor"/>
    </font>
    <font>
      <b/>
      <i/>
      <sz val="20"/>
      <color theme="1"/>
      <name val="Calibri"/>
      <scheme val="minor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0" fontId="4" fillId="0" borderId="1" xfId="0" applyNumberFormat="1" applyFont="1" applyBorder="1"/>
    <xf numFmtId="40" fontId="3" fillId="0" borderId="3" xfId="0" applyNumberFormat="1" applyFont="1" applyBorder="1"/>
    <xf numFmtId="8" fontId="4" fillId="0" borderId="1" xfId="0" applyNumberFormat="1" applyFont="1" applyBorder="1" applyAlignment="1">
      <alignment horizontal="center"/>
    </xf>
    <xf numFmtId="40" fontId="3" fillId="0" borderId="1" xfId="0" applyNumberFormat="1" applyFont="1" applyBorder="1"/>
    <xf numFmtId="0" fontId="6" fillId="0" borderId="1" xfId="0" applyFont="1" applyBorder="1"/>
    <xf numFmtId="10" fontId="0" fillId="0" borderId="1" xfId="0" applyNumberFormat="1" applyBorder="1"/>
    <xf numFmtId="0" fontId="7" fillId="0" borderId="1" xfId="0" applyFont="1" applyBorder="1"/>
    <xf numFmtId="0" fontId="7" fillId="0" borderId="0" xfId="0" applyFont="1"/>
    <xf numFmtId="10" fontId="7" fillId="0" borderId="0" xfId="0" applyNumberFormat="1" applyFont="1"/>
    <xf numFmtId="49" fontId="0" fillId="2" borderId="0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2" borderId="7" xfId="0" applyNumberFormat="1" applyFill="1" applyBorder="1" applyAlignment="1">
      <alignment wrapText="1"/>
    </xf>
    <xf numFmtId="49" fontId="0" fillId="2" borderId="8" xfId="0" applyNumberFormat="1" applyFill="1" applyBorder="1" applyAlignment="1">
      <alignment wrapText="1"/>
    </xf>
    <xf numFmtId="49" fontId="0" fillId="2" borderId="9" xfId="0" applyNumberFormat="1" applyFill="1" applyBorder="1" applyAlignment="1">
      <alignment wrapText="1"/>
    </xf>
    <xf numFmtId="49" fontId="0" fillId="2" borderId="10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49" fontId="0" fillId="2" borderId="12" xfId="0" applyNumberForma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/>
    <xf numFmtId="10" fontId="7" fillId="0" borderId="1" xfId="0" applyNumberFormat="1" applyFont="1" applyBorder="1"/>
    <xf numFmtId="6" fontId="0" fillId="0" borderId="0" xfId="0" applyNumberFormat="1"/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8" fontId="5" fillId="0" borderId="0" xfId="0" applyNumberFormat="1" applyFont="1" applyFill="1" applyBorder="1" applyAlignment="1">
      <alignment horizontal="center"/>
    </xf>
    <xf numFmtId="9" fontId="0" fillId="0" borderId="0" xfId="0" applyNumberFormat="1"/>
    <xf numFmtId="0" fontId="7" fillId="0" borderId="1" xfId="0" applyNumberFormat="1" applyFont="1" applyBorder="1"/>
    <xf numFmtId="0" fontId="5" fillId="0" borderId="2" xfId="0" applyFont="1" applyFill="1" applyBorder="1" applyAlignment="1">
      <alignment horizontal="center"/>
    </xf>
    <xf numFmtId="42" fontId="4" fillId="0" borderId="1" xfId="0" applyNumberFormat="1" applyFont="1" applyBorder="1" applyAlignment="1">
      <alignment horizontal="center"/>
    </xf>
    <xf numFmtId="40" fontId="5" fillId="0" borderId="0" xfId="0" applyNumberFormat="1" applyFont="1" applyFill="1" applyBorder="1" applyAlignment="1">
      <alignment horizontal="center"/>
    </xf>
    <xf numFmtId="40" fontId="3" fillId="0" borderId="0" xfId="0" applyNumberFormat="1" applyFont="1"/>
    <xf numFmtId="8" fontId="3" fillId="0" borderId="0" xfId="0" applyNumberFormat="1" applyFont="1"/>
    <xf numFmtId="40" fontId="10" fillId="0" borderId="1" xfId="0" applyNumberFormat="1" applyFont="1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40" fontId="10" fillId="0" borderId="13" xfId="0" applyNumberFormat="1" applyFont="1" applyBorder="1"/>
    <xf numFmtId="0" fontId="0" fillId="0" borderId="14" xfId="0" applyBorder="1"/>
    <xf numFmtId="40" fontId="10" fillId="0" borderId="4" xfId="0" applyNumberFormat="1" applyFont="1" applyBorder="1"/>
    <xf numFmtId="40" fontId="5" fillId="0" borderId="3" xfId="0" applyNumberFormat="1" applyFont="1" applyBorder="1"/>
    <xf numFmtId="40" fontId="3" fillId="0" borderId="1" xfId="0" applyNumberFormat="1" applyFon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8" fontId="4" fillId="0" borderId="1" xfId="0" applyNumberFormat="1" applyFont="1" applyBorder="1"/>
    <xf numFmtId="49" fontId="8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34"/>
  <sheetViews>
    <sheetView topLeftCell="D1" zoomScale="97" zoomScaleNormal="97" zoomScalePageLayoutView="97" workbookViewId="0">
      <selection activeCell="L1" sqref="L1"/>
    </sheetView>
  </sheetViews>
  <sheetFormatPr baseColWidth="10" defaultRowHeight="16" x14ac:dyDescent="0.2"/>
  <cols>
    <col min="1" max="1" width="20.1640625" customWidth="1"/>
    <col min="2" max="2" width="23.6640625" customWidth="1"/>
    <col min="4" max="4" width="7.5" customWidth="1"/>
    <col min="5" max="5" width="28.83203125" customWidth="1"/>
    <col min="6" max="12" width="23.6640625" customWidth="1"/>
    <col min="13" max="13" width="4.83203125" customWidth="1"/>
    <col min="14" max="14" width="5.5" customWidth="1"/>
    <col min="15" max="15" width="20.1640625" customWidth="1"/>
    <col min="16" max="16" width="4.83203125" customWidth="1"/>
    <col min="17" max="17" width="23.33203125" customWidth="1"/>
    <col min="18" max="18" width="2" hidden="1" customWidth="1"/>
    <col min="19" max="25" width="23.6640625" customWidth="1"/>
  </cols>
  <sheetData>
    <row r="1" spans="5:19" ht="57" customHeight="1" x14ac:dyDescent="0.3">
      <c r="E1" s="28"/>
      <c r="F1" s="28" t="s">
        <v>0</v>
      </c>
      <c r="G1" s="28" t="s">
        <v>1</v>
      </c>
      <c r="H1" s="28" t="s">
        <v>2</v>
      </c>
      <c r="I1" s="28" t="s">
        <v>3</v>
      </c>
      <c r="J1" s="28" t="s">
        <v>4</v>
      </c>
      <c r="K1" s="28" t="s">
        <v>5</v>
      </c>
      <c r="L1" s="28" t="s">
        <v>9</v>
      </c>
      <c r="M1" s="1"/>
      <c r="N1" s="1"/>
    </row>
    <row r="2" spans="5:19" ht="57" customHeight="1" x14ac:dyDescent="0.3">
      <c r="E2" s="29" t="s">
        <v>6</v>
      </c>
      <c r="F2" s="5">
        <v>0</v>
      </c>
      <c r="G2" s="6">
        <v>900000</v>
      </c>
      <c r="H2" s="6">
        <f>G2+150000</f>
        <v>1050000</v>
      </c>
      <c r="I2" s="6">
        <f>H2+150000</f>
        <v>1200000</v>
      </c>
      <c r="J2" s="6">
        <f>I2+150000</f>
        <v>1350000</v>
      </c>
      <c r="K2" s="6">
        <f>J2+150000</f>
        <v>1500000</v>
      </c>
      <c r="L2" s="7"/>
      <c r="O2" s="40">
        <v>0.1</v>
      </c>
    </row>
    <row r="3" spans="5:19" ht="57" customHeight="1" thickBot="1" x14ac:dyDescent="0.35">
      <c r="E3" s="30" t="s">
        <v>8</v>
      </c>
      <c r="F3" s="10">
        <v>1</v>
      </c>
      <c r="G3" s="10">
        <v>0.90910000000000002</v>
      </c>
      <c r="H3" s="10">
        <v>0.82640000000000002</v>
      </c>
      <c r="I3" s="10">
        <v>0.75129999999999997</v>
      </c>
      <c r="J3" s="10">
        <v>0.68300000000000005</v>
      </c>
      <c r="K3" s="10">
        <v>0.62090000000000001</v>
      </c>
      <c r="L3" s="48"/>
      <c r="N3" s="44">
        <v>-1500000</v>
      </c>
      <c r="O3" s="45">
        <f>N3*0.1</f>
        <v>-150000</v>
      </c>
      <c r="Q3" s="46">
        <v>-100000</v>
      </c>
      <c r="R3" s="46"/>
    </row>
    <row r="4" spans="5:19" ht="57" customHeight="1" thickBot="1" x14ac:dyDescent="0.35">
      <c r="E4" s="50" t="s">
        <v>7</v>
      </c>
      <c r="F4" s="51"/>
      <c r="G4" s="52">
        <f>G2*G3</f>
        <v>818190</v>
      </c>
      <c r="H4" s="52">
        <f t="shared" ref="H4:K4" si="0">H2*H3</f>
        <v>867720</v>
      </c>
      <c r="I4" s="52">
        <f t="shared" si="0"/>
        <v>901560</v>
      </c>
      <c r="J4" s="52">
        <f t="shared" si="0"/>
        <v>922050.00000000012</v>
      </c>
      <c r="K4" s="53">
        <f t="shared" si="0"/>
        <v>931350</v>
      </c>
      <c r="L4" s="54">
        <f>SUM(G4:K4)</f>
        <v>4440870</v>
      </c>
      <c r="N4" s="45"/>
      <c r="O4" s="45">
        <f>O3*1.2</f>
        <v>-180000</v>
      </c>
      <c r="P4" s="40">
        <v>0.2</v>
      </c>
      <c r="Q4" s="46">
        <f t="shared" ref="Q4:Q9" si="1">Q3*1.15</f>
        <v>-114999.99999999999</v>
      </c>
      <c r="R4" s="46"/>
      <c r="S4" s="40">
        <v>0.1</v>
      </c>
    </row>
    <row r="5" spans="5:19" ht="57" customHeight="1" x14ac:dyDescent="0.3">
      <c r="E5" s="31" t="s">
        <v>11</v>
      </c>
      <c r="F5" s="13">
        <v>-1950000</v>
      </c>
      <c r="G5" s="7"/>
      <c r="H5" s="7"/>
      <c r="I5" s="7"/>
      <c r="J5" s="7"/>
      <c r="K5" s="7"/>
      <c r="L5" s="49"/>
      <c r="N5" s="45"/>
      <c r="O5" s="45">
        <f t="shared" ref="O5:O9" si="2">O4*1.2</f>
        <v>-216000</v>
      </c>
      <c r="P5" s="40">
        <v>0.2</v>
      </c>
      <c r="Q5" s="46">
        <f t="shared" si="1"/>
        <v>-132249.99999999997</v>
      </c>
      <c r="R5" s="46"/>
      <c r="S5" s="40">
        <v>0.1</v>
      </c>
    </row>
    <row r="6" spans="5:19" ht="57" customHeight="1" x14ac:dyDescent="0.3">
      <c r="E6" s="31" t="s">
        <v>10</v>
      </c>
      <c r="F6" s="5"/>
      <c r="G6" s="43">
        <f>O3+Q3</f>
        <v>-250000</v>
      </c>
      <c r="H6" s="13">
        <f>O4+Q4</f>
        <v>-295000</v>
      </c>
      <c r="I6" s="13">
        <f>O5+Q5</f>
        <v>-348250</v>
      </c>
      <c r="J6" s="13">
        <f>O6+Q6</f>
        <v>-411287.49999999994</v>
      </c>
      <c r="K6" s="13">
        <f>O7+Q8</f>
        <v>-512175.71874999988</v>
      </c>
      <c r="L6" s="13"/>
      <c r="M6" s="40"/>
      <c r="N6" s="45"/>
      <c r="O6" s="45">
        <f t="shared" si="2"/>
        <v>-259200</v>
      </c>
      <c r="P6" s="40">
        <v>0.2</v>
      </c>
      <c r="Q6" s="46">
        <f t="shared" si="1"/>
        <v>-152087.49999999994</v>
      </c>
      <c r="R6" s="46"/>
      <c r="S6" s="40">
        <v>0.1</v>
      </c>
    </row>
    <row r="7" spans="5:19" ht="57" customHeight="1" thickBot="1" x14ac:dyDescent="0.35">
      <c r="E7" s="30" t="s">
        <v>12</v>
      </c>
      <c r="F7" s="10">
        <v>1</v>
      </c>
      <c r="G7" s="10">
        <v>0.90910000000000002</v>
      </c>
      <c r="H7" s="10">
        <v>0.82640000000000002</v>
      </c>
      <c r="I7" s="10">
        <v>0.75129999999999997</v>
      </c>
      <c r="J7" s="10">
        <v>0.68300000000000005</v>
      </c>
      <c r="K7" s="10">
        <v>0.62090000000000001</v>
      </c>
      <c r="L7" s="56"/>
      <c r="M7" s="42"/>
      <c r="N7" s="45"/>
      <c r="O7" s="45">
        <f t="shared" si="2"/>
        <v>-311040</v>
      </c>
      <c r="P7" s="40">
        <v>0.2</v>
      </c>
      <c r="Q7" s="46">
        <f t="shared" si="1"/>
        <v>-174900.62499999991</v>
      </c>
      <c r="R7" s="46"/>
      <c r="S7" s="40">
        <v>0.1</v>
      </c>
    </row>
    <row r="8" spans="5:19" ht="57" customHeight="1" thickBot="1" x14ac:dyDescent="0.35">
      <c r="E8" s="32" t="s">
        <v>13</v>
      </c>
      <c r="F8" s="11">
        <f>F5</f>
        <v>-1950000</v>
      </c>
      <c r="G8" s="47">
        <f>G6*G7</f>
        <v>-227275</v>
      </c>
      <c r="H8" s="47">
        <f t="shared" ref="H8:K8" si="3">H6*H7</f>
        <v>-243788</v>
      </c>
      <c r="I8" s="47">
        <f t="shared" si="3"/>
        <v>-261640.22499999998</v>
      </c>
      <c r="J8" s="47">
        <f t="shared" si="3"/>
        <v>-280909.36249999999</v>
      </c>
      <c r="K8" s="55">
        <f t="shared" si="3"/>
        <v>-318009.90377187496</v>
      </c>
      <c r="L8" s="57">
        <f>SUM(F8:K8)</f>
        <v>-3281622.4912718749</v>
      </c>
      <c r="N8" s="45"/>
      <c r="O8" s="45">
        <f t="shared" si="2"/>
        <v>-373248</v>
      </c>
      <c r="P8" s="40">
        <v>0.2</v>
      </c>
      <c r="Q8" s="46">
        <f t="shared" si="1"/>
        <v>-201135.71874999988</v>
      </c>
      <c r="R8" s="46"/>
      <c r="S8" s="40">
        <v>0.1</v>
      </c>
    </row>
    <row r="9" spans="5:19" ht="57" customHeight="1" x14ac:dyDescent="0.3">
      <c r="E9" s="33" t="s">
        <v>14</v>
      </c>
      <c r="F9" s="12">
        <f>F8</f>
        <v>-1950000</v>
      </c>
      <c r="G9" s="58">
        <f>G4+G8</f>
        <v>590915</v>
      </c>
      <c r="H9" s="58">
        <f t="shared" ref="H9:K9" si="4">H4+H8</f>
        <v>623932</v>
      </c>
      <c r="I9" s="58">
        <f t="shared" si="4"/>
        <v>639919.77500000002</v>
      </c>
      <c r="J9" s="58">
        <f t="shared" si="4"/>
        <v>641140.63750000019</v>
      </c>
      <c r="K9" s="58">
        <f t="shared" si="4"/>
        <v>613340.09622812504</v>
      </c>
      <c r="L9" s="58">
        <f>SUM(F9:K9)</f>
        <v>1159247.5087281251</v>
      </c>
      <c r="N9" s="45"/>
      <c r="O9" s="45">
        <f t="shared" si="2"/>
        <v>-447897.59999999998</v>
      </c>
      <c r="P9" s="40">
        <v>0.2</v>
      </c>
      <c r="Q9" s="46">
        <f t="shared" si="1"/>
        <v>-231306.07656249986</v>
      </c>
      <c r="R9" s="46"/>
      <c r="S9" s="40">
        <v>0.1</v>
      </c>
    </row>
    <row r="10" spans="5:19" ht="57" customHeight="1" x14ac:dyDescent="0.3">
      <c r="E10" s="34" t="s">
        <v>15</v>
      </c>
      <c r="F10" s="14">
        <f>F9</f>
        <v>-1950000</v>
      </c>
      <c r="G10" s="14">
        <f>F10+G9</f>
        <v>-1359085</v>
      </c>
      <c r="H10" s="14">
        <f>G10+H9</f>
        <v>-735153</v>
      </c>
      <c r="I10" s="14">
        <f t="shared" ref="I10:K10" si="5">H10+I9</f>
        <v>-95233.224999999977</v>
      </c>
      <c r="J10" s="14">
        <f t="shared" si="5"/>
        <v>545907.41250000021</v>
      </c>
      <c r="K10" s="14">
        <f t="shared" si="5"/>
        <v>1159247.5087281251</v>
      </c>
      <c r="L10" s="2"/>
      <c r="N10" s="4"/>
      <c r="O10" s="3"/>
      <c r="P10" s="3"/>
    </row>
    <row r="11" spans="5:19" ht="57" customHeight="1" x14ac:dyDescent="0.3">
      <c r="E11" s="15" t="s">
        <v>16</v>
      </c>
      <c r="F11" s="2"/>
      <c r="G11" s="2"/>
      <c r="H11" s="2"/>
      <c r="I11" s="2">
        <f>-I10/(I10+J10)*365</f>
        <v>77.129172446780018</v>
      </c>
      <c r="J11" s="17" t="s">
        <v>19</v>
      </c>
      <c r="K11" s="2"/>
      <c r="L11" s="2"/>
      <c r="N11" s="4"/>
      <c r="O11" s="3"/>
      <c r="P11" s="3"/>
    </row>
    <row r="12" spans="5:19" ht="57" customHeight="1" x14ac:dyDescent="0.3">
      <c r="E12" s="18" t="s">
        <v>17</v>
      </c>
      <c r="L12" s="19">
        <f>-L9/L8</f>
        <v>0.35325437700752405</v>
      </c>
      <c r="N12" s="4"/>
      <c r="O12" s="3"/>
      <c r="P12" s="3"/>
    </row>
    <row r="13" spans="5:19" ht="57" customHeight="1" x14ac:dyDescent="0.2"/>
    <row r="14" spans="5:19" ht="57" customHeight="1" x14ac:dyDescent="0.2"/>
    <row r="15" spans="5:19" ht="57" customHeight="1" x14ac:dyDescent="0.2"/>
    <row r="16" spans="5:19" ht="57" customHeight="1" x14ac:dyDescent="0.2"/>
    <row r="17" ht="57" customHeight="1" x14ac:dyDescent="0.2"/>
    <row r="18" ht="57" customHeight="1" x14ac:dyDescent="0.2"/>
    <row r="19" ht="57" customHeight="1" x14ac:dyDescent="0.2"/>
    <row r="20" ht="57" customHeight="1" x14ac:dyDescent="0.2"/>
    <row r="21" ht="57" customHeight="1" x14ac:dyDescent="0.2"/>
    <row r="22" ht="57" customHeight="1" x14ac:dyDescent="0.2"/>
    <row r="23" ht="57" customHeight="1" x14ac:dyDescent="0.2"/>
    <row r="24" ht="57" customHeight="1" x14ac:dyDescent="0.2"/>
    <row r="25" ht="57" customHeight="1" x14ac:dyDescent="0.2"/>
    <row r="26" ht="57" customHeight="1" x14ac:dyDescent="0.2"/>
    <row r="27" ht="57" customHeight="1" x14ac:dyDescent="0.2"/>
    <row r="28" ht="57" customHeight="1" x14ac:dyDescent="0.2"/>
    <row r="29" ht="57" customHeight="1" x14ac:dyDescent="0.2"/>
    <row r="30" ht="57" customHeight="1" x14ac:dyDescent="0.2"/>
    <row r="31" ht="57" customHeight="1" x14ac:dyDescent="0.2"/>
    <row r="32" ht="57" customHeight="1" x14ac:dyDescent="0.2"/>
    <row r="33" ht="57" customHeight="1" x14ac:dyDescent="0.2"/>
    <row r="34" ht="57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Y33"/>
  <sheetViews>
    <sheetView topLeftCell="F1" zoomScale="75" workbookViewId="0">
      <selection activeCell="K45" sqref="K45"/>
    </sheetView>
  </sheetViews>
  <sheetFormatPr baseColWidth="10" defaultRowHeight="16" x14ac:dyDescent="0.2"/>
  <sheetData>
    <row r="1" spans="5:25" x14ac:dyDescent="0.2">
      <c r="E1" s="21"/>
      <c r="F1" s="67" t="s">
        <v>20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22"/>
    </row>
    <row r="2" spans="5:25" x14ac:dyDescent="0.2">
      <c r="E2" s="23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24"/>
    </row>
    <row r="3" spans="5:25" x14ac:dyDescent="0.2">
      <c r="E3" s="23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24"/>
    </row>
    <row r="4" spans="5:25" x14ac:dyDescent="0.2">
      <c r="E4" s="23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24"/>
    </row>
    <row r="5" spans="5:25" x14ac:dyDescent="0.2">
      <c r="E5" s="23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24"/>
    </row>
    <row r="6" spans="5:25" x14ac:dyDescent="0.2">
      <c r="E6" s="23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24"/>
    </row>
    <row r="7" spans="5:25" ht="16" customHeight="1" x14ac:dyDescent="0.2">
      <c r="E7" s="23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24"/>
    </row>
    <row r="8" spans="5:25" x14ac:dyDescent="0.2">
      <c r="E8" s="23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24"/>
    </row>
    <row r="9" spans="5:25" x14ac:dyDescent="0.2">
      <c r="E9" s="23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24"/>
    </row>
    <row r="10" spans="5:25" x14ac:dyDescent="0.2">
      <c r="E10" s="23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24"/>
    </row>
    <row r="11" spans="5:25" x14ac:dyDescent="0.2">
      <c r="E11" s="23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24"/>
    </row>
    <row r="12" spans="5:25" x14ac:dyDescent="0.2">
      <c r="E12" s="23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24"/>
    </row>
    <row r="13" spans="5:25" ht="16" customHeight="1" x14ac:dyDescent="0.2">
      <c r="E13" s="23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24"/>
    </row>
    <row r="14" spans="5:25" x14ac:dyDescent="0.2">
      <c r="E14" s="23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24"/>
    </row>
    <row r="15" spans="5:25" x14ac:dyDescent="0.2">
      <c r="E15" s="23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24"/>
    </row>
    <row r="16" spans="5:25" x14ac:dyDescent="0.2">
      <c r="E16" s="23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24"/>
    </row>
    <row r="17" spans="5:25" x14ac:dyDescent="0.2">
      <c r="E17" s="23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24"/>
    </row>
    <row r="18" spans="5:25" x14ac:dyDescent="0.2">
      <c r="E18" s="23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24"/>
    </row>
    <row r="19" spans="5:25" ht="16" customHeight="1" x14ac:dyDescent="0.2">
      <c r="E19" s="23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24"/>
    </row>
    <row r="20" spans="5:25" x14ac:dyDescent="0.2">
      <c r="E20" s="23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24"/>
    </row>
    <row r="21" spans="5:25" x14ac:dyDescent="0.2">
      <c r="E21" s="23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24"/>
    </row>
    <row r="22" spans="5:25" x14ac:dyDescent="0.2">
      <c r="E22" s="23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24"/>
    </row>
    <row r="23" spans="5:25" x14ac:dyDescent="0.2">
      <c r="E23" s="23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24"/>
    </row>
    <row r="24" spans="5:25" x14ac:dyDescent="0.2">
      <c r="E24" s="23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4"/>
    </row>
    <row r="25" spans="5:25" x14ac:dyDescent="0.2">
      <c r="E25" s="23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4"/>
    </row>
    <row r="26" spans="5:25" x14ac:dyDescent="0.2">
      <c r="E26" s="23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4"/>
    </row>
    <row r="27" spans="5:25" x14ac:dyDescent="0.2">
      <c r="E27" s="23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4"/>
    </row>
    <row r="28" spans="5:25" x14ac:dyDescent="0.2">
      <c r="E28" s="23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4"/>
    </row>
    <row r="29" spans="5:25" x14ac:dyDescent="0.2">
      <c r="E29" s="23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4"/>
    </row>
    <row r="30" spans="5:25" x14ac:dyDescent="0.2">
      <c r="E30" s="23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4"/>
    </row>
    <row r="31" spans="5:25" x14ac:dyDescent="0.2">
      <c r="E31" s="23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4"/>
    </row>
    <row r="32" spans="5:25" x14ac:dyDescent="0.2">
      <c r="E32" s="23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4"/>
    </row>
    <row r="33" spans="5:25" ht="17" thickBot="1" x14ac:dyDescent="0.25"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</row>
  </sheetData>
  <mergeCells count="1">
    <mergeCell ref="F1:X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02" zoomScaleNormal="110" zoomScalePageLayoutView="110" workbookViewId="0">
      <selection activeCell="H11" sqref="A1:H11"/>
    </sheetView>
  </sheetViews>
  <sheetFormatPr baseColWidth="10" defaultRowHeight="16" x14ac:dyDescent="0.2"/>
  <cols>
    <col min="1" max="1" width="32.83203125" customWidth="1"/>
    <col min="2" max="4" width="23.6640625" customWidth="1"/>
    <col min="5" max="5" width="24.33203125" customWidth="1"/>
    <col min="6" max="6" width="30.1640625" customWidth="1"/>
    <col min="7" max="8" width="23.6640625" customWidth="1"/>
    <col min="10" max="10" width="14.33203125" bestFit="1" customWidth="1"/>
    <col min="11" max="11" width="13.33203125" customWidth="1"/>
  </cols>
  <sheetData>
    <row r="1" spans="1:13" ht="24" x14ac:dyDescent="0.3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9</v>
      </c>
    </row>
    <row r="2" spans="1:13" ht="57" customHeight="1" x14ac:dyDescent="0.3">
      <c r="A2" s="29" t="s">
        <v>6</v>
      </c>
      <c r="B2" s="5"/>
      <c r="C2" s="6">
        <v>2000000</v>
      </c>
      <c r="D2" s="6">
        <v>2000000</v>
      </c>
      <c r="E2" s="6">
        <f>D2+900000</f>
        <v>2900000</v>
      </c>
      <c r="F2" s="6">
        <f t="shared" ref="F2:G2" si="0">E2+900000</f>
        <v>3800000</v>
      </c>
      <c r="G2" s="6">
        <f t="shared" si="0"/>
        <v>4700000</v>
      </c>
      <c r="H2" s="7"/>
    </row>
    <row r="3" spans="1:13" ht="57" customHeight="1" x14ac:dyDescent="0.3">
      <c r="A3" s="30" t="s">
        <v>8</v>
      </c>
      <c r="B3" s="10">
        <v>1</v>
      </c>
      <c r="C3" s="10">
        <v>0.90910000000000002</v>
      </c>
      <c r="D3" s="10">
        <v>0.82640000000000002</v>
      </c>
      <c r="E3" s="10">
        <v>0.75129999999999997</v>
      </c>
      <c r="F3" s="10">
        <v>0.68300000000000005</v>
      </c>
      <c r="G3" s="10">
        <v>0.62090000000000001</v>
      </c>
      <c r="H3" s="7"/>
    </row>
    <row r="4" spans="1:13" ht="57" customHeight="1" x14ac:dyDescent="0.3">
      <c r="A4" s="30" t="s">
        <v>7</v>
      </c>
      <c r="B4" s="5"/>
      <c r="C4" s="8">
        <f>C2*C3</f>
        <v>1818200</v>
      </c>
      <c r="D4" s="8">
        <f t="shared" ref="D4:G4" si="1">D2*D3</f>
        <v>1652800</v>
      </c>
      <c r="E4" s="8">
        <f t="shared" si="1"/>
        <v>2178770</v>
      </c>
      <c r="F4" s="8">
        <f t="shared" si="1"/>
        <v>2595400</v>
      </c>
      <c r="G4" s="8">
        <f t="shared" si="1"/>
        <v>2918230</v>
      </c>
      <c r="H4" s="9">
        <f>SUM(C4:G4)</f>
        <v>11163400</v>
      </c>
      <c r="I4" t="s">
        <v>18</v>
      </c>
    </row>
    <row r="5" spans="1:13" ht="57" customHeight="1" x14ac:dyDescent="0.3">
      <c r="A5" s="31" t="s">
        <v>11</v>
      </c>
      <c r="B5" s="13">
        <v>-3700000</v>
      </c>
      <c r="C5" s="7"/>
      <c r="D5" s="37"/>
      <c r="E5" s="36"/>
      <c r="F5" s="37"/>
      <c r="G5" s="37"/>
      <c r="H5" s="7"/>
      <c r="J5" s="38">
        <v>-3500000</v>
      </c>
    </row>
    <row r="6" spans="1:13" ht="57" customHeight="1" x14ac:dyDescent="0.3">
      <c r="A6" s="31" t="s">
        <v>10</v>
      </c>
      <c r="B6" s="5"/>
      <c r="C6" s="13">
        <f>-3500000*0.2 -100000</f>
        <v>-800000</v>
      </c>
      <c r="D6" s="13">
        <f>(K7-100000)</f>
        <v>-870000</v>
      </c>
      <c r="E6" s="13">
        <f>K8-100000</f>
        <v>-947000.00000000012</v>
      </c>
      <c r="F6" s="13">
        <f>K9-100000</f>
        <v>-1031700.0000000002</v>
      </c>
      <c r="G6" s="13">
        <f>K11-100000</f>
        <v>-1227357.0000000005</v>
      </c>
      <c r="H6" s="13"/>
      <c r="J6" s="38">
        <f>J5*0.2</f>
        <v>-700000</v>
      </c>
      <c r="K6" s="38"/>
      <c r="L6" s="40">
        <v>0.2</v>
      </c>
      <c r="M6">
        <v>0</v>
      </c>
    </row>
    <row r="7" spans="1:13" ht="57" customHeight="1" x14ac:dyDescent="0.3">
      <c r="A7" s="30" t="s">
        <v>12</v>
      </c>
      <c r="B7" s="10">
        <v>1</v>
      </c>
      <c r="C7" s="10">
        <v>0.90910000000000002</v>
      </c>
      <c r="D7" s="10">
        <v>0.82640000000000002</v>
      </c>
      <c r="E7" s="10">
        <v>0.75129999999999997</v>
      </c>
      <c r="F7" s="10">
        <v>0.68300000000000005</v>
      </c>
      <c r="G7" s="10">
        <v>0.62090000000000001</v>
      </c>
      <c r="H7" s="2"/>
      <c r="J7" s="39"/>
      <c r="K7" s="38">
        <f>J6*0.1+J6</f>
        <v>-770000</v>
      </c>
      <c r="L7" s="40">
        <v>0.1</v>
      </c>
      <c r="M7">
        <v>1</v>
      </c>
    </row>
    <row r="8" spans="1:13" ht="57" customHeight="1" x14ac:dyDescent="0.3">
      <c r="A8" s="32" t="s">
        <v>13</v>
      </c>
      <c r="B8" s="11">
        <f>B5</f>
        <v>-3700000</v>
      </c>
      <c r="C8" s="11">
        <f>C6*C7</f>
        <v>-727280</v>
      </c>
      <c r="D8" s="11">
        <f t="shared" ref="D8:G8" si="2">D6*D7</f>
        <v>-718968</v>
      </c>
      <c r="E8" s="11">
        <f t="shared" si="2"/>
        <v>-711481.10000000009</v>
      </c>
      <c r="F8" s="11">
        <f t="shared" si="2"/>
        <v>-704651.10000000021</v>
      </c>
      <c r="G8" s="11">
        <f t="shared" si="2"/>
        <v>-762065.96130000032</v>
      </c>
      <c r="H8" s="11">
        <f>SUM(B8:G8)</f>
        <v>-7324446.1613000007</v>
      </c>
      <c r="I8" t="s">
        <v>18</v>
      </c>
      <c r="J8" s="38"/>
      <c r="K8" s="38">
        <f>K7*1.1</f>
        <v>-847000.00000000012</v>
      </c>
      <c r="L8" s="40">
        <v>0.1</v>
      </c>
      <c r="M8">
        <v>2</v>
      </c>
    </row>
    <row r="9" spans="1:13" ht="57" customHeight="1" x14ac:dyDescent="0.3">
      <c r="A9" s="33" t="s">
        <v>14</v>
      </c>
      <c r="B9" s="12">
        <f>B8</f>
        <v>-3700000</v>
      </c>
      <c r="C9" s="12">
        <f>C4+C8</f>
        <v>1090920</v>
      </c>
      <c r="D9" s="12">
        <f t="shared" ref="D9:G9" si="3">D4+D8</f>
        <v>933832</v>
      </c>
      <c r="E9" s="12">
        <f t="shared" si="3"/>
        <v>1467288.9</v>
      </c>
      <c r="F9" s="12">
        <f t="shared" si="3"/>
        <v>1890748.9</v>
      </c>
      <c r="G9" s="12">
        <f t="shared" si="3"/>
        <v>2156164.0386999995</v>
      </c>
      <c r="H9" s="12">
        <f>SUM(B9:G9)</f>
        <v>3838953.8386999993</v>
      </c>
      <c r="J9" s="38"/>
      <c r="K9" s="38">
        <f t="shared" ref="K9:K11" si="4">K8*1.1</f>
        <v>-931700.00000000023</v>
      </c>
      <c r="L9" s="40">
        <v>0.1</v>
      </c>
      <c r="M9">
        <v>3</v>
      </c>
    </row>
    <row r="10" spans="1:13" ht="57" customHeight="1" x14ac:dyDescent="0.3">
      <c r="A10" s="34" t="s">
        <v>15</v>
      </c>
      <c r="B10" s="14">
        <f>B9</f>
        <v>-3700000</v>
      </c>
      <c r="C10" s="14">
        <f>B10+C9</f>
        <v>-2609080</v>
      </c>
      <c r="D10" s="14">
        <f>C10+D9</f>
        <v>-1675248</v>
      </c>
      <c r="E10" s="14">
        <f t="shared" ref="E10:G10" si="5">D10+E9</f>
        <v>-207959.10000000009</v>
      </c>
      <c r="F10" s="14">
        <f t="shared" si="5"/>
        <v>1682789.7999999998</v>
      </c>
      <c r="G10" s="14">
        <f t="shared" si="5"/>
        <v>3838953.8386999993</v>
      </c>
      <c r="H10" s="2"/>
      <c r="J10" s="38"/>
      <c r="K10" s="38">
        <f t="shared" si="4"/>
        <v>-1024870.0000000003</v>
      </c>
      <c r="L10" s="40">
        <v>0.1</v>
      </c>
      <c r="M10">
        <v>4</v>
      </c>
    </row>
    <row r="11" spans="1:13" ht="57" customHeight="1" x14ac:dyDescent="0.3">
      <c r="A11" s="15" t="s">
        <v>16</v>
      </c>
      <c r="B11" s="2"/>
      <c r="C11" s="2"/>
      <c r="D11" s="2"/>
      <c r="E11" s="16"/>
      <c r="F11" s="41" t="s">
        <v>22</v>
      </c>
      <c r="G11" s="2"/>
      <c r="H11" s="35">
        <f>H9/H8</f>
        <v>-0.52412889031580123</v>
      </c>
      <c r="J11" s="38"/>
      <c r="K11" s="38">
        <f t="shared" si="4"/>
        <v>-1127357.0000000005</v>
      </c>
      <c r="L11" s="40">
        <v>0.1</v>
      </c>
      <c r="M11">
        <v>5</v>
      </c>
    </row>
    <row r="12" spans="1:13" ht="57" customHeight="1" x14ac:dyDescent="0.3">
      <c r="A12" s="18" t="s">
        <v>17</v>
      </c>
      <c r="F12">
        <f>E10/(E10+F10)*365</f>
        <v>-51.466972785418726</v>
      </c>
      <c r="H12" s="19">
        <f>H11*-1</f>
        <v>0.52412889031580123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2" zoomScale="108" workbookViewId="0">
      <selection activeCell="D37" sqref="D37"/>
    </sheetView>
  </sheetViews>
  <sheetFormatPr baseColWidth="10" defaultRowHeight="16" x14ac:dyDescent="0.2"/>
  <sheetData>
    <row r="1" spans="1:20" x14ac:dyDescent="0.2">
      <c r="A1" s="70" t="s">
        <v>21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5"/>
    </row>
    <row r="3" spans="1:20" x14ac:dyDescent="0.2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5"/>
    </row>
    <row r="4" spans="1:20" x14ac:dyDescent="0.2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x14ac:dyDescent="0.2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x14ac:dyDescent="0.2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5"/>
    </row>
    <row r="7" spans="1:20" x14ac:dyDescent="0.2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</row>
    <row r="8" spans="1:20" x14ac:dyDescent="0.2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</row>
    <row r="9" spans="1:20" x14ac:dyDescent="0.2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5"/>
    </row>
    <row r="10" spans="1:20" x14ac:dyDescent="0.2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5"/>
    </row>
    <row r="11" spans="1:20" x14ac:dyDescent="0.2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5"/>
    </row>
    <row r="12" spans="1:20" x14ac:dyDescent="0.2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5"/>
    </row>
    <row r="13" spans="1:20" x14ac:dyDescent="0.2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5"/>
    </row>
    <row r="14" spans="1:20" x14ac:dyDescent="0.2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5"/>
    </row>
    <row r="15" spans="1:20" x14ac:dyDescent="0.2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5"/>
    </row>
    <row r="16" spans="1:20" x14ac:dyDescent="0.2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5"/>
    </row>
    <row r="17" spans="1:20" x14ac:dyDescent="0.2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5"/>
    </row>
    <row r="18" spans="1:20" x14ac:dyDescent="0.2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5"/>
    </row>
    <row r="19" spans="1:20" x14ac:dyDescent="0.2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1:20" x14ac:dyDescent="0.2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1:20" x14ac:dyDescent="0.2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5"/>
    </row>
    <row r="22" spans="1:20" x14ac:dyDescent="0.2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5"/>
    </row>
    <row r="23" spans="1:20" x14ac:dyDescent="0.2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5"/>
    </row>
    <row r="24" spans="1:20" x14ac:dyDescent="0.2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5"/>
    </row>
    <row r="25" spans="1:20" x14ac:dyDescent="0.2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5"/>
    </row>
    <row r="26" spans="1:20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5"/>
    </row>
    <row r="27" spans="1:20" x14ac:dyDescent="0.2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5"/>
    </row>
    <row r="28" spans="1:20" x14ac:dyDescent="0.2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5"/>
    </row>
    <row r="29" spans="1:20" x14ac:dyDescent="0.2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5"/>
    </row>
    <row r="30" spans="1:20" x14ac:dyDescent="0.2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5"/>
    </row>
    <row r="31" spans="1:20" ht="17" thickBot="1" x14ac:dyDescent="0.25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8"/>
    </row>
  </sheetData>
  <mergeCells count="1">
    <mergeCell ref="A1:T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4" zoomScaleNormal="74" zoomScalePageLayoutView="74" workbookViewId="0">
      <selection activeCell="G3" sqref="G3"/>
    </sheetView>
  </sheetViews>
  <sheetFormatPr baseColWidth="10" defaultColWidth="23.6640625" defaultRowHeight="57" customHeight="1" x14ac:dyDescent="0.2"/>
  <cols>
    <col min="1" max="1" width="27.1640625" customWidth="1"/>
    <col min="2" max="2" width="24.6640625" bestFit="1" customWidth="1"/>
    <col min="3" max="3" width="27.6640625" customWidth="1"/>
    <col min="4" max="4" width="23.83203125" bestFit="1" customWidth="1"/>
    <col min="5" max="5" width="27" customWidth="1"/>
    <col min="6" max="7" width="23.83203125" bestFit="1" customWidth="1"/>
    <col min="9" max="9" width="27.33203125" customWidth="1"/>
    <col min="10" max="10" width="8.5" customWidth="1"/>
    <col min="11" max="11" width="24.5" bestFit="1" customWidth="1"/>
    <col min="12" max="12" width="41" customWidth="1"/>
  </cols>
  <sheetData>
    <row r="1" spans="1:12" ht="57" customHeight="1" x14ac:dyDescent="0.3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9</v>
      </c>
    </row>
    <row r="2" spans="1:12" ht="57" customHeight="1" x14ac:dyDescent="0.3">
      <c r="A2" s="29" t="s">
        <v>6</v>
      </c>
      <c r="B2" s="59"/>
      <c r="C2" s="59">
        <v>800000</v>
      </c>
      <c r="D2" s="59">
        <f>C2*2</f>
        <v>1600000</v>
      </c>
      <c r="E2" s="59">
        <f>D2*2</f>
        <v>3200000</v>
      </c>
      <c r="F2" s="59">
        <f>C2*1.5</f>
        <v>1200000</v>
      </c>
      <c r="G2" s="59">
        <f>F2*1.5</f>
        <v>1800000</v>
      </c>
      <c r="H2" s="60"/>
    </row>
    <row r="3" spans="1:12" ht="57" customHeight="1" x14ac:dyDescent="0.3">
      <c r="A3" s="30" t="s">
        <v>8</v>
      </c>
      <c r="B3" s="10">
        <v>1</v>
      </c>
      <c r="C3" s="10">
        <v>0.90910000000000002</v>
      </c>
      <c r="D3" s="10">
        <v>0.82640000000000002</v>
      </c>
      <c r="E3" s="10">
        <v>0.75129999999999997</v>
      </c>
      <c r="F3" s="10">
        <v>0.68300000000000005</v>
      </c>
      <c r="G3" s="10">
        <v>0.62090000000000001</v>
      </c>
      <c r="H3" s="7"/>
      <c r="I3" s="62">
        <v>-37000000</v>
      </c>
    </row>
    <row r="4" spans="1:12" ht="57" customHeight="1" x14ac:dyDescent="0.35">
      <c r="A4" s="30" t="s">
        <v>7</v>
      </c>
      <c r="B4" s="5"/>
      <c r="C4" s="52">
        <f>C2*C3</f>
        <v>727280</v>
      </c>
      <c r="D4" s="52">
        <f>D2*D3</f>
        <v>1322240</v>
      </c>
      <c r="E4" s="52">
        <f>E2*E3</f>
        <v>2404160</v>
      </c>
      <c r="F4" s="52">
        <f>F2*F3</f>
        <v>819600.00000000012</v>
      </c>
      <c r="G4" s="52">
        <f>G2*G3</f>
        <v>1117620</v>
      </c>
      <c r="H4" s="61">
        <f>SUM(C4:G4)</f>
        <v>6390900</v>
      </c>
      <c r="J4" s="63">
        <v>1</v>
      </c>
      <c r="K4" s="65">
        <f>I3*0.02</f>
        <v>-740000</v>
      </c>
      <c r="L4" s="46">
        <f>$B5*0.12</f>
        <v>-4536600</v>
      </c>
    </row>
    <row r="5" spans="1:12" ht="57" customHeight="1" x14ac:dyDescent="0.35">
      <c r="A5" s="31" t="s">
        <v>11</v>
      </c>
      <c r="B5" s="13">
        <f>-780000-25000-37000000</f>
        <v>-37805000</v>
      </c>
      <c r="C5" s="7"/>
      <c r="D5" s="37"/>
      <c r="E5" s="36"/>
      <c r="F5" s="37"/>
      <c r="G5" s="37"/>
      <c r="H5" s="7"/>
      <c r="J5" s="63">
        <v>2</v>
      </c>
      <c r="K5" s="65">
        <f>K4*1.03</f>
        <v>-762200</v>
      </c>
      <c r="L5" s="46">
        <f>B5*0.12</f>
        <v>-4536600</v>
      </c>
    </row>
    <row r="6" spans="1:12" ht="57" customHeight="1" x14ac:dyDescent="0.35">
      <c r="A6" s="31" t="s">
        <v>10</v>
      </c>
      <c r="B6" s="5"/>
      <c r="C6" s="13">
        <f>K4+L4</f>
        <v>-5276600</v>
      </c>
      <c r="D6" s="13">
        <f>K5+L4</f>
        <v>-5298800</v>
      </c>
      <c r="E6" s="13">
        <f>K6+L4</f>
        <v>-5321666</v>
      </c>
      <c r="F6" s="13">
        <f>K7+L4</f>
        <v>-5345217.9800000004</v>
      </c>
      <c r="G6" s="13">
        <f>K8+L4</f>
        <v>-5369476.5193999996</v>
      </c>
      <c r="H6" s="13"/>
      <c r="J6" s="63">
        <v>3</v>
      </c>
      <c r="K6" s="65">
        <f>K5*1.03</f>
        <v>-785066</v>
      </c>
      <c r="L6" s="46">
        <f>B5*0.12</f>
        <v>-4536600</v>
      </c>
    </row>
    <row r="7" spans="1:12" ht="57" customHeight="1" x14ac:dyDescent="0.35">
      <c r="A7" s="30" t="s">
        <v>12</v>
      </c>
      <c r="B7" s="10">
        <v>1</v>
      </c>
      <c r="C7" s="10">
        <v>0.90910000000000002</v>
      </c>
      <c r="D7" s="10">
        <v>0.82640000000000002</v>
      </c>
      <c r="E7" s="10">
        <v>0.75129999999999997</v>
      </c>
      <c r="F7" s="10">
        <v>0.68300000000000005</v>
      </c>
      <c r="G7" s="10">
        <v>0.62090000000000001</v>
      </c>
      <c r="H7" s="2"/>
      <c r="J7" s="63">
        <v>4</v>
      </c>
      <c r="K7" s="65">
        <f>K6*1.03</f>
        <v>-808617.98</v>
      </c>
      <c r="L7" s="46">
        <f>B5*0.12</f>
        <v>-4536600</v>
      </c>
    </row>
    <row r="8" spans="1:12" ht="57" customHeight="1" x14ac:dyDescent="0.35">
      <c r="A8" s="32" t="s">
        <v>13</v>
      </c>
      <c r="B8" s="13">
        <f>-780000-25000-37000000</f>
        <v>-37805000</v>
      </c>
      <c r="C8" s="66">
        <f>C6*C7</f>
        <v>-4796957.0600000005</v>
      </c>
      <c r="D8" s="66">
        <f t="shared" ref="D8:G8" si="0">D6*D7</f>
        <v>-4378928.32</v>
      </c>
      <c r="E8" s="66">
        <f t="shared" si="0"/>
        <v>-3998167.6657999996</v>
      </c>
      <c r="F8" s="66">
        <f t="shared" si="0"/>
        <v>-3650783.8803400006</v>
      </c>
      <c r="G8" s="66">
        <f t="shared" si="0"/>
        <v>-3333907.9708954599</v>
      </c>
      <c r="H8" s="11">
        <f>SUM(B8:G8)</f>
        <v>-57963744.897035465</v>
      </c>
      <c r="J8" s="63">
        <v>5</v>
      </c>
      <c r="K8" s="65">
        <f>K7*1.03</f>
        <v>-832876.51939999999</v>
      </c>
      <c r="L8" s="46">
        <f t="shared" ref="L8" si="1">$B9*0.12</f>
        <v>-4536600</v>
      </c>
    </row>
    <row r="9" spans="1:12" ht="57" customHeight="1" x14ac:dyDescent="0.35">
      <c r="A9" s="33" t="s">
        <v>14</v>
      </c>
      <c r="B9" s="13">
        <f>-780000-25000-37000000</f>
        <v>-37805000</v>
      </c>
      <c r="C9" s="12">
        <f>C4+C8</f>
        <v>-4069677.0600000005</v>
      </c>
      <c r="D9" s="12">
        <f t="shared" ref="D9:G9" si="2">D4+D8</f>
        <v>-3056688.3200000003</v>
      </c>
      <c r="E9" s="12">
        <f t="shared" si="2"/>
        <v>-1594007.6657999996</v>
      </c>
      <c r="F9" s="12">
        <f t="shared" si="2"/>
        <v>-2831183.8803400006</v>
      </c>
      <c r="G9" s="12">
        <f t="shared" si="2"/>
        <v>-2216287.9708954599</v>
      </c>
      <c r="H9" s="12"/>
      <c r="J9" s="64"/>
      <c r="K9" s="64"/>
    </row>
    <row r="10" spans="1:12" ht="57" customHeight="1" x14ac:dyDescent="0.35">
      <c r="A10" s="34" t="s">
        <v>15</v>
      </c>
      <c r="B10" s="14"/>
      <c r="C10" s="14"/>
      <c r="D10" s="14"/>
      <c r="E10" s="14"/>
      <c r="F10" s="14"/>
      <c r="G10" s="14"/>
      <c r="H10" s="2"/>
      <c r="J10" s="64"/>
      <c r="K10" s="64"/>
    </row>
    <row r="11" spans="1:12" ht="57" customHeight="1" x14ac:dyDescent="0.3">
      <c r="A11" s="15" t="s">
        <v>16</v>
      </c>
      <c r="B11" s="2"/>
      <c r="C11" s="2"/>
      <c r="D11" s="2"/>
      <c r="E11" s="16"/>
      <c r="F11" s="41"/>
      <c r="G11" s="2"/>
      <c r="H11" s="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workbookViewId="0">
      <selection activeCell="B3" sqref="B3:S36"/>
    </sheetView>
  </sheetViews>
  <sheetFormatPr baseColWidth="10" defaultRowHeight="16" x14ac:dyDescent="0.2"/>
  <sheetData>
    <row r="3" spans="2:19" x14ac:dyDescent="0.2">
      <c r="B3" s="79" t="s">
        <v>23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2:19" x14ac:dyDescent="0.2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2:19" x14ac:dyDescent="0.2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2:19" x14ac:dyDescent="0.2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2:19" x14ac:dyDescent="0.2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2:19" x14ac:dyDescent="0.2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</row>
    <row r="9" spans="2:19" x14ac:dyDescent="0.2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2:19" x14ac:dyDescent="0.2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2:19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2:19" x14ac:dyDescent="0.2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19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19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19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19" x14ac:dyDescent="0.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 x14ac:dyDescent="0.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 x14ac:dyDescent="0.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 x14ac:dyDescent="0.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 x14ac:dyDescent="0.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 x14ac:dyDescent="0.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 x14ac:dyDescent="0.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 x14ac:dyDescent="0.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 x14ac:dyDescent="0.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 x14ac:dyDescent="0.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 x14ac:dyDescent="0.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 x14ac:dyDescent="0.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 x14ac:dyDescent="0.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</sheetData>
  <mergeCells count="1">
    <mergeCell ref="B3:S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1</vt:lpstr>
      <vt:lpstr>Question 1</vt:lpstr>
      <vt:lpstr>Answer 2</vt:lpstr>
      <vt:lpstr>Question 2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2018-07-30T19:46:46Z</dcterms:created>
  <dcterms:modified xsi:type="dcterms:W3CDTF">2018-08-08T03:10:54Z</dcterms:modified>
</cp:coreProperties>
</file>