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mrd001\git\c-framework\project\tools\"/>
    </mc:Choice>
  </mc:AlternateContent>
  <bookViews>
    <workbookView xWindow="0" yWindow="0" windowWidth="27870" windowHeight="1279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E40" i="1" l="1"/>
  <c r="E39" i="1"/>
  <c r="D36" i="1"/>
  <c r="D35" i="1"/>
  <c r="J37" i="1"/>
  <c r="C36" i="1" s="1"/>
  <c r="F25" i="2"/>
  <c r="F26" i="2"/>
  <c r="F27" i="2"/>
  <c r="F28" i="2"/>
  <c r="G28" i="2" s="1"/>
  <c r="H28" i="2" s="1"/>
  <c r="F29" i="2"/>
  <c r="F30" i="2"/>
  <c r="F31" i="2"/>
  <c r="F32" i="2"/>
  <c r="G32" i="2" s="1"/>
  <c r="H32" i="2" s="1"/>
  <c r="F33" i="2"/>
  <c r="F34" i="2"/>
  <c r="H27" i="2"/>
  <c r="H31" i="2"/>
  <c r="G25" i="2"/>
  <c r="H25" i="2" s="1"/>
  <c r="I25" i="2" s="1"/>
  <c r="G26" i="2"/>
  <c r="H26" i="2" s="1"/>
  <c r="G27" i="2"/>
  <c r="G29" i="2"/>
  <c r="H29" i="2" s="1"/>
  <c r="G30" i="2"/>
  <c r="H30" i="2" s="1"/>
  <c r="G31" i="2"/>
  <c r="G33" i="2"/>
  <c r="H33" i="2" s="1"/>
  <c r="G34" i="2"/>
  <c r="H34" i="2" s="1"/>
  <c r="F23" i="2"/>
  <c r="G24" i="2" s="1"/>
  <c r="H24" i="2" s="1"/>
  <c r="I24" i="2" s="1"/>
  <c r="F24" i="2"/>
  <c r="D29" i="1" l="1"/>
  <c r="J32" i="1"/>
  <c r="C31" i="1"/>
  <c r="D30" i="1" l="1"/>
  <c r="C30" i="1" s="1"/>
  <c r="C48" i="1" s="1"/>
  <c r="E43" i="1"/>
  <c r="C33" i="1" l="1"/>
  <c r="E33" i="1" s="1"/>
  <c r="D7" i="2"/>
  <c r="B7" i="2"/>
  <c r="A6" i="2"/>
  <c r="B6" i="2" s="1"/>
  <c r="D6" i="2" s="1"/>
  <c r="A5" i="2"/>
  <c r="B5" i="2" s="1"/>
  <c r="D5" i="2" s="1"/>
  <c r="D4" i="2"/>
  <c r="B4" i="2"/>
  <c r="C47" i="1"/>
  <c r="D43" i="1"/>
  <c r="D42" i="1"/>
  <c r="G41" i="1"/>
  <c r="E41" i="1"/>
  <c r="D41" i="1"/>
  <c r="D40" i="1"/>
  <c r="D39" i="1"/>
  <c r="E38" i="1"/>
  <c r="D38" i="1"/>
  <c r="E37" i="1"/>
  <c r="D37" i="1"/>
  <c r="G35" i="1"/>
  <c r="E34" i="1"/>
  <c r="D34" i="1"/>
  <c r="G33" i="1"/>
  <c r="G32" i="1"/>
  <c r="E32" i="1"/>
  <c r="D32" i="1"/>
  <c r="D31" i="1"/>
  <c r="C15" i="1"/>
  <c r="C14" i="1"/>
  <c r="G31" i="1" l="1"/>
  <c r="H32" i="1" s="1"/>
  <c r="G34" i="1"/>
  <c r="H34" i="1" s="1"/>
  <c r="C16" i="1"/>
  <c r="E35" i="1" l="1"/>
  <c r="I34" i="1"/>
  <c r="J35" i="1" s="1"/>
  <c r="J36" i="1" s="1"/>
  <c r="C49" i="1" s="1"/>
  <c r="C17" i="1"/>
  <c r="C18" i="1" s="1"/>
  <c r="C19" i="1" s="1"/>
  <c r="C21" i="1" s="1"/>
  <c r="C20" i="1" l="1"/>
  <c r="C22" i="1" l="1"/>
  <c r="C10" i="1" s="1"/>
  <c r="C24" i="1" s="1"/>
  <c r="C23" i="1"/>
</calcChain>
</file>

<file path=xl/comments1.xml><?xml version="1.0" encoding="utf-8"?>
<comments xmlns="http://schemas.openxmlformats.org/spreadsheetml/2006/main">
  <authors>
    <author>Radoslav Marinov</author>
  </authors>
  <commentList>
    <comment ref="J32" authorId="0" shapeId="0">
      <text>
        <r>
          <rPr>
            <b/>
            <sz val="9"/>
            <color indexed="81"/>
            <rFont val="Tahoma"/>
            <family val="2"/>
            <charset val="204"/>
          </rPr>
          <t>Radoslav Marinov:</t>
        </r>
        <r>
          <rPr>
            <sz val="9"/>
            <color indexed="81"/>
            <rFont val="Tahoma"/>
            <family val="2"/>
            <charset val="204"/>
          </rPr>
          <t xml:space="preserve">
with how many bytes to increment
</t>
        </r>
      </text>
    </comment>
    <comment ref="J35" authorId="0" shapeId="0">
      <text>
        <r>
          <rPr>
            <b/>
            <sz val="9"/>
            <color rgb="FF000000"/>
            <rFont val="Tahoma"/>
            <family val="2"/>
            <charset val="204"/>
          </rPr>
          <t>Radoslav Marinov:</t>
        </r>
        <r>
          <rPr>
            <sz val="9"/>
            <color rgb="FF000000"/>
            <rFont val="Tahoma"/>
            <family val="2"/>
            <charset val="204"/>
          </rPr>
          <t xml:space="preserve">
Control Register Decimal Representation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<sst xmlns="http://schemas.openxmlformats.org/spreadsheetml/2006/main" count="65" uniqueCount="65">
  <si>
    <t>LEGEND - colour notation</t>
  </si>
  <si>
    <t>Input field</t>
  </si>
  <si>
    <t>OUTPUT</t>
  </si>
  <si>
    <t>Report errors</t>
  </si>
  <si>
    <t>Expansion</t>
  </si>
  <si>
    <t>ITALIC = hexadecimal number</t>
  </si>
  <si>
    <t>BOLD = SFR bitfield</t>
  </si>
  <si>
    <t>Calculate USARTn_CLKDIV register value by given: Baud Rate, HFPERCLK[Hz], Oversample</t>
  </si>
  <si>
    <t>Baud Rate</t>
  </si>
  <si>
    <t>USARTn_CLKDIV</t>
  </si>
  <si>
    <t>HFPERCLK</t>
  </si>
  <si>
    <t>Oversample</t>
  </si>
  <si>
    <t>USARTn_CLKDIV(perfect)</t>
  </si>
  <si>
    <t>USARTn_CLKDIV(perfect)/256</t>
  </si>
  <si>
    <t>USARTn_CLKDIV(perfect) integer part</t>
  </si>
  <si>
    <t>USARTn_CLKDIV(perfect) remainder</t>
  </si>
  <si>
    <t>USARTn_CLKDIV fraction-to-int</t>
  </si>
  <si>
    <t>USARTn_CLKDIV fraction(7:6)&gt;&gt;6</t>
  </si>
  <si>
    <t>USARTn_CLKDIV fraction(20:8) &gt;&gt; 6</t>
  </si>
  <si>
    <t>USARTn_CLKDIV fraction(7:6)</t>
  </si>
  <si>
    <t>USARTn_CLKDIV fraction(20:8)</t>
  </si>
  <si>
    <t>USARTn_CLKDIV/256 (ROUNDED)</t>
  </si>
  <si>
    <t>ERRORS:</t>
  </si>
  <si>
    <t>Control Data Structure</t>
  </si>
  <si>
    <t>Destination start address</t>
  </si>
  <si>
    <t>dest_data_end_ptr[HEX]</t>
  </si>
  <si>
    <t>n_minus_1</t>
  </si>
  <si>
    <t>dst_inc</t>
  </si>
  <si>
    <t>dst_size</t>
  </si>
  <si>
    <t>Desired Number of Transfers</t>
  </si>
  <si>
    <t>Source start address</t>
  </si>
  <si>
    <t>src_data_end_ptr</t>
  </si>
  <si>
    <t>200000FC</t>
  </si>
  <si>
    <t>src_inc</t>
  </si>
  <si>
    <t>src_size</t>
  </si>
  <si>
    <t xml:space="preserve"> dst_prot_ctrl</t>
  </si>
  <si>
    <t>src_prot_ctrl</t>
  </si>
  <si>
    <t>R_power</t>
  </si>
  <si>
    <t>next_useburst</t>
  </si>
  <si>
    <t>cycle_ctrl</t>
  </si>
  <si>
    <t>0x000</t>
  </si>
  <si>
    <t>Source End Pointer</t>
  </si>
  <si>
    <t>0x004</t>
  </si>
  <si>
    <t>Destination End Pointer</t>
  </si>
  <si>
    <t>0x008</t>
  </si>
  <si>
    <t>Control</t>
  </si>
  <si>
    <t>0x00C</t>
  </si>
  <si>
    <t>User</t>
  </si>
  <si>
    <t>source</t>
  </si>
  <si>
    <t>destinatoin</t>
  </si>
  <si>
    <t>4000C434</t>
  </si>
  <si>
    <t>control</t>
  </si>
  <si>
    <t>C8000031</t>
  </si>
  <si>
    <t>2000000C</t>
  </si>
  <si>
    <t>user</t>
  </si>
  <si>
    <t>DMA_CH0_CTRL</t>
  </si>
  <si>
    <t>D0002</t>
  </si>
  <si>
    <t>DMA_CONFIG</t>
  </si>
  <si>
    <t>DMA_CHALTS</t>
  </si>
  <si>
    <t>Uart 1</t>
  </si>
  <si>
    <t>4000e400</t>
  </si>
  <si>
    <t>Base Address</t>
  </si>
  <si>
    <t>offset</t>
  </si>
  <si>
    <t>TXDATA[Hex]</t>
  </si>
  <si>
    <t>4000E434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</si>
</sst>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&quot;Hz&quot;"/>
  </numFmts>
  <fonts count="20" x14ac:knownFonts="1">
    <font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rgb="FF000000"/>
      <name val="Arial"/>
      <family val="2"/>
      <charset val="204"/>
    </font>
    <font>
      <sz val="14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16"/>
      <color rgb="FF000000"/>
      <name val="Calibri"/>
      <family val="2"/>
      <charset val="204"/>
    </font>
    <font>
      <b/>
      <i/>
      <sz val="16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i/>
      <sz val="14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6"/>
      <color rgb="FFFF0000"/>
      <name val="Calibri"/>
      <family val="2"/>
      <charset val="204"/>
    </font>
    <font>
      <b/>
      <sz val="16"/>
      <color rgb="FFFFFF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BC2E6"/>
        <bgColor rgb="FF9BC2E6"/>
      </patternFill>
    </fill>
    <fill>
      <patternFill patternType="solid">
        <fgColor rgb="FFFF3300"/>
        <bgColor rgb="FFFF3300"/>
      </patternFill>
    </fill>
    <fill>
      <patternFill patternType="solid">
        <fgColor rgb="FFFFC000"/>
        <bgColor rgb="FFFFC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00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/>
    <xf numFmtId="0" fontId="0" fillId="0" borderId="0" xfId="0" applyProtection="1"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1" fillId="0" borderId="3" xfId="0" applyFont="1" applyFill="1" applyBorder="1" applyProtection="1">
      <protection locked="0"/>
    </xf>
    <xf numFmtId="0" fontId="2" fillId="0" borderId="4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6" xfId="0" applyFont="1" applyFill="1" applyBorder="1" applyProtection="1">
      <protection locked="0"/>
    </xf>
    <xf numFmtId="0" fontId="4" fillId="3" borderId="5" xfId="0" applyFont="1" applyFill="1" applyBorder="1" applyProtection="1">
      <protection locked="0"/>
    </xf>
    <xf numFmtId="164" fontId="4" fillId="2" borderId="6" xfId="0" applyNumberFormat="1" applyFont="1" applyFill="1" applyBorder="1" applyProtection="1">
      <protection locked="0"/>
    </xf>
    <xf numFmtId="0" fontId="4" fillId="0" borderId="5" xfId="0" applyFont="1" applyBorder="1" applyProtection="1">
      <protection locked="0"/>
    </xf>
    <xf numFmtId="0" fontId="4" fillId="0" borderId="6" xfId="0" applyFont="1" applyBorder="1" applyProtection="1">
      <protection locked="0"/>
    </xf>
    <xf numFmtId="0" fontId="4" fillId="5" borderId="5" xfId="0" applyFont="1" applyFill="1" applyBorder="1" applyProtection="1">
      <protection locked="0"/>
    </xf>
    <xf numFmtId="0" fontId="4" fillId="5" borderId="6" xfId="0" applyFont="1" applyFill="1" applyBorder="1" applyProtection="1">
      <protection locked="0"/>
    </xf>
    <xf numFmtId="0" fontId="5" fillId="6" borderId="7" xfId="0" applyFont="1" applyFill="1" applyBorder="1" applyProtection="1">
      <protection locked="0"/>
    </xf>
    <xf numFmtId="0" fontId="6" fillId="6" borderId="8" xfId="0" applyFont="1" applyFill="1" applyBorder="1" applyProtection="1">
      <protection locked="0"/>
    </xf>
    <xf numFmtId="0" fontId="0" fillId="5" borderId="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11" fillId="4" borderId="2" xfId="0" applyFont="1" applyFill="1" applyBorder="1" applyAlignment="1" applyProtection="1">
      <alignment wrapText="1"/>
      <protection locked="0"/>
    </xf>
    <xf numFmtId="0" fontId="11" fillId="4" borderId="2" xfId="0" applyFont="1" applyFill="1" applyBorder="1" applyProtection="1">
      <protection locked="0"/>
    </xf>
    <xf numFmtId="0" fontId="4" fillId="4" borderId="2" xfId="0" applyFont="1" applyFill="1" applyBorder="1" applyProtection="1">
      <protection locked="0"/>
    </xf>
    <xf numFmtId="0" fontId="4" fillId="4" borderId="2" xfId="0" applyFont="1" applyFill="1" applyBorder="1" applyAlignment="1" applyProtection="1">
      <alignment wrapText="1"/>
      <protection locked="0"/>
    </xf>
    <xf numFmtId="0" fontId="7" fillId="4" borderId="2" xfId="0" applyFont="1" applyFill="1" applyBorder="1" applyProtection="1">
      <protection locked="0"/>
    </xf>
    <xf numFmtId="0" fontId="4" fillId="3" borderId="6" xfId="0" applyFont="1" applyFill="1" applyBorder="1" applyProtection="1"/>
    <xf numFmtId="11" fontId="0" fillId="0" borderId="0" xfId="0" applyNumberFormat="1" applyProtection="1">
      <protection locked="0"/>
    </xf>
    <xf numFmtId="0" fontId="0" fillId="0" borderId="0" xfId="0" applyProtection="1"/>
    <xf numFmtId="0" fontId="0" fillId="0" borderId="11" xfId="0" applyBorder="1" applyProtection="1">
      <protection locked="0"/>
    </xf>
    <xf numFmtId="0" fontId="8" fillId="0" borderId="12" xfId="0" applyFont="1" applyBorder="1" applyProtection="1">
      <protection locked="0"/>
    </xf>
    <xf numFmtId="0" fontId="0" fillId="0" borderId="13" xfId="0" applyBorder="1" applyProtection="1">
      <protection locked="0"/>
    </xf>
    <xf numFmtId="0" fontId="9" fillId="0" borderId="12" xfId="0" applyFont="1" applyBorder="1" applyProtection="1">
      <protection locked="0"/>
    </xf>
    <xf numFmtId="0" fontId="10" fillId="0" borderId="12" xfId="0" applyFont="1" applyBorder="1" applyProtection="1">
      <protection locked="0"/>
    </xf>
    <xf numFmtId="0" fontId="4" fillId="7" borderId="13" xfId="0" applyFont="1" applyFill="1" applyBorder="1" applyProtection="1">
      <protection locked="0"/>
    </xf>
    <xf numFmtId="0" fontId="12" fillId="0" borderId="12" xfId="0" applyFont="1" applyFill="1" applyBorder="1" applyProtection="1">
      <protection locked="0"/>
    </xf>
    <xf numFmtId="0" fontId="4" fillId="0" borderId="13" xfId="0" applyFont="1" applyBorder="1" applyProtection="1">
      <protection locked="0"/>
    </xf>
    <xf numFmtId="0" fontId="10" fillId="0" borderId="12" xfId="0" applyFont="1" applyFill="1" applyBorder="1" applyProtection="1">
      <protection locked="0"/>
    </xf>
    <xf numFmtId="0" fontId="12" fillId="7" borderId="13" xfId="0" applyFont="1" applyFill="1" applyBorder="1" applyAlignment="1" applyProtection="1">
      <alignment wrapText="1"/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12" fillId="8" borderId="13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right" vertical="center"/>
      <protection locked="0"/>
    </xf>
    <xf numFmtId="0" fontId="4" fillId="8" borderId="13" xfId="0" applyFont="1" applyFill="1" applyBorder="1" applyProtection="1">
      <protection locked="0"/>
    </xf>
    <xf numFmtId="0" fontId="15" fillId="9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7" fillId="0" borderId="9" xfId="0" applyFont="1" applyFill="1" applyBorder="1" applyAlignment="1" applyProtection="1">
      <alignment horizontal="center"/>
      <protection locked="0"/>
    </xf>
    <xf numFmtId="0" fontId="7" fillId="0" borderId="10" xfId="0" applyFont="1" applyFill="1" applyBorder="1" applyAlignment="1" applyProtection="1">
      <alignment horizontal="center"/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17" xfId="0" applyBorder="1" applyAlignment="1">
      <alignment horizontal="center"/>
    </xf>
    <xf numFmtId="11" fontId="0" fillId="0" borderId="17" xfId="0" applyNumberFormat="1" applyBorder="1" applyAlignment="1">
      <alignment horizontal="right"/>
    </xf>
    <xf numFmtId="0" fontId="18" fillId="0" borderId="17" xfId="0" applyFont="1" applyBorder="1"/>
    <xf numFmtId="0" fontId="0" fillId="0" borderId="0" xfId="0" applyFont="1" applyAlignment="1">
      <alignment horizontal="right"/>
    </xf>
    <xf numFmtId="0" fontId="0" fillId="10" borderId="17" xfId="0" applyFill="1" applyBorder="1"/>
    <xf numFmtId="0" fontId="0" fillId="10" borderId="17" xfId="0" applyFill="1" applyBorder="1" applyAlignment="1">
      <alignment horizontal="right"/>
    </xf>
    <xf numFmtId="0" fontId="0" fillId="10" borderId="17" xfId="0" applyFill="1" applyBorder="1" applyAlignment="1">
      <alignment horizontal="center"/>
    </xf>
    <xf numFmtId="0" fontId="18" fillId="10" borderId="17" xfId="0" applyFont="1" applyFill="1" applyBorder="1"/>
    <xf numFmtId="0" fontId="15" fillId="9" borderId="2" xfId="0" applyFont="1" applyFill="1" applyBorder="1" applyAlignment="1" applyProtection="1">
      <alignment horizontal="right" vertical="center"/>
      <protection locked="0"/>
    </xf>
    <xf numFmtId="0" fontId="15" fillId="11" borderId="2" xfId="0" applyFont="1" applyFill="1" applyBorder="1" applyAlignment="1" applyProtection="1">
      <alignment horizontal="right" vertical="center"/>
    </xf>
    <xf numFmtId="0" fontId="15" fillId="11" borderId="2" xfId="0" applyNumberFormat="1" applyFont="1" applyFill="1" applyBorder="1" applyAlignment="1" applyProtection="1">
      <alignment horizontal="right" vertical="center"/>
    </xf>
    <xf numFmtId="0" fontId="19" fillId="4" borderId="2" xfId="0" applyFont="1" applyFill="1" applyBorder="1" applyProtection="1">
      <protection locked="0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"/>
  <sheetViews>
    <sheetView tabSelected="1" zoomScale="85" zoomScaleNormal="85" workbookViewId="0">
      <selection activeCell="E9" sqref="E9"/>
    </sheetView>
  </sheetViews>
  <sheetFormatPr defaultRowHeight="15" x14ac:dyDescent="0.25"/>
  <cols>
    <col min="1" max="1" width="9.140625" style="4" customWidth="1"/>
    <col min="2" max="2" width="43.7109375" style="4" customWidth="1"/>
    <col min="3" max="3" width="36.85546875" style="4" customWidth="1"/>
    <col min="4" max="4" width="33.85546875" style="4" customWidth="1"/>
    <col min="5" max="5" width="24.28515625" style="4" customWidth="1"/>
    <col min="6" max="6" width="27.28515625" style="4" customWidth="1"/>
    <col min="7" max="9" width="11.28515625" style="4" hidden="1" customWidth="1"/>
    <col min="10" max="10" width="2.7109375" style="4" hidden="1" customWidth="1"/>
    <col min="11" max="11" width="34.28515625" style="4" customWidth="1"/>
    <col min="12" max="12" width="19.42578125" style="4" customWidth="1"/>
    <col min="13" max="13" width="20.140625" style="4" customWidth="1"/>
    <col min="14" max="14" width="11.140625" style="4" customWidth="1"/>
    <col min="15" max="15" width="12.7109375" style="4" customWidth="1"/>
    <col min="16" max="16" width="15" style="4" customWidth="1"/>
    <col min="17" max="17" width="14.85546875" style="4" customWidth="1"/>
    <col min="18" max="18" width="18.140625" style="4" customWidth="1"/>
    <col min="19" max="20" width="23.85546875" style="4" customWidth="1"/>
    <col min="21" max="21" width="15" style="4" customWidth="1"/>
    <col min="22" max="22" width="12.85546875" style="4" customWidth="1"/>
    <col min="23" max="23" width="9.140625" style="4" customWidth="1"/>
    <col min="24" max="24" width="14.140625" style="4" customWidth="1"/>
    <col min="25" max="25" width="9.140625" style="4" customWidth="1"/>
    <col min="26" max="16384" width="9.140625" style="4"/>
  </cols>
  <sheetData>
    <row r="1" spans="2:3" ht="15.75" thickBot="1" x14ac:dyDescent="0.3"/>
    <row r="2" spans="2:3" x14ac:dyDescent="0.25">
      <c r="B2" s="50" t="s">
        <v>0</v>
      </c>
      <c r="C2" s="50"/>
    </row>
    <row r="3" spans="2:3" x14ac:dyDescent="0.25">
      <c r="B3" s="5" t="s">
        <v>1</v>
      </c>
      <c r="C3" s="6" t="s">
        <v>2</v>
      </c>
    </row>
    <row r="4" spans="2:3" ht="18.75" customHeight="1" x14ac:dyDescent="0.25">
      <c r="B4" s="7" t="s">
        <v>3</v>
      </c>
      <c r="C4" s="8" t="s">
        <v>4</v>
      </c>
    </row>
    <row r="5" spans="2:3" ht="18.75" customHeight="1" thickBot="1" x14ac:dyDescent="0.3">
      <c r="B5" s="9" t="s">
        <v>5</v>
      </c>
      <c r="C5" s="10" t="s">
        <v>6</v>
      </c>
    </row>
    <row r="6" spans="2:3" ht="18.75" customHeight="1" x14ac:dyDescent="0.25">
      <c r="C6" s="11"/>
    </row>
    <row r="7" spans="2:3" ht="9" customHeight="1" thickBot="1" x14ac:dyDescent="0.3">
      <c r="B7" s="11"/>
      <c r="C7" s="11"/>
    </row>
    <row r="8" spans="2:3" ht="50.25" customHeight="1" x14ac:dyDescent="0.25">
      <c r="B8" s="51" t="s">
        <v>7</v>
      </c>
      <c r="C8" s="51"/>
    </row>
    <row r="9" spans="2:3" ht="23.25" customHeight="1" x14ac:dyDescent="0.3">
      <c r="B9" s="12" t="s">
        <v>8</v>
      </c>
      <c r="C9" s="13">
        <v>9600</v>
      </c>
    </row>
    <row r="10" spans="2:3" ht="23.25" customHeight="1" x14ac:dyDescent="0.3">
      <c r="B10" s="14" t="s">
        <v>9</v>
      </c>
      <c r="C10" s="29">
        <f>_xlfn.BITOR(C22,C21)</f>
        <v>23104</v>
      </c>
    </row>
    <row r="11" spans="2:3" ht="23.25" customHeight="1" x14ac:dyDescent="0.3">
      <c r="B11" s="12" t="s">
        <v>10</v>
      </c>
      <c r="C11" s="15">
        <v>14000000</v>
      </c>
    </row>
    <row r="12" spans="2:3" ht="23.25" customHeight="1" x14ac:dyDescent="0.3">
      <c r="B12" s="12" t="s">
        <v>11</v>
      </c>
      <c r="C12" s="13">
        <v>16</v>
      </c>
    </row>
    <row r="13" spans="2:3" ht="18.75" x14ac:dyDescent="0.3">
      <c r="B13" s="16"/>
      <c r="C13" s="17"/>
    </row>
    <row r="14" spans="2:3" ht="18.75" x14ac:dyDescent="0.3">
      <c r="B14" s="18" t="s">
        <v>12</v>
      </c>
      <c r="C14" s="19">
        <f>256*(C11/(C12*C9)-1)</f>
        <v>23077.333333333332</v>
      </c>
    </row>
    <row r="15" spans="2:3" ht="18.75" x14ac:dyDescent="0.3">
      <c r="B15" s="18" t="s">
        <v>13</v>
      </c>
      <c r="C15" s="19">
        <f>(C11/(C12*C9)-1)</f>
        <v>90.145833333333329</v>
      </c>
    </row>
    <row r="16" spans="2:3" ht="18.75" x14ac:dyDescent="0.3">
      <c r="B16" s="18" t="s">
        <v>14</v>
      </c>
      <c r="C16" s="19">
        <f>INT(C15)</f>
        <v>90</v>
      </c>
    </row>
    <row r="17" spans="2:12" ht="18.75" x14ac:dyDescent="0.3">
      <c r="B17" s="18" t="s">
        <v>15</v>
      </c>
      <c r="C17" s="19">
        <f>MOD(C15,C16)</f>
        <v>0.1458333333333286</v>
      </c>
    </row>
    <row r="18" spans="2:12" ht="18.75" x14ac:dyDescent="0.3">
      <c r="B18" s="18" t="s">
        <v>16</v>
      </c>
      <c r="C18" s="19">
        <f>ROUND(C17/0.25,0)</f>
        <v>1</v>
      </c>
    </row>
    <row r="19" spans="2:12" ht="18.75" x14ac:dyDescent="0.3">
      <c r="B19" s="18" t="s">
        <v>17</v>
      </c>
      <c r="C19" s="19">
        <f>MOD(C18,4)</f>
        <v>1</v>
      </c>
    </row>
    <row r="20" spans="2:12" ht="18.75" x14ac:dyDescent="0.3">
      <c r="B20" s="18" t="s">
        <v>18</v>
      </c>
      <c r="C20" s="19">
        <f>C16+INT(C18/4)</f>
        <v>90</v>
      </c>
    </row>
    <row r="21" spans="2:12" ht="18.75" x14ac:dyDescent="0.3">
      <c r="B21" s="18" t="s">
        <v>19</v>
      </c>
      <c r="C21" s="19">
        <f>_xlfn.BITLSHIFT(C19,6)</f>
        <v>64</v>
      </c>
    </row>
    <row r="22" spans="2:12" ht="18.75" x14ac:dyDescent="0.3">
      <c r="B22" s="18" t="s">
        <v>20</v>
      </c>
      <c r="C22" s="19">
        <f>_xlfn.BITLSHIFT(C20,8)</f>
        <v>23040</v>
      </c>
    </row>
    <row r="23" spans="2:12" ht="18.75" x14ac:dyDescent="0.3">
      <c r="B23" s="18" t="s">
        <v>21</v>
      </c>
      <c r="C23" s="19">
        <f>C20+(0.25*C19)</f>
        <v>90.25</v>
      </c>
    </row>
    <row r="24" spans="2:12" ht="27" thickBot="1" x14ac:dyDescent="0.45">
      <c r="B24" s="20" t="s">
        <v>22</v>
      </c>
      <c r="C24" s="21">
        <f>IF(C11/(C12*C9)&lt;1,"Too big Baud Rate",IF(C16&lt;1,"Too big Baud Rate",IF(C10&gt;2097088,"Baud Rate too low",)))</f>
        <v>0</v>
      </c>
    </row>
    <row r="27" spans="2:12" ht="15.75" thickBot="1" x14ac:dyDescent="0.3"/>
    <row r="28" spans="2:12" ht="23.25" x14ac:dyDescent="0.35">
      <c r="B28" s="52" t="s">
        <v>23</v>
      </c>
      <c r="C28" s="53"/>
      <c r="D28" s="53"/>
      <c r="E28" s="32"/>
    </row>
    <row r="29" spans="2:12" ht="21" x14ac:dyDescent="0.35">
      <c r="B29" s="33" t="s">
        <v>24</v>
      </c>
      <c r="C29" s="66" t="s">
        <v>64</v>
      </c>
      <c r="D29" s="22">
        <f>HEX2DEC(C29)</f>
        <v>1073800244</v>
      </c>
      <c r="E29" s="34"/>
    </row>
    <row r="30" spans="2:12" ht="21" x14ac:dyDescent="0.35">
      <c r="B30" s="35" t="s">
        <v>25</v>
      </c>
      <c r="C30" s="49" t="str">
        <f>DEC2HEX(D30)</f>
        <v>4000E434</v>
      </c>
      <c r="D30" s="22">
        <f>D29+((C34-1)*J32)</f>
        <v>1073800244</v>
      </c>
      <c r="E30" s="34"/>
      <c r="L30" s="22"/>
    </row>
    <row r="31" spans="2:12" ht="21" x14ac:dyDescent="0.35">
      <c r="B31" s="36" t="s">
        <v>26</v>
      </c>
      <c r="C31" s="46">
        <f>C34-1</f>
        <v>8</v>
      </c>
      <c r="D31" s="23" t="str">
        <f>IF(C31&gt;1023, "Too many transfers!","")</f>
        <v/>
      </c>
      <c r="E31" s="34"/>
      <c r="G31" s="31">
        <f>_xlfn.BITOR(_xlfn.BITLSHIFT(C32,30),_xlfn.BITLSHIFT(C33,28))</f>
        <v>3221225472</v>
      </c>
      <c r="H31" s="31"/>
      <c r="I31" s="31"/>
      <c r="J31" s="31"/>
      <c r="K31" s="31"/>
    </row>
    <row r="32" spans="2:12" ht="21" x14ac:dyDescent="0.35">
      <c r="B32" s="36" t="s">
        <v>27</v>
      </c>
      <c r="C32" s="47">
        <v>3</v>
      </c>
      <c r="D32" s="24" t="str">
        <f>IF(C38&gt;C32, "dst_inc must be greater thatn or equal src_size",IF(C32&gt;3,"Too big value",""))</f>
        <v/>
      </c>
      <c r="E32" s="37" t="str">
        <f>IF(C32=0,"Byte",IF(C32=1,"HalfWord",IF(C32=2,"Word",IF(C32=3,"No increment",""))))</f>
        <v>No increment</v>
      </c>
      <c r="G32" s="31">
        <f>_xlfn.BITOR(_xlfn.BITLSHIFT(C37,26),_xlfn.BITLSHIFT(C38,24))</f>
        <v>0</v>
      </c>
      <c r="H32" s="31">
        <f>_xlfn.BITOR(G31,G32)</f>
        <v>3221225472</v>
      </c>
      <c r="I32" s="31"/>
      <c r="J32" s="31">
        <f>IF(C32=0,1,IF(C32=1,2,IF(C32=2,4,0)))</f>
        <v>0</v>
      </c>
      <c r="K32" s="31"/>
    </row>
    <row r="33" spans="1:11" ht="21" x14ac:dyDescent="0.35">
      <c r="B33" s="36" t="s">
        <v>28</v>
      </c>
      <c r="C33" s="46">
        <f>C38</f>
        <v>0</v>
      </c>
      <c r="D33" s="25"/>
      <c r="E33" s="37" t="str">
        <f>IF(C33=0,"Byte",IF(C33=1,"HalfWord",IF(C33=2,"Word",IF(C33=3,"No increment",""))))</f>
        <v>Byte</v>
      </c>
      <c r="G33" s="31">
        <f>_xlfn.BITOR(_xlfn.BITLSHIFT(C39,21),_xlfn.BITLSHIFT(C40,18))</f>
        <v>0</v>
      </c>
      <c r="H33" s="31"/>
      <c r="I33" s="31"/>
      <c r="J33" s="31"/>
      <c r="K33" s="31"/>
    </row>
    <row r="34" spans="1:11" ht="21" x14ac:dyDescent="0.35">
      <c r="B34" s="38" t="s">
        <v>29</v>
      </c>
      <c r="C34" s="47">
        <v>9</v>
      </c>
      <c r="D34" s="26" t="str">
        <f>IF(C34&gt;1024,"Too big number!","")</f>
        <v/>
      </c>
      <c r="E34" s="37" t="str">
        <f>IF(C34=0,"Byte",IF(C34=1,"HalfWord",IF(C34=2,"Word",IF(C34=3,"No increment",""))))</f>
        <v/>
      </c>
      <c r="G34" s="31">
        <f>_xlfn.BITOR(_xlfn.BITLSHIFT(C41,14),_xlfn.BITLSHIFT(C31,4))</f>
        <v>128</v>
      </c>
      <c r="H34" s="31">
        <f>_xlfn.BITOR(G33,G34)</f>
        <v>128</v>
      </c>
      <c r="I34" s="31">
        <f>_xlfn.BITOR(H32,H34)</f>
        <v>3221225600</v>
      </c>
      <c r="J34" s="31"/>
      <c r="K34" s="31"/>
    </row>
    <row r="35" spans="1:11" ht="21" x14ac:dyDescent="0.35">
      <c r="B35" s="33" t="s">
        <v>30</v>
      </c>
      <c r="C35" s="65">
        <v>20000200</v>
      </c>
      <c r="D35" s="22">
        <f>HEX2DEC(C35)</f>
        <v>536871424</v>
      </c>
      <c r="E35" s="48" t="str">
        <f>IF(D35=1073800220,"UART1 RxData","")</f>
        <v/>
      </c>
      <c r="G35" s="31">
        <f>_xlfn.BITOR(_xlfn.BITLSHIFT(C42,3),_xlfn.BITLSHIFT(C43,0))</f>
        <v>1</v>
      </c>
      <c r="H35" s="31"/>
      <c r="I35" s="31"/>
      <c r="J35" s="31">
        <f>_xlfn.BITOR(I34,G35)</f>
        <v>3221225601</v>
      </c>
      <c r="K35" s="31"/>
    </row>
    <row r="36" spans="1:11" ht="21" x14ac:dyDescent="0.35">
      <c r="B36" s="35" t="s">
        <v>31</v>
      </c>
      <c r="C36" s="64" t="str">
        <f>DEC2HEX(D36)</f>
        <v>20000208</v>
      </c>
      <c r="D36" s="22">
        <f>D35+(C34*J37)-1</f>
        <v>536871432</v>
      </c>
      <c r="E36" s="39"/>
      <c r="G36" s="31"/>
      <c r="H36" s="31"/>
      <c r="I36" s="31"/>
      <c r="J36" s="31" t="str">
        <f>DEC2HEX(J35)</f>
        <v>C0000081</v>
      </c>
      <c r="K36" s="31"/>
    </row>
    <row r="37" spans="1:11" ht="21" x14ac:dyDescent="0.35">
      <c r="B37" s="36" t="s">
        <v>33</v>
      </c>
      <c r="C37" s="47">
        <v>0</v>
      </c>
      <c r="D37" s="27" t="str">
        <f>IF(C38&gt;C37,"src_inc mus be greater than or equal to src_size",IF(C37&gt;3,"src_inc too big",""))</f>
        <v/>
      </c>
      <c r="E37" s="37" t="str">
        <f>IF(C37=0,"Byte",IF(C37=1,"HalfWord",IF(C37=2,"Word",IF(C37=3,"No increment",""))))</f>
        <v>Byte</v>
      </c>
      <c r="G37" s="31"/>
      <c r="H37" s="31"/>
      <c r="I37" s="31"/>
      <c r="J37" s="31">
        <f>IF(C37=0,1,IF(C37=1,2,IF(C37=2,4,0)))</f>
        <v>1</v>
      </c>
      <c r="K37" s="31"/>
    </row>
    <row r="38" spans="1:11" ht="23.25" x14ac:dyDescent="0.35">
      <c r="B38" s="36" t="s">
        <v>34</v>
      </c>
      <c r="C38" s="47">
        <v>0</v>
      </c>
      <c r="D38" s="28" t="str">
        <f>IF(C38&gt;2, "src_size too big","")</f>
        <v/>
      </c>
      <c r="E38" s="37" t="str">
        <f>IF(C38=0,"Byte",IF(C38=1,"HalfWord",IF(C38=2,"Word",IF(C38=3,"No increment",""))))</f>
        <v>Byte</v>
      </c>
      <c r="G38" s="31"/>
      <c r="H38" s="31"/>
      <c r="I38" s="31"/>
      <c r="J38" s="31"/>
      <c r="K38" s="31"/>
    </row>
    <row r="39" spans="1:11" ht="21" x14ac:dyDescent="0.35">
      <c r="B39" s="36" t="s">
        <v>35</v>
      </c>
      <c r="C39" s="47">
        <v>0</v>
      </c>
      <c r="D39" s="67" t="str">
        <f>IF(C39&gt;1,"Too big value","")</f>
        <v/>
      </c>
      <c r="E39" s="34" t="str">
        <f>IF(C39=0,"Access Non Priviledged",IF(C39=1,"Access Priviledged","Must be 0 or 1"))</f>
        <v>Access Non Priviledged</v>
      </c>
      <c r="G39" s="31"/>
      <c r="H39" s="31"/>
      <c r="I39" s="31"/>
      <c r="J39" s="31"/>
      <c r="K39" s="31"/>
    </row>
    <row r="40" spans="1:11" ht="21" x14ac:dyDescent="0.35">
      <c r="B40" s="40" t="s">
        <v>36</v>
      </c>
      <c r="C40" s="47">
        <v>0</v>
      </c>
      <c r="D40" s="67" t="str">
        <f>IF(C40&gt;1,"Too big value","")</f>
        <v/>
      </c>
      <c r="E40" s="34" t="str">
        <f>IF(C40=0,"Access Non Priviledged",IF(C40=1,"Access Priviledged","Must be 0 or 1"))</f>
        <v>Access Non Priviledged</v>
      </c>
      <c r="G40" s="31"/>
      <c r="H40" s="31"/>
      <c r="I40" s="31"/>
      <c r="J40" s="31"/>
      <c r="K40" s="31"/>
    </row>
    <row r="41" spans="1:11" ht="42" x14ac:dyDescent="0.35">
      <c r="B41" s="36" t="s">
        <v>37</v>
      </c>
      <c r="C41" s="47">
        <v>0</v>
      </c>
      <c r="D41" s="67" t="str">
        <f>IF(C41&gt;15,"Value too big","")</f>
        <v/>
      </c>
      <c r="E41" s="41" t="str">
        <f>CONCATENATE("Arbitrate after ",G41," transfers")</f>
        <v>Arbitrate after 1 transfers</v>
      </c>
      <c r="F41" s="11"/>
      <c r="G41" s="31">
        <f>2^C41</f>
        <v>1</v>
      </c>
      <c r="H41" s="31"/>
      <c r="I41" s="31"/>
      <c r="J41" s="31"/>
      <c r="K41" s="31"/>
    </row>
    <row r="42" spans="1:11" ht="21" x14ac:dyDescent="0.35">
      <c r="B42" s="40" t="s">
        <v>38</v>
      </c>
      <c r="C42" s="47">
        <v>0</v>
      </c>
      <c r="D42" s="67" t="str">
        <f>IF(C42&gt;1,"Too big value","")</f>
        <v/>
      </c>
      <c r="E42" s="34"/>
      <c r="G42" s="31"/>
      <c r="H42" s="31"/>
      <c r="I42" s="31"/>
      <c r="J42" s="31"/>
      <c r="K42" s="31"/>
    </row>
    <row r="43" spans="1:11" ht="21" x14ac:dyDescent="0.35">
      <c r="B43" s="40" t="s">
        <v>39</v>
      </c>
      <c r="C43" s="47">
        <v>1</v>
      </c>
      <c r="D43" s="67" t="str">
        <f>IF(C43&gt;7,"Too big value","")</f>
        <v/>
      </c>
      <c r="E43" s="45" t="str">
        <f>IF(C43=0,"Invalid/Stop",IF(C43=1,"Basic cycle",IF(C43=2,"Auto-request cycle",IF(C43=3,"Ping-pong",IF(C43=4,"Memory scatter/gather","")))))</f>
        <v>Basic cycle</v>
      </c>
    </row>
    <row r="44" spans="1:11" ht="15.75" thickBot="1" x14ac:dyDescent="0.3">
      <c r="B44" s="42"/>
      <c r="C44" s="43"/>
      <c r="D44" s="43"/>
      <c r="E44" s="44"/>
    </row>
    <row r="47" spans="1:11" x14ac:dyDescent="0.25">
      <c r="A47" s="4" t="s">
        <v>40</v>
      </c>
      <c r="B47" s="4" t="s">
        <v>41</v>
      </c>
      <c r="C47" s="4" t="str">
        <f>CONCATENATE("0x",C36)</f>
        <v>0x20000208</v>
      </c>
    </row>
    <row r="48" spans="1:11" x14ac:dyDescent="0.25">
      <c r="A48" s="4" t="s">
        <v>42</v>
      </c>
      <c r="B48" s="4" t="s">
        <v>43</v>
      </c>
      <c r="C48" s="30" t="str">
        <f>CONCATENATE("0x",C30)</f>
        <v>0x4000E434</v>
      </c>
    </row>
    <row r="49" spans="1:3" x14ac:dyDescent="0.25">
      <c r="A49" s="4" t="s">
        <v>44</v>
      </c>
      <c r="B49" s="4" t="s">
        <v>45</v>
      </c>
      <c r="C49" s="31" t="str">
        <f>CONCATENATE("0x",J36)</f>
        <v>0xC0000081</v>
      </c>
    </row>
    <row r="50" spans="1:3" x14ac:dyDescent="0.25">
      <c r="A50" s="4" t="s">
        <v>46</v>
      </c>
      <c r="B50" s="4" t="s">
        <v>47</v>
      </c>
    </row>
  </sheetData>
  <mergeCells count="3">
    <mergeCell ref="B2:C2"/>
    <mergeCell ref="B8:C8"/>
    <mergeCell ref="B28:D28"/>
  </mergeCells>
  <pageMargins left="0.70000000000000007" right="0.70000000000000007" top="0.75" bottom="0.75" header="0.30000000000000004" footer="0.30000000000000004"/>
  <pageSetup paperSize="9" fitToWidth="0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C7" workbookViewId="0">
      <selection activeCell="H24" sqref="H24"/>
    </sheetView>
  </sheetViews>
  <sheetFormatPr defaultRowHeight="15" x14ac:dyDescent="0.25"/>
  <cols>
    <col min="1" max="1" width="0" hidden="1" customWidth="1"/>
    <col min="2" max="2" width="10" hidden="1" customWidth="1"/>
    <col min="3" max="3" width="10" customWidth="1"/>
    <col min="4" max="4" width="12.85546875" bestFit="1" customWidth="1"/>
    <col min="5" max="5" width="26.42578125" customWidth="1"/>
    <col min="6" max="6" width="18.140625" customWidth="1"/>
    <col min="7" max="7" width="21.7109375" customWidth="1"/>
    <col min="8" max="8" width="27.140625" customWidth="1"/>
    <col min="9" max="9" width="24.7109375" customWidth="1"/>
    <col min="10" max="10" width="9.140625" customWidth="1"/>
  </cols>
  <sheetData>
    <row r="1" spans="1:8" x14ac:dyDescent="0.25">
      <c r="E1" s="1"/>
      <c r="F1" s="2"/>
      <c r="G1" s="2"/>
      <c r="H1" s="2"/>
    </row>
    <row r="2" spans="1:8" x14ac:dyDescent="0.25">
      <c r="E2" s="1"/>
      <c r="F2" s="2"/>
      <c r="G2" s="2"/>
      <c r="H2" s="2"/>
    </row>
    <row r="3" spans="1:8" x14ac:dyDescent="0.25">
      <c r="E3" s="1"/>
      <c r="F3" s="2"/>
      <c r="G3" s="2"/>
      <c r="H3" s="2"/>
    </row>
    <row r="4" spans="1:8" x14ac:dyDescent="0.25">
      <c r="A4">
        <v>20000000</v>
      </c>
      <c r="B4">
        <f>HEX2DEC(A4)</f>
        <v>536870912</v>
      </c>
      <c r="D4" t="str">
        <f>DEC2HEX(B4)</f>
        <v>20000000</v>
      </c>
      <c r="E4" s="1" t="s">
        <v>48</v>
      </c>
      <c r="F4" s="2" t="s">
        <v>32</v>
      </c>
      <c r="G4" s="2"/>
      <c r="H4" s="2"/>
    </row>
    <row r="5" spans="1:8" x14ac:dyDescent="0.25">
      <c r="A5">
        <f>A4+4</f>
        <v>20000004</v>
      </c>
      <c r="B5">
        <f>HEX2DEC(A5)</f>
        <v>536870916</v>
      </c>
      <c r="D5" t="str">
        <f>DEC2HEX(B5)</f>
        <v>20000004</v>
      </c>
      <c r="E5" s="1" t="s">
        <v>49</v>
      </c>
      <c r="F5" s="2" t="s">
        <v>50</v>
      </c>
      <c r="G5" s="2"/>
      <c r="H5" s="2"/>
    </row>
    <row r="6" spans="1:8" x14ac:dyDescent="0.25">
      <c r="A6">
        <f>A5+4</f>
        <v>20000008</v>
      </c>
      <c r="B6">
        <f>HEX2DEC(A6)</f>
        <v>536870920</v>
      </c>
      <c r="D6" t="str">
        <f>DEC2HEX(B6)</f>
        <v>20000008</v>
      </c>
      <c r="E6" s="1" t="s">
        <v>51</v>
      </c>
      <c r="F6" s="2" t="s">
        <v>52</v>
      </c>
      <c r="G6" s="2"/>
      <c r="H6" s="2"/>
    </row>
    <row r="7" spans="1:8" x14ac:dyDescent="0.25">
      <c r="A7" t="s">
        <v>53</v>
      </c>
      <c r="B7">
        <f>HEX2DEC(A7)</f>
        <v>536870924</v>
      </c>
      <c r="D7" t="str">
        <f>DEC2HEX(B7)</f>
        <v>2000000C</v>
      </c>
      <c r="E7" s="1" t="s">
        <v>54</v>
      </c>
      <c r="F7" s="2"/>
      <c r="G7" s="2"/>
      <c r="H7" s="2"/>
    </row>
    <row r="8" spans="1:8" x14ac:dyDescent="0.25">
      <c r="E8" s="1"/>
      <c r="F8" s="2"/>
      <c r="G8" s="2"/>
      <c r="H8" s="2"/>
    </row>
    <row r="9" spans="1:8" x14ac:dyDescent="0.25">
      <c r="E9" s="1"/>
      <c r="F9" s="2"/>
      <c r="G9" s="2"/>
      <c r="H9" s="2"/>
    </row>
    <row r="10" spans="1:8" x14ac:dyDescent="0.25">
      <c r="E10" s="1"/>
      <c r="F10" s="2"/>
      <c r="G10" s="2"/>
      <c r="H10" s="2"/>
    </row>
    <row r="11" spans="1:8" ht="18.75" x14ac:dyDescent="0.3">
      <c r="E11" s="3" t="s">
        <v>55</v>
      </c>
      <c r="F11" s="2" t="s">
        <v>56</v>
      </c>
      <c r="G11" s="2"/>
      <c r="H11" s="2"/>
    </row>
    <row r="12" spans="1:8" ht="18.75" x14ac:dyDescent="0.3">
      <c r="E12" s="3" t="s">
        <v>57</v>
      </c>
      <c r="F12" s="2">
        <v>1</v>
      </c>
      <c r="G12" s="2"/>
      <c r="H12" s="2"/>
    </row>
    <row r="13" spans="1:8" ht="18.75" x14ac:dyDescent="0.3">
      <c r="E13" s="3" t="s">
        <v>58</v>
      </c>
      <c r="F13" s="2">
        <v>1</v>
      </c>
      <c r="G13" s="2"/>
      <c r="H13" s="2"/>
    </row>
    <row r="14" spans="1:8" x14ac:dyDescent="0.25">
      <c r="E14" s="1"/>
      <c r="F14" s="2"/>
      <c r="G14" s="2"/>
      <c r="H14" s="2"/>
    </row>
    <row r="15" spans="1:8" x14ac:dyDescent="0.25">
      <c r="E15" s="1"/>
      <c r="F15" s="2"/>
      <c r="G15" s="2"/>
      <c r="H15" s="2"/>
    </row>
    <row r="16" spans="1:8" x14ac:dyDescent="0.25">
      <c r="E16" s="1"/>
      <c r="F16" s="2"/>
      <c r="G16" s="2"/>
      <c r="H16" s="2"/>
    </row>
    <row r="17" spans="3:9" x14ac:dyDescent="0.25">
      <c r="E17" s="1"/>
      <c r="F17" s="2"/>
      <c r="G17" s="2"/>
      <c r="H17" s="2"/>
    </row>
    <row r="18" spans="3:9" x14ac:dyDescent="0.25">
      <c r="E18" s="1"/>
      <c r="F18" s="2"/>
      <c r="G18" s="2"/>
      <c r="H18" s="2"/>
    </row>
    <row r="19" spans="3:9" x14ac:dyDescent="0.25">
      <c r="E19" s="1"/>
      <c r="F19" s="2"/>
      <c r="G19" s="2"/>
      <c r="H19" s="2"/>
    </row>
    <row r="20" spans="3:9" x14ac:dyDescent="0.25">
      <c r="E20" s="1"/>
      <c r="F20" s="2"/>
      <c r="G20" s="2"/>
      <c r="H20" s="2"/>
    </row>
    <row r="21" spans="3:9" x14ac:dyDescent="0.25">
      <c r="E21" s="1"/>
      <c r="F21" s="2"/>
      <c r="G21" s="2"/>
      <c r="H21" s="2"/>
    </row>
    <row r="22" spans="3:9" x14ac:dyDescent="0.25">
      <c r="C22" s="54"/>
      <c r="D22" s="54"/>
      <c r="E22" s="55" t="s">
        <v>59</v>
      </c>
      <c r="F22" s="56"/>
      <c r="G22" s="56"/>
      <c r="H22" s="56"/>
      <c r="I22" s="54"/>
    </row>
    <row r="23" spans="3:9" x14ac:dyDescent="0.25">
      <c r="C23" s="54"/>
      <c r="D23" s="54" t="s">
        <v>61</v>
      </c>
      <c r="E23" s="57" t="s">
        <v>60</v>
      </c>
      <c r="F23" s="56">
        <f>HEX2DEC(E23)</f>
        <v>1073800192</v>
      </c>
      <c r="G23" s="56"/>
      <c r="H23" s="56"/>
      <c r="I23" s="54"/>
    </row>
    <row r="24" spans="3:9" ht="21" x14ac:dyDescent="0.35">
      <c r="C24" s="60" t="s">
        <v>62</v>
      </c>
      <c r="D24" s="60" t="s">
        <v>63</v>
      </c>
      <c r="E24" s="61">
        <v>34</v>
      </c>
      <c r="F24" s="62">
        <f>HEX2DEC(E24)</f>
        <v>52</v>
      </c>
      <c r="G24" s="62">
        <f>F24+$F$23</f>
        <v>1073800244</v>
      </c>
      <c r="H24" s="62" t="str">
        <f>DEC2HEX(G24)</f>
        <v>4000E434</v>
      </c>
      <c r="I24" s="63" t="str">
        <f>CONCATENATE("0x",H24)</f>
        <v>0x4000E434</v>
      </c>
    </row>
    <row r="25" spans="3:9" ht="21" x14ac:dyDescent="0.35">
      <c r="E25" s="1"/>
      <c r="F25" s="56">
        <f t="shared" ref="F25:F34" si="0">HEX2DEC(E25)</f>
        <v>0</v>
      </c>
      <c r="G25" s="56">
        <f t="shared" ref="G25:G34" si="1">F25+$F$23</f>
        <v>1073800192</v>
      </c>
      <c r="H25" s="56" t="str">
        <f>DEC2HEX(G25)</f>
        <v>4000E400</v>
      </c>
      <c r="I25" s="58" t="str">
        <f>CONCATENATE("0x",H25)</f>
        <v>0x4000E400</v>
      </c>
    </row>
    <row r="26" spans="3:9" ht="21" x14ac:dyDescent="0.35">
      <c r="E26" s="59"/>
      <c r="F26" s="56">
        <f t="shared" si="0"/>
        <v>0</v>
      </c>
      <c r="G26" s="56">
        <f t="shared" si="1"/>
        <v>1073800192</v>
      </c>
      <c r="H26" s="56" t="str">
        <f t="shared" ref="H26:H34" si="2">DEC2HEX(G26)</f>
        <v>4000E400</v>
      </c>
      <c r="I26" s="58"/>
    </row>
    <row r="27" spans="3:9" ht="21" x14ac:dyDescent="0.35">
      <c r="E27" s="59"/>
      <c r="F27" s="56">
        <f t="shared" si="0"/>
        <v>0</v>
      </c>
      <c r="G27" s="56">
        <f t="shared" si="1"/>
        <v>1073800192</v>
      </c>
      <c r="H27" s="56" t="str">
        <f t="shared" si="2"/>
        <v>4000E400</v>
      </c>
      <c r="I27" s="58"/>
    </row>
    <row r="28" spans="3:9" ht="21" x14ac:dyDescent="0.35">
      <c r="E28" s="59"/>
      <c r="F28" s="56">
        <f t="shared" si="0"/>
        <v>0</v>
      </c>
      <c r="G28" s="56">
        <f t="shared" si="1"/>
        <v>1073800192</v>
      </c>
      <c r="H28" s="56" t="str">
        <f t="shared" si="2"/>
        <v>4000E400</v>
      </c>
      <c r="I28" s="58"/>
    </row>
    <row r="29" spans="3:9" ht="21" x14ac:dyDescent="0.35">
      <c r="E29" s="59"/>
      <c r="F29" s="56">
        <f t="shared" si="0"/>
        <v>0</v>
      </c>
      <c r="G29" s="56">
        <f t="shared" si="1"/>
        <v>1073800192</v>
      </c>
      <c r="H29" s="56" t="str">
        <f t="shared" si="2"/>
        <v>4000E400</v>
      </c>
      <c r="I29" s="58"/>
    </row>
    <row r="30" spans="3:9" ht="21" x14ac:dyDescent="0.35">
      <c r="E30" s="59"/>
      <c r="F30" s="56">
        <f t="shared" si="0"/>
        <v>0</v>
      </c>
      <c r="G30" s="56">
        <f t="shared" si="1"/>
        <v>1073800192</v>
      </c>
      <c r="H30" s="56" t="str">
        <f t="shared" si="2"/>
        <v>4000E400</v>
      </c>
      <c r="I30" s="58"/>
    </row>
    <row r="31" spans="3:9" ht="21" x14ac:dyDescent="0.35">
      <c r="E31" s="59"/>
      <c r="F31" s="56">
        <f t="shared" si="0"/>
        <v>0</v>
      </c>
      <c r="G31" s="56">
        <f t="shared" si="1"/>
        <v>1073800192</v>
      </c>
      <c r="H31" s="56" t="str">
        <f t="shared" si="2"/>
        <v>4000E400</v>
      </c>
      <c r="I31" s="58"/>
    </row>
    <row r="32" spans="3:9" ht="21" x14ac:dyDescent="0.35">
      <c r="E32" s="59"/>
      <c r="F32" s="56">
        <f t="shared" si="0"/>
        <v>0</v>
      </c>
      <c r="G32" s="56">
        <f t="shared" si="1"/>
        <v>1073800192</v>
      </c>
      <c r="H32" s="56" t="str">
        <f t="shared" si="2"/>
        <v>4000E400</v>
      </c>
      <c r="I32" s="58"/>
    </row>
    <row r="33" spans="5:9" ht="21" x14ac:dyDescent="0.35">
      <c r="E33" s="59"/>
      <c r="F33" s="56">
        <f t="shared" si="0"/>
        <v>0</v>
      </c>
      <c r="G33" s="56">
        <f t="shared" si="1"/>
        <v>1073800192</v>
      </c>
      <c r="H33" s="56" t="str">
        <f t="shared" si="2"/>
        <v>4000E400</v>
      </c>
      <c r="I33" s="58"/>
    </row>
    <row r="34" spans="5:9" ht="21" x14ac:dyDescent="0.35">
      <c r="E34" s="59"/>
      <c r="F34" s="56">
        <f t="shared" si="0"/>
        <v>0</v>
      </c>
      <c r="G34" s="56">
        <f t="shared" si="1"/>
        <v>1073800192</v>
      </c>
      <c r="H34" s="56" t="str">
        <f t="shared" si="2"/>
        <v>4000E400</v>
      </c>
      <c r="I34" s="58"/>
    </row>
    <row r="35" spans="5:9" ht="21" x14ac:dyDescent="0.35">
      <c r="E35" s="59"/>
      <c r="F35" s="56"/>
      <c r="G35" s="56"/>
      <c r="H35" s="56"/>
      <c r="I35" s="58"/>
    </row>
    <row r="36" spans="5:9" ht="21" x14ac:dyDescent="0.35">
      <c r="E36" s="59"/>
      <c r="F36" s="56"/>
      <c r="G36" s="56"/>
      <c r="H36" s="56"/>
      <c r="I36" s="58"/>
    </row>
    <row r="37" spans="5:9" ht="21" x14ac:dyDescent="0.35">
      <c r="E37" s="59"/>
      <c r="F37" s="56"/>
      <c r="G37" s="56"/>
      <c r="H37" s="56"/>
      <c r="I37" s="58"/>
    </row>
    <row r="38" spans="5:9" ht="21" x14ac:dyDescent="0.35">
      <c r="E38" s="59"/>
      <c r="F38" s="56"/>
      <c r="G38" s="56"/>
      <c r="H38" s="56"/>
      <c r="I38" s="58"/>
    </row>
    <row r="39" spans="5:9" ht="21" x14ac:dyDescent="0.35">
      <c r="E39" s="59"/>
      <c r="F39" s="56"/>
      <c r="G39" s="56"/>
      <c r="H39" s="56"/>
      <c r="I39" s="58"/>
    </row>
    <row r="40" spans="5:9" ht="21" x14ac:dyDescent="0.35">
      <c r="E40" s="59"/>
      <c r="F40" s="56"/>
      <c r="G40" s="56"/>
      <c r="H40" s="56"/>
      <c r="I40" s="58"/>
    </row>
    <row r="41" spans="5:9" ht="21" x14ac:dyDescent="0.35">
      <c r="E41" s="59"/>
      <c r="F41" s="56"/>
      <c r="G41" s="56"/>
      <c r="H41" s="56"/>
      <c r="I41" s="58"/>
    </row>
    <row r="42" spans="5:9" ht="21" x14ac:dyDescent="0.35">
      <c r="E42" s="59"/>
      <c r="F42" s="56"/>
      <c r="G42" s="56"/>
      <c r="H42" s="56"/>
      <c r="I42" s="58"/>
    </row>
    <row r="43" spans="5:9" ht="21" x14ac:dyDescent="0.35">
      <c r="E43" s="59"/>
      <c r="F43" s="56"/>
      <c r="G43" s="56"/>
      <c r="H43" s="56"/>
      <c r="I43" s="58"/>
    </row>
    <row r="44" spans="5:9" ht="21" x14ac:dyDescent="0.35">
      <c r="E44" s="59"/>
      <c r="F44" s="56"/>
      <c r="G44" s="56"/>
      <c r="H44" s="56"/>
      <c r="I44" s="58"/>
    </row>
    <row r="45" spans="5:9" ht="21" x14ac:dyDescent="0.35">
      <c r="E45" s="59"/>
      <c r="F45" s="56"/>
      <c r="G45" s="56"/>
      <c r="H45" s="56"/>
      <c r="I45" s="58"/>
    </row>
    <row r="46" spans="5:9" ht="21" x14ac:dyDescent="0.35">
      <c r="E46" s="59"/>
      <c r="F46" s="56"/>
      <c r="G46" s="56"/>
      <c r="H46" s="56"/>
      <c r="I46" s="58"/>
    </row>
    <row r="47" spans="5:9" ht="21" x14ac:dyDescent="0.35">
      <c r="E47" s="59"/>
      <c r="F47" s="56"/>
      <c r="G47" s="56"/>
      <c r="H47" s="56"/>
      <c r="I47" s="58"/>
    </row>
    <row r="48" spans="5:9" ht="21" x14ac:dyDescent="0.35">
      <c r="E48" s="59"/>
      <c r="F48" s="56"/>
      <c r="G48" s="56"/>
      <c r="H48" s="56"/>
      <c r="I48" s="58"/>
    </row>
    <row r="49" spans="5:9" ht="21" x14ac:dyDescent="0.35">
      <c r="E49" s="59"/>
      <c r="F49" s="56"/>
      <c r="G49" s="56"/>
      <c r="H49" s="56"/>
      <c r="I49" s="58"/>
    </row>
    <row r="50" spans="5:9" ht="21" x14ac:dyDescent="0.35">
      <c r="E50" s="59"/>
      <c r="F50" s="56"/>
      <c r="G50" s="56"/>
      <c r="H50" s="56"/>
      <c r="I50" s="58"/>
    </row>
    <row r="51" spans="5:9" ht="21" x14ac:dyDescent="0.35">
      <c r="E51" s="59"/>
      <c r="F51" s="56"/>
      <c r="G51" s="56"/>
      <c r="H51" s="56"/>
      <c r="I51" s="58"/>
    </row>
    <row r="52" spans="5:9" ht="21" x14ac:dyDescent="0.35">
      <c r="E52" s="59"/>
      <c r="F52" s="56"/>
      <c r="G52" s="56"/>
      <c r="H52" s="56"/>
      <c r="I52" s="58"/>
    </row>
    <row r="53" spans="5:9" ht="21" x14ac:dyDescent="0.35">
      <c r="E53" s="59"/>
      <c r="F53" s="56"/>
      <c r="G53" s="56"/>
      <c r="H53" s="56"/>
      <c r="I53" s="58"/>
    </row>
    <row r="54" spans="5:9" ht="21" x14ac:dyDescent="0.35">
      <c r="E54" s="59"/>
      <c r="F54" s="56"/>
      <c r="G54" s="56"/>
      <c r="H54" s="56"/>
      <c r="I54" s="58"/>
    </row>
    <row r="55" spans="5:9" ht="21" x14ac:dyDescent="0.35">
      <c r="E55" s="59"/>
      <c r="F55" s="56"/>
      <c r="G55" s="56"/>
      <c r="H55" s="56"/>
      <c r="I55" s="58"/>
    </row>
    <row r="56" spans="5:9" ht="21" x14ac:dyDescent="0.35">
      <c r="E56" s="59"/>
      <c r="F56" s="56"/>
      <c r="G56" s="56"/>
      <c r="H56" s="56"/>
      <c r="I56" s="58"/>
    </row>
    <row r="57" spans="5:9" ht="21" x14ac:dyDescent="0.35">
      <c r="E57" s="59"/>
      <c r="F57" s="56"/>
      <c r="G57" s="56"/>
      <c r="H57" s="56"/>
      <c r="I57" s="58"/>
    </row>
    <row r="58" spans="5:9" ht="21" x14ac:dyDescent="0.35">
      <c r="E58" s="59"/>
      <c r="F58" s="56"/>
      <c r="G58" s="56"/>
      <c r="H58" s="56"/>
      <c r="I58" s="58"/>
    </row>
    <row r="59" spans="5:9" ht="21" x14ac:dyDescent="0.35">
      <c r="E59" s="59"/>
      <c r="F59" s="56"/>
      <c r="G59" s="56"/>
      <c r="H59" s="56"/>
      <c r="I59" s="58"/>
    </row>
    <row r="60" spans="5:9" ht="21" x14ac:dyDescent="0.35">
      <c r="E60" s="59"/>
      <c r="F60" s="56"/>
      <c r="G60" s="56"/>
      <c r="H60" s="56"/>
      <c r="I60" s="58"/>
    </row>
    <row r="61" spans="5:9" ht="21" x14ac:dyDescent="0.35">
      <c r="E61" s="59"/>
      <c r="F61" s="56"/>
      <c r="G61" s="56"/>
      <c r="H61" s="56"/>
      <c r="I61" s="58"/>
    </row>
    <row r="62" spans="5:9" ht="21" x14ac:dyDescent="0.35">
      <c r="E62" s="59"/>
      <c r="F62" s="56"/>
      <c r="G62" s="56"/>
      <c r="H62" s="56"/>
      <c r="I62" s="58"/>
    </row>
    <row r="63" spans="5:9" ht="21" x14ac:dyDescent="0.35">
      <c r="E63" s="59"/>
      <c r="F63" s="56"/>
      <c r="G63" s="56"/>
      <c r="H63" s="56"/>
      <c r="I63" s="58"/>
    </row>
    <row r="64" spans="5:9" ht="21" x14ac:dyDescent="0.35">
      <c r="E64" s="59"/>
      <c r="F64" s="56"/>
      <c r="G64" s="56"/>
      <c r="H64" s="56"/>
      <c r="I64" s="58"/>
    </row>
    <row r="65" spans="5:9" ht="21" x14ac:dyDescent="0.35">
      <c r="E65" s="59"/>
      <c r="F65" s="56"/>
      <c r="G65" s="56"/>
      <c r="H65" s="56"/>
      <c r="I65" s="58"/>
    </row>
    <row r="66" spans="5:9" ht="21" x14ac:dyDescent="0.35">
      <c r="E66" s="59"/>
      <c r="F66" s="56"/>
      <c r="G66" s="56"/>
      <c r="H66" s="56"/>
      <c r="I66" s="58"/>
    </row>
    <row r="67" spans="5:9" ht="21" x14ac:dyDescent="0.35">
      <c r="E67" s="59"/>
      <c r="F67" s="56"/>
      <c r="G67" s="56"/>
      <c r="H67" s="56"/>
      <c r="I67" s="58"/>
    </row>
    <row r="68" spans="5:9" ht="21" x14ac:dyDescent="0.35">
      <c r="E68" s="59"/>
      <c r="F68" s="56"/>
      <c r="G68" s="56"/>
      <c r="H68" s="56"/>
      <c r="I68" s="58"/>
    </row>
    <row r="69" spans="5:9" ht="21" x14ac:dyDescent="0.35">
      <c r="E69" s="59"/>
      <c r="F69" s="56"/>
      <c r="G69" s="56"/>
      <c r="H69" s="56"/>
      <c r="I69" s="58"/>
    </row>
    <row r="70" spans="5:9" ht="21" x14ac:dyDescent="0.35">
      <c r="E70" s="59"/>
      <c r="F70" s="56"/>
      <c r="G70" s="56"/>
      <c r="H70" s="56"/>
      <c r="I70" s="58"/>
    </row>
    <row r="71" spans="5:9" ht="21" x14ac:dyDescent="0.35">
      <c r="E71" s="59"/>
      <c r="F71" s="56"/>
      <c r="G71" s="56"/>
      <c r="H71" s="56"/>
      <c r="I71" s="58"/>
    </row>
    <row r="72" spans="5:9" ht="21" x14ac:dyDescent="0.35">
      <c r="E72" s="59"/>
      <c r="F72" s="56"/>
      <c r="G72" s="56"/>
      <c r="H72" s="56"/>
      <c r="I72" s="58"/>
    </row>
    <row r="73" spans="5:9" ht="21" x14ac:dyDescent="0.35">
      <c r="E73" s="59"/>
      <c r="F73" s="56"/>
      <c r="G73" s="56"/>
      <c r="H73" s="56"/>
      <c r="I73" s="58"/>
    </row>
    <row r="74" spans="5:9" ht="21" x14ac:dyDescent="0.35">
      <c r="E74" s="59"/>
      <c r="F74" s="56"/>
      <c r="G74" s="56"/>
      <c r="H74" s="56"/>
      <c r="I74" s="58"/>
    </row>
    <row r="75" spans="5:9" ht="21" x14ac:dyDescent="0.35">
      <c r="E75" s="59"/>
      <c r="F75" s="56"/>
      <c r="G75" s="56"/>
      <c r="H75" s="56"/>
      <c r="I75" s="58"/>
    </row>
    <row r="76" spans="5:9" ht="21" x14ac:dyDescent="0.35">
      <c r="E76" s="59"/>
      <c r="F76" s="56"/>
      <c r="G76" s="56"/>
      <c r="H76" s="56"/>
      <c r="I76" s="58"/>
    </row>
    <row r="77" spans="5:9" ht="21" x14ac:dyDescent="0.35">
      <c r="E77" s="59"/>
      <c r="F77" s="56"/>
      <c r="G77" s="56"/>
      <c r="H77" s="56"/>
      <c r="I77" s="58"/>
    </row>
    <row r="78" spans="5:9" ht="21" x14ac:dyDescent="0.35">
      <c r="E78" s="59"/>
      <c r="F78" s="56"/>
      <c r="G78" s="56"/>
      <c r="H78" s="56"/>
      <c r="I78" s="58"/>
    </row>
    <row r="79" spans="5:9" ht="21" x14ac:dyDescent="0.35">
      <c r="E79" s="59"/>
      <c r="F79" s="56"/>
      <c r="G79" s="56"/>
      <c r="H79" s="56"/>
      <c r="I79" s="58"/>
    </row>
    <row r="80" spans="5:9" ht="21" x14ac:dyDescent="0.35">
      <c r="E80" s="59"/>
      <c r="F80" s="56"/>
      <c r="G80" s="56"/>
      <c r="H80" s="56"/>
      <c r="I80" s="58"/>
    </row>
    <row r="81" spans="5:9" ht="21" x14ac:dyDescent="0.35">
      <c r="E81" s="59"/>
      <c r="F81" s="56"/>
      <c r="G81" s="56"/>
      <c r="H81" s="56"/>
      <c r="I81" s="58"/>
    </row>
    <row r="82" spans="5:9" ht="21" x14ac:dyDescent="0.35">
      <c r="E82" s="59"/>
      <c r="F82" s="56"/>
      <c r="G82" s="56"/>
      <c r="H82" s="56"/>
      <c r="I82" s="58"/>
    </row>
    <row r="83" spans="5:9" ht="21" x14ac:dyDescent="0.35">
      <c r="E83" s="59"/>
      <c r="F83" s="56"/>
      <c r="G83" s="56"/>
      <c r="H83" s="56"/>
      <c r="I83" s="58"/>
    </row>
    <row r="84" spans="5:9" ht="21" x14ac:dyDescent="0.35">
      <c r="E84" s="59"/>
      <c r="F84" s="56"/>
      <c r="G84" s="56"/>
      <c r="H84" s="56"/>
      <c r="I84" s="58"/>
    </row>
    <row r="85" spans="5:9" ht="21" x14ac:dyDescent="0.35">
      <c r="E85" s="59"/>
      <c r="F85" s="56"/>
      <c r="G85" s="56"/>
      <c r="H85" s="56"/>
      <c r="I85" s="58"/>
    </row>
    <row r="86" spans="5:9" ht="21" x14ac:dyDescent="0.35">
      <c r="E86" s="59"/>
      <c r="F86" s="56"/>
      <c r="G86" s="56"/>
      <c r="H86" s="56"/>
      <c r="I86" s="58"/>
    </row>
    <row r="87" spans="5:9" ht="21" x14ac:dyDescent="0.35">
      <c r="E87" s="59"/>
      <c r="F87" s="56"/>
      <c r="G87" s="56"/>
      <c r="H87" s="56"/>
      <c r="I87" s="58"/>
    </row>
    <row r="88" spans="5:9" ht="21" x14ac:dyDescent="0.35">
      <c r="E88" s="59"/>
      <c r="F88" s="56"/>
      <c r="G88" s="56"/>
      <c r="H88" s="56"/>
      <c r="I88" s="58"/>
    </row>
    <row r="89" spans="5:9" ht="21" x14ac:dyDescent="0.35">
      <c r="E89" s="59"/>
      <c r="F89" s="56"/>
      <c r="G89" s="56"/>
      <c r="H89" s="56"/>
      <c r="I89" s="58"/>
    </row>
    <row r="90" spans="5:9" ht="21" x14ac:dyDescent="0.35">
      <c r="E90" s="59"/>
      <c r="F90" s="56"/>
      <c r="G90" s="56"/>
      <c r="H90" s="56"/>
      <c r="I90" s="58"/>
    </row>
    <row r="91" spans="5:9" ht="21" x14ac:dyDescent="0.35">
      <c r="E91" s="59"/>
      <c r="F91" s="56"/>
      <c r="G91" s="56"/>
      <c r="H91" s="56"/>
      <c r="I91" s="58"/>
    </row>
    <row r="92" spans="5:9" ht="21" x14ac:dyDescent="0.35">
      <c r="E92" s="59"/>
      <c r="F92" s="56"/>
      <c r="G92" s="56"/>
      <c r="H92" s="56"/>
      <c r="I92" s="58"/>
    </row>
  </sheetData>
  <pageMargins left="0.70000000000000007" right="0.70000000000000007" top="0.75" bottom="0.75" header="0.30000000000000004" footer="0.30000000000000004"/>
  <pageSetup paperSize="9" fitToWidth="0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Radoslav Marinov</dc:creator>
  <cp:lastModifiedBy>Radoslav Marinov</cp:lastModifiedBy>
  <dcterms:created xsi:type="dcterms:W3CDTF">2016-04-14T09:23:49Z</dcterms:created>
  <dcterms:modified xsi:type="dcterms:W3CDTF">2016-08-15T12:20:45Z</dcterms:modified>
</cp:coreProperties>
</file>