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DER_Economy\KCS\"/>
    </mc:Choice>
  </mc:AlternateContent>
  <xr:revisionPtr revIDLastSave="0" documentId="13_ncr:1_{E6273B72-16B5-4184-94A2-ACBCDDD45A58}" xr6:coauthVersionLast="45" xr6:coauthVersionMax="45" xr10:uidLastSave="{00000000-0000-0000-0000-000000000000}"/>
  <bookViews>
    <workbookView xWindow="-120" yWindow="-120" windowWidth="29040" windowHeight="15840" xr2:uid="{E4B2A48D-A148-40FB-8187-57EC78FDA9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C11" i="1"/>
  <c r="C10" i="1"/>
  <c r="C9" i="1"/>
  <c r="C7" i="1"/>
  <c r="H6" i="2" l="1"/>
  <c r="B6" i="2"/>
  <c r="D4" i="2"/>
  <c r="D5" i="2"/>
  <c r="D3" i="2"/>
  <c r="D6" i="2" l="1"/>
  <c r="I24" i="1"/>
  <c r="I29" i="1"/>
  <c r="I26" i="1"/>
  <c r="F38" i="1"/>
  <c r="F37" i="1"/>
  <c r="F35" i="1"/>
  <c r="F33" i="1"/>
  <c r="F29" i="1"/>
  <c r="F26" i="1"/>
  <c r="F25" i="1"/>
  <c r="C24" i="1" l="1"/>
  <c r="C36" i="1" s="1"/>
  <c r="C34" i="1"/>
  <c r="C27" i="1" l="1"/>
  <c r="F27" i="1" s="1"/>
  <c r="F40" i="1"/>
  <c r="F24" i="1"/>
  <c r="F34" i="1"/>
  <c r="I25" i="1"/>
  <c r="F36" i="1"/>
  <c r="I27" i="1"/>
  <c r="C28" i="1"/>
  <c r="F28" i="1" l="1"/>
  <c r="C32" i="1"/>
  <c r="F32" i="1" s="1"/>
  <c r="C30" i="1"/>
  <c r="F30" i="1" s="1"/>
  <c r="C31" i="1"/>
  <c r="F31" i="1" s="1"/>
  <c r="F39" i="1" l="1"/>
  <c r="F41" i="1" s="1"/>
  <c r="F42" i="1" s="1"/>
  <c r="I3" i="1" l="1"/>
  <c r="M3" i="1"/>
  <c r="P3" i="1" s="1"/>
  <c r="N3" i="1" a="1"/>
  <c r="N3" i="1" s="1"/>
  <c r="M4" i="1"/>
  <c r="P4" i="1" s="1"/>
  <c r="M5" i="1"/>
  <c r="I5" i="1"/>
  <c r="I4" i="1"/>
  <c r="K4" i="1" s="1"/>
  <c r="K3" i="1"/>
  <c r="P5" i="1"/>
  <c r="F6" i="1"/>
  <c r="F15" i="1"/>
  <c r="F17" i="1"/>
  <c r="F4" i="1"/>
  <c r="F11" i="1"/>
  <c r="F10" i="1"/>
  <c r="F8" i="1"/>
  <c r="F9" i="1"/>
  <c r="F7" i="1"/>
  <c r="F5" i="1"/>
  <c r="F14" i="1"/>
  <c r="F3" i="1"/>
  <c r="K5" i="1" l="1"/>
  <c r="N8" i="1" s="1"/>
  <c r="F12" i="1" l="1"/>
  <c r="K7" i="1" s="1"/>
  <c r="I28" i="1" s="1"/>
  <c r="I30" i="1" s="1"/>
  <c r="F13" i="1"/>
  <c r="F16" i="1"/>
  <c r="K8" i="1" s="1"/>
  <c r="K9" i="1" l="1"/>
  <c r="F18" i="1"/>
  <c r="F19" i="1" l="1"/>
  <c r="F20" i="1" s="1"/>
  <c r="H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<sst xmlns="http://schemas.openxmlformats.org/spreadsheetml/2006/main" count="69" uniqueCount="45">
  <si>
    <t>Peak</t>
  </si>
  <si>
    <t>METER</t>
  </si>
  <si>
    <t>AEMO MARKET FEE</t>
  </si>
  <si>
    <t>AEMO ANCILL FEE</t>
  </si>
  <si>
    <t>NETWORK DAILY</t>
  </si>
  <si>
    <t>Off-Peak</t>
  </si>
  <si>
    <t>QTY (kWh)</t>
  </si>
  <si>
    <t>incl GST</t>
  </si>
  <si>
    <t>Off-peak</t>
  </si>
  <si>
    <t>June bill breakdown</t>
  </si>
  <si>
    <t>LGC/LRET</t>
  </si>
  <si>
    <t>STC/SREC</t>
  </si>
  <si>
    <t>VEET</t>
  </si>
  <si>
    <t>NETWORK ENERGY(PEAK)</t>
  </si>
  <si>
    <t>Loss Factor</t>
  </si>
  <si>
    <t>NETWORK ENERGY(off-PEAK)</t>
  </si>
  <si>
    <t>NETWORK ENERGY(shoulder)</t>
  </si>
  <si>
    <t>Shoulder</t>
  </si>
  <si>
    <t>Daily charges (Energy)</t>
  </si>
  <si>
    <t>Critical Peak Demand(kVA/mth)</t>
  </si>
  <si>
    <t>Capacity (kVA/Mth)</t>
  </si>
  <si>
    <t>GST</t>
  </si>
  <si>
    <t>Amount due</t>
  </si>
  <si>
    <t>ex GST</t>
  </si>
  <si>
    <t>Fixed Charges</t>
  </si>
  <si>
    <t>Demand charges</t>
  </si>
  <si>
    <t>Total</t>
  </si>
  <si>
    <t>($/kWh)</t>
  </si>
  <si>
    <t>$/kWh to customer (incl loss factor)</t>
  </si>
  <si>
    <t>Peak/Off-peak/Shoulder</t>
  </si>
  <si>
    <t>Rates ($/kWh)</t>
  </si>
  <si>
    <t>Cost($)</t>
  </si>
  <si>
    <t>$ cost with loss factor)</t>
  </si>
  <si>
    <t>$/kWh charges Env+DNSP+AEMO</t>
  </si>
  <si>
    <t>Extras/retail rates</t>
  </si>
  <si>
    <t>kW</t>
  </si>
  <si>
    <t>Bill with solar</t>
  </si>
  <si>
    <t>Solar</t>
  </si>
  <si>
    <t>import peak</t>
  </si>
  <si>
    <t>import off-peak</t>
  </si>
  <si>
    <t>$/month</t>
  </si>
  <si>
    <t>import/shoulder</t>
  </si>
  <si>
    <t xml:space="preserve">fix </t>
  </si>
  <si>
    <t>demand</t>
  </si>
  <si>
    <t>Solar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</si>
</sst>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000_);_(&quot;$&quot;* \(#,##0.000000\);_(&quot;$&quot;* &quot;-&quot;??_);_(@_)"/>
    <numFmt numFmtId="165" formatCode="0.0000"/>
  </numFmts>
  <fonts count="9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  <font>
      <i/>
      <sz val="11"/>
      <color theme="1"/>
      <name val="Mangal"/>
      <family val="1"/>
      <scheme val="minor"/>
    </font>
    <font>
      <sz val="11"/>
      <color theme="1"/>
      <name val="Mangal"/>
      <family val="2"/>
      <scheme val="minor"/>
    </font>
    <font>
      <sz val="11"/>
      <color rgb="FFFF0000"/>
      <name val="Mangal"/>
      <family val="2"/>
      <scheme val="minor"/>
    </font>
    <font>
      <sz val="11"/>
      <color theme="1"/>
      <name val="Mangal"/>
      <family val="1"/>
      <scheme val="minor"/>
    </font>
    <font>
      <b/>
      <sz val="10"/>
      <color theme="1"/>
      <name val="Mangal"/>
      <family val="1"/>
      <scheme val="minor"/>
    </font>
    <font>
      <sz val="10"/>
      <color theme="1"/>
      <name val="Mangal"/>
      <family val="1"/>
      <scheme val="minor"/>
    </font>
    <font>
      <sz val="10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8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2" borderId="0" xfId="0" applyFill="1"/>
    <xf numFmtId="0" fontId="2" fillId="0" borderId="0" xfId="0" applyFont="1"/>
    <xf numFmtId="44" fontId="0" fillId="0" borderId="0" xfId="1" applyFont="1"/>
    <xf numFmtId="44" fontId="0" fillId="0" borderId="0" xfId="0" applyNumberFormat="1"/>
    <xf numFmtId="44" fontId="1" fillId="0" borderId="0" xfId="1" applyFont="1"/>
    <xf numFmtId="164" fontId="0" fillId="0" borderId="0" xfId="1" applyNumberFormat="1" applyFont="1"/>
    <xf numFmtId="44" fontId="1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9" fontId="0" fillId="0" borderId="0" xfId="2" applyFont="1"/>
    <xf numFmtId="9" fontId="4" fillId="0" borderId="0" xfId="2" applyFont="1"/>
    <xf numFmtId="0" fontId="5" fillId="0" borderId="0" xfId="0" applyFont="1" applyAlignment="1">
      <alignment horizontal="left" vertical="top"/>
    </xf>
    <xf numFmtId="44" fontId="0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/>
    <xf numFmtId="1" fontId="4" fillId="0" borderId="0" xfId="0" applyNumberFormat="1" applyFont="1"/>
    <xf numFmtId="0" fontId="4" fillId="0" borderId="0" xfId="0" applyFont="1"/>
    <xf numFmtId="0" fontId="8" fillId="0" borderId="0" xfId="0" applyFont="1"/>
    <xf numFmtId="44" fontId="5" fillId="0" borderId="0" xfId="1" applyFont="1"/>
    <xf numFmtId="2" fontId="0" fillId="0" borderId="0" xfId="1" applyNumberFormat="1" applyFont="1"/>
    <xf numFmtId="44" fontId="5" fillId="0" borderId="0" xfId="0" applyNumberFormat="1" applyFont="1"/>
    <xf numFmtId="165" fontId="0" fillId="0" borderId="0" xfId="1" applyNumberFormat="1" applyFont="1" applyFill="1" applyAlignment="1">
      <alignment horizontal="left" indent="2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6A27-5F64-4A75-9CFB-F12F545A4786}">
  <dimension ref="A1:P44"/>
  <sheetViews>
    <sheetView tabSelected="1" workbookViewId="0">
      <selection activeCell="M11" sqref="M11"/>
    </sheetView>
  </sheetViews>
  <sheetFormatPr defaultRowHeight="25.5" x14ac:dyDescent="0.7"/>
  <cols>
    <col min="1" max="1" width="5.21875" customWidth="1"/>
    <col min="2" max="2" width="26.21875" bestFit="1" customWidth="1"/>
    <col min="3" max="3" width="9" bestFit="1" customWidth="1"/>
    <col min="4" max="4" width="13.6640625" bestFit="1" customWidth="1"/>
    <col min="5" max="5" width="10.6640625" bestFit="1" customWidth="1"/>
    <col min="6" max="6" width="11" bestFit="1" customWidth="1"/>
    <col min="8" max="8" width="10.5546875" bestFit="1" customWidth="1"/>
    <col min="9" max="9" width="16.109375" bestFit="1" customWidth="1"/>
    <col min="10" max="11" width="11" bestFit="1" customWidth="1"/>
    <col min="12" max="12" width="7.33203125" bestFit="1" customWidth="1"/>
    <col min="13" max="13" width="14.109375" bestFit="1" customWidth="1"/>
    <col min="14" max="14" width="10" bestFit="1" customWidth="1"/>
    <col min="16" max="16" width="9.88671875" bestFit="1" customWidth="1"/>
  </cols>
  <sheetData>
    <row r="1" spans="1:16" x14ac:dyDescent="0.7">
      <c r="B1" s="14" t="s">
        <v>9</v>
      </c>
    </row>
    <row r="2" spans="1:16" s="11" customFormat="1" ht="42" x14ac:dyDescent="0.55000000000000004">
      <c r="C2" s="13" t="s">
        <v>6</v>
      </c>
      <c r="D2" s="13" t="s">
        <v>30</v>
      </c>
      <c r="E2" s="13" t="s">
        <v>14</v>
      </c>
      <c r="F2" s="13" t="s">
        <v>31</v>
      </c>
      <c r="I2" s="12" t="s">
        <v>28</v>
      </c>
      <c r="J2" s="12" t="s">
        <v>29</v>
      </c>
      <c r="K2" s="12" t="s">
        <v>32</v>
      </c>
      <c r="M2" s="12" t="s">
        <v>33</v>
      </c>
      <c r="N2" s="13" t="s">
        <v>27</v>
      </c>
      <c r="P2" s="12" t="s">
        <v>34</v>
      </c>
    </row>
    <row r="3" spans="1:16" x14ac:dyDescent="0.7">
      <c r="A3">
        <v>1</v>
      </c>
      <c r="B3" t="s">
        <v>0</v>
      </c>
      <c r="C3">
        <v>36021.78</v>
      </c>
      <c r="D3" s="9">
        <v>9.1039999999999996E-2</v>
      </c>
      <c r="E3">
        <v>1.0754999999999999</v>
      </c>
      <c r="F3" s="6">
        <f>D3*C3*E3</f>
        <v>3527.0192764655994</v>
      </c>
      <c r="H3" s="1"/>
      <c r="I3" s="27">
        <f>(D3*E3+D13+D10*E10+D9*E9+D7*E7+D6*E6+D11*E11)</f>
        <v>0.17654149849999998</v>
      </c>
      <c r="J3" s="4" t="s">
        <v>0</v>
      </c>
      <c r="K3" s="6">
        <f>(C13*I3)</f>
        <v>2845.8365979151049</v>
      </c>
      <c r="L3" s="7"/>
      <c r="M3" s="1">
        <f>D6+D7+D9+D10+D11+D13</f>
        <v>7.6823000000000002E-2</v>
      </c>
      <c r="N3" s="4" t="str" cm="1">
        <f t="array" ref="N3:N5">J3:J5</f>
        <v>Peak</v>
      </c>
      <c r="P3" s="16">
        <f>M3/D3</f>
        <v>0.8438378734622145</v>
      </c>
    </row>
    <row r="4" spans="1:16" x14ac:dyDescent="0.7">
      <c r="A4">
        <v>2</v>
      </c>
      <c r="B4" t="s">
        <v>18</v>
      </c>
      <c r="C4">
        <v>30</v>
      </c>
      <c r="D4" s="9">
        <v>1.5068490000000001</v>
      </c>
      <c r="F4" s="6">
        <f>D4*C4</f>
        <v>45.205470000000005</v>
      </c>
      <c r="H4" s="1"/>
      <c r="I4" s="27">
        <f>(D3*E3+D15+D10*E10+D9*E9+D7*E7+D6*E6+D11*E11)</f>
        <v>0.16608849849999999</v>
      </c>
      <c r="J4" s="4" t="s">
        <v>17</v>
      </c>
      <c r="K4" s="6">
        <f>C15*I4</f>
        <v>3305.4683838722244</v>
      </c>
      <c r="M4" s="1">
        <f>(D15+D10+D9+D7+D6+D11)</f>
        <v>6.6369999999999998E-2</v>
      </c>
      <c r="N4" s="4" t="str">
        <v>Shoulder</v>
      </c>
      <c r="P4" s="16">
        <f>M4/D3</f>
        <v>0.72902021089630931</v>
      </c>
    </row>
    <row r="5" spans="1:16" x14ac:dyDescent="0.7">
      <c r="A5">
        <v>3</v>
      </c>
      <c r="B5" t="s">
        <v>5</v>
      </c>
      <c r="C5">
        <v>4923.75</v>
      </c>
      <c r="D5" s="9">
        <v>5.4919999999999997E-2</v>
      </c>
      <c r="E5">
        <v>1.0754999999999999</v>
      </c>
      <c r="F5" s="6">
        <f>D5*C5*E5</f>
        <v>290.828482425</v>
      </c>
      <c r="H5" s="1"/>
      <c r="I5" s="27">
        <f>(D5*E5+D14+D10*E10+D9*E9+D7*E7+D6*E6+D11*E11)</f>
        <v>0.1030244385</v>
      </c>
      <c r="J5" s="4" t="s">
        <v>8</v>
      </c>
      <c r="K5" s="6">
        <f>C5*I5</f>
        <v>507.26657906437498</v>
      </c>
      <c r="M5" s="1">
        <f>(D14+D10+D9+D7+D6+D11)</f>
        <v>4.2152999999999996E-2</v>
      </c>
      <c r="N5" s="4" t="str">
        <v>Off-peak</v>
      </c>
      <c r="P5" s="16">
        <f>M5/D5</f>
        <v>0.76753459577567373</v>
      </c>
    </row>
    <row r="6" spans="1:16" x14ac:dyDescent="0.7">
      <c r="A6">
        <v>4</v>
      </c>
      <c r="B6" t="s">
        <v>10</v>
      </c>
      <c r="C6">
        <f>C5+C3</f>
        <v>40945.53</v>
      </c>
      <c r="D6" s="9">
        <v>5.9379999999999997E-3</v>
      </c>
      <c r="E6">
        <v>1.0754999999999999</v>
      </c>
      <c r="F6" s="6">
        <f>D6*C6*E6</f>
        <v>261.49121620406993</v>
      </c>
      <c r="K6" s="6"/>
    </row>
    <row r="7" spans="1:16" x14ac:dyDescent="0.7">
      <c r="A7">
        <v>5</v>
      </c>
      <c r="B7" t="s">
        <v>11</v>
      </c>
      <c r="C7">
        <f>C6</f>
        <v>40945.53</v>
      </c>
      <c r="D7" s="9">
        <v>1.0004000000000001E-2</v>
      </c>
      <c r="E7">
        <v>1.0754999999999999</v>
      </c>
      <c r="F7" s="6">
        <f t="shared" ref="F7:F11" si="0">D7*C7*E7</f>
        <v>440.54532282005999</v>
      </c>
      <c r="I7" s="17" t="s">
        <v>24</v>
      </c>
      <c r="K7" s="6">
        <f>F8+F12+F4</f>
        <v>724.141076</v>
      </c>
    </row>
    <row r="8" spans="1:16" x14ac:dyDescent="0.7">
      <c r="A8">
        <v>6</v>
      </c>
      <c r="B8" t="s">
        <v>1</v>
      </c>
      <c r="C8">
        <v>30</v>
      </c>
      <c r="D8" s="9">
        <v>5.7524660000000001</v>
      </c>
      <c r="F8" s="6">
        <f>D8*C8</f>
        <v>172.57398000000001</v>
      </c>
      <c r="I8" s="18" t="s">
        <v>25</v>
      </c>
      <c r="K8" s="6">
        <f>F17+F16</f>
        <v>2878.9058130399999</v>
      </c>
      <c r="N8" s="7">
        <f>SUM(K3:K5)</f>
        <v>6658.5715608517039</v>
      </c>
    </row>
    <row r="9" spans="1:16" x14ac:dyDescent="0.7">
      <c r="A9">
        <v>7</v>
      </c>
      <c r="B9" t="s">
        <v>2</v>
      </c>
      <c r="C9">
        <f>C6</f>
        <v>40945.53</v>
      </c>
      <c r="D9" s="9">
        <v>6.9999999999999999E-4</v>
      </c>
      <c r="E9">
        <v>1.0754999999999999</v>
      </c>
      <c r="F9" s="6">
        <f t="shared" si="0"/>
        <v>30.825842260499996</v>
      </c>
      <c r="I9" s="19" t="s">
        <v>26</v>
      </c>
      <c r="K9" s="8">
        <f>SUM(K3:K8)</f>
        <v>10261.618449891703</v>
      </c>
      <c r="L9" t="s">
        <v>23</v>
      </c>
      <c r="M9" s="7"/>
      <c r="N9" s="7"/>
    </row>
    <row r="10" spans="1:16" x14ac:dyDescent="0.7">
      <c r="A10">
        <v>8</v>
      </c>
      <c r="B10" t="s">
        <v>3</v>
      </c>
      <c r="C10">
        <f>C9</f>
        <v>40945.53</v>
      </c>
      <c r="D10" s="9">
        <v>4.4700000000000002E-4</v>
      </c>
      <c r="E10">
        <v>1.0754999999999999</v>
      </c>
      <c r="F10" s="6">
        <f t="shared" si="0"/>
        <v>19.684502129205001</v>
      </c>
      <c r="I10" s="3"/>
      <c r="K10" s="2"/>
      <c r="L10" s="10"/>
      <c r="M10" s="2"/>
    </row>
    <row r="11" spans="1:16" x14ac:dyDescent="0.7">
      <c r="A11">
        <v>9</v>
      </c>
      <c r="B11" t="s">
        <v>12</v>
      </c>
      <c r="C11">
        <f>C10</f>
        <v>40945.53</v>
      </c>
      <c r="D11" s="9">
        <v>6.8180000000000003E-3</v>
      </c>
      <c r="E11">
        <v>1.0754999999999999</v>
      </c>
      <c r="F11" s="6">
        <f t="shared" si="0"/>
        <v>300.24370361726994</v>
      </c>
      <c r="I11" s="3"/>
      <c r="K11" s="2"/>
      <c r="L11" s="3"/>
      <c r="M11" s="2"/>
      <c r="N11" s="7"/>
    </row>
    <row r="12" spans="1:16" x14ac:dyDescent="0.7">
      <c r="A12">
        <v>10</v>
      </c>
      <c r="B12" t="s">
        <v>4</v>
      </c>
      <c r="C12">
        <v>31</v>
      </c>
      <c r="D12" s="9">
        <v>16.334246</v>
      </c>
      <c r="E12">
        <v>1.0754999999999999</v>
      </c>
      <c r="F12" s="6">
        <f t="shared" ref="F12:F17" si="1">D12*C12</f>
        <v>506.361626</v>
      </c>
    </row>
    <row r="13" spans="1:16" x14ac:dyDescent="0.7">
      <c r="A13">
        <v>11</v>
      </c>
      <c r="B13" t="s">
        <v>13</v>
      </c>
      <c r="C13">
        <v>16119.93</v>
      </c>
      <c r="D13" s="9">
        <v>5.2915999999999998E-2</v>
      </c>
      <c r="F13" s="6">
        <f t="shared" si="1"/>
        <v>853.00221587999999</v>
      </c>
      <c r="J13" s="25"/>
    </row>
    <row r="14" spans="1:16" x14ac:dyDescent="0.7">
      <c r="A14">
        <v>12</v>
      </c>
      <c r="B14" t="s">
        <v>15</v>
      </c>
      <c r="C14">
        <v>4923.75</v>
      </c>
      <c r="D14" s="9">
        <v>1.8245999999999998E-2</v>
      </c>
      <c r="F14" s="6">
        <f t="shared" si="1"/>
        <v>89.838742499999995</v>
      </c>
      <c r="J14" s="15"/>
    </row>
    <row r="15" spans="1:16" x14ac:dyDescent="0.7">
      <c r="A15">
        <v>13</v>
      </c>
      <c r="B15" t="s">
        <v>16</v>
      </c>
      <c r="C15">
        <v>19901.849999999999</v>
      </c>
      <c r="D15" s="9">
        <v>4.2463000000000001E-2</v>
      </c>
      <c r="E15">
        <v>1.0754999999999999</v>
      </c>
      <c r="F15" s="6">
        <f t="shared" si="1"/>
        <v>845.09225655</v>
      </c>
      <c r="J15" s="20"/>
    </row>
    <row r="16" spans="1:16" x14ac:dyDescent="0.7">
      <c r="A16">
        <v>14</v>
      </c>
      <c r="B16" t="s">
        <v>20</v>
      </c>
      <c r="C16">
        <v>500</v>
      </c>
      <c r="D16" s="9">
        <v>3.9258329999999999</v>
      </c>
      <c r="F16" s="6">
        <f t="shared" si="1"/>
        <v>1962.9165</v>
      </c>
      <c r="J16" s="20"/>
    </row>
    <row r="17" spans="1:15" x14ac:dyDescent="0.7">
      <c r="A17">
        <v>15</v>
      </c>
      <c r="B17" t="s">
        <v>19</v>
      </c>
      <c r="C17">
        <v>139.12</v>
      </c>
      <c r="D17" s="9">
        <v>6.5841669999999999</v>
      </c>
      <c r="F17" s="6">
        <f t="shared" si="1"/>
        <v>915.98931304000007</v>
      </c>
      <c r="G17" s="5"/>
      <c r="J17" s="15"/>
    </row>
    <row r="18" spans="1:15" x14ac:dyDescent="0.7">
      <c r="B18" s="3"/>
      <c r="F18" s="8">
        <f>SUM(F3:F17)</f>
        <v>10261.618449891703</v>
      </c>
      <c r="G18" t="s">
        <v>23</v>
      </c>
      <c r="J18" s="6"/>
      <c r="L18" s="5"/>
      <c r="M18" s="5"/>
      <c r="N18" s="5"/>
      <c r="O18" s="5"/>
    </row>
    <row r="19" spans="1:15" x14ac:dyDescent="0.7">
      <c r="E19" t="s">
        <v>21</v>
      </c>
      <c r="F19" s="6">
        <f>F18*0.1</f>
        <v>1026.1618449891703</v>
      </c>
    </row>
    <row r="20" spans="1:15" x14ac:dyDescent="0.7">
      <c r="E20" t="s">
        <v>22</v>
      </c>
      <c r="F20" s="8">
        <f>F19+F18</f>
        <v>11287.780294880873</v>
      </c>
      <c r="G20" t="s">
        <v>7</v>
      </c>
    </row>
    <row r="22" spans="1:15" hidden="1" x14ac:dyDescent="0.7">
      <c r="B22" s="3" t="s">
        <v>36</v>
      </c>
    </row>
    <row r="23" spans="1:15" hidden="1" x14ac:dyDescent="0.7">
      <c r="C23" t="s">
        <v>6</v>
      </c>
      <c r="D23" t="s">
        <v>30</v>
      </c>
      <c r="E23" t="s">
        <v>14</v>
      </c>
      <c r="F23" t="s">
        <v>31</v>
      </c>
    </row>
    <row r="24" spans="1:15" hidden="1" x14ac:dyDescent="0.7">
      <c r="A24">
        <v>1</v>
      </c>
      <c r="B24" t="s">
        <v>0</v>
      </c>
      <c r="C24" s="21">
        <f>J16</f>
        <v>0</v>
      </c>
      <c r="D24" s="22">
        <v>9.1039999999999996E-2</v>
      </c>
      <c r="E24">
        <v>1.0754999999999999</v>
      </c>
      <c r="F24">
        <f>D24*C24*E24</f>
        <v>0</v>
      </c>
      <c r="I24" s="6">
        <f>J13*0.09</f>
        <v>0</v>
      </c>
      <c r="J24" s="23" t="s">
        <v>37</v>
      </c>
    </row>
    <row r="25" spans="1:15" hidden="1" x14ac:dyDescent="0.7">
      <c r="A25">
        <v>2</v>
      </c>
      <c r="B25" t="s">
        <v>18</v>
      </c>
      <c r="C25">
        <v>30</v>
      </c>
      <c r="D25">
        <v>1.5068490000000001</v>
      </c>
      <c r="F25">
        <f>D25*C25</f>
        <v>45.205470000000005</v>
      </c>
      <c r="I25" s="6">
        <f>C34*I3</f>
        <v>0</v>
      </c>
      <c r="J25" s="23" t="s">
        <v>38</v>
      </c>
    </row>
    <row r="26" spans="1:15" hidden="1" x14ac:dyDescent="0.7">
      <c r="A26">
        <v>3</v>
      </c>
      <c r="B26" t="s">
        <v>5</v>
      </c>
      <c r="C26">
        <v>3949.86</v>
      </c>
      <c r="D26">
        <v>5.4919999999999997E-2</v>
      </c>
      <c r="E26">
        <v>1.0754999999999999</v>
      </c>
      <c r="F26">
        <f>D26*C26*E26</f>
        <v>233.30424769559997</v>
      </c>
      <c r="I26" s="6">
        <f>C35*I5</f>
        <v>406.93210865360999</v>
      </c>
      <c r="J26" s="23" t="s">
        <v>39</v>
      </c>
    </row>
    <row r="27" spans="1:15" hidden="1" x14ac:dyDescent="0.7">
      <c r="A27">
        <v>4</v>
      </c>
      <c r="B27" t="s">
        <v>10</v>
      </c>
      <c r="C27" s="20">
        <f>C24+C26</f>
        <v>3949.86</v>
      </c>
      <c r="D27">
        <v>5.9379999999999997E-3</v>
      </c>
      <c r="E27">
        <v>1.0754999999999999</v>
      </c>
      <c r="F27">
        <f>D27*C27*E27</f>
        <v>25.225065965339997</v>
      </c>
      <c r="I27" s="24">
        <f>C36*I4</f>
        <v>0</v>
      </c>
      <c r="J27" s="23" t="s">
        <v>41</v>
      </c>
    </row>
    <row r="28" spans="1:15" hidden="1" x14ac:dyDescent="0.7">
      <c r="A28">
        <v>5</v>
      </c>
      <c r="B28" t="s">
        <v>11</v>
      </c>
      <c r="C28" s="20">
        <f>C27</f>
        <v>3949.86</v>
      </c>
      <c r="D28">
        <v>1.0004000000000001E-2</v>
      </c>
      <c r="E28">
        <v>1.0754999999999999</v>
      </c>
      <c r="F28">
        <f t="shared" ref="F28" si="2">D28*C28*E28</f>
        <v>42.497736597719999</v>
      </c>
      <c r="I28" s="26">
        <f>K7</f>
        <v>724.141076</v>
      </c>
      <c r="J28" s="23" t="s">
        <v>42</v>
      </c>
    </row>
    <row r="29" spans="1:15" hidden="1" x14ac:dyDescent="0.7">
      <c r="A29">
        <v>6</v>
      </c>
      <c r="B29" t="s">
        <v>1</v>
      </c>
      <c r="C29">
        <v>30</v>
      </c>
      <c r="D29">
        <v>5.7524660000000001</v>
      </c>
      <c r="F29">
        <f>D29*C29</f>
        <v>172.57398000000001</v>
      </c>
      <c r="I29" s="7">
        <f>K8</f>
        <v>2878.9058130399999</v>
      </c>
      <c r="J29" s="23" t="s">
        <v>43</v>
      </c>
    </row>
    <row r="30" spans="1:15" hidden="1" x14ac:dyDescent="0.7">
      <c r="A30">
        <v>7</v>
      </c>
      <c r="B30" t="s">
        <v>2</v>
      </c>
      <c r="C30" s="20">
        <f>C28</f>
        <v>3949.86</v>
      </c>
      <c r="D30">
        <v>6.9999999999999999E-4</v>
      </c>
      <c r="E30">
        <v>1.0754999999999999</v>
      </c>
      <c r="F30">
        <f t="shared" ref="F30:F32" si="3">D30*C30*E30</f>
        <v>2.9736521009999999</v>
      </c>
      <c r="I30" s="10">
        <f>SUM(I24:I29)</f>
        <v>4009.9789976936099</v>
      </c>
      <c r="J30" s="23" t="s">
        <v>40</v>
      </c>
    </row>
    <row r="31" spans="1:15" hidden="1" x14ac:dyDescent="0.7">
      <c r="A31">
        <v>8</v>
      </c>
      <c r="B31" t="s">
        <v>3</v>
      </c>
      <c r="C31" s="20">
        <f>C28</f>
        <v>3949.86</v>
      </c>
      <c r="D31">
        <v>4.4700000000000002E-4</v>
      </c>
      <c r="E31">
        <v>1.0754999999999999</v>
      </c>
      <c r="F31">
        <f t="shared" si="3"/>
        <v>1.89888927021</v>
      </c>
    </row>
    <row r="32" spans="1:15" hidden="1" x14ac:dyDescent="0.7">
      <c r="A32">
        <v>9</v>
      </c>
      <c r="B32" t="s">
        <v>12</v>
      </c>
      <c r="C32" s="20">
        <f>C28</f>
        <v>3949.86</v>
      </c>
      <c r="D32">
        <v>6.8180000000000003E-3</v>
      </c>
      <c r="E32">
        <v>1.0754999999999999</v>
      </c>
      <c r="F32">
        <f t="shared" si="3"/>
        <v>28.963371463739996</v>
      </c>
    </row>
    <row r="33" spans="1:8" hidden="1" x14ac:dyDescent="0.7">
      <c r="A33">
        <v>10</v>
      </c>
      <c r="B33" t="s">
        <v>4</v>
      </c>
      <c r="C33">
        <v>30</v>
      </c>
      <c r="D33">
        <v>16.334246</v>
      </c>
      <c r="E33">
        <v>1.0754999999999999</v>
      </c>
      <c r="F33">
        <f t="shared" ref="F33:F38" si="4">D33*C33</f>
        <v>490.02737999999999</v>
      </c>
    </row>
    <row r="34" spans="1:8" hidden="1" x14ac:dyDescent="0.7">
      <c r="A34">
        <v>11</v>
      </c>
      <c r="B34" t="s">
        <v>13</v>
      </c>
      <c r="C34">
        <f>C24*0.78</f>
        <v>0</v>
      </c>
      <c r="D34">
        <v>5.2915999999999998E-2</v>
      </c>
      <c r="F34">
        <f t="shared" si="4"/>
        <v>0</v>
      </c>
    </row>
    <row r="35" spans="1:8" hidden="1" x14ac:dyDescent="0.7">
      <c r="A35">
        <v>12</v>
      </c>
      <c r="B35" t="s">
        <v>15</v>
      </c>
      <c r="C35">
        <v>3949.86</v>
      </c>
      <c r="D35">
        <v>1.8245999999999998E-2</v>
      </c>
      <c r="F35">
        <f t="shared" si="4"/>
        <v>72.069145559999995</v>
      </c>
    </row>
    <row r="36" spans="1:8" hidden="1" x14ac:dyDescent="0.7">
      <c r="A36">
        <v>13</v>
      </c>
      <c r="B36" t="s">
        <v>16</v>
      </c>
      <c r="C36">
        <f>C24*0.22</f>
        <v>0</v>
      </c>
      <c r="D36">
        <v>4.2463000000000001E-2</v>
      </c>
      <c r="E36">
        <v>1.0754999999999999</v>
      </c>
      <c r="F36">
        <f t="shared" si="4"/>
        <v>0</v>
      </c>
    </row>
    <row r="37" spans="1:8" hidden="1" x14ac:dyDescent="0.7">
      <c r="A37">
        <v>14</v>
      </c>
      <c r="B37" t="s">
        <v>20</v>
      </c>
      <c r="C37">
        <v>500</v>
      </c>
      <c r="D37">
        <v>3.9258329999999999</v>
      </c>
      <c r="F37">
        <f t="shared" si="4"/>
        <v>1962.9165</v>
      </c>
    </row>
    <row r="38" spans="1:8" hidden="1" x14ac:dyDescent="0.7">
      <c r="A38">
        <v>15</v>
      </c>
      <c r="B38" t="s">
        <v>19</v>
      </c>
      <c r="C38">
        <v>139.12</v>
      </c>
      <c r="D38">
        <v>6.5841669999999999</v>
      </c>
      <c r="F38">
        <f t="shared" si="4"/>
        <v>915.98931304000007</v>
      </c>
    </row>
    <row r="39" spans="1:8" hidden="1" x14ac:dyDescent="0.7">
      <c r="F39" s="6">
        <f>SUM(F24:F38)</f>
        <v>3993.64475169361</v>
      </c>
      <c r="G39" t="s">
        <v>23</v>
      </c>
    </row>
    <row r="40" spans="1:8" hidden="1" x14ac:dyDescent="0.7">
      <c r="A40">
        <v>16</v>
      </c>
      <c r="B40" t="s">
        <v>44</v>
      </c>
      <c r="F40" s="7">
        <f>I24</f>
        <v>0</v>
      </c>
    </row>
    <row r="41" spans="1:8" hidden="1" x14ac:dyDescent="0.7">
      <c r="F41" s="10">
        <f>F40+F39</f>
        <v>3993.64475169361</v>
      </c>
      <c r="G41" t="s">
        <v>23</v>
      </c>
    </row>
    <row r="42" spans="1:8" hidden="1" x14ac:dyDescent="0.7">
      <c r="F42" s="10">
        <f>F41*1.1</f>
        <v>4393.0092268629714</v>
      </c>
      <c r="G42" t="s">
        <v>7</v>
      </c>
    </row>
    <row r="43" spans="1:8" hidden="1" x14ac:dyDescent="0.7">
      <c r="H43" s="7">
        <f>F41-F18</f>
        <v>-6267.9736981980932</v>
      </c>
    </row>
    <row r="44" spans="1:8" hidden="1" x14ac:dyDescent="0.7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EE0-6F36-4B3D-A8A0-EB2D84F1BDD1}">
  <dimension ref="B3:H6"/>
  <sheetViews>
    <sheetView workbookViewId="0">
      <selection activeCell="H7" sqref="H7"/>
    </sheetView>
  </sheetViews>
  <sheetFormatPr defaultRowHeight="25.5" x14ac:dyDescent="0.7"/>
  <sheetData>
    <row r="3" spans="2:8" x14ac:dyDescent="0.7">
      <c r="B3">
        <v>234</v>
      </c>
      <c r="C3">
        <v>350</v>
      </c>
      <c r="D3">
        <f>C3*B3</f>
        <v>81900</v>
      </c>
      <c r="H3">
        <v>335</v>
      </c>
    </row>
    <row r="4" spans="2:8" x14ac:dyDescent="0.7">
      <c r="B4">
        <v>28</v>
      </c>
      <c r="C4">
        <v>350</v>
      </c>
      <c r="D4">
        <f t="shared" ref="D4:D5" si="0">C4*B4</f>
        <v>9800</v>
      </c>
      <c r="H4">
        <v>32</v>
      </c>
    </row>
    <row r="5" spans="2:8" x14ac:dyDescent="0.7">
      <c r="B5">
        <v>217</v>
      </c>
      <c r="C5">
        <v>350</v>
      </c>
      <c r="D5">
        <f t="shared" si="0"/>
        <v>75950</v>
      </c>
      <c r="H5">
        <v>345</v>
      </c>
    </row>
    <row r="6" spans="2:8" x14ac:dyDescent="0.7">
      <c r="B6">
        <f>SUM(B3:B5)</f>
        <v>479</v>
      </c>
      <c r="D6">
        <f>SUM(D3:D5)</f>
        <v>167650</v>
      </c>
      <c r="E6" t="s">
        <v>35</v>
      </c>
      <c r="H6">
        <f>SUM(H3:H5)</f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2020-07-09T00:48:50Z</dcterms:created>
  <dcterms:modified xsi:type="dcterms:W3CDTF">2021-01-07T02:12:31Z</dcterms:modified>
</cp:coreProperties>
</file>