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"/>
    </mc:Choice>
  </mc:AlternateContent>
  <xr:revisionPtr revIDLastSave="43" documentId="8_{B3228284-B9EB-46A2-BBC4-6E03136D6E9D}" xr6:coauthVersionLast="40" xr6:coauthVersionMax="41" xr10:uidLastSave="{600E892C-7C71-4F34-BCFE-3983EA854D9D}"/>
  <bookViews>
    <workbookView xWindow="2130" yWindow="1725" windowWidth="20850" windowHeight="11835" activeTab="1" xr2:uid="{D0E79A60-AC9E-4AFD-A74C-CCE50AE0356B}"/>
  </bookViews>
  <sheets>
    <sheet name="Summary" sheetId="5" r:id="rId1"/>
    <sheet name="Tools" sheetId="6" r:id="rId2"/>
    <sheet name="_DataDragonEXP" sheetId="4" r:id="rId3"/>
    <sheet name="_DataIO" sheetId="7" r:id="rId4"/>
    <sheet name="_DataHDrags" sheetId="9" state="hidden" r:id="rId5"/>
    <sheet name="_DataHBrun" sheetId="10" r:id="rId6"/>
    <sheet name="_DataHMerc" sheetId="11" state="hidden" r:id="rId7"/>
    <sheet name="_DataHMid" sheetId="14" r:id="rId8"/>
    <sheet name="_DataHJup" sheetId="13" state="hidden" r:id="rId9"/>
    <sheet name="_DataHZod" sheetId="12" state="hidden" r:id="rId10"/>
  </sheets>
  <definedNames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DATA_DRAG_ACCU_EXP">_DataDragonEXP!$F$2:$F$101</definedName>
    <definedName name="DATA_DRAG_LV_EXP">_DataDragonEXP!$E$2:$E$101</definedName>
    <definedName name="DATA_DRAGON_EXP">_DataDragonEXP!$A:$A</definedName>
    <definedName name="DATA_DRAGON_PLAYS">_DataDragonEXP!$B:$B</definedName>
    <definedName name="DATA_HDRAG_HBRUN" comment="Raw drop data of High Brunhilda">_DataHBrun!$1:$1048576</definedName>
    <definedName name="DATA_HDRAG_HJUP" comment="Raw drop data of High Jupiter">_DataHJup!$1:$1048576</definedName>
    <definedName name="DATA_HDRAG_HMERC" comment="Raw drop data of High Mercury">_DataHMerc!$1:$1048576</definedName>
    <definedName name="DATA_HDRAG_HMID" comment="Raw drop data of High Midgarsormr">_DataHMid!$1:$1048576</definedName>
    <definedName name="DATA_HDRAG_HZOD" comment="Raw drop data of High Zodiac">_DataHZod!$1:$1048576</definedName>
    <definedName name="DATA_HDRAGS_BUILDING" comment="Table of orbs required for upgrading the building of high dragons.">_DataHDrags!$A$2:$A$32</definedName>
    <definedName name="DATA_HDRAGS_DRAGON" comment="Table of orbs required for limit breaking the high dragons.">_DataHDrags!$B$2:$B$7</definedName>
    <definedName name="DATA_IO" comment="Raw data for building Imperial Onslaught related facilities.">_DataIO!$Q$3:$X$32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HAS_REC_HBRUN" comment="Has the record of High Brunhilda or not.">COUNTA(DATA_HDRAG_HBRUN) &gt; 0</definedName>
    <definedName name="HDRAG_HAS_REC_HJUP" comment="Has the record of High Jupiter or not.">COUNTA(DATA_HDRAG_HJUP) &gt; 0</definedName>
    <definedName name="HDRAG_HAS_REC_HMERC" comment="Has the record of High Mercury or not.">COUNTA(DATA_HDRAG_HMERC) &gt; 0</definedName>
    <definedName name="HDRAG_HAS_REC_HMID" comment="Has the record of High Midgarsormr or not.">COUNTA(DATA_HDRAG_HMID) &gt; 0</definedName>
    <definedName name="HDRAG_HAS_REC_HZOD" comment="Has the record of High Zodiac or not.">COUNTA(DATA_HDRAG_HZOD) &gt; 0</definedName>
    <definedName name="HDRAGS_MAX_ALL" comment="Value of required orbs for maxing all high dragons related objects.">HDRAGS_MAX_BUILDING + HDRAGS_MAX_DRAGON</definedName>
    <definedName name="HDRAGS_MAX_BUILDING" comment="Value of orbs required for maxing the building of the high dragons.">MAX(DATA_HDRAGS_BUILDING)</definedName>
    <definedName name="HDRAGS_MAX_DRAGON" comment="Value of orbs required for maxing the limit break of the high dragons.">MAX(DATA_HDRAGS_DRAGON)</definedName>
    <definedName name="HDRAGS_MAX_DRAGON_BLD_16" comment="Value of required orbs for max limit break the dragon and upgrade the building to Lv.16.">MAX(DATA_HDRAGS_DRAGON)+INDEX(DATA_HDRAGS_BUILDING,16)</definedName>
    <definedName name="WINGS_CONSUME_DRAGON" comment="Count of wings needed for a Dragon's Trial (Master).">2</definedName>
    <definedName name="WINGS_CONSUME_IO" comment="Count of wings needed for an Imperial Onslaught (Master).">2</definedName>
    <definedName name="WINGS_RECOVER_DIAMS" comment="Diamantiums needed for recovering the wings.">50</definedName>
    <definedName name="WINGS_RECOVER_NUM" comment="Count of wings can be recovered at once.">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9" i="5" l="1"/>
  <c r="I26" i="5"/>
  <c r="Y26" i="5"/>
  <c r="X26" i="5"/>
  <c r="U26" i="5"/>
  <c r="V26" i="5"/>
  <c r="W26" i="5"/>
  <c r="Y21" i="5"/>
  <c r="X21" i="5"/>
  <c r="U21" i="5"/>
  <c r="V21" i="5"/>
  <c r="W21" i="5"/>
  <c r="K36" i="5"/>
  <c r="K37" i="5"/>
  <c r="K35" i="5"/>
  <c r="K33" i="5"/>
  <c r="N34" i="5"/>
  <c r="A13" i="6"/>
  <c r="B13" i="6"/>
  <c r="C13" i="6"/>
  <c r="F32" i="5"/>
  <c r="I27" i="5" s="1"/>
  <c r="I28" i="5" s="1"/>
  <c r="B10" i="6"/>
  <c r="C14" i="6" s="1"/>
  <c r="C10" i="6"/>
  <c r="C12" i="6"/>
  <c r="D13" i="6" l="1" a="1"/>
  <c r="D14" i="6" s="1"/>
  <c r="B8" i="6" s="1"/>
  <c r="D8" i="6" s="1"/>
  <c r="O28" i="5"/>
  <c r="O30" i="5" s="1"/>
  <c r="O26" i="5"/>
  <c r="T4" i="5"/>
  <c r="U4" i="5"/>
  <c r="V4" i="5"/>
  <c r="W4" i="5"/>
  <c r="X4" i="5"/>
  <c r="X5" i="5" s="1"/>
  <c r="Y4" i="5"/>
  <c r="T6" i="5"/>
  <c r="U6" i="5"/>
  <c r="V6" i="5"/>
  <c r="W6" i="5"/>
  <c r="X6" i="5"/>
  <c r="Y6" i="5"/>
  <c r="AA6" i="5"/>
  <c r="AB6" i="5"/>
  <c r="AC6" i="5"/>
  <c r="AD6" i="5"/>
  <c r="AE6" i="5"/>
  <c r="AF6" i="5"/>
  <c r="AG6" i="5"/>
  <c r="AH6" i="5"/>
  <c r="AI6" i="5"/>
  <c r="AJ6" i="5"/>
  <c r="U7" i="5"/>
  <c r="V7" i="5"/>
  <c r="W7" i="5"/>
  <c r="X7" i="5"/>
  <c r="T8" i="5"/>
  <c r="U8" i="5"/>
  <c r="U9" i="5" s="1"/>
  <c r="V8" i="5"/>
  <c r="V9" i="5" s="1"/>
  <c r="W8" i="5"/>
  <c r="W9" i="5" s="1"/>
  <c r="X8" i="5"/>
  <c r="X9" i="5" s="1"/>
  <c r="Y8" i="5"/>
  <c r="T10" i="5"/>
  <c r="U10" i="5"/>
  <c r="V10" i="5"/>
  <c r="W10" i="5"/>
  <c r="X10" i="5"/>
  <c r="Y10" i="5"/>
  <c r="AA10" i="5"/>
  <c r="AB10" i="5"/>
  <c r="AC10" i="5"/>
  <c r="AD10" i="5"/>
  <c r="AE10" i="5"/>
  <c r="AF10" i="5"/>
  <c r="AG10" i="5"/>
  <c r="AH10" i="5"/>
  <c r="AI10" i="5"/>
  <c r="AJ10" i="5"/>
  <c r="U11" i="5"/>
  <c r="V11" i="5"/>
  <c r="W11" i="5"/>
  <c r="X11" i="5"/>
  <c r="T12" i="5"/>
  <c r="U12" i="5"/>
  <c r="V12" i="5"/>
  <c r="W12" i="5"/>
  <c r="X12" i="5"/>
  <c r="Y12" i="5"/>
  <c r="AA12" i="5"/>
  <c r="AB12" i="5"/>
  <c r="AC12" i="5"/>
  <c r="AD12" i="5"/>
  <c r="AE12" i="5"/>
  <c r="AF12" i="5"/>
  <c r="AG12" i="5"/>
  <c r="AH12" i="5"/>
  <c r="AI12" i="5"/>
  <c r="AJ12" i="5"/>
  <c r="U13" i="5"/>
  <c r="V13" i="5"/>
  <c r="W13" i="5"/>
  <c r="X13" i="5"/>
  <c r="U18" i="5"/>
  <c r="V18" i="5"/>
  <c r="W18" i="5"/>
  <c r="X18" i="5"/>
  <c r="X28" i="5" s="1"/>
  <c r="Y18" i="5"/>
  <c r="AA18" i="5"/>
  <c r="AB18" i="5"/>
  <c r="AC18" i="5"/>
  <c r="AD18" i="5"/>
  <c r="AE18" i="5"/>
  <c r="AF18" i="5"/>
  <c r="AG18" i="5"/>
  <c r="AH18" i="5"/>
  <c r="AI18" i="5"/>
  <c r="AJ18" i="5"/>
  <c r="U20" i="5"/>
  <c r="U27" i="5" s="1"/>
  <c r="V20" i="5"/>
  <c r="W20" i="5"/>
  <c r="W27" i="5" s="1"/>
  <c r="X20" i="5"/>
  <c r="X27" i="5" s="1"/>
  <c r="Y20" i="5"/>
  <c r="Y27" i="5" s="1"/>
  <c r="G10" i="6"/>
  <c r="G8" i="6"/>
  <c r="L4" i="6"/>
  <c r="G7" i="6" s="1"/>
  <c r="L3" i="6"/>
  <c r="B4" i="9"/>
  <c r="B5" i="9" s="1"/>
  <c r="B6" i="9" s="1"/>
  <c r="B7" i="9" s="1"/>
  <c r="D13" i="6" l="1"/>
  <c r="B7" i="6" s="1"/>
  <c r="B9" i="6" s="1"/>
  <c r="W5" i="5"/>
  <c r="AC16" i="5" s="1"/>
  <c r="V5" i="5"/>
  <c r="AB16" i="5" s="1"/>
  <c r="W23" i="5"/>
  <c r="U5" i="5"/>
  <c r="AF4" i="5" s="1"/>
  <c r="W28" i="5"/>
  <c r="X29" i="5"/>
  <c r="V27" i="5"/>
  <c r="Y28" i="5"/>
  <c r="AC8" i="5"/>
  <c r="AA20" i="5"/>
  <c r="AF8" i="5"/>
  <c r="AF20" i="5"/>
  <c r="AA8" i="5"/>
  <c r="AD20" i="5"/>
  <c r="AI8" i="5"/>
  <c r="AI20" i="5"/>
  <c r="AI16" i="5"/>
  <c r="AI4" i="5"/>
  <c r="AD16" i="5"/>
  <c r="AD4" i="5"/>
  <c r="AC20" i="5"/>
  <c r="AH8" i="5"/>
  <c r="AH20" i="5"/>
  <c r="AG20" i="5"/>
  <c r="AB8" i="5"/>
  <c r="AG8" i="5"/>
  <c r="AB20" i="5"/>
  <c r="AD8" i="5"/>
  <c r="Y29" i="5"/>
  <c r="U29" i="5"/>
  <c r="V28" i="5"/>
  <c r="U28" i="5"/>
  <c r="AJ24" i="5"/>
  <c r="AI24" i="5"/>
  <c r="AH24" i="5"/>
  <c r="AG24" i="5"/>
  <c r="AF24" i="5"/>
  <c r="AE24" i="5"/>
  <c r="AD24" i="5"/>
  <c r="AC24" i="5"/>
  <c r="AB24" i="5"/>
  <c r="AA24" i="5"/>
  <c r="AJ22" i="5"/>
  <c r="AI22" i="5"/>
  <c r="AH22" i="5"/>
  <c r="AG22" i="5"/>
  <c r="AF22" i="5"/>
  <c r="AE22" i="5"/>
  <c r="AD22" i="5"/>
  <c r="AC22" i="5"/>
  <c r="AB22" i="5"/>
  <c r="AA22" i="5"/>
  <c r="D7" i="6" l="1"/>
  <c r="C9" i="6" s="1"/>
  <c r="D10" i="6" s="1"/>
  <c r="AH16" i="5"/>
  <c r="AH4" i="5"/>
  <c r="AF16" i="5"/>
  <c r="X25" i="5"/>
  <c r="AC4" i="5"/>
  <c r="AG4" i="5"/>
  <c r="AA16" i="5"/>
  <c r="AE16" i="5" s="1"/>
  <c r="AA4" i="5"/>
  <c r="AB4" i="5"/>
  <c r="AG16" i="5"/>
  <c r="AE8" i="5"/>
  <c r="AJ20" i="5"/>
  <c r="AJ8" i="5"/>
  <c r="AE20" i="5"/>
  <c r="Y24" i="5"/>
  <c r="Y23" i="5"/>
  <c r="V24" i="5"/>
  <c r="Y22" i="5"/>
  <c r="X22" i="5"/>
  <c r="V29" i="5"/>
  <c r="V25" i="5"/>
  <c r="V22" i="5"/>
  <c r="V23" i="5"/>
  <c r="X24" i="5"/>
  <c r="W29" i="5"/>
  <c r="W22" i="5"/>
  <c r="Y25" i="5"/>
  <c r="X23" i="5"/>
  <c r="W24" i="5"/>
  <c r="W25" i="5"/>
  <c r="U23" i="5"/>
  <c r="U25" i="5"/>
  <c r="R18" i="5"/>
  <c r="R17" i="5"/>
  <c r="R16" i="5"/>
  <c r="R15" i="5"/>
  <c r="R14" i="5"/>
  <c r="R13" i="5"/>
  <c r="R12" i="5"/>
  <c r="R11" i="5"/>
  <c r="I18" i="5"/>
  <c r="I17" i="5"/>
  <c r="I16" i="5"/>
  <c r="I15" i="5"/>
  <c r="I14" i="5"/>
  <c r="I13" i="5"/>
  <c r="I12" i="5"/>
  <c r="I11" i="5"/>
  <c r="AE4" i="5" l="1"/>
  <c r="AJ4" i="5"/>
  <c r="AJ16" i="5"/>
  <c r="U24" i="5"/>
  <c r="U22" i="5"/>
  <c r="C3" i="5"/>
  <c r="C5" i="5"/>
  <c r="C6" i="5"/>
  <c r="C4" i="5"/>
  <c r="C7" i="5"/>
  <c r="H13" i="5"/>
  <c r="J13" i="5"/>
  <c r="K13" i="5" s="1"/>
  <c r="H14" i="5"/>
  <c r="J14" i="5"/>
  <c r="K14" i="5" s="1"/>
  <c r="H11" i="5"/>
  <c r="J11" i="5"/>
  <c r="K11" i="5" s="1"/>
  <c r="H12" i="5"/>
  <c r="J12" i="5"/>
  <c r="K12" i="5" s="1"/>
  <c r="O11" i="5"/>
  <c r="P11" i="5"/>
  <c r="Q11" i="5" s="1"/>
  <c r="O12" i="5"/>
  <c r="P12" i="5"/>
  <c r="O13" i="5"/>
  <c r="P13" i="5"/>
  <c r="Q13" i="5" s="1"/>
  <c r="O14" i="5"/>
  <c r="P14" i="5"/>
  <c r="Q14" i="5" s="1"/>
  <c r="H15" i="5"/>
  <c r="J15" i="5"/>
  <c r="K15" i="5" s="1"/>
  <c r="H16" i="5"/>
  <c r="J16" i="5"/>
  <c r="K16" i="5" s="1"/>
  <c r="O15" i="5"/>
  <c r="P15" i="5"/>
  <c r="Q15" i="5" s="1"/>
  <c r="O16" i="5"/>
  <c r="P16" i="5"/>
  <c r="Q16" i="5" s="1"/>
  <c r="H17" i="5"/>
  <c r="J17" i="5"/>
  <c r="K17" i="5" s="1"/>
  <c r="H18" i="5"/>
  <c r="J18" i="5"/>
  <c r="K18" i="5" s="1"/>
  <c r="O17" i="5"/>
  <c r="P17" i="5"/>
  <c r="Q17" i="5" s="1"/>
  <c r="O18" i="5"/>
  <c r="P18" i="5"/>
  <c r="Q18" i="5" s="1"/>
  <c r="E3" i="5"/>
  <c r="Q3" i="5"/>
  <c r="E4" i="5"/>
  <c r="Q4" i="5"/>
  <c r="P4" i="5" s="1"/>
  <c r="E5" i="5"/>
  <c r="Q5" i="5"/>
  <c r="P5" i="5" s="1"/>
  <c r="E6" i="5"/>
  <c r="Q6" i="5"/>
  <c r="P6" i="5" s="1"/>
  <c r="E7" i="5"/>
  <c r="Q7" i="5"/>
  <c r="P7" i="5" s="1"/>
  <c r="B8" i="5"/>
  <c r="O26" i="7"/>
  <c r="L26" i="7"/>
  <c r="I26" i="7"/>
  <c r="F26" i="7"/>
  <c r="C26" i="7"/>
  <c r="O25" i="7"/>
  <c r="L25" i="7"/>
  <c r="I25" i="7"/>
  <c r="F25" i="7"/>
  <c r="C25" i="7"/>
  <c r="O24" i="7"/>
  <c r="L24" i="7"/>
  <c r="I24" i="7"/>
  <c r="F24" i="7"/>
  <c r="C24" i="7"/>
  <c r="O23" i="7"/>
  <c r="L23" i="7"/>
  <c r="I23" i="7"/>
  <c r="F23" i="7"/>
  <c r="C23" i="7"/>
  <c r="O22" i="7"/>
  <c r="L22" i="7"/>
  <c r="I22" i="7"/>
  <c r="F22" i="7"/>
  <c r="C22" i="7"/>
  <c r="O21" i="7"/>
  <c r="L21" i="7"/>
  <c r="I21" i="7"/>
  <c r="F21" i="7"/>
  <c r="C21" i="7"/>
  <c r="O20" i="7"/>
  <c r="L20" i="7"/>
  <c r="I20" i="7"/>
  <c r="F20" i="7"/>
  <c r="C20" i="7"/>
  <c r="O19" i="7"/>
  <c r="L19" i="7"/>
  <c r="I19" i="7"/>
  <c r="F19" i="7"/>
  <c r="C19" i="7"/>
  <c r="O18" i="7"/>
  <c r="L18" i="7"/>
  <c r="I18" i="7"/>
  <c r="F18" i="7"/>
  <c r="C18" i="7"/>
  <c r="O17" i="7"/>
  <c r="L17" i="7"/>
  <c r="I17" i="7"/>
  <c r="F17" i="7"/>
  <c r="C17" i="7"/>
  <c r="O16" i="7"/>
  <c r="L16" i="7"/>
  <c r="I16" i="7"/>
  <c r="F16" i="7"/>
  <c r="C16" i="7"/>
  <c r="O15" i="7"/>
  <c r="L15" i="7"/>
  <c r="I15" i="7"/>
  <c r="F15" i="7"/>
  <c r="C15" i="7"/>
  <c r="O14" i="7"/>
  <c r="L14" i="7"/>
  <c r="I14" i="7"/>
  <c r="F14" i="7"/>
  <c r="C14" i="7"/>
  <c r="O13" i="7"/>
  <c r="L13" i="7"/>
  <c r="I13" i="7"/>
  <c r="F13" i="7"/>
  <c r="C13" i="7"/>
  <c r="O12" i="7"/>
  <c r="L12" i="7"/>
  <c r="I12" i="7"/>
  <c r="F12" i="7"/>
  <c r="C12" i="7"/>
  <c r="O11" i="7"/>
  <c r="L11" i="7"/>
  <c r="I11" i="7"/>
  <c r="F11" i="7"/>
  <c r="C11" i="7"/>
  <c r="O10" i="7"/>
  <c r="L10" i="7"/>
  <c r="I10" i="7"/>
  <c r="F10" i="7"/>
  <c r="C10" i="7"/>
  <c r="O9" i="7"/>
  <c r="L9" i="7"/>
  <c r="I9" i="7"/>
  <c r="F9" i="7"/>
  <c r="C9" i="7"/>
  <c r="O8" i="7"/>
  <c r="L8" i="7"/>
  <c r="I8" i="7"/>
  <c r="F8" i="7"/>
  <c r="C8" i="7"/>
  <c r="O7" i="7"/>
  <c r="L7" i="7"/>
  <c r="I7" i="7"/>
  <c r="F7" i="7"/>
  <c r="C7" i="7"/>
  <c r="O6" i="7"/>
  <c r="L6" i="7"/>
  <c r="I6" i="7"/>
  <c r="F6" i="7"/>
  <c r="C6" i="7"/>
  <c r="O5" i="7"/>
  <c r="L5" i="7"/>
  <c r="I5" i="7"/>
  <c r="F5" i="7"/>
  <c r="C5" i="7"/>
  <c r="O4" i="7"/>
  <c r="L4" i="7"/>
  <c r="I4" i="7"/>
  <c r="F4" i="7"/>
  <c r="C4" i="7"/>
  <c r="O3" i="7"/>
  <c r="L3" i="7"/>
  <c r="I3" i="7"/>
  <c r="F3" i="7"/>
  <c r="C3" i="7"/>
  <c r="G20" i="5" l="1"/>
  <c r="Q12" i="5"/>
  <c r="M20" i="5" s="1"/>
  <c r="Q8" i="5"/>
  <c r="P8" i="5" s="1"/>
  <c r="E8" i="5"/>
  <c r="P3" i="5"/>
  <c r="F4" i="5" l="1"/>
  <c r="F5" i="5"/>
  <c r="G5" i="5" l="1"/>
  <c r="N5" i="5" s="1"/>
  <c r="O5" i="5" s="1"/>
  <c r="G4" i="5"/>
  <c r="G6" i="5"/>
  <c r="F6" i="5"/>
  <c r="F3" i="5"/>
  <c r="C8" i="5"/>
  <c r="G3" i="5"/>
  <c r="F7" i="5"/>
  <c r="G7" i="5"/>
  <c r="D5" i="5" l="1"/>
  <c r="H5" i="5" s="1"/>
  <c r="M5" i="5"/>
  <c r="D4" i="5"/>
  <c r="H4" i="5" s="1"/>
  <c r="N4" i="5"/>
  <c r="O4" i="5" s="1"/>
  <c r="M4" i="5"/>
  <c r="D7" i="5"/>
  <c r="H7" i="5" s="1"/>
  <c r="M7" i="5"/>
  <c r="N7" i="5"/>
  <c r="O7" i="5" s="1"/>
  <c r="D3" i="5"/>
  <c r="H3" i="5" s="1"/>
  <c r="G8" i="5"/>
  <c r="M3" i="5"/>
  <c r="N3" i="5"/>
  <c r="F8" i="5"/>
  <c r="D6" i="5"/>
  <c r="H6" i="5" s="1"/>
  <c r="M6" i="5"/>
  <c r="N6" i="5"/>
  <c r="O6" i="5" s="1"/>
  <c r="O3" i="5" l="1"/>
  <c r="O8" i="5" s="1"/>
  <c r="N8" i="5"/>
  <c r="D8" i="5"/>
  <c r="H8" i="5" s="1"/>
  <c r="M8" i="5"/>
</calcChain>
</file>

<file path=xl/sharedStrings.xml><?xml version="1.0" encoding="utf-8"?>
<sst xmlns="http://schemas.openxmlformats.org/spreadsheetml/2006/main" count="172" uniqueCount="96">
  <si>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</si>
  <si>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</si>
  <si>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</si>
  <si>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</si>
  <si>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</si>
  <si>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</si>
  <si>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</si>
  <si>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</si>
  <si>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</si>
  <si>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</si>
  <si>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</si>
  <si>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</si>
  <si>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</si>
  <si>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</si>
  <si>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</si>
  <si>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</si>
  <si>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金牌</t>
  </si>
  <si>
    <t>銀牌</t>
  </si>
  <si>
    <t>銅牌</t>
  </si>
  <si>
    <t>Lv</t>
  </si>
  <si>
    <t>4s</t>
  </si>
  <si>
    <t>3s</t>
  </si>
  <si>
    <t>FULL</t>
  </si>
  <si>
    <t>GOT</t>
  </si>
  <si>
    <t>LEFT</t>
  </si>
  <si>
    <t>單手劍</t>
  </si>
  <si>
    <t>強化%</t>
  </si>
  <si>
    <t>武器種</t>
  </si>
  <si>
    <t>需時</t>
  </si>
  <si>
    <t>等量鑽</t>
  </si>
  <si>
    <t>時間</t>
  </si>
  <si>
    <t>總計需時</t>
  </si>
  <si>
    <t>總計等量鑽</t>
  </si>
  <si>
    <t xml:space="preserve">LAST UPDATE: </t>
  </si>
  <si>
    <t>帝國迎擊戰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</si>
  <si>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</si>
  <si>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</si>
  <si>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</si>
  <si>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</si>
  <si>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</si>
  <si>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</si>
  <si>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</si>
  <si>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</si>
  <si>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</si>
  <si>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</si>
  <si>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掉落2</t>
  </si>
  <si>
    <t>掉落3</t>
  </si>
  <si>
    <t>掉落4</t>
  </si>
  <si>
    <t>掉落5</t>
  </si>
  <si>
    <t>真龍</t>
  </si>
  <si>
    <t>滿龍</t>
  </si>
  <si>
    <t>滿建築</t>
  </si>
  <si>
    <t>滿龍+建築16等</t>
  </si>
  <si>
    <t>滿龍+滿建築</t>
  </si>
  <si>
    <t>Building</t>
  </si>
  <si>
    <t>LB</t>
  </si>
  <si>
    <t>總計</t>
  </si>
  <si>
    <t>真水</t>
  </si>
  <si>
    <t>真光</t>
  </si>
  <si>
    <t>真暗</t>
  </si>
  <si>
    <t>建築</t>
  </si>
  <si>
    <t>等級</t>
  </si>
  <si>
    <t>突破</t>
  </si>
  <si>
    <t>龍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</si>
  <si>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</si>
  <si>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</si>
  <si>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</si>
  <si>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</si>
  <si>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</si>
  <si>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</si>
  <si>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</si>
  <si>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</si>
  <si>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</si>
  <si>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</si>
  <si>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龍的試煉</t>
  </si>
  <si>
    <t>掉落數</t>
  </si>
  <si>
    <t>計算總和</t>
  </si>
  <si>
    <t>預期總和</t>
  </si>
  <si>
    <t>經驗差</t>
  </si>
  <si>
    <t>經驗/場</t>
  </si>
  <si>
    <t>數量</t>
  </si>
  <si>
    <t>經驗</t>
  </si>
  <si>
    <t>預扣</t>
  </si>
  <si>
    <t>下級經驗</t>
  </si>
  <si>
    <t>存量</t>
  </si>
  <si>
    <t>可滿100</t>
  </si>
  <si>
    <t>60等</t>
  </si>
  <si>
    <t>80等</t>
  </si>
  <si>
    <t>100等</t>
  </si>
  <si>
    <t>掉落結果</t>
  </si>
  <si>
    <t>建築資料</t>
  </si>
  <si>
    <t>等級經驗</t>
  </si>
  <si>
    <t>累積經驗</t>
  </si>
  <si>
    <t>額外</t>
  </si>
  <si>
    <t>場次(全)</t>
  </si>
  <si>
    <t>獲得經驗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</si>
</sst>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L\v\ General"/>
    <numFmt numFmtId="165" formatCode="General\ \%"/>
    <numFmt numFmtId="166" formatCode="0.0000"/>
    <numFmt numFmtId="167" formatCode="d\ \D\ hh\ \H"/>
    <numFmt numFmtId="168" formatCode="0.0%"/>
    <numFmt numFmtId="169" formatCode="0.0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name val="Calibri"/>
      <family val="2"/>
      <scheme val="minor"/>
    </font>
    <font>
      <sz val="10"/>
      <name val="Calibri"/>
      <family val="2"/>
      <scheme val="minor"/>
    </font>
    <font>
      <sz val="20"/>
      <name val="Calibri"/>
      <family val="2"/>
      <scheme val="minor"/>
    </font>
    <font>
      <sz val="9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0.499984740745262"/>
      </left>
      <right/>
      <top/>
      <bottom/>
      <diagonal/>
    </border>
    <border>
      <left style="thin">
        <color theme="2" tint="-0.499984740745262"/>
      </left>
      <right/>
      <top/>
      <bottom style="thin">
        <color indexed="64"/>
      </bottom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>
      <left/>
      <right/>
      <top/>
      <bottom style="thick">
        <color theme="2" tint="-9.9978637043366805E-2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 diagonalDown="1">
      <left/>
      <right/>
      <top/>
      <bottom/>
      <diagonal style="thin">
        <color auto="1"/>
      </diagonal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theme="5" tint="0.79998168889431442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theme="2" tint="-0.249977111117893"/>
      </left>
      <right/>
      <top/>
      <bottom/>
      <diagonal/>
    </border>
    <border>
      <left/>
      <right style="thick">
        <color theme="2" tint="-0.249977111117893"/>
      </right>
      <top/>
      <bottom/>
      <diagonal/>
    </border>
    <border>
      <left style="thick">
        <color theme="2" tint="-0.249977111117893"/>
      </left>
      <right/>
      <top/>
      <bottom style="thick">
        <color theme="2" tint="-0.249977111117893"/>
      </bottom>
      <diagonal/>
    </border>
    <border>
      <left/>
      <right/>
      <top/>
      <bottom style="thick">
        <color theme="2" tint="-0.249977111117893"/>
      </bottom>
      <diagonal/>
    </border>
    <border>
      <left/>
      <right style="thick">
        <color indexed="64"/>
      </right>
      <top/>
      <bottom style="thick">
        <color theme="2" tint="-0.249977111117893"/>
      </bottom>
      <diagonal/>
    </border>
    <border>
      <left style="thick">
        <color theme="2" tint="-9.9978637043366805E-2"/>
      </left>
      <right/>
      <top/>
      <bottom style="thick">
        <color theme="2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8">
    <xf numFmtId="0" fontId="0" fillId="0" borderId="0" xfId="0"/>
    <xf numFmtId="0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0" fillId="5" borderId="0" xfId="0" applyNumberFormat="1" applyFill="1" applyAlignment="1">
      <alignment horizontal="center" vertical="center"/>
    </xf>
    <xf numFmtId="1" fontId="0" fillId="6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66" fontId="0" fillId="8" borderId="0" xfId="0" applyNumberFormat="1" applyFill="1" applyAlignment="1">
      <alignment horizontal="center" vertical="center"/>
    </xf>
    <xf numFmtId="166" fontId="0" fillId="7" borderId="0" xfId="0" applyNumberFormat="1" applyFill="1" applyAlignment="1">
      <alignment horizontal="center" vertical="center"/>
    </xf>
    <xf numFmtId="166" fontId="0" fillId="6" borderId="0" xfId="0" applyNumberFormat="1" applyFill="1" applyAlignment="1">
      <alignment horizontal="center" vertical="center"/>
    </xf>
    <xf numFmtId="166" fontId="0" fillId="5" borderId="0" xfId="0" applyNumberFormat="1" applyFill="1" applyAlignment="1">
      <alignment horizontal="center" vertical="center"/>
    </xf>
    <xf numFmtId="166" fontId="0" fillId="4" borderId="0" xfId="0" applyNumberFormat="1" applyFill="1" applyAlignment="1">
      <alignment horizontal="center" vertical="center"/>
    </xf>
    <xf numFmtId="166" fontId="0" fillId="3" borderId="0" xfId="0" applyNumberFormat="1" applyFill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3" fillId="3" borderId="0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/>
    </xf>
    <xf numFmtId="0" fontId="0" fillId="8" borderId="0" xfId="0" applyNumberFormat="1" applyFill="1" applyAlignment="1">
      <alignment horizontal="center" vertical="center"/>
    </xf>
    <xf numFmtId="0" fontId="0" fillId="7" borderId="0" xfId="0" applyNumberFormat="1" applyFill="1" applyAlignment="1">
      <alignment horizontal="center" vertical="center"/>
    </xf>
    <xf numFmtId="0" fontId="0" fillId="6" borderId="0" xfId="0" applyNumberFormat="1" applyFill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167" fontId="3" fillId="3" borderId="2" xfId="0" applyNumberFormat="1" applyFont="1" applyFill="1" applyBorder="1" applyAlignment="1">
      <alignment horizontal="center" vertical="center"/>
    </xf>
    <xf numFmtId="167" fontId="0" fillId="8" borderId="2" xfId="0" applyNumberFormat="1" applyFill="1" applyBorder="1" applyAlignment="1">
      <alignment horizontal="center" vertical="center"/>
    </xf>
    <xf numFmtId="167" fontId="0" fillId="7" borderId="2" xfId="0" applyNumberFormat="1" applyFill="1" applyBorder="1" applyAlignment="1">
      <alignment horizontal="center" vertical="center"/>
    </xf>
    <xf numFmtId="167" fontId="0" fillId="6" borderId="2" xfId="0" applyNumberFormat="1" applyFill="1" applyBorder="1" applyAlignment="1">
      <alignment horizontal="center" vertical="center"/>
    </xf>
    <xf numFmtId="167" fontId="0" fillId="5" borderId="2" xfId="0" applyNumberFormat="1" applyFill="1" applyBorder="1" applyAlignment="1">
      <alignment horizontal="center" vertical="center"/>
    </xf>
    <xf numFmtId="167" fontId="0" fillId="4" borderId="2" xfId="0" applyNumberFormat="1" applyFill="1" applyBorder="1" applyAlignment="1">
      <alignment horizontal="center" vertical="center"/>
    </xf>
    <xf numFmtId="165" fontId="0" fillId="8" borderId="3" xfId="0" applyNumberFormat="1" applyFill="1" applyBorder="1" applyAlignment="1">
      <alignment horizontal="center" vertical="center"/>
    </xf>
    <xf numFmtId="165" fontId="0" fillId="7" borderId="3" xfId="0" applyNumberFormat="1" applyFill="1" applyBorder="1" applyAlignment="1">
      <alignment horizontal="center" vertical="center"/>
    </xf>
    <xf numFmtId="165" fontId="0" fillId="6" borderId="3" xfId="0" applyNumberFormat="1" applyFill="1" applyBorder="1" applyAlignment="1">
      <alignment horizontal="center" vertical="center"/>
    </xf>
    <xf numFmtId="165" fontId="0" fillId="5" borderId="3" xfId="0" applyNumberFormat="1" applyFill="1" applyBorder="1" applyAlignment="1">
      <alignment horizontal="center" vertical="center"/>
    </xf>
    <xf numFmtId="165" fontId="0" fillId="4" borderId="3" xfId="0" applyNumberForma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64" fontId="0" fillId="8" borderId="0" xfId="0" applyNumberFormat="1" applyFill="1" applyBorder="1" applyAlignment="1">
      <alignment horizontal="center" vertical="center"/>
    </xf>
    <xf numFmtId="164" fontId="0" fillId="7" borderId="0" xfId="0" applyNumberFormat="1" applyFill="1" applyBorder="1" applyAlignment="1">
      <alignment horizontal="center" vertical="center"/>
    </xf>
    <xf numFmtId="164" fontId="0" fillId="6" borderId="0" xfId="0" applyNumberFormat="1" applyFill="1" applyBorder="1" applyAlignment="1">
      <alignment horizontal="center" vertical="center"/>
    </xf>
    <xf numFmtId="164" fontId="0" fillId="5" borderId="0" xfId="0" applyNumberFormat="1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13" borderId="11" xfId="0" applyFont="1" applyFill="1" applyBorder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168" fontId="0" fillId="8" borderId="0" xfId="1" applyNumberFormat="1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168" fontId="0" fillId="10" borderId="0" xfId="1" applyNumberFormat="1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168" fontId="0" fillId="11" borderId="0" xfId="1" applyNumberFormat="1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168" fontId="0" fillId="12" borderId="0" xfId="1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3" borderId="13" xfId="0" applyNumberFormat="1" applyFont="1" applyFill="1" applyBorder="1" applyAlignment="1">
      <alignment horizontal="center" vertical="center"/>
    </xf>
    <xf numFmtId="0" fontId="0" fillId="8" borderId="13" xfId="0" applyNumberFormat="1" applyFill="1" applyBorder="1" applyAlignment="1">
      <alignment horizontal="center" vertical="center"/>
    </xf>
    <xf numFmtId="0" fontId="0" fillId="7" borderId="13" xfId="0" applyNumberFormat="1" applyFill="1" applyBorder="1" applyAlignment="1">
      <alignment horizontal="center" vertical="center"/>
    </xf>
    <xf numFmtId="0" fontId="0" fillId="6" borderId="13" xfId="0" applyNumberFormat="1" applyFill="1" applyBorder="1" applyAlignment="1">
      <alignment horizontal="center" vertical="center"/>
    </xf>
    <xf numFmtId="0" fontId="0" fillId="4" borderId="13" xfId="0" applyNumberForma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0" fontId="0" fillId="0" borderId="9" xfId="1" applyNumberFormat="1" applyFont="1" applyBorder="1" applyAlignment="1">
      <alignment horizontal="center" vertical="center"/>
    </xf>
    <xf numFmtId="0" fontId="12" fillId="14" borderId="0" xfId="0" applyFont="1" applyFill="1" applyBorder="1" applyAlignment="1">
      <alignment horizontal="center" vertical="center"/>
    </xf>
    <xf numFmtId="0" fontId="12" fillId="14" borderId="13" xfId="0" applyFont="1" applyFill="1" applyBorder="1" applyAlignment="1">
      <alignment horizontal="center" vertical="center"/>
    </xf>
    <xf numFmtId="169" fontId="7" fillId="11" borderId="0" xfId="0" applyNumberFormat="1" applyFont="1" applyFill="1" applyBorder="1" applyAlignment="1">
      <alignment horizontal="center" vertical="center"/>
    </xf>
    <xf numFmtId="169" fontId="7" fillId="12" borderId="0" xfId="0" applyNumberFormat="1" applyFont="1" applyFill="1" applyBorder="1" applyAlignment="1">
      <alignment horizontal="center" vertical="center"/>
    </xf>
    <xf numFmtId="169" fontId="7" fillId="4" borderId="0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169" fontId="7" fillId="10" borderId="0" xfId="0" applyNumberFormat="1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69" fontId="7" fillId="8" borderId="0" xfId="0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7" fontId="8" fillId="0" borderId="0" xfId="0" applyNumberFormat="1" applyFont="1" applyBorder="1" applyAlignment="1">
      <alignment horizontal="center" vertical="center"/>
    </xf>
    <xf numFmtId="167" fontId="8" fillId="0" borderId="9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22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14" borderId="14" xfId="0" applyFont="1" applyFill="1" applyBorder="1" applyAlignment="1">
      <alignment horizontal="center" vertical="center"/>
    </xf>
    <xf numFmtId="0" fontId="12" fillId="14" borderId="1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169" fontId="7" fillId="4" borderId="21" xfId="0" applyNumberFormat="1" applyFont="1" applyFill="1" applyBorder="1" applyAlignment="1">
      <alignment horizontal="center" vertical="center"/>
    </xf>
    <xf numFmtId="168" fontId="0" fillId="4" borderId="21" xfId="1" applyNumberFormat="1" applyFont="1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6" fillId="10" borderId="0" xfId="0" applyFont="1" applyFill="1" applyBorder="1" applyAlignment="1">
      <alignment horizontal="center" vertical="center"/>
    </xf>
    <xf numFmtId="0" fontId="6" fillId="11" borderId="0" xfId="0" applyFont="1" applyFill="1" applyBorder="1" applyAlignment="1">
      <alignment horizontal="center" vertical="center"/>
    </xf>
    <xf numFmtId="0" fontId="6" fillId="12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11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0CECE"/>
      <color rgb="FFFFBDBD"/>
      <color rgb="FFD0B9FF"/>
      <color rgb="FFFFF2CC"/>
      <color rgb="FFE2EFDA"/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BCC2-1E3B-40D4-A1EE-CDCC8AF65755}">
  <sheetPr codeName="Sheet1">
    <tabColor rgb="FF00B050"/>
  </sheetPr>
  <dimension ref="A1:AT40"/>
  <sheetViews>
    <sheetView topLeftCell="A13" workbookViewId="0">
      <selection activeCell="M26" sqref="M26:N27"/>
    </sheetView>
  </sheetViews>
  <sheetFormatPr defaultRowHeight="15" x14ac:dyDescent="0.25"/>
  <cols>
    <col min="1" max="1" width="3.7109375" style="2" customWidth="1"/>
    <col min="2" max="2" width="6.42578125" style="2" customWidth="1"/>
    <col min="3" max="3" width="7.140625" style="79" hidden="1" customWidth="1"/>
    <col min="4" max="4" width="7.42578125" style="79" hidden="1" customWidth="1"/>
    <col min="5" max="5" width="5.42578125" style="79" hidden="1" customWidth="1"/>
    <col min="6" max="7" width="6.42578125" style="2" customWidth="1"/>
    <col min="8" max="8" width="6.7109375" style="2" customWidth="1"/>
    <col min="9" max="9" width="7.140625" style="94" hidden="1" customWidth="1"/>
    <col min="10" max="10" width="10.5703125" style="2" customWidth="1"/>
    <col min="11" max="11" width="6.85546875" style="2" customWidth="1"/>
    <col min="12" max="12" width="8.5703125" style="2" customWidth="1"/>
    <col min="13" max="15" width="6.7109375" style="2" customWidth="1"/>
    <col min="16" max="16" width="10.28515625" style="2" customWidth="1"/>
    <col min="17" max="17" width="6.42578125" style="2" customWidth="1"/>
    <col min="18" max="18" width="6.42578125" style="2" hidden="1" customWidth="1"/>
    <col min="19" max="19" width="5.7109375" style="2" customWidth="1"/>
    <col min="20" max="20" width="6.28515625" style="2" customWidth="1"/>
    <col min="21" max="25" width="8" style="2" customWidth="1"/>
    <col min="26" max="26" width="4.140625" style="2" customWidth="1"/>
    <col min="27" max="27" width="5.28515625" style="57" customWidth="1"/>
    <col min="28" max="46" width="5.28515625" style="2" customWidth="1"/>
    <col min="47" max="16384" width="9.140625" style="2"/>
  </cols>
  <sheetData>
    <row r="1" spans="1:46" ht="33.75" customHeight="1" x14ac:dyDescent="0.25">
      <c r="A1" s="131" t="s">
        <v>34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2"/>
      <c r="R1" s="95"/>
      <c r="S1" s="131" t="s">
        <v>49</v>
      </c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2"/>
      <c r="AK1" s="68"/>
      <c r="AL1" s="68"/>
      <c r="AM1" s="68"/>
      <c r="AN1" s="68"/>
      <c r="AO1" s="68"/>
      <c r="AP1" s="68"/>
      <c r="AQ1" s="68"/>
      <c r="AR1" s="68"/>
      <c r="AS1" s="68"/>
      <c r="AT1" s="68"/>
    </row>
    <row r="2" spans="1:46" s="97" customFormat="1" ht="15" customHeight="1" x14ac:dyDescent="0.25">
      <c r="B2" s="97" t="s">
        <v>35</v>
      </c>
      <c r="C2" s="98" t="s">
        <v>24</v>
      </c>
      <c r="D2" s="98" t="s">
        <v>23</v>
      </c>
      <c r="E2" s="98" t="s">
        <v>22</v>
      </c>
      <c r="F2" s="97" t="s">
        <v>93</v>
      </c>
      <c r="G2" s="99" t="s">
        <v>36</v>
      </c>
      <c r="H2" s="162" t="s">
        <v>37</v>
      </c>
      <c r="I2" s="162"/>
      <c r="J2" s="162"/>
      <c r="K2" s="162"/>
      <c r="L2" s="162"/>
      <c r="M2" s="97" t="s">
        <v>38</v>
      </c>
      <c r="N2" s="205" t="s">
        <v>94</v>
      </c>
      <c r="O2" s="97" t="s">
        <v>40</v>
      </c>
      <c r="P2" s="97" t="s">
        <v>41</v>
      </c>
      <c r="Q2" s="116" t="s">
        <v>42</v>
      </c>
      <c r="S2" s="114"/>
      <c r="T2" s="146" t="s">
        <v>38</v>
      </c>
      <c r="U2" s="146" t="s">
        <v>45</v>
      </c>
      <c r="V2" s="146" t="s">
        <v>46</v>
      </c>
      <c r="W2" s="146" t="s">
        <v>47</v>
      </c>
      <c r="X2" s="146" t="s">
        <v>48</v>
      </c>
      <c r="Y2" s="146" t="s">
        <v>41</v>
      </c>
      <c r="Z2" s="146"/>
      <c r="AA2" s="198" t="s">
        <v>50</v>
      </c>
      <c r="AB2" s="146"/>
      <c r="AC2" s="146"/>
      <c r="AD2" s="146"/>
      <c r="AE2" s="146"/>
      <c r="AF2" s="146" t="s">
        <v>51</v>
      </c>
      <c r="AG2" s="146"/>
      <c r="AH2" s="146"/>
      <c r="AI2" s="146"/>
      <c r="AJ2" s="149"/>
    </row>
    <row r="3" spans="1:46" x14ac:dyDescent="0.25">
      <c r="A3" s="18" t="s">
        <v>14</v>
      </c>
      <c r="B3" s="2">
        <v>3423</v>
      </c>
      <c r="C3" s="79">
        <f>SUM(I11:I12,R11:R12)</f>
        <v>3060</v>
      </c>
      <c r="D3" s="79">
        <f>E3-G3</f>
        <v>5720</v>
      </c>
      <c r="E3" s="79">
        <f>_DataIO!$U$3*4</f>
        <v>5720</v>
      </c>
      <c r="F3" s="2">
        <f>IF(C3-B3 &lt; 0, ABS(C3-B3), "")</f>
        <v>363</v>
      </c>
      <c r="G3" s="5">
        <f>IF(C3-B3 &lt; 0, 0, C3-B3)</f>
        <v>0</v>
      </c>
      <c r="H3" s="163">
        <f t="shared" ref="H3:H8" si="0">IF(D3/E3 &gt; 1, 100%, D3/E3)</f>
        <v>1</v>
      </c>
      <c r="I3" s="163"/>
      <c r="J3" s="163"/>
      <c r="K3" s="163"/>
      <c r="L3" s="163"/>
      <c r="M3" s="18">
        <f>IFERROR(ROUND(G3/P3, 0),"")</f>
        <v>0</v>
      </c>
      <c r="N3" s="18">
        <f>ROUND(G3/$P$8, 0)</f>
        <v>0</v>
      </c>
      <c r="O3" s="10">
        <f>N3/(WINGS_RECOVER_NUM/WINGS_CONSUME_IO)*WINGS_RECOVER_DIAMS</f>
        <v>0</v>
      </c>
      <c r="P3" s="21">
        <f>IFERROR((SUM(_DataIO!A:A) * 3 + SUM(_DataIO!B:B) * 4) / Q3, "")</f>
        <v>3.5347793567688854</v>
      </c>
      <c r="Q3" s="117">
        <f>SUM(_DataIO!A:B)</f>
        <v>1337</v>
      </c>
      <c r="R3" s="18"/>
      <c r="S3" s="114"/>
      <c r="T3" s="146"/>
      <c r="U3" s="146"/>
      <c r="V3" s="146"/>
      <c r="W3" s="146"/>
      <c r="X3" s="146"/>
      <c r="Y3" s="146"/>
      <c r="Z3" s="146"/>
      <c r="AA3" s="195">
        <v>2</v>
      </c>
      <c r="AB3" s="103">
        <v>3</v>
      </c>
      <c r="AC3" s="103">
        <v>4</v>
      </c>
      <c r="AD3" s="103">
        <v>5</v>
      </c>
      <c r="AE3" s="103" t="s">
        <v>56</v>
      </c>
      <c r="AF3" s="103">
        <v>2</v>
      </c>
      <c r="AG3" s="103">
        <v>3</v>
      </c>
      <c r="AH3" s="103">
        <v>4</v>
      </c>
      <c r="AI3" s="103">
        <v>5</v>
      </c>
      <c r="AJ3" s="116" t="s">
        <v>56</v>
      </c>
    </row>
    <row r="4" spans="1:46" ht="15" customHeight="1" x14ac:dyDescent="0.25">
      <c r="A4" s="9" t="s">
        <v>12</v>
      </c>
      <c r="B4" s="2">
        <v>2272</v>
      </c>
      <c r="C4" s="79">
        <f>SUM(I13:I14,R13:R14)</f>
        <v>1920</v>
      </c>
      <c r="D4" s="79">
        <f>E4-G4</f>
        <v>5720</v>
      </c>
      <c r="E4" s="79">
        <f>_DataIO!$U$3*4</f>
        <v>5720</v>
      </c>
      <c r="F4" s="2">
        <f>IF(C4-B4 &lt; 0, ABS(C4-B4), "")</f>
        <v>352</v>
      </c>
      <c r="G4" s="5">
        <f>IF(C4-B4 &lt; 0, 0, C4-B4)</f>
        <v>0</v>
      </c>
      <c r="H4" s="163">
        <f t="shared" si="0"/>
        <v>1</v>
      </c>
      <c r="I4" s="163"/>
      <c r="J4" s="163"/>
      <c r="K4" s="163"/>
      <c r="L4" s="163"/>
      <c r="M4" s="17">
        <f>IFERROR(ROUND(G4/P4, 0),"")</f>
        <v>0</v>
      </c>
      <c r="N4" s="17">
        <f>ROUND(G4/$P$8, 0)</f>
        <v>0</v>
      </c>
      <c r="O4" s="8">
        <f>N4/(WINGS_RECOVER_NUM/WINGS_CONSUME_IO)*WINGS_RECOVER_DIAMS</f>
        <v>0</v>
      </c>
      <c r="P4" s="22">
        <f>IFERROR((SUM(_DataIO!D:D) * 3 + SUM(_DataIO!E:E) * 4) / Q4, "")</f>
        <v>3.4834123222748814</v>
      </c>
      <c r="Q4" s="118">
        <f>SUM(_DataIO!D:E)</f>
        <v>844</v>
      </c>
      <c r="R4" s="17"/>
      <c r="S4" s="148" t="s">
        <v>43</v>
      </c>
      <c r="T4" s="147">
        <f>IF(HDRAG_HAS_REC_HBRUN, COUNTA(DATA_HDRAG_HBRUN), "")</f>
        <v>132</v>
      </c>
      <c r="U4" s="59">
        <f>IF(HDRAG_HAS_REC_HBRUN, COUNTIF(DATA_HDRAG_HBRUN, "=2"), "")</f>
        <v>91</v>
      </c>
      <c r="V4" s="59">
        <f>IF(HDRAG_HAS_REC_HBRUN, COUNTIF(DATA_HDRAG_HBRUN, "=3"), "")</f>
        <v>30</v>
      </c>
      <c r="W4" s="59">
        <f>IF(HDRAG_HAS_REC_HBRUN, COUNTIF(DATA_HDRAG_HBRUN, "=4"), "")</f>
        <v>7</v>
      </c>
      <c r="X4" s="59">
        <f>IF(HDRAG_HAS_REC_HBRUN, COUNTIF(DATA_HDRAG_HBRUN, "=5"), "")</f>
        <v>4</v>
      </c>
      <c r="Y4" s="150">
        <f>IF(HDRAG_HAS_REC_HBRUN,AVERAGE(DATA_HDRAG_HBRUN),"")</f>
        <v>2.4242424242424243</v>
      </c>
      <c r="Z4" s="150"/>
      <c r="AA4" s="193">
        <f>IF(HDRAG_HAS_REC_HBRUN, _xlfn.CEILING.MATH((HDRAGS_MAX_DRAGON/$Y4)*U5), "")</f>
        <v>138</v>
      </c>
      <c r="AB4" s="147">
        <f>IF(HDRAG_HAS_REC_HBRUN, _xlfn.CEILING.MATH((HDRAGS_MAX_DRAGON/$Y4)*V5), "")</f>
        <v>46</v>
      </c>
      <c r="AC4" s="147">
        <f>IF(HDRAG_HAS_REC_HBRUN, _xlfn.CEILING.MATH((HDRAGS_MAX_DRAGON/$Y4)*W5), "")</f>
        <v>11</v>
      </c>
      <c r="AD4" s="147">
        <f>IF(HDRAG_HAS_REC_HBRUN, _xlfn.CEILING.MATH((HDRAGS_MAX_DRAGON/$Y4)*X5), "")</f>
        <v>7</v>
      </c>
      <c r="AE4" s="206">
        <f>IF(HDRAG_HAS_REC_HBRUN, SUM(AA4:AD4), "")</f>
        <v>202</v>
      </c>
      <c r="AF4" s="147">
        <f>IF(HDRAG_HAS_REC_HBRUN, _xlfn.CEILING.MATH((HDRAGS_MAX_BUILDING/$Y4)*U5), "")</f>
        <v>233</v>
      </c>
      <c r="AG4" s="147">
        <f>IF(HDRAG_HAS_REC_HBRUN, _xlfn.CEILING.MATH((HDRAGS_MAX_BUILDING/$Y4)*V5), "")</f>
        <v>77</v>
      </c>
      <c r="AH4" s="147">
        <f>IF(HDRAG_HAS_REC_HBRUN, _xlfn.CEILING.MATH((HDRAGS_MAX_BUILDING/$Y4)*W5), "")</f>
        <v>18</v>
      </c>
      <c r="AI4" s="147">
        <f>IF(HDRAG_HAS_REC_HBRUN, _xlfn.CEILING.MATH((HDRAGS_MAX_BUILDING/$Y4)*X5), "")</f>
        <v>11</v>
      </c>
      <c r="AJ4" s="211">
        <f>IF(HDRAG_HAS_REC_HBRUN, SUM(AF4:AI4), "")</f>
        <v>339</v>
      </c>
    </row>
    <row r="5" spans="1:46" ht="15" customHeight="1" x14ac:dyDescent="0.25">
      <c r="A5" s="19" t="s">
        <v>11</v>
      </c>
      <c r="B5" s="2">
        <v>616</v>
      </c>
      <c r="C5" s="79">
        <f>SUM(I15:I16,R15:R16)</f>
        <v>480</v>
      </c>
      <c r="D5" s="79">
        <f>E5-G5</f>
        <v>5720</v>
      </c>
      <c r="E5" s="79">
        <f>_DataIO!$U$3*4</f>
        <v>5720</v>
      </c>
      <c r="F5" s="2">
        <f>IF(C5-B5 &lt; 0, ABS(C5-B5), "")</f>
        <v>136</v>
      </c>
      <c r="G5" s="5">
        <f>IF(C5-B5 &lt; 0, 0, C5-B5)</f>
        <v>0</v>
      </c>
      <c r="H5" s="163">
        <f t="shared" si="0"/>
        <v>1</v>
      </c>
      <c r="I5" s="163"/>
      <c r="J5" s="163"/>
      <c r="K5" s="163"/>
      <c r="L5" s="163"/>
      <c r="M5" s="19">
        <f>IFERROR(ROUND(G5/P5, 0),"")</f>
        <v>0</v>
      </c>
      <c r="N5" s="19">
        <f>ROUND(G5/$P$8, 0)</f>
        <v>0</v>
      </c>
      <c r="O5" s="7">
        <f>N5/(WINGS_RECOVER_NUM/WINGS_CONSUME_IO)*WINGS_RECOVER_DIAMS</f>
        <v>0</v>
      </c>
      <c r="P5" s="23">
        <f>IFERROR((SUM(_DataIO!G:G) * 3 + SUM(_DataIO!H:H) * 4) / Q5, "")</f>
        <v>3.459016393442623</v>
      </c>
      <c r="Q5" s="119">
        <f>SUM(_DataIO!G:H)</f>
        <v>122</v>
      </c>
      <c r="R5" s="19"/>
      <c r="S5" s="148"/>
      <c r="T5" s="147"/>
      <c r="U5" s="106">
        <f>IF(HDRAG_HAS_REC_HBRUN, U4/$T4, "")</f>
        <v>0.68939393939393945</v>
      </c>
      <c r="V5" s="106">
        <f>IF(HDRAG_HAS_REC_HBRUN, V4/$T4, "")</f>
        <v>0.22727272727272727</v>
      </c>
      <c r="W5" s="106">
        <f>IF(HDRAG_HAS_REC_HBRUN, W4/$T4, "")</f>
        <v>5.3030303030303032E-2</v>
      </c>
      <c r="X5" s="106">
        <f>IF(HDRAG_HAS_REC_HBRUN, X4/$T4, "")</f>
        <v>3.0303030303030304E-2</v>
      </c>
      <c r="Y5" s="150"/>
      <c r="Z5" s="150"/>
      <c r="AA5" s="193"/>
      <c r="AB5" s="147"/>
      <c r="AC5" s="147"/>
      <c r="AD5" s="147"/>
      <c r="AE5" s="206"/>
      <c r="AF5" s="147"/>
      <c r="AG5" s="147"/>
      <c r="AH5" s="147"/>
      <c r="AI5" s="147"/>
      <c r="AJ5" s="211"/>
    </row>
    <row r="6" spans="1:46" ht="15" customHeight="1" x14ac:dyDescent="0.25">
      <c r="A6" s="20" t="s">
        <v>9</v>
      </c>
      <c r="B6" s="2">
        <v>111</v>
      </c>
      <c r="C6" s="79">
        <f>SUM(I17:I18)</f>
        <v>0</v>
      </c>
      <c r="D6" s="79">
        <f>E6-G6</f>
        <v>2860</v>
      </c>
      <c r="E6" s="79">
        <f>_DataIO!$U$3*2</f>
        <v>2860</v>
      </c>
      <c r="F6" s="2">
        <f>IF(C6-B6 &lt; 0, ABS(C6-B6), "")</f>
        <v>111</v>
      </c>
      <c r="G6" s="5">
        <f>IF(C6-B6 &lt; 0, 0, C6-B6)</f>
        <v>0</v>
      </c>
      <c r="H6" s="163">
        <f t="shared" si="0"/>
        <v>1</v>
      </c>
      <c r="I6" s="163"/>
      <c r="J6" s="163"/>
      <c r="K6" s="163"/>
      <c r="L6" s="163"/>
      <c r="M6" s="20">
        <f>IFERROR(ROUND(G6/P6, 0),"")</f>
        <v>0</v>
      </c>
      <c r="N6" s="20">
        <f>ROUND(G6/$P$8, 0)</f>
        <v>0</v>
      </c>
      <c r="O6" s="6">
        <f>N6/(WINGS_RECOVER_NUM/WINGS_CONSUME_IO)*WINGS_RECOVER_DIAMS</f>
        <v>0</v>
      </c>
      <c r="P6" s="24">
        <f>IFERROR((SUM(_DataIO!J:J) * 3 + SUM(_DataIO!K:K) * 4) / Q6, "")</f>
        <v>3.5027777777777778</v>
      </c>
      <c r="Q6" s="120">
        <f>SUM(_DataIO!J:K)</f>
        <v>360</v>
      </c>
      <c r="R6" s="20"/>
      <c r="S6" s="145" t="s">
        <v>57</v>
      </c>
      <c r="T6" s="142" t="str">
        <f>IF(HDRAG_HAS_REC_HMERC, COUNTA(DATA_HDRAG_HMERC), "")</f>
        <v/>
      </c>
      <c r="U6" s="107" t="str">
        <f>IF(HDRAG_HAS_REC_HMERC, COUNTIF(DATA_HDRAG_HMERC, "=2"), "")</f>
        <v/>
      </c>
      <c r="V6" s="107" t="str">
        <f>IF(HDRAG_HAS_REC_HMERC, COUNTIF(DATA_HDRAG_HMERC, "=3"), "")</f>
        <v/>
      </c>
      <c r="W6" s="107" t="str">
        <f>IF(HDRAG_HAS_REC_HMERC, COUNTIF(DATA_HDRAG_HMERC, "=4"), "")</f>
        <v/>
      </c>
      <c r="X6" s="107" t="str">
        <f>IF(HDRAG_HAS_REC_HMERC, COUNTIF(DATA_HDRAG_HMERC, "=5"), "")</f>
        <v/>
      </c>
      <c r="Y6" s="144" t="str">
        <f>IF(HDRAG_HAS_REC_HMERC,AVERAGE(DATA_HDRAG_HMERC),"")</f>
        <v/>
      </c>
      <c r="Z6" s="144"/>
      <c r="AA6" s="194" t="str">
        <f>IF(HDRAG_HAS_REC_HMERC, _xlfn.CEILING.MATH((HDRAGS_MAX_DRAGON/$Y6)*U7), "")</f>
        <v/>
      </c>
      <c r="AB6" s="142" t="str">
        <f>IF(HDRAG_HAS_REC_HMERC, _xlfn.CEILING.MATH((HDRAGS_MAX_DRAGON/$Y6)*V7), "")</f>
        <v/>
      </c>
      <c r="AC6" s="142" t="str">
        <f>IF(HDRAG_HAS_REC_HMERC, _xlfn.CEILING.MATH((HDRAGS_MAX_DRAGON/$Y6)*W7), "")</f>
        <v/>
      </c>
      <c r="AD6" s="142" t="str">
        <f>IF(HDRAG_HAS_REC_HMERC, _xlfn.CEILING.MATH((HDRAGS_MAX_DRAGON/$Y6)*X7), "")</f>
        <v/>
      </c>
      <c r="AE6" s="207" t="str">
        <f>IF(HDRAG_HAS_REC_HMERC, SUM(AA6:AD6), "")</f>
        <v/>
      </c>
      <c r="AF6" s="142" t="str">
        <f>IF(HDRAG_HAS_REC_HMERC, _xlfn.CEILING.MATH((HDRAGS_MAX_BUILDING/$Y6)*U7), "")</f>
        <v/>
      </c>
      <c r="AG6" s="142" t="str">
        <f>IF(HDRAG_HAS_REC_HMERC, _xlfn.CEILING.MATH((HDRAGS_MAX_BUILDING/$Y6)*V7), "")</f>
        <v/>
      </c>
      <c r="AH6" s="142" t="str">
        <f>IF(HDRAG_HAS_REC_HMERC, _xlfn.CEILING.MATH((HDRAGS_MAX_BUILDING/$Y6)*W7), "")</f>
        <v/>
      </c>
      <c r="AI6" s="142" t="str">
        <f>IF(HDRAG_HAS_REC_HMERC, _xlfn.CEILING.MATH((HDRAGS_MAX_BUILDING/$Y6)*X7), "")</f>
        <v/>
      </c>
      <c r="AJ6" s="212" t="str">
        <f>IF(HDRAG_HAS_REC_HMERC, SUM(AF6:AI6), "")</f>
        <v/>
      </c>
    </row>
    <row r="7" spans="1:46" ht="15" customHeight="1" x14ac:dyDescent="0.25">
      <c r="A7" s="16" t="s">
        <v>8</v>
      </c>
      <c r="B7" s="2">
        <v>44</v>
      </c>
      <c r="C7" s="79">
        <f>SUM(R17:R18)</f>
        <v>0</v>
      </c>
      <c r="D7" s="79">
        <f>E7-G7</f>
        <v>2860</v>
      </c>
      <c r="E7" s="79">
        <f>_DataIO!$U$3*2</f>
        <v>2860</v>
      </c>
      <c r="F7" s="2">
        <f>IF(C7-B7 &lt; 0, ABS(C7-B7), "")</f>
        <v>44</v>
      </c>
      <c r="G7" s="5">
        <f>IF(C7-B7 &lt; 0, 0, C7-B7)</f>
        <v>0</v>
      </c>
      <c r="H7" s="163">
        <f t="shared" si="0"/>
        <v>1</v>
      </c>
      <c r="I7" s="163"/>
      <c r="J7" s="163"/>
      <c r="K7" s="163"/>
      <c r="L7" s="163"/>
      <c r="M7" s="16">
        <f>IFERROR(ROUND(G7/P7, 0),"")</f>
        <v>0</v>
      </c>
      <c r="N7" s="16">
        <f>ROUND(G7/$P$8, 0)</f>
        <v>0</v>
      </c>
      <c r="O7" s="4">
        <f>N7/(WINGS_RECOVER_NUM/WINGS_CONSUME_IO)*WINGS_RECOVER_DIAMS</f>
        <v>0</v>
      </c>
      <c r="P7" s="25">
        <f>IFERROR((SUM(_DataIO!M:M) * 3 + SUM(_DataIO!N:N) * 4) / Q7, "")</f>
        <v>3.5327510917030569</v>
      </c>
      <c r="Q7" s="121">
        <f>SUM(_DataIO!M:N)</f>
        <v>229</v>
      </c>
      <c r="R7" s="16"/>
      <c r="S7" s="145"/>
      <c r="T7" s="142"/>
      <c r="U7" s="108" t="str">
        <f>IF(HDRAG_HAS_REC_HMERC, U6/$T6, "")</f>
        <v/>
      </c>
      <c r="V7" s="108" t="str">
        <f>IF(HDRAG_HAS_REC_HMERC, V6/$T6, "")</f>
        <v/>
      </c>
      <c r="W7" s="108" t="str">
        <f>IF(HDRAG_HAS_REC_HMERC, W6/$T6, "")</f>
        <v/>
      </c>
      <c r="X7" s="108" t="str">
        <f>IF(HDRAG_HAS_REC_HMERC, X6/$T6, "")</f>
        <v/>
      </c>
      <c r="Y7" s="144"/>
      <c r="Z7" s="144"/>
      <c r="AA7" s="194"/>
      <c r="AB7" s="142"/>
      <c r="AC7" s="142"/>
      <c r="AD7" s="142"/>
      <c r="AE7" s="207"/>
      <c r="AF7" s="142"/>
      <c r="AG7" s="142"/>
      <c r="AH7" s="142"/>
      <c r="AI7" s="142"/>
      <c r="AJ7" s="212"/>
    </row>
    <row r="8" spans="1:46" ht="15" customHeight="1" x14ac:dyDescent="0.25">
      <c r="A8" s="3" t="s">
        <v>6</v>
      </c>
      <c r="B8" s="2">
        <f t="shared" ref="B8:G8" si="1">SUM(B3:B7)</f>
        <v>6466</v>
      </c>
      <c r="C8" s="79">
        <f t="shared" si="1"/>
        <v>5460</v>
      </c>
      <c r="D8" s="79">
        <f t="shared" si="1"/>
        <v>22880</v>
      </c>
      <c r="E8" s="79">
        <f t="shared" si="1"/>
        <v>22880</v>
      </c>
      <c r="F8" s="2">
        <f t="shared" si="1"/>
        <v>1006</v>
      </c>
      <c r="G8" s="2">
        <f t="shared" si="1"/>
        <v>0</v>
      </c>
      <c r="H8" s="163">
        <f t="shared" si="0"/>
        <v>1</v>
      </c>
      <c r="I8" s="163"/>
      <c r="J8" s="163"/>
      <c r="K8" s="163"/>
      <c r="L8" s="163"/>
      <c r="M8" s="3">
        <f>SUM(M3:M7)</f>
        <v>0</v>
      </c>
      <c r="N8" s="3">
        <f>SUM(N3:N7)</f>
        <v>0</v>
      </c>
      <c r="O8" s="3">
        <f>SUM(O3:O7)</f>
        <v>0</v>
      </c>
      <c r="P8" s="26">
        <f>(SUM(_DataIO!A:A, _DataIO!D:D, _DataIO!G:G, _DataIO!J:J, _DataIO!M:M) * 3 + SUM(_DataIO!B:B, _DataIO!E:E, _DataIO!H:H, _DataIO!K:K, _DataIO!N:N) * 4) / Q8</f>
        <v>3.5124481327800829</v>
      </c>
      <c r="Q8" s="122">
        <f>SUM(Q3:Q7)</f>
        <v>2892</v>
      </c>
      <c r="R8" s="3"/>
      <c r="S8" s="143" t="s">
        <v>44</v>
      </c>
      <c r="T8" s="140">
        <f>IF(HDRAG_HAS_REC_HMID, COUNTA(DATA_HDRAG_HMID), "")</f>
        <v>798</v>
      </c>
      <c r="U8" s="109">
        <f>IF(HDRAG_HAS_REC_HMID, COUNTIF(DATA_HDRAG_HMID, "=2"), "")</f>
        <v>518</v>
      </c>
      <c r="V8" s="109">
        <f>IF(HDRAG_HAS_REC_HMID, COUNTIF(DATA_HDRAG_HMID, "=3"), "")</f>
        <v>169</v>
      </c>
      <c r="W8" s="109">
        <f>IF(HDRAG_HAS_REC_HMID, COUNTIF(DATA_HDRAG_HMID, "=4"), "")</f>
        <v>62</v>
      </c>
      <c r="X8" s="109">
        <f>IF(HDRAG_HAS_REC_HMID, COUNTIF(DATA_HDRAG_HMID, "=5"), "")</f>
        <v>49</v>
      </c>
      <c r="Y8" s="133">
        <f>IF(HDRAG_HAS_REC_HMID,AVERAGE(DATA_HDRAG_HMID),"")</f>
        <v>2.5513784461152884</v>
      </c>
      <c r="Z8" s="133"/>
      <c r="AA8" s="192">
        <f>IF(HDRAG_HAS_REC_HMID, _xlfn.CEILING.MATH((HDRAGS_MAX_DRAGON/$Y8)*U9), "")</f>
        <v>124</v>
      </c>
      <c r="AB8" s="140">
        <f>IF(HDRAG_HAS_REC_HMID, _xlfn.CEILING.MATH((HDRAGS_MAX_DRAGON/$Y8)*V9), "")</f>
        <v>41</v>
      </c>
      <c r="AC8" s="140">
        <f>IF(HDRAG_HAS_REC_HMID, _xlfn.CEILING.MATH((HDRAGS_MAX_DRAGON/$Y8)*W9), "")</f>
        <v>15</v>
      </c>
      <c r="AD8" s="140">
        <f>IF(HDRAG_HAS_REC_HMID, _xlfn.CEILING.MATH((HDRAGS_MAX_DRAGON/$Y8)*X9), "")</f>
        <v>12</v>
      </c>
      <c r="AE8" s="208">
        <f>IF(HDRAG_HAS_REC_HMID, SUM(AA8:AD8), "")</f>
        <v>192</v>
      </c>
      <c r="AF8" s="140">
        <f>IF(HDRAG_HAS_REC_HMID, _xlfn.CEILING.MATH((HDRAGS_MAX_BUILDING/$Y8)*U9), "")</f>
        <v>208</v>
      </c>
      <c r="AG8" s="140">
        <f>IF(HDRAG_HAS_REC_HMID, _xlfn.CEILING.MATH((HDRAGS_MAX_BUILDING/$Y8)*V9), "")</f>
        <v>68</v>
      </c>
      <c r="AH8" s="140">
        <f>IF(HDRAG_HAS_REC_HMID, _xlfn.CEILING.MATH((HDRAGS_MAX_BUILDING/$Y8)*W9), "")</f>
        <v>25</v>
      </c>
      <c r="AI8" s="140">
        <f>IF(HDRAG_HAS_REC_HMID, _xlfn.CEILING.MATH((HDRAGS_MAX_BUILDING/$Y8)*X9), "")</f>
        <v>20</v>
      </c>
      <c r="AJ8" s="213">
        <f>IF(HDRAG_HAS_REC_HMID, SUM(AF8:AI8), "")</f>
        <v>321</v>
      </c>
    </row>
    <row r="9" spans="1:46" ht="15" customHeight="1" x14ac:dyDescent="0.25">
      <c r="Q9" s="123"/>
      <c r="S9" s="143"/>
      <c r="T9" s="140"/>
      <c r="U9" s="110">
        <f>IF(HDRAG_HAS_REC_HMID, U8/$T8, "")</f>
        <v>0.64912280701754388</v>
      </c>
      <c r="V9" s="110">
        <f>IF(HDRAG_HAS_REC_HMID, V8/$T8, "")</f>
        <v>0.21177944862155387</v>
      </c>
      <c r="W9" s="110">
        <f>IF(HDRAG_HAS_REC_HMID, W8/$T8, "")</f>
        <v>7.7694235588972427E-2</v>
      </c>
      <c r="X9" s="110">
        <f>IF(HDRAG_HAS_REC_HMID, X8/$T8, "")</f>
        <v>6.1403508771929821E-2</v>
      </c>
      <c r="Y9" s="133"/>
      <c r="Z9" s="133"/>
      <c r="AA9" s="192"/>
      <c r="AB9" s="140"/>
      <c r="AC9" s="140"/>
      <c r="AD9" s="140"/>
      <c r="AE9" s="208"/>
      <c r="AF9" s="140"/>
      <c r="AG9" s="140"/>
      <c r="AH9" s="140"/>
      <c r="AI9" s="140"/>
      <c r="AJ9" s="213"/>
    </row>
    <row r="10" spans="1:46" ht="15" customHeight="1" x14ac:dyDescent="0.25">
      <c r="A10" s="167" t="s">
        <v>27</v>
      </c>
      <c r="B10" s="167"/>
      <c r="F10" s="28" t="s">
        <v>19</v>
      </c>
      <c r="G10" s="158" t="s">
        <v>26</v>
      </c>
      <c r="H10" s="159"/>
      <c r="I10" s="29"/>
      <c r="J10" s="35" t="s">
        <v>28</v>
      </c>
      <c r="K10" s="29" t="s">
        <v>29</v>
      </c>
      <c r="L10" s="80" t="s">
        <v>27</v>
      </c>
      <c r="M10" s="28" t="s">
        <v>19</v>
      </c>
      <c r="N10" s="158" t="s">
        <v>26</v>
      </c>
      <c r="O10" s="159"/>
      <c r="P10" s="35" t="s">
        <v>28</v>
      </c>
      <c r="Q10" s="124" t="s">
        <v>29</v>
      </c>
      <c r="R10" s="29"/>
      <c r="S10" s="141" t="s">
        <v>58</v>
      </c>
      <c r="T10" s="138" t="str">
        <f>IF(HDRAG_HAS_REC_HJUP, COUNTA(DATA_HDRAG_HJUP), "")</f>
        <v/>
      </c>
      <c r="U10" s="111" t="str">
        <f>IF(HDRAG_HAS_REC_HJUP, COUNTIF(DATA_HDRAG_HJUP, "=2"), "")</f>
        <v/>
      </c>
      <c r="V10" s="111" t="str">
        <f>IF(HDRAG_HAS_REC_HJUP, COUNTIF(DATA_HDRAG_HJUP, "=3"), "")</f>
        <v/>
      </c>
      <c r="W10" s="111" t="str">
        <f>IF(HDRAG_HAS_REC_HJUP, COUNTIF(DATA_HDRAG_HJUP, "=4"), "")</f>
        <v/>
      </c>
      <c r="X10" s="111" t="str">
        <f>IF(HDRAG_HAS_REC_HJUP, COUNTIF(DATA_HDRAG_HJUP, "=5"), "")</f>
        <v/>
      </c>
      <c r="Y10" s="134" t="str">
        <f>IF(HDRAG_HAS_REC_HJUP,AVERAGE(DATA_HDRAG_HJUP),"")</f>
        <v/>
      </c>
      <c r="Z10" s="134"/>
      <c r="AA10" s="197" t="str">
        <f>IF(HDRAG_HAS_REC_HJUP, _xlfn.CEILING.MATH((HDRAGS_MAX_DRAGON/$Y10)*U11), "")</f>
        <v/>
      </c>
      <c r="AB10" s="138" t="str">
        <f>IF(HDRAG_HAS_REC_HJUP, _xlfn.CEILING.MATH((HDRAGS_MAX_DRAGON/$Y10)*V11), "")</f>
        <v/>
      </c>
      <c r="AC10" s="138" t="str">
        <f>IF(HDRAG_HAS_REC_HJUP, _xlfn.CEILING.MATH((HDRAGS_MAX_DRAGON/$Y10)*W11), "")</f>
        <v/>
      </c>
      <c r="AD10" s="138" t="str">
        <f>IF(HDRAG_HAS_REC_HJUP, _xlfn.CEILING.MATH((HDRAGS_MAX_DRAGON/$Y10)*X11), "")</f>
        <v/>
      </c>
      <c r="AE10" s="209" t="str">
        <f>IF(HDRAG_HAS_REC_HJUP, SUM(AA10:AD10), "")</f>
        <v/>
      </c>
      <c r="AF10" s="138" t="str">
        <f>IF(HDRAG_HAS_REC_HJUP, _xlfn.CEILING.MATH((HDRAGS_MAX_BUILDING/$Y10)*U11), "")</f>
        <v/>
      </c>
      <c r="AG10" s="138" t="str">
        <f>IF(HDRAG_HAS_REC_HJUP, _xlfn.CEILING.MATH((HDRAGS_MAX_BUILDING/$Y10)*V11), "")</f>
        <v/>
      </c>
      <c r="AH10" s="138" t="str">
        <f>IF(HDRAG_HAS_REC_HJUP, _xlfn.CEILING.MATH((HDRAGS_MAX_BUILDING/$Y10)*W11), "")</f>
        <v/>
      </c>
      <c r="AI10" s="138" t="str">
        <f>IF(HDRAG_HAS_REC_HJUP, _xlfn.CEILING.MATH((HDRAGS_MAX_BUILDING/$Y10)*X11), "")</f>
        <v/>
      </c>
      <c r="AJ10" s="214" t="str">
        <f>IF(HDRAG_HAS_REC_HJUP, SUM(AF10:AI10), "")</f>
        <v/>
      </c>
    </row>
    <row r="11" spans="1:46" ht="15" customHeight="1" x14ac:dyDescent="0.25">
      <c r="A11" s="147" t="s">
        <v>25</v>
      </c>
      <c r="B11" s="147"/>
      <c r="F11" s="69">
        <v>27</v>
      </c>
      <c r="G11" s="74" t="s">
        <v>1</v>
      </c>
      <c r="H11" s="41">
        <f>VLOOKUP(F11, DATA_IO,6)+VLOOKUP(F12, DATA_IO,6)</f>
        <v>21.5</v>
      </c>
      <c r="I11" s="90">
        <f t="shared" ref="I11:I18" si="2">VLOOKUP(F11, DATA_IO, 5, TRUE)</f>
        <v>440</v>
      </c>
      <c r="J11" s="36">
        <f t="shared" ref="J11:J18" si="3">IF(VLOOKUP(F11, DATA_IO, 8)=0, "", VLOOKUP(F11, DATA_IO, 8))</f>
        <v>5.75</v>
      </c>
      <c r="K11" s="30">
        <f t="shared" ref="K11:K18" si="4">IFERROR(J11*BOOST_PRICE,"")</f>
        <v>690.00000000000034</v>
      </c>
      <c r="L11" s="148" t="s">
        <v>13</v>
      </c>
      <c r="M11" s="69">
        <v>17</v>
      </c>
      <c r="N11" s="74" t="s">
        <v>1</v>
      </c>
      <c r="O11" s="41">
        <f>VLOOKUP(M11, DATA_IO,6)+VLOOKUP(M12, DATA_IO,6)</f>
        <v>16.5</v>
      </c>
      <c r="P11" s="36">
        <f t="shared" ref="P11:P18" si="5">IF(VLOOKUP(M11, DATA_IO, 8)=0, "", VLOOKUP(M11, DATA_IO, 8))</f>
        <v>19.5</v>
      </c>
      <c r="Q11" s="125">
        <f t="shared" ref="Q11:Q18" si="6">IFERROR(P11*BOOST_PRICE,"")</f>
        <v>2340.0000000000009</v>
      </c>
      <c r="R11" s="90">
        <f t="shared" ref="R11:R18" si="7">VLOOKUP(M11, DATA_IO, 5, TRUE)</f>
        <v>1280</v>
      </c>
      <c r="S11" s="141"/>
      <c r="T11" s="138"/>
      <c r="U11" s="112" t="str">
        <f>IF(HDRAG_HAS_REC_HJUP, U10/$T10, "")</f>
        <v/>
      </c>
      <c r="V11" s="112" t="str">
        <f>IF(HDRAG_HAS_REC_HJUP, V10/$T10, "")</f>
        <v/>
      </c>
      <c r="W11" s="112" t="str">
        <f>IF(HDRAG_HAS_REC_HJUP, W10/$T10, "")</f>
        <v/>
      </c>
      <c r="X11" s="112" t="str">
        <f>IF(HDRAG_HAS_REC_HJUP, X10/$T10, "")</f>
        <v/>
      </c>
      <c r="Y11" s="134"/>
      <c r="Z11" s="134"/>
      <c r="AA11" s="197"/>
      <c r="AB11" s="138"/>
      <c r="AC11" s="138"/>
      <c r="AD11" s="138"/>
      <c r="AE11" s="209"/>
      <c r="AF11" s="138"/>
      <c r="AG11" s="138"/>
      <c r="AH11" s="138"/>
      <c r="AI11" s="138"/>
      <c r="AJ11" s="214"/>
    </row>
    <row r="12" spans="1:46" ht="15" customHeight="1" x14ac:dyDescent="0.25">
      <c r="A12" s="147"/>
      <c r="B12" s="147"/>
      <c r="F12" s="69">
        <v>29</v>
      </c>
      <c r="G12" s="74" t="s">
        <v>0</v>
      </c>
      <c r="H12" s="41">
        <f>VLOOKUP(F11, DATA_IO,7)+VLOOKUP(F12, DATA_IO,7)</f>
        <v>22.5</v>
      </c>
      <c r="I12" s="90">
        <f t="shared" si="2"/>
        <v>160</v>
      </c>
      <c r="J12" s="36">
        <f t="shared" si="3"/>
        <v>2</v>
      </c>
      <c r="K12" s="30">
        <f t="shared" si="4"/>
        <v>240.00000000000011</v>
      </c>
      <c r="L12" s="148"/>
      <c r="M12" s="69">
        <v>19</v>
      </c>
      <c r="N12" s="74" t="s">
        <v>0</v>
      </c>
      <c r="O12" s="41">
        <f>VLOOKUP(M11, DATA_IO,7)+VLOOKUP(M12, DATA_IO,7)</f>
        <v>17.5</v>
      </c>
      <c r="P12" s="36">
        <f t="shared" si="5"/>
        <v>17.416666666666668</v>
      </c>
      <c r="Q12" s="125">
        <f t="shared" si="6"/>
        <v>2090.0000000000009</v>
      </c>
      <c r="R12" s="30">
        <f t="shared" si="7"/>
        <v>1180</v>
      </c>
      <c r="S12" s="139" t="s">
        <v>59</v>
      </c>
      <c r="T12" s="137" t="str">
        <f>IF(HDRAG_HAS_REC_HZOD, COUNTA(DATA_HDRAG_HZOD), "")</f>
        <v/>
      </c>
      <c r="U12" s="58" t="str">
        <f>IF(HDRAG_HAS_REC_HZOD, COUNTIF(DATA_HDRAG_HZOD, "=2"), "")</f>
        <v/>
      </c>
      <c r="V12" s="58" t="str">
        <f>IF(HDRAG_HAS_REC_HZOD, COUNTIF(DATA_HDRAG_HZOD, "=3"), "")</f>
        <v/>
      </c>
      <c r="W12" s="58" t="str">
        <f>IF(HDRAG_HAS_REC_HZOD, COUNTIF(DATA_HDRAG_HZOD, "=4"), "")</f>
        <v/>
      </c>
      <c r="X12" s="58" t="str">
        <f>IF(HDRAG_HAS_REC_HZOD, COUNTIF(DATA_HDRAG_HZOD, "=5"), "")</f>
        <v/>
      </c>
      <c r="Y12" s="135" t="str">
        <f>IF(HDRAG_HAS_REC_HZOD,AVERAGE(DATA_HDRAG_HZOD),"")</f>
        <v/>
      </c>
      <c r="Z12" s="135"/>
      <c r="AA12" s="196" t="str">
        <f>IF(HDRAG_HAS_REC_HZOD, _xlfn.CEILING.MATH((HDRAGS_MAX_DRAGON/$Y12)*U13), "")</f>
        <v/>
      </c>
      <c r="AB12" s="137" t="str">
        <f>IF(HDRAG_HAS_REC_HZOD, _xlfn.CEILING.MATH((HDRAGS_MAX_DRAGON/$Y12)*V13), "")</f>
        <v/>
      </c>
      <c r="AC12" s="137" t="str">
        <f>IF(HDRAG_HAS_REC_HZOD, _xlfn.CEILING.MATH((HDRAGS_MAX_DRAGON/$Y12)*W13), "")</f>
        <v/>
      </c>
      <c r="AD12" s="137" t="str">
        <f>IF(HDRAG_HAS_REC_HZOD, _xlfn.CEILING.MATH((HDRAGS_MAX_DRAGON/$Y12)*X13), "")</f>
        <v/>
      </c>
      <c r="AE12" s="210" t="str">
        <f>IF(HDRAG_HAS_REC_HZOD, SUM(AA12:AD12), "")</f>
        <v/>
      </c>
      <c r="AF12" s="137" t="str">
        <f>IF(HDRAG_HAS_REC_HZOD, _xlfn.CEILING.MATH((HDRAGS_MAX_BUILDING/$Y12)*U13), "")</f>
        <v/>
      </c>
      <c r="AG12" s="137" t="str">
        <f>IF(HDRAG_HAS_REC_HZOD, _xlfn.CEILING.MATH((HDRAGS_MAX_BUILDING/$Y12)*V13), "")</f>
        <v/>
      </c>
      <c r="AH12" s="137" t="str">
        <f>IF(HDRAG_HAS_REC_HZOD, _xlfn.CEILING.MATH((HDRAGS_MAX_BUILDING/$Y12)*W13), "")</f>
        <v/>
      </c>
      <c r="AI12" s="137" t="str">
        <f>IF(HDRAG_HAS_REC_HZOD, _xlfn.CEILING.MATH((HDRAGS_MAX_BUILDING/$Y12)*X13), "")</f>
        <v/>
      </c>
      <c r="AJ12" s="215" t="str">
        <f>IF(HDRAG_HAS_REC_HZOD, SUM(AF12:AI12), "")</f>
        <v/>
      </c>
    </row>
    <row r="13" spans="1:46" ht="15" customHeight="1" thickBot="1" x14ac:dyDescent="0.3">
      <c r="A13" s="166" t="s">
        <v>10</v>
      </c>
      <c r="B13" s="166"/>
      <c r="F13" s="70">
        <v>23</v>
      </c>
      <c r="G13" s="75" t="s">
        <v>1</v>
      </c>
      <c r="H13" s="42">
        <f>VLOOKUP(F13, DATA_IO,6)+VLOOKUP(F14, DATA_IO,6)</f>
        <v>19</v>
      </c>
      <c r="I13" s="91">
        <f t="shared" si="2"/>
        <v>880</v>
      </c>
      <c r="J13" s="37">
        <f t="shared" si="3"/>
        <v>12.25</v>
      </c>
      <c r="K13" s="31">
        <f t="shared" si="4"/>
        <v>1470.0000000000007</v>
      </c>
      <c r="L13" s="161" t="s">
        <v>7</v>
      </c>
      <c r="M13" s="70">
        <v>29</v>
      </c>
      <c r="N13" s="75" t="s">
        <v>1</v>
      </c>
      <c r="O13" s="42">
        <f>VLOOKUP(M13, DATA_IO,6)+VLOOKUP(M14, DATA_IO,6)</f>
        <v>22.5</v>
      </c>
      <c r="P13" s="37">
        <f t="shared" si="5"/>
        <v>2</v>
      </c>
      <c r="Q13" s="126">
        <f t="shared" si="6"/>
        <v>240.00000000000011</v>
      </c>
      <c r="R13" s="31">
        <f t="shared" si="7"/>
        <v>160</v>
      </c>
      <c r="S13" s="204"/>
      <c r="T13" s="201"/>
      <c r="U13" s="203" t="str">
        <f>IF(HDRAG_HAS_REC_HZOD, U12/$T12, "")</f>
        <v/>
      </c>
      <c r="V13" s="203" t="str">
        <f>IF(HDRAG_HAS_REC_HZOD, V12/$T12, "")</f>
        <v/>
      </c>
      <c r="W13" s="203" t="str">
        <f>IF(HDRAG_HAS_REC_HZOD, W12/$T12, "")</f>
        <v/>
      </c>
      <c r="X13" s="203" t="str">
        <f>IF(HDRAG_HAS_REC_HZOD, X12/$T12, "")</f>
        <v/>
      </c>
      <c r="Y13" s="202"/>
      <c r="Z13" s="202"/>
      <c r="AA13" s="196"/>
      <c r="AB13" s="137"/>
      <c r="AC13" s="137"/>
      <c r="AD13" s="137"/>
      <c r="AE13" s="210"/>
      <c r="AF13" s="137"/>
      <c r="AG13" s="137"/>
      <c r="AH13" s="137"/>
      <c r="AI13" s="137"/>
      <c r="AJ13" s="215"/>
    </row>
    <row r="14" spans="1:46" ht="15.75" thickTop="1" x14ac:dyDescent="0.25">
      <c r="A14" s="166"/>
      <c r="B14" s="166"/>
      <c r="F14" s="70">
        <v>23</v>
      </c>
      <c r="G14" s="75" t="s">
        <v>0</v>
      </c>
      <c r="H14" s="42">
        <f>VLOOKUP(F13, DATA_IO,7)+VLOOKUP(F14, DATA_IO,7)</f>
        <v>20</v>
      </c>
      <c r="I14" s="91">
        <f t="shared" si="2"/>
        <v>880</v>
      </c>
      <c r="J14" s="37">
        <f t="shared" si="3"/>
        <v>12.25</v>
      </c>
      <c r="K14" s="31">
        <f t="shared" si="4"/>
        <v>1470.0000000000007</v>
      </c>
      <c r="L14" s="161"/>
      <c r="M14" s="70">
        <v>30</v>
      </c>
      <c r="N14" s="75" t="s">
        <v>0</v>
      </c>
      <c r="O14" s="42">
        <f>VLOOKUP(M13, DATA_IO,7)+VLOOKUP(M14, DATA_IO,7)</f>
        <v>23</v>
      </c>
      <c r="P14" s="37" t="str">
        <f t="shared" si="5"/>
        <v/>
      </c>
      <c r="Q14" s="126" t="str">
        <f t="shared" si="6"/>
        <v/>
      </c>
      <c r="R14" s="31">
        <f t="shared" si="7"/>
        <v>0</v>
      </c>
      <c r="S14" s="113"/>
      <c r="T14" s="57"/>
      <c r="U14" s="57"/>
      <c r="V14" s="57"/>
      <c r="W14" s="57"/>
      <c r="X14" s="57"/>
      <c r="Y14" s="57"/>
      <c r="Z14" s="57"/>
      <c r="AA14" s="198" t="s">
        <v>52</v>
      </c>
      <c r="AB14" s="146"/>
      <c r="AC14" s="146"/>
      <c r="AD14" s="146"/>
      <c r="AE14" s="146"/>
      <c r="AF14" s="146" t="s">
        <v>53</v>
      </c>
      <c r="AG14" s="146"/>
      <c r="AH14" s="146"/>
      <c r="AI14" s="146"/>
      <c r="AJ14" s="149"/>
    </row>
    <row r="15" spans="1:46" x14ac:dyDescent="0.25">
      <c r="A15" s="165" t="s">
        <v>5</v>
      </c>
      <c r="B15" s="165"/>
      <c r="F15" s="71">
        <v>28</v>
      </c>
      <c r="G15" s="76" t="s">
        <v>1</v>
      </c>
      <c r="H15" s="43">
        <f>VLOOKUP(F15, DATA_IO,6)+VLOOKUP(F16, DATA_IO,6)</f>
        <v>22</v>
      </c>
      <c r="I15" s="92">
        <f t="shared" si="2"/>
        <v>320</v>
      </c>
      <c r="J15" s="38">
        <f t="shared" si="3"/>
        <v>3.9166666666666665</v>
      </c>
      <c r="K15" s="32">
        <f t="shared" si="4"/>
        <v>470.00000000000023</v>
      </c>
      <c r="L15" s="160" t="s">
        <v>4</v>
      </c>
      <c r="M15" s="71">
        <v>30</v>
      </c>
      <c r="N15" s="76" t="s">
        <v>1</v>
      </c>
      <c r="O15" s="43">
        <f>VLOOKUP(M15, DATA_IO,6)+VLOOKUP(M16, DATA_IO,6)</f>
        <v>23</v>
      </c>
      <c r="P15" s="38" t="str">
        <f t="shared" si="5"/>
        <v/>
      </c>
      <c r="Q15" s="127" t="str">
        <f t="shared" si="6"/>
        <v/>
      </c>
      <c r="R15" s="32">
        <f t="shared" si="7"/>
        <v>0</v>
      </c>
      <c r="S15" s="113"/>
      <c r="T15" s="57"/>
      <c r="U15" s="59" t="s">
        <v>43</v>
      </c>
      <c r="V15" s="107" t="s">
        <v>57</v>
      </c>
      <c r="W15" s="109" t="s">
        <v>44</v>
      </c>
      <c r="X15" s="111" t="s">
        <v>58</v>
      </c>
      <c r="Y15" s="58" t="s">
        <v>59</v>
      </c>
      <c r="Z15" s="57"/>
      <c r="AA15" s="195">
        <v>2</v>
      </c>
      <c r="AB15" s="103">
        <v>3</v>
      </c>
      <c r="AC15" s="103">
        <v>4</v>
      </c>
      <c r="AD15" s="103">
        <v>5</v>
      </c>
      <c r="AE15" s="103" t="s">
        <v>56</v>
      </c>
      <c r="AF15" s="103">
        <v>2</v>
      </c>
      <c r="AG15" s="103">
        <v>3</v>
      </c>
      <c r="AH15" s="103">
        <v>4</v>
      </c>
      <c r="AI15" s="103">
        <v>5</v>
      </c>
      <c r="AJ15" s="116" t="s">
        <v>56</v>
      </c>
    </row>
    <row r="16" spans="1:46" x14ac:dyDescent="0.25">
      <c r="A16" s="165"/>
      <c r="B16" s="165"/>
      <c r="F16" s="71">
        <v>29</v>
      </c>
      <c r="G16" s="76" t="s">
        <v>0</v>
      </c>
      <c r="H16" s="43">
        <f>VLOOKUP(F15, DATA_IO,7)+VLOOKUP(F16, DATA_IO,7)</f>
        <v>22.5</v>
      </c>
      <c r="I16" s="92">
        <f t="shared" si="2"/>
        <v>160</v>
      </c>
      <c r="J16" s="38">
        <f t="shared" si="3"/>
        <v>2</v>
      </c>
      <c r="K16" s="32">
        <f t="shared" si="4"/>
        <v>240.00000000000011</v>
      </c>
      <c r="L16" s="160"/>
      <c r="M16" s="71">
        <v>30</v>
      </c>
      <c r="N16" s="76" t="s">
        <v>0</v>
      </c>
      <c r="O16" s="43">
        <f>VLOOKUP(M15, DATA_IO,7)+VLOOKUP(M16, DATA_IO,7)</f>
        <v>23</v>
      </c>
      <c r="P16" s="38" t="str">
        <f t="shared" si="5"/>
        <v/>
      </c>
      <c r="Q16" s="127" t="str">
        <f t="shared" si="6"/>
        <v/>
      </c>
      <c r="R16" s="32">
        <f t="shared" si="7"/>
        <v>0</v>
      </c>
      <c r="S16" s="136" t="s">
        <v>64</v>
      </c>
      <c r="T16" s="146"/>
      <c r="U16" s="57">
        <v>259</v>
      </c>
      <c r="V16" s="57"/>
      <c r="W16" s="57">
        <v>76</v>
      </c>
      <c r="X16" s="57"/>
      <c r="Y16" s="57"/>
      <c r="Z16" s="57"/>
      <c r="AA16" s="193">
        <f>IF(HDRAG_HAS_REC_HBRUN, _xlfn.CEILING.MATH((HDRAGS_MAX_DRAGON_BLD_16/$Y4)*U5), "")</f>
        <v>326</v>
      </c>
      <c r="AB16" s="147">
        <f>IF(HDRAG_HAS_REC_HBRUN, _xlfn.CEILING.MATH((HDRAGS_MAX_DRAGON_BLD_16/$Y4)*V5), "")</f>
        <v>108</v>
      </c>
      <c r="AC16" s="147">
        <f>IF(HDRAG_HAS_REC_HBRUN, _xlfn.CEILING.MATH((HDRAGS_MAX_DRAGON_BLD_16/$Y4)*W5), "")</f>
        <v>26</v>
      </c>
      <c r="AD16" s="147">
        <f>IF(HDRAG_HAS_REC_HBRUN, _xlfn.CEILING.MATH((HDRAGS_MAX_DRAGON_BLD_16/$Y4)*X5), "")</f>
        <v>15</v>
      </c>
      <c r="AE16" s="206">
        <f>IF(HDRAG_HAS_REC_HBRUN, SUM(AA16:AD16), "")</f>
        <v>475</v>
      </c>
      <c r="AF16" s="147">
        <f>IF(HDRAG_HAS_REC_HBRUN, _xlfn.CEILING.MATH((HDRAGS_MAX_ALL/$Y4)*U5), "")</f>
        <v>370</v>
      </c>
      <c r="AG16" s="147">
        <f>IF(HDRAG_HAS_REC_HBRUN, _xlfn.CEILING.MATH((HDRAGS_MAX_ALL/$Y4)*V5), "")</f>
        <v>122</v>
      </c>
      <c r="AH16" s="147">
        <f>IF(HDRAG_HAS_REC_HBRUN, _xlfn.CEILING.MATH((HDRAGS_MAX_ALL/$Y4)*W5), "")</f>
        <v>29</v>
      </c>
      <c r="AI16" s="147">
        <f>IF(HDRAG_HAS_REC_HBRUN, _xlfn.CEILING.MATH((HDRAGS_MAX_ALL/$Y4)*X5), "")</f>
        <v>17</v>
      </c>
      <c r="AJ16" s="211">
        <f>IF(HDRAG_HAS_REC_HBRUN, SUM(AF16:AI16), "")</f>
        <v>538</v>
      </c>
    </row>
    <row r="17" spans="1:36" x14ac:dyDescent="0.25">
      <c r="A17" s="164" t="s">
        <v>3</v>
      </c>
      <c r="B17" s="164"/>
      <c r="F17" s="72">
        <v>30</v>
      </c>
      <c r="G17" s="77" t="s">
        <v>1</v>
      </c>
      <c r="H17" s="44">
        <f>VLOOKUP(F17, DATA_IO,6)+VLOOKUP(F18, DATA_IO,6)</f>
        <v>23</v>
      </c>
      <c r="I17" s="93">
        <f t="shared" si="2"/>
        <v>0</v>
      </c>
      <c r="J17" s="39" t="str">
        <f t="shared" si="3"/>
        <v/>
      </c>
      <c r="K17" s="33" t="str">
        <f t="shared" si="4"/>
        <v/>
      </c>
      <c r="L17" s="139" t="s">
        <v>2</v>
      </c>
      <c r="M17" s="73">
        <v>30</v>
      </c>
      <c r="N17" s="78" t="s">
        <v>1</v>
      </c>
      <c r="O17" s="45">
        <f>VLOOKUP(M17, DATA_IO,6)+VLOOKUP(M18, DATA_IO,6)</f>
        <v>23</v>
      </c>
      <c r="P17" s="40" t="str">
        <f t="shared" si="5"/>
        <v/>
      </c>
      <c r="Q17" s="128" t="str">
        <f t="shared" si="6"/>
        <v/>
      </c>
      <c r="R17" s="34">
        <f t="shared" si="7"/>
        <v>0</v>
      </c>
      <c r="S17" s="136" t="s">
        <v>60</v>
      </c>
      <c r="T17" s="103" t="s">
        <v>61</v>
      </c>
      <c r="U17" s="57">
        <v>21</v>
      </c>
      <c r="V17" s="57"/>
      <c r="W17" s="57">
        <v>30</v>
      </c>
      <c r="X17" s="57"/>
      <c r="Y17" s="57"/>
      <c r="Z17" s="57"/>
      <c r="AA17" s="193"/>
      <c r="AB17" s="147"/>
      <c r="AC17" s="147"/>
      <c r="AD17" s="147"/>
      <c r="AE17" s="206"/>
      <c r="AF17" s="147"/>
      <c r="AG17" s="147"/>
      <c r="AH17" s="147"/>
      <c r="AI17" s="147"/>
      <c r="AJ17" s="211"/>
    </row>
    <row r="18" spans="1:36" x14ac:dyDescent="0.25">
      <c r="A18" s="164"/>
      <c r="B18" s="164"/>
      <c r="F18" s="72">
        <v>30</v>
      </c>
      <c r="G18" s="77" t="s">
        <v>0</v>
      </c>
      <c r="H18" s="44">
        <f>VLOOKUP(F17, DATA_IO,7)+VLOOKUP(F18, DATA_IO,7)</f>
        <v>23</v>
      </c>
      <c r="I18" s="93">
        <f t="shared" si="2"/>
        <v>0</v>
      </c>
      <c r="J18" s="39" t="str">
        <f t="shared" si="3"/>
        <v/>
      </c>
      <c r="K18" s="33" t="str">
        <f t="shared" si="4"/>
        <v/>
      </c>
      <c r="L18" s="139"/>
      <c r="M18" s="73">
        <v>30</v>
      </c>
      <c r="N18" s="78" t="s">
        <v>0</v>
      </c>
      <c r="O18" s="45">
        <f>VLOOKUP(M17, DATA_IO,7)+VLOOKUP(M18, DATA_IO,7)</f>
        <v>23</v>
      </c>
      <c r="P18" s="40" t="str">
        <f t="shared" si="5"/>
        <v/>
      </c>
      <c r="Q18" s="128" t="str">
        <f t="shared" si="6"/>
        <v/>
      </c>
      <c r="R18" s="34">
        <f t="shared" si="7"/>
        <v>0</v>
      </c>
      <c r="S18" s="136"/>
      <c r="T18" s="103" t="s">
        <v>36</v>
      </c>
      <c r="U18" s="57">
        <f>IF(HDRAG_HAS_REC_HBRUN, INDEX(DATA_HDRAGS_BUILDING, U17 + 1), "")</f>
        <v>500</v>
      </c>
      <c r="V18" s="57" t="str">
        <f>IF(HDRAG_HAS_REC_HMERC, INDEX(DATA_HDRAGS_BUILDING, V17 + 1), "")</f>
        <v/>
      </c>
      <c r="W18" s="57">
        <f>IF(HDRAG_HAS_REC_HMID, INDEX(DATA_HDRAGS_BUILDING, W17 + 1), "")</f>
        <v>0</v>
      </c>
      <c r="X18" s="57" t="str">
        <f>IF(HDRAG_HAS_REC_HJUP, INDEX(DATA_HDRAGS_BUILDING, X17 + 1), "")</f>
        <v/>
      </c>
      <c r="Y18" s="57" t="str">
        <f>IF(HDRAG_HAS_REC_HZOD, INDEX(DATA_HDRAGS_BUILDING, Y17 + 1), "")</f>
        <v/>
      </c>
      <c r="Z18" s="57"/>
      <c r="AA18" s="194" t="str">
        <f>IF(HDRAG_HAS_REC_HMERC, _xlfn.CEILING.MATH((HDRAGS_MAX_DRAGON_BLD_16/$Y6)*U7), "")</f>
        <v/>
      </c>
      <c r="AB18" s="142" t="str">
        <f>IF(HDRAG_HAS_REC_HMERC, _xlfn.CEILING.MATH((HDRAGS_MAX_DRAGON_BLD_16/$Y6)*V7), "")</f>
        <v/>
      </c>
      <c r="AC18" s="142" t="str">
        <f>IF(HDRAG_HAS_REC_HMERC, _xlfn.CEILING.MATH((HDRAGS_MAX_DRAGON_BLD_16/$Y6)*W7), "")</f>
        <v/>
      </c>
      <c r="AD18" s="142" t="str">
        <f>IF(HDRAG_HAS_REC_HMERC, _xlfn.CEILING.MATH((HDRAGS_MAX_DRAGON_BLD_16/$Y6)*X7), "")</f>
        <v/>
      </c>
      <c r="AE18" s="207" t="str">
        <f>IF(HDRAG_HAS_REC_HMERC, SUM(AA18:AD18), "")</f>
        <v/>
      </c>
      <c r="AF18" s="142" t="str">
        <f>IF(HDRAG_HAS_REC_HMERC, _xlfn.CEILING.MATH((HDRAGS_MAX_ALL/$Y6)*U7), "")</f>
        <v/>
      </c>
      <c r="AG18" s="142" t="str">
        <f>IF(HDRAG_HAS_REC_HMERC, _xlfn.CEILING.MATH((HDRAGS_MAX_ALL/$Y6)*V7), "")</f>
        <v/>
      </c>
      <c r="AH18" s="142" t="str">
        <f>IF(HDRAG_HAS_REC_HMERC, _xlfn.CEILING.MATH((HDRAGS_MAX_ALL/$Y6)*W7), "")</f>
        <v/>
      </c>
      <c r="AI18" s="142" t="str">
        <f>IF(HDRAG_HAS_REC_HMERC, _xlfn.CEILING.MATH((HDRAGS_MAX_ALL/$Y6)*X7), "")</f>
        <v/>
      </c>
      <c r="AJ18" s="212" t="str">
        <f>IF(HDRAG_HAS_REC_HMERC, SUM(AF18:AI18), "")</f>
        <v/>
      </c>
    </row>
    <row r="19" spans="1:36" s="57" customFormat="1" x14ac:dyDescent="0.25">
      <c r="C19" s="81"/>
      <c r="D19" s="81"/>
      <c r="E19" s="81"/>
      <c r="G19" s="27"/>
      <c r="H19" s="27"/>
      <c r="I19" s="1"/>
      <c r="J19" s="82"/>
      <c r="K19" s="1"/>
      <c r="Q19" s="123"/>
      <c r="S19" s="136" t="s">
        <v>63</v>
      </c>
      <c r="T19" s="103" t="s">
        <v>62</v>
      </c>
      <c r="W19" s="57">
        <v>4</v>
      </c>
      <c r="AA19" s="194"/>
      <c r="AB19" s="142"/>
      <c r="AC19" s="142"/>
      <c r="AD19" s="142"/>
      <c r="AE19" s="207"/>
      <c r="AF19" s="142"/>
      <c r="AG19" s="142"/>
      <c r="AH19" s="142"/>
      <c r="AI19" s="142"/>
      <c r="AJ19" s="212"/>
    </row>
    <row r="20" spans="1:36" x14ac:dyDescent="0.25">
      <c r="B20" s="154" t="s">
        <v>31</v>
      </c>
      <c r="C20" s="154"/>
      <c r="D20" s="154"/>
      <c r="E20" s="154"/>
      <c r="F20" s="154"/>
      <c r="G20" s="152">
        <f>SUM(J11:J18,P11:P18)</f>
        <v>77.083333333333329</v>
      </c>
      <c r="H20" s="152"/>
      <c r="I20" s="152"/>
      <c r="J20" s="152"/>
      <c r="K20" s="154" t="s">
        <v>32</v>
      </c>
      <c r="L20" s="154"/>
      <c r="M20" s="156">
        <f>SUM(K11:K18,Q11:Q18)</f>
        <v>9250.0000000000036</v>
      </c>
      <c r="N20" s="156"/>
      <c r="O20" s="156"/>
      <c r="Q20" s="123"/>
      <c r="S20" s="136"/>
      <c r="T20" s="103" t="s">
        <v>36</v>
      </c>
      <c r="U20" s="57">
        <f>IF(HDRAG_HAS_REC_HBRUN, INDEX(DATA_HDRAGS_DRAGON, IF(ISBLANK(U19), 1, U19 + 2)), "")</f>
        <v>485</v>
      </c>
      <c r="V20" s="57" t="str">
        <f>IF(HDRAG_HAS_REC_HMERC, INDEX(DATA_HDRAGS_DRAGON, IF(ISBLANK(V19), 1, V19 + 2)), "")</f>
        <v/>
      </c>
      <c r="W20" s="57">
        <f>IF(HDRAG_HAS_REC_HMID, INDEX(DATA_HDRAGS_DRAGON, IF(ISBLANK(W19), 1, W19 + 2)), "")</f>
        <v>0</v>
      </c>
      <c r="X20" s="57" t="str">
        <f>IF(HDRAG_HAS_REC_HJUP, INDEX(DATA_HDRAGS_DRAGON, IF(ISBLANK(X19), 1, X19 + 2)), "")</f>
        <v/>
      </c>
      <c r="Y20" s="57" t="str">
        <f>IF(HDRAG_HAS_REC_HZOD, INDEX(DATA_HDRAGS_DRAGON, IF(ISBLANK(Y19), 1, Y19 + 2)), "")</f>
        <v/>
      </c>
      <c r="Z20" s="57"/>
      <c r="AA20" s="192">
        <f>IF(HDRAG_HAS_REC_HMID, _xlfn.CEILING.MATH((HDRAGS_MAX_DRAGON_BLD_16/$Y8)*U9), "")</f>
        <v>292</v>
      </c>
      <c r="AB20" s="140">
        <f>IF(HDRAG_HAS_REC_HMID, _xlfn.CEILING.MATH((HDRAGS_MAX_DRAGON_BLD_16/$Y8)*V9), "")</f>
        <v>96</v>
      </c>
      <c r="AC20" s="140">
        <f>IF(HDRAG_HAS_REC_HMID, _xlfn.CEILING.MATH((HDRAGS_MAX_DRAGON_BLD_16/$Y8)*W9), "")</f>
        <v>35</v>
      </c>
      <c r="AD20" s="140">
        <f>IF(HDRAG_HAS_REC_HMID, _xlfn.CEILING.MATH((HDRAGS_MAX_DRAGON_BLD_16/$Y8)*X9), "")</f>
        <v>28</v>
      </c>
      <c r="AE20" s="208">
        <f>IF(HDRAG_HAS_REC_HMID, SUM(AA20:AD20), "")</f>
        <v>451</v>
      </c>
      <c r="AF20" s="140">
        <f>IF(HDRAG_HAS_REC_HMID, _xlfn.CEILING.MATH((HDRAGS_MAX_ALL/$Y8)*U9), "")</f>
        <v>332</v>
      </c>
      <c r="AG20" s="140">
        <f>IF(HDRAG_HAS_REC_HMID, _xlfn.CEILING.MATH((HDRAGS_MAX_ALL/$Y8)*V9), "")</f>
        <v>108</v>
      </c>
      <c r="AH20" s="140">
        <f>IF(HDRAG_HAS_REC_HMID, _xlfn.CEILING.MATH((HDRAGS_MAX_ALL/$Y8)*W9), "")</f>
        <v>40</v>
      </c>
      <c r="AI20" s="140">
        <f>IF(HDRAG_HAS_REC_HMID, _xlfn.CEILING.MATH((HDRAGS_MAX_ALL/$Y8)*X9), "")</f>
        <v>32</v>
      </c>
      <c r="AJ20" s="213">
        <f>IF(HDRAG_HAS_REC_HMID, SUM(AF20:AI20), "")</f>
        <v>512</v>
      </c>
    </row>
    <row r="21" spans="1:36" ht="15.75" thickBot="1" x14ac:dyDescent="0.3">
      <c r="A21" s="85"/>
      <c r="B21" s="155"/>
      <c r="C21" s="155"/>
      <c r="D21" s="155"/>
      <c r="E21" s="155"/>
      <c r="F21" s="155"/>
      <c r="G21" s="153"/>
      <c r="H21" s="153"/>
      <c r="I21" s="153"/>
      <c r="J21" s="153"/>
      <c r="K21" s="155"/>
      <c r="L21" s="155"/>
      <c r="M21" s="157"/>
      <c r="N21" s="157"/>
      <c r="O21" s="157"/>
      <c r="P21" s="85"/>
      <c r="Q21" s="86"/>
      <c r="R21" s="84"/>
      <c r="S21" s="136" t="s">
        <v>65</v>
      </c>
      <c r="T21" s="146"/>
      <c r="U21" s="60">
        <f>IFERROR(IF(U18+U20=0,0,U18+U20-U16), "")</f>
        <v>726</v>
      </c>
      <c r="V21" s="60" t="str">
        <f>IFERROR(IF(V18+V20=0,0,V18+V20-V16), "")</f>
        <v/>
      </c>
      <c r="W21" s="57">
        <f>IFERROR(IF(W18+W20=0,0,W18+W20-W16), "")</f>
        <v>0</v>
      </c>
      <c r="X21" s="60" t="str">
        <f>IFERROR(IF(X18+X20=0,0,X18+X20-X16), "")</f>
        <v/>
      </c>
      <c r="Y21" s="60" t="str">
        <f>IFERROR(IF(Y18+Y20=0,0,Y18+Y20-Y16), "")</f>
        <v/>
      </c>
      <c r="Z21" s="57"/>
      <c r="AA21" s="192"/>
      <c r="AB21" s="140"/>
      <c r="AC21" s="140"/>
      <c r="AD21" s="140"/>
      <c r="AE21" s="208"/>
      <c r="AF21" s="140"/>
      <c r="AG21" s="140"/>
      <c r="AH21" s="140"/>
      <c r="AI21" s="140"/>
      <c r="AJ21" s="213"/>
    </row>
    <row r="22" spans="1:36" ht="15" customHeight="1" thickTop="1" x14ac:dyDescent="0.25">
      <c r="A22" s="177" t="s">
        <v>74</v>
      </c>
      <c r="B22" s="177"/>
      <c r="C22" s="177"/>
      <c r="D22" s="177"/>
      <c r="E22" s="177"/>
      <c r="F22" s="177"/>
      <c r="G22" s="177"/>
      <c r="H22" s="177"/>
      <c r="I22" s="177"/>
      <c r="J22" s="177"/>
      <c r="K22" s="177"/>
      <c r="L22" s="177"/>
      <c r="M22" s="177"/>
      <c r="N22" s="177"/>
      <c r="O22" s="177"/>
      <c r="P22" s="177"/>
      <c r="Q22" s="178"/>
      <c r="S22" s="136" t="s">
        <v>38</v>
      </c>
      <c r="T22" s="103">
        <v>2</v>
      </c>
      <c r="U22" s="57">
        <f>IFERROR(IF(U$21=0, "", _xlfn.CEILING.MATH((U$21/Y4)*U5)),"")</f>
        <v>207</v>
      </c>
      <c r="V22" s="57" t="str">
        <f>IFERROR(IF(V$21=0, "", _xlfn.CEILING.MATH((V$21/Y6)*U7)),"")</f>
        <v/>
      </c>
      <c r="W22" s="57" t="str">
        <f>IF(W$21=0, "", _xlfn.CEILING.MATH((W$21/Y8)*U9))</f>
        <v/>
      </c>
      <c r="X22" s="57" t="str">
        <f>IFERROR(IF(X$21=0, "", _xlfn.CEILING.MATH((X$21/Y10)*U11)),"")</f>
        <v/>
      </c>
      <c r="Y22" s="57" t="str">
        <f>IFERROR(IF(Y$21=0, "", _xlfn.CEILING.MATH((Y$21/Y12)*U13)),"")</f>
        <v/>
      </c>
      <c r="Z22" s="199"/>
      <c r="AA22" s="138" t="str">
        <f>IF(HDRAG_HAS_REC_HJUP, _xlfn.CEILING.MATH((HDRAGS_MAX_DRAGON_BLD_16/$Y10)*U11), "")</f>
        <v/>
      </c>
      <c r="AB22" s="138" t="str">
        <f>IF(HDRAG_HAS_REC_HJUP, _xlfn.CEILING.MATH((HDRAGS_MAX_DRAGON_BLD_16/$Y10)*V11), "")</f>
        <v/>
      </c>
      <c r="AC22" s="138" t="str">
        <f>IF(HDRAG_HAS_REC_HJUP, _xlfn.CEILING.MATH((HDRAGS_MAX_DRAGON_BLD_16/$Y10)*W11), "")</f>
        <v/>
      </c>
      <c r="AD22" s="138" t="str">
        <f>IF(HDRAG_HAS_REC_HJUP, _xlfn.CEILING.MATH((HDRAGS_MAX_DRAGON_BLD_16/$Y10)*X11), "")</f>
        <v/>
      </c>
      <c r="AE22" s="209" t="str">
        <f>IF(HDRAG_HAS_REC_HJUP, SUM(AA22:AD22), "")</f>
        <v/>
      </c>
      <c r="AF22" s="138" t="str">
        <f>IF(HDRAG_HAS_REC_HJUP, _xlfn.CEILING.MATH((HDRAGS_MAX_ALL/$Y10)*U11), "")</f>
        <v/>
      </c>
      <c r="AG22" s="138" t="str">
        <f>IF(HDRAG_HAS_REC_HJUP, _xlfn.CEILING.MATH((HDRAGS_MAX_ALL/$Y10)*V11), "")</f>
        <v/>
      </c>
      <c r="AH22" s="138" t="str">
        <f>IF(HDRAG_HAS_REC_HJUP, _xlfn.CEILING.MATH((HDRAGS_MAX_ALL/$Y10)*W11), "")</f>
        <v/>
      </c>
      <c r="AI22" s="138" t="str">
        <f>IF(HDRAG_HAS_REC_HJUP, _xlfn.CEILING.MATH((HDRAGS_MAX_ALL/$Y10)*X11), "")</f>
        <v/>
      </c>
      <c r="AJ22" s="214" t="str">
        <f>IF(HDRAG_HAS_REC_HJUP, SUM(AF22:AI22), "")</f>
        <v/>
      </c>
    </row>
    <row r="23" spans="1:36" ht="15" customHeight="1" x14ac:dyDescent="0.25">
      <c r="A23" s="131"/>
      <c r="B23" s="131"/>
      <c r="C23" s="131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2"/>
      <c r="S23" s="136"/>
      <c r="T23" s="103">
        <v>3</v>
      </c>
      <c r="U23" s="57">
        <f>IFERROR(IF(U$21=0, "", _xlfn.CEILING.MATH((U$21/Y4)*V5)),"")</f>
        <v>69</v>
      </c>
      <c r="V23" s="57" t="str">
        <f>IFERROR(IF(V$21=0, "", _xlfn.CEILING.MATH((V$21/Y6)*V7)),"")</f>
        <v/>
      </c>
      <c r="W23" s="57" t="str">
        <f>IF(W$21=0, "", _xlfn.CEILING.MATH((W$21/Y8)*V9))</f>
        <v/>
      </c>
      <c r="X23" s="57" t="str">
        <f>IFERROR(IF(X$21=0, "", _xlfn.CEILING.MATH((X$21/Y10)*V11)),"")</f>
        <v/>
      </c>
      <c r="Y23" s="57" t="str">
        <f>IFERROR(IF(Y$21=0, "", _xlfn.CEILING.MATH((Y$21/Y12)*V13)),"")</f>
        <v/>
      </c>
      <c r="Z23" s="199"/>
      <c r="AA23" s="138"/>
      <c r="AB23" s="138"/>
      <c r="AC23" s="138"/>
      <c r="AD23" s="138"/>
      <c r="AE23" s="209"/>
      <c r="AF23" s="138"/>
      <c r="AG23" s="138"/>
      <c r="AH23" s="138"/>
      <c r="AI23" s="138"/>
      <c r="AJ23" s="214"/>
    </row>
    <row r="24" spans="1:36" x14ac:dyDescent="0.25">
      <c r="A24" s="131"/>
      <c r="B24" s="131"/>
      <c r="C24" s="131"/>
      <c r="D24" s="131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2"/>
      <c r="S24" s="136"/>
      <c r="T24" s="103">
        <v>4</v>
      </c>
      <c r="U24" s="57">
        <f>IFERROR(IF(U$21=0, "", _xlfn.CEILING.MATH((U$21/Y4)*W5)),"")</f>
        <v>16</v>
      </c>
      <c r="V24" s="57" t="str">
        <f>IFERROR(IF(V$21=0, "", _xlfn.CEILING.MATH((V$21/Y6)*W7)),"")</f>
        <v/>
      </c>
      <c r="W24" s="57" t="str">
        <f>IF(W$21=0, "", _xlfn.CEILING.MATH((W$21/Y8)*W9))</f>
        <v/>
      </c>
      <c r="X24" s="57" t="str">
        <f>IFERROR(IF(X$21=0, "", _xlfn.CEILING.MATH((X$21/Y10)*W11)),"")</f>
        <v/>
      </c>
      <c r="Y24" s="57" t="str">
        <f>IFERROR(IF(Y$21=0, "", _xlfn.CEILING.MATH((Y$21/Y12)*W13)),"")</f>
        <v/>
      </c>
      <c r="Z24" s="199"/>
      <c r="AA24" s="196" t="str">
        <f>IF(HDRAG_HAS_REC_HZOD, _xlfn.CEILING.MATH((HDRAGS_MAX_DRAGON_BLD_16/$Y12)*U13), "")</f>
        <v/>
      </c>
      <c r="AB24" s="137" t="str">
        <f>IF(HDRAG_HAS_REC_HZOD, _xlfn.CEILING.MATH((HDRAGS_MAX_DRAGON_BLD_16/$Y12)*V13), "")</f>
        <v/>
      </c>
      <c r="AC24" s="137" t="str">
        <f>IF(HDRAG_HAS_REC_HZOD, _xlfn.CEILING.MATH((HDRAGS_MAX_DRAGON_BLD_16/$Y12)*W13), "")</f>
        <v/>
      </c>
      <c r="AD24" s="137" t="str">
        <f>IF(HDRAG_HAS_REC_HZOD, _xlfn.CEILING.MATH((HDRAGS_MAX_DRAGON_BLD_16/$Y12)*X13), "")</f>
        <v/>
      </c>
      <c r="AE24" s="210" t="str">
        <f>IF(HDRAG_HAS_REC_HZOD, SUM(AA24:AD24), "")</f>
        <v/>
      </c>
      <c r="AF24" s="137" t="str">
        <f>IF(HDRAG_HAS_REC_HZOD, _xlfn.CEILING.MATH((HDRAGS_MAX_ALL/$Y12)*U13), "")</f>
        <v/>
      </c>
      <c r="AG24" s="137" t="str">
        <f>IF(HDRAG_HAS_REC_HZOD, _xlfn.CEILING.MATH((HDRAGS_MAX_ALL/$Y12)*V13), "")</f>
        <v/>
      </c>
      <c r="AH24" s="137" t="str">
        <f>IF(HDRAG_HAS_REC_HZOD, _xlfn.CEILING.MATH((HDRAGS_MAX_ALL/$Y12)*W13), "")</f>
        <v/>
      </c>
      <c r="AI24" s="137" t="str">
        <f>IF(HDRAG_HAS_REC_HZOD, _xlfn.CEILING.MATH((HDRAGS_MAX_ALL/$Y12)*X13), "")</f>
        <v/>
      </c>
      <c r="AJ24" s="215" t="str">
        <f>IF(HDRAG_HAS_REC_HZOD, SUM(AF24:AI24), "")</f>
        <v/>
      </c>
    </row>
    <row r="25" spans="1:36" ht="15.75" thickBot="1" x14ac:dyDescent="0.3">
      <c r="A25" s="60"/>
      <c r="B25" s="146" t="s">
        <v>80</v>
      </c>
      <c r="C25" s="146"/>
      <c r="D25" s="146"/>
      <c r="E25" s="146"/>
      <c r="F25" s="146"/>
      <c r="G25" s="146"/>
      <c r="H25" s="60"/>
      <c r="I25" s="1"/>
      <c r="J25" s="180" t="s">
        <v>82</v>
      </c>
      <c r="K25" s="180"/>
      <c r="L25" s="179"/>
      <c r="M25" s="180" t="s">
        <v>84</v>
      </c>
      <c r="N25" s="180"/>
      <c r="O25" s="180"/>
      <c r="P25" s="180"/>
      <c r="Q25" s="123"/>
      <c r="S25" s="136"/>
      <c r="T25" s="103">
        <v>5</v>
      </c>
      <c r="U25" s="57">
        <f>IFERROR(IF(U$21=0, "", _xlfn.CEILING.MATH((U$21/Y4)*X5)),"")</f>
        <v>10</v>
      </c>
      <c r="V25" s="57" t="str">
        <f>IFERROR(IF(V$21=0, "", _xlfn.CEILING.MATH((V$21/Y6)*X7)),"")</f>
        <v/>
      </c>
      <c r="W25" s="57" t="str">
        <f>IF(W$21=0, "", _xlfn.CEILING.MATH((W$21/Y8)*X9))</f>
        <v/>
      </c>
      <c r="X25" s="57" t="str">
        <f>IFERROR(IF(X$21=0, "", _xlfn.CEILING.MATH((X$21/Y10)*X11)),"")</f>
        <v/>
      </c>
      <c r="Y25" s="57" t="str">
        <f>IFERROR(IF(Y$21=0, "", _xlfn.CEILING.MATH((Y$21/Y12)*X13)),"")</f>
        <v/>
      </c>
      <c r="Z25" s="199"/>
      <c r="AA25" s="200"/>
      <c r="AB25" s="201"/>
      <c r="AC25" s="201"/>
      <c r="AD25" s="201"/>
      <c r="AE25" s="216"/>
      <c r="AF25" s="201"/>
      <c r="AG25" s="201"/>
      <c r="AH25" s="201"/>
      <c r="AI25" s="201"/>
      <c r="AJ25" s="217"/>
    </row>
    <row r="26" spans="1:36" ht="15.75" thickTop="1" x14ac:dyDescent="0.25">
      <c r="A26" s="60"/>
      <c r="B26" s="146" t="s">
        <v>70</v>
      </c>
      <c r="C26" s="81"/>
      <c r="D26" s="81"/>
      <c r="E26" s="81"/>
      <c r="F26" s="169">
        <v>7363</v>
      </c>
      <c r="G26" s="169"/>
      <c r="H26" s="60"/>
      <c r="I26" s="63">
        <f>IF(K26&gt;100,100,IF(K26&lt;0,0,K26))</f>
        <v>0</v>
      </c>
      <c r="J26" s="180" t="s">
        <v>61</v>
      </c>
      <c r="K26" s="169"/>
      <c r="L26" s="60"/>
      <c r="M26" s="180" t="s">
        <v>85</v>
      </c>
      <c r="N26" s="180"/>
      <c r="O26" s="191">
        <f>_xlfn.FLOOR.MATH(F32/MAX(DATA_DRAG_ACCU_EXP))</f>
        <v>4</v>
      </c>
      <c r="P26" s="191"/>
      <c r="Q26" s="123"/>
      <c r="S26" s="136"/>
      <c r="T26" s="103" t="s">
        <v>56</v>
      </c>
      <c r="U26" s="60">
        <f>IF(AND(HDRAG_HAS_REC_HBRUN,U21&gt;0),SUM(U22:U25),"")</f>
        <v>302</v>
      </c>
      <c r="V26" s="60" t="str">
        <f>IF(AND(HDRAG_HAS_REC_HMERC,V21&gt;0),SUM(V22:V25),"")</f>
        <v/>
      </c>
      <c r="W26" s="57" t="str">
        <f>IF(AND(HDRAG_HAS_REC_HMID,W21&gt;0),SUM(W22:W25),"")</f>
        <v/>
      </c>
      <c r="X26" s="60" t="str">
        <f>IF(AND(HDRAG_HAS_REC_HJUP,X21&gt;0),SUM(X22:X25),"")</f>
        <v/>
      </c>
      <c r="Y26" s="60" t="str">
        <f>IF(AND(HDRAG_HAS_REC_HZOD,Y21&gt;0),SUM(Y22:Y25),"")</f>
        <v/>
      </c>
      <c r="Z26" s="57"/>
      <c r="AB26" s="57"/>
      <c r="AC26" s="57"/>
      <c r="AD26" s="57"/>
      <c r="AE26" s="57"/>
      <c r="AF26" s="57"/>
      <c r="AG26" s="57"/>
      <c r="AH26" s="57"/>
      <c r="AI26" s="57"/>
      <c r="AJ26" s="123"/>
    </row>
    <row r="27" spans="1:36" ht="15" customHeight="1" x14ac:dyDescent="0.25">
      <c r="A27" s="60"/>
      <c r="B27" s="146"/>
      <c r="C27" s="81"/>
      <c r="D27" s="81"/>
      <c r="E27" s="81"/>
      <c r="F27" s="169"/>
      <c r="G27" s="169"/>
      <c r="H27" s="60"/>
      <c r="I27" s="63">
        <f>MOD(F32,MAX(DATA_DRAG_ACCU_EXP))</f>
        <v>1052370</v>
      </c>
      <c r="J27" s="180"/>
      <c r="K27" s="169"/>
      <c r="L27" s="60"/>
      <c r="M27" s="180"/>
      <c r="N27" s="180"/>
      <c r="O27" s="191"/>
      <c r="P27" s="191"/>
      <c r="Q27" s="123"/>
      <c r="S27" s="151" t="s">
        <v>37</v>
      </c>
      <c r="T27" s="103" t="s">
        <v>63</v>
      </c>
      <c r="U27" s="105">
        <f>IFERROR(IF(U20=0, 100%, (HDRAGS_MAX_DRAGON - U20)/HDRAGS_MAX_DRAGON),"")</f>
        <v>0</v>
      </c>
      <c r="V27" s="105" t="str">
        <f>IFERROR(IF(V20=0, 100%, (HDRAGS_MAX_DRAGON - V20)/HDRAGS_MAX_DRAGON),"")</f>
        <v/>
      </c>
      <c r="W27" s="105">
        <f>IFERROR(IF(W20=0, 100%, (HDRAGS_MAX_DRAGON - W20)/HDRAGS_MAX_DRAGON),"")</f>
        <v>1</v>
      </c>
      <c r="X27" s="105" t="str">
        <f>IFERROR(IF(X20=0, 100%, (HDRAGS_MAX_DRAGON - X20)/HDRAGS_MAX_DRAGON),"")</f>
        <v/>
      </c>
      <c r="Y27" s="105" t="str">
        <f>IFERROR(IF(Y20=0, 100%, (HDRAGS_MAX_DRAGON - Y20)/HDRAGS_MAX_DRAGON),"")</f>
        <v/>
      </c>
      <c r="Z27" s="57"/>
      <c r="AB27" s="57"/>
      <c r="AC27" s="57"/>
      <c r="AD27" s="57"/>
      <c r="AE27" s="57"/>
      <c r="AF27" s="57"/>
      <c r="AG27" s="57"/>
      <c r="AH27" s="57"/>
      <c r="AI27" s="57"/>
      <c r="AJ27" s="123"/>
    </row>
    <row r="28" spans="1:36" ht="15" customHeight="1" x14ac:dyDescent="0.25">
      <c r="A28" s="60"/>
      <c r="B28" s="146" t="s">
        <v>71</v>
      </c>
      <c r="C28" s="81"/>
      <c r="D28" s="81"/>
      <c r="E28" s="81"/>
      <c r="F28" s="169">
        <v>2290</v>
      </c>
      <c r="G28" s="169"/>
      <c r="H28" s="60"/>
      <c r="I28" s="63">
        <f>SMALL(DATA_DRAG_ACCU_EXP,COUNTIF(DATA_DRAG_ACCU_EXP,"&lt;"&amp;I27))</f>
        <v>1020240</v>
      </c>
      <c r="J28" s="180" t="s">
        <v>83</v>
      </c>
      <c r="K28" s="169"/>
      <c r="L28" s="60"/>
      <c r="M28" s="180" t="s">
        <v>61</v>
      </c>
      <c r="N28" s="180"/>
      <c r="O28" s="191">
        <f>MATCH(I28, DATA_DRAG_ACCU_EXP,0)</f>
        <v>94</v>
      </c>
      <c r="P28" s="191"/>
      <c r="Q28" s="187"/>
      <c r="S28" s="151"/>
      <c r="T28" s="103" t="s">
        <v>60</v>
      </c>
      <c r="U28" s="105">
        <f>IFERROR(IF(U18=0, 100%, (HDRAGS_MAX_BUILDING - U18)/HDRAGS_MAX_BUILDING),"")</f>
        <v>0.38725490196078433</v>
      </c>
      <c r="V28" s="105" t="str">
        <f>IFERROR(IF(V18=0, 100%, (HDRAGS_MAX_BUILDING - V18)/HDRAGS_MAX_BUILDING),"")</f>
        <v/>
      </c>
      <c r="W28" s="105">
        <f>IFERROR(IF(W18=0, 100%, (HDRAGS_MAX_BUILDING - W18)/HDRAGS_MAX_BUILDING),"")</f>
        <v>1</v>
      </c>
      <c r="X28" s="105" t="str">
        <f>IFERROR(IF(X18=0, 100%, (HDRAGS_MAX_BUILDING - X18)/HDRAGS_MAX_BUILDING),"")</f>
        <v/>
      </c>
      <c r="Y28" s="105" t="str">
        <f>IFERROR(IF(Y18=0, 100%, (HDRAGS_MAX_BUILDING - Y18)/HDRAGS_MAX_BUILDING),"")</f>
        <v/>
      </c>
      <c r="Z28" s="57"/>
      <c r="AB28" s="57"/>
      <c r="AC28" s="57"/>
      <c r="AD28" s="57"/>
      <c r="AE28" s="57"/>
      <c r="AF28" s="57"/>
      <c r="AG28" s="57"/>
      <c r="AH28" s="57"/>
      <c r="AI28" s="57"/>
      <c r="AJ28" s="123"/>
    </row>
    <row r="29" spans="1:36" ht="15.75" customHeight="1" thickBot="1" x14ac:dyDescent="0.3">
      <c r="A29" s="60"/>
      <c r="B29" s="146"/>
      <c r="C29" s="81"/>
      <c r="D29" s="81"/>
      <c r="E29" s="81"/>
      <c r="F29" s="169"/>
      <c r="G29" s="169"/>
      <c r="H29" s="60"/>
      <c r="I29" s="63">
        <f>IF(I26=0,0,INDEX(DATA_DRAG_ACCU_EXP,I26)+INDEX(DATA_DRAG_LV_EXP,I26)-K28)</f>
        <v>0</v>
      </c>
      <c r="J29" s="180"/>
      <c r="K29" s="169"/>
      <c r="L29" s="63"/>
      <c r="M29" s="180"/>
      <c r="N29" s="180"/>
      <c r="O29" s="191"/>
      <c r="P29" s="191"/>
      <c r="Q29" s="187"/>
      <c r="S29" s="189"/>
      <c r="T29" s="129" t="s">
        <v>66</v>
      </c>
      <c r="U29" s="130">
        <f>IFERROR(IF(U21=0, 100%, (HDRAGS_MAX_ALL - U21)/HDRAGS_MAX_ALL),"")</f>
        <v>0.44196771714066102</v>
      </c>
      <c r="V29" s="130" t="str">
        <f>IFERROR(IF(V21=0, 100%, (HDRAGS_MAX_ALL - V21)/HDRAGS_MAX_ALL),"")</f>
        <v/>
      </c>
      <c r="W29" s="130">
        <f>IFERROR(IF(W21=0, 100%, (HDRAGS_MAX_ALL - W21)/HDRAGS_MAX_ALL),"")</f>
        <v>1</v>
      </c>
      <c r="X29" s="130" t="str">
        <f>IFERROR(IF(X21=0, 100%, (HDRAGS_MAX_ALL - X21)/HDRAGS_MAX_ALL),"")</f>
        <v/>
      </c>
      <c r="Y29" s="130" t="str">
        <f>IFERROR(IF(Y21=0, 100%, (HDRAGS_MAX_ALL - Y21)/HDRAGS_MAX_ALL),"")</f>
        <v/>
      </c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6"/>
    </row>
    <row r="30" spans="1:36" ht="15.75" customHeight="1" thickTop="1" x14ac:dyDescent="0.25">
      <c r="A30" s="60"/>
      <c r="B30" s="146" t="s">
        <v>72</v>
      </c>
      <c r="C30" s="81"/>
      <c r="D30" s="81"/>
      <c r="E30" s="81"/>
      <c r="F30" s="169">
        <v>748</v>
      </c>
      <c r="G30" s="169"/>
      <c r="H30" s="60"/>
      <c r="I30" s="1"/>
      <c r="J30" s="60"/>
      <c r="K30" s="60"/>
      <c r="L30" s="60"/>
      <c r="M30" s="146" t="s">
        <v>83</v>
      </c>
      <c r="N30" s="146"/>
      <c r="O30" s="191">
        <f>INDEX(DATA_DRAG_LV_EXP,O28)-(I27-I28)</f>
        <v>2250</v>
      </c>
      <c r="P30" s="191"/>
      <c r="Q30" s="187"/>
      <c r="S30" s="188"/>
    </row>
    <row r="31" spans="1:36" ht="15" customHeight="1" x14ac:dyDescent="0.25">
      <c r="A31" s="60"/>
      <c r="B31" s="146"/>
      <c r="C31" s="81"/>
      <c r="D31" s="81"/>
      <c r="E31" s="81"/>
      <c r="F31" s="169"/>
      <c r="G31" s="169"/>
      <c r="M31" s="146"/>
      <c r="N31" s="146"/>
      <c r="O31" s="191"/>
      <c r="P31" s="191"/>
      <c r="Q31" s="60"/>
      <c r="S31" s="188"/>
    </row>
    <row r="32" spans="1:36" ht="15" customHeight="1" x14ac:dyDescent="0.25">
      <c r="A32" s="60"/>
      <c r="B32" s="146" t="s">
        <v>81</v>
      </c>
      <c r="C32" s="81"/>
      <c r="D32" s="81"/>
      <c r="E32" s="81"/>
      <c r="F32" s="182">
        <f>F26*DRAGEXP_S+F28*DRAGEXP_M+F30*DRAGEXP_L</f>
        <v>6012450</v>
      </c>
      <c r="G32" s="182"/>
      <c r="M32" s="60"/>
      <c r="N32" s="60"/>
      <c r="O32" s="60"/>
      <c r="P32" s="60"/>
      <c r="Q32" s="60"/>
      <c r="S32" s="188"/>
    </row>
    <row r="33" spans="1:27" s="65" customFormat="1" ht="15" customHeight="1" x14ac:dyDescent="0.25">
      <c r="A33" s="60"/>
      <c r="B33" s="146"/>
      <c r="C33" s="81"/>
      <c r="D33" s="81"/>
      <c r="E33" s="81"/>
      <c r="F33" s="182"/>
      <c r="G33" s="182"/>
      <c r="H33" s="2"/>
      <c r="I33" s="94"/>
      <c r="J33" s="162" t="s">
        <v>79</v>
      </c>
      <c r="K33" s="168">
        <f>IF(N34 &gt; 0, SUM(DATA_DRAGON_EXP)/N34, 0)</f>
        <v>0</v>
      </c>
      <c r="L33" s="168"/>
      <c r="M33" s="168"/>
      <c r="N33" s="103" t="s">
        <v>42</v>
      </c>
      <c r="O33" s="60"/>
      <c r="P33" s="60"/>
      <c r="Q33" s="60"/>
      <c r="S33" s="188"/>
      <c r="AA33" s="60"/>
    </row>
    <row r="34" spans="1:27" s="65" customFormat="1" ht="15" customHeight="1" x14ac:dyDescent="0.25">
      <c r="A34" s="60"/>
      <c r="B34" s="186"/>
      <c r="C34" s="81"/>
      <c r="D34" s="81"/>
      <c r="E34" s="81"/>
      <c r="F34" s="185"/>
      <c r="G34" s="185"/>
      <c r="H34" s="2"/>
      <c r="I34" s="94"/>
      <c r="J34" s="162"/>
      <c r="K34" s="168"/>
      <c r="L34" s="168"/>
      <c r="M34" s="168"/>
      <c r="N34" s="60">
        <f>SUM(DATA_DRAGON_PLAYS)</f>
        <v>0</v>
      </c>
      <c r="O34" s="60"/>
      <c r="P34" s="60"/>
      <c r="Q34" s="60"/>
      <c r="S34" s="188"/>
      <c r="AA34" s="60"/>
    </row>
    <row r="35" spans="1:27" ht="18.75" customHeight="1" x14ac:dyDescent="0.25">
      <c r="A35" s="60"/>
      <c r="B35" s="186"/>
      <c r="C35" s="81"/>
      <c r="D35" s="81"/>
      <c r="E35" s="81"/>
      <c r="F35" s="185"/>
      <c r="G35" s="185"/>
      <c r="J35" s="2" t="s">
        <v>86</v>
      </c>
      <c r="K35" s="170" t="str">
        <f>IF($K$33&gt;0,_xlfn.CEILING.MATH(INDEX(DATA_DRAG_ACCU_EXP, 60)/$K$33),"")</f>
        <v/>
      </c>
      <c r="L35" s="170"/>
      <c r="M35" s="100" t="s">
        <v>39</v>
      </c>
      <c r="N35" s="60"/>
      <c r="O35" s="60"/>
      <c r="P35" s="60"/>
      <c r="Q35" s="60"/>
      <c r="S35" s="188"/>
    </row>
    <row r="36" spans="1:27" ht="18.75" customHeight="1" x14ac:dyDescent="0.25">
      <c r="J36" s="2" t="s">
        <v>87</v>
      </c>
      <c r="K36" s="170" t="str">
        <f>IF($K$33&gt;0,_xlfn.CEILING.MATH(INDEX(DATA_DRAG_ACCU_EXP, 80)/$K$33),"")</f>
        <v/>
      </c>
      <c r="L36" s="170"/>
      <c r="M36" s="100" t="s">
        <v>39</v>
      </c>
      <c r="S36" s="188"/>
    </row>
    <row r="37" spans="1:27" ht="18.75" customHeight="1" thickBot="1" x14ac:dyDescent="0.3">
      <c r="A37" s="115"/>
      <c r="B37" s="115"/>
      <c r="C37" s="184"/>
      <c r="D37" s="184"/>
      <c r="E37" s="184"/>
      <c r="F37" s="115"/>
      <c r="G37" s="115"/>
      <c r="H37" s="115"/>
      <c r="I37" s="181"/>
      <c r="J37" s="115" t="s">
        <v>88</v>
      </c>
      <c r="K37" s="183" t="str">
        <f>IF($K$33&gt;0,_xlfn.CEILING.MATH(INDEX(DATA_DRAG_ACCU_EXP, 100)/$K$33),"")</f>
        <v/>
      </c>
      <c r="L37" s="183"/>
      <c r="M37" s="129" t="s">
        <v>39</v>
      </c>
      <c r="N37" s="115"/>
      <c r="O37" s="115"/>
      <c r="P37" s="115"/>
      <c r="Q37" s="115"/>
      <c r="S37" s="188"/>
    </row>
    <row r="38" spans="1:27" ht="15.75" thickTop="1" x14ac:dyDescent="0.25">
      <c r="Q38" s="190"/>
      <c r="S38" s="60"/>
    </row>
    <row r="39" spans="1:27" x14ac:dyDescent="0.25">
      <c r="Q39" s="60"/>
      <c r="S39" s="60"/>
    </row>
    <row r="40" spans="1:27" x14ac:dyDescent="0.25">
      <c r="Q40" s="60"/>
      <c r="S40" s="60"/>
    </row>
  </sheetData>
  <mergeCells count="182">
    <mergeCell ref="K36:L36"/>
    <mergeCell ref="K37:L37"/>
    <mergeCell ref="B25:G25"/>
    <mergeCell ref="B32:B33"/>
    <mergeCell ref="F32:G33"/>
    <mergeCell ref="J33:J34"/>
    <mergeCell ref="K33:M34"/>
    <mergeCell ref="K35:L35"/>
    <mergeCell ref="M30:N31"/>
    <mergeCell ref="M28:N29"/>
    <mergeCell ref="M26:N27"/>
    <mergeCell ref="O30:P31"/>
    <mergeCell ref="O28:P29"/>
    <mergeCell ref="O26:P27"/>
    <mergeCell ref="F30:G31"/>
    <mergeCell ref="B30:B31"/>
    <mergeCell ref="F28:G29"/>
    <mergeCell ref="B28:B29"/>
    <mergeCell ref="F26:G27"/>
    <mergeCell ref="B26:B27"/>
    <mergeCell ref="K28:K29"/>
    <mergeCell ref="J28:J29"/>
    <mergeCell ref="K26:K27"/>
    <mergeCell ref="J26:J27"/>
    <mergeCell ref="S1:AJ1"/>
    <mergeCell ref="J25:K25"/>
    <mergeCell ref="M25:P25"/>
    <mergeCell ref="A1:Q1"/>
    <mergeCell ref="A17:B18"/>
    <mergeCell ref="A15:B16"/>
    <mergeCell ref="A13:B14"/>
    <mergeCell ref="B20:F21"/>
    <mergeCell ref="A10:B10"/>
    <mergeCell ref="A11:B12"/>
    <mergeCell ref="A22:Q24"/>
    <mergeCell ref="G20:J21"/>
    <mergeCell ref="K20:L21"/>
    <mergeCell ref="M20:O21"/>
    <mergeCell ref="N10:O10"/>
    <mergeCell ref="X2:X3"/>
    <mergeCell ref="W2:W3"/>
    <mergeCell ref="V2:V3"/>
    <mergeCell ref="U2:U3"/>
    <mergeCell ref="L17:L18"/>
    <mergeCell ref="L15:L16"/>
    <mergeCell ref="L13:L14"/>
    <mergeCell ref="L11:L12"/>
    <mergeCell ref="G10:H10"/>
    <mergeCell ref="H2:L2"/>
    <mergeCell ref="H3:L3"/>
    <mergeCell ref="H4:L4"/>
    <mergeCell ref="H5:L5"/>
    <mergeCell ref="H6:L6"/>
    <mergeCell ref="H7:L7"/>
    <mergeCell ref="H8:L8"/>
    <mergeCell ref="AG4:AG5"/>
    <mergeCell ref="AH4:AH5"/>
    <mergeCell ref="AI4:AI5"/>
    <mergeCell ref="AJ4:AJ5"/>
    <mergeCell ref="AA16:AA17"/>
    <mergeCell ref="T2:T3"/>
    <mergeCell ref="AA2:AE2"/>
    <mergeCell ref="AF2:AJ2"/>
    <mergeCell ref="AA14:AE14"/>
    <mergeCell ref="AF14:AJ14"/>
    <mergeCell ref="AA4:AA5"/>
    <mergeCell ref="AE4:AE5"/>
    <mergeCell ref="AD4:AD5"/>
    <mergeCell ref="AC4:AC5"/>
    <mergeCell ref="AB4:AB5"/>
    <mergeCell ref="T4:T5"/>
    <mergeCell ref="S4:S5"/>
    <mergeCell ref="Y2:Z3"/>
    <mergeCell ref="Y4:Z5"/>
    <mergeCell ref="AB16:AB17"/>
    <mergeCell ref="AC16:AC17"/>
    <mergeCell ref="AD16:AD17"/>
    <mergeCell ref="AE16:AE17"/>
    <mergeCell ref="AF16:AF17"/>
    <mergeCell ref="AF4:AF5"/>
    <mergeCell ref="S6:S7"/>
    <mergeCell ref="T6:T7"/>
    <mergeCell ref="S22:S26"/>
    <mergeCell ref="S27:S29"/>
    <mergeCell ref="S16:T16"/>
    <mergeCell ref="S21:T21"/>
    <mergeCell ref="AH16:AH17"/>
    <mergeCell ref="AI16:AI17"/>
    <mergeCell ref="AJ16:AJ17"/>
    <mergeCell ref="AG16:AG17"/>
    <mergeCell ref="AI6:AI7"/>
    <mergeCell ref="AJ6:AJ7"/>
    <mergeCell ref="AA18:AA19"/>
    <mergeCell ref="AA6:AA7"/>
    <mergeCell ref="AB6:AB7"/>
    <mergeCell ref="AC6:AC7"/>
    <mergeCell ref="AD6:AD7"/>
    <mergeCell ref="AE6:AE7"/>
    <mergeCell ref="Y6:Z7"/>
    <mergeCell ref="AJ8:AJ9"/>
    <mergeCell ref="AH18:AH19"/>
    <mergeCell ref="AI18:AI19"/>
    <mergeCell ref="AJ18:AJ19"/>
    <mergeCell ref="S8:S9"/>
    <mergeCell ref="T8:T9"/>
    <mergeCell ref="AA8:AA9"/>
    <mergeCell ref="AB8:AB9"/>
    <mergeCell ref="AC8:AC9"/>
    <mergeCell ref="AD8:AD9"/>
    <mergeCell ref="AB18:AB19"/>
    <mergeCell ref="AC18:AC19"/>
    <mergeCell ref="AD18:AD19"/>
    <mergeCell ref="AE18:AE19"/>
    <mergeCell ref="AF18:AF19"/>
    <mergeCell ref="AG18:AG19"/>
    <mergeCell ref="AJ10:AJ11"/>
    <mergeCell ref="AA22:AA23"/>
    <mergeCell ref="AB22:AB23"/>
    <mergeCell ref="AC22:AC23"/>
    <mergeCell ref="AD22:AD23"/>
    <mergeCell ref="AE22:AE23"/>
    <mergeCell ref="AD10:AD11"/>
    <mergeCell ref="AE10:AE11"/>
    <mergeCell ref="AF10:AF11"/>
    <mergeCell ref="AG10:AG11"/>
    <mergeCell ref="AH10:AH11"/>
    <mergeCell ref="AI10:AI11"/>
    <mergeCell ref="AG20:AG21"/>
    <mergeCell ref="AH20:AH21"/>
    <mergeCell ref="AI20:AI21"/>
    <mergeCell ref="AJ20:AJ21"/>
    <mergeCell ref="AA10:AA11"/>
    <mergeCell ref="AB10:AB11"/>
    <mergeCell ref="AC10:AC11"/>
    <mergeCell ref="AA20:AA21"/>
    <mergeCell ref="AB20:AB21"/>
    <mergeCell ref="AC20:AC21"/>
    <mergeCell ref="AD20:AD21"/>
    <mergeCell ref="AE20:AE21"/>
    <mergeCell ref="AJ24:AJ25"/>
    <mergeCell ref="AI12:AI13"/>
    <mergeCell ref="AJ12:AJ13"/>
    <mergeCell ref="AA24:AA25"/>
    <mergeCell ref="AB24:AB25"/>
    <mergeCell ref="AC24:AC25"/>
    <mergeCell ref="AD24:AD25"/>
    <mergeCell ref="AC12:AC13"/>
    <mergeCell ref="AD12:AD13"/>
    <mergeCell ref="AE12:AE13"/>
    <mergeCell ref="AF12:AF13"/>
    <mergeCell ref="AG12:AG13"/>
    <mergeCell ref="AH12:AH13"/>
    <mergeCell ref="AF22:AF23"/>
    <mergeCell ref="AG22:AG23"/>
    <mergeCell ref="AH22:AH23"/>
    <mergeCell ref="AI22:AI23"/>
    <mergeCell ref="AJ22:AJ23"/>
    <mergeCell ref="AA12:AA13"/>
    <mergeCell ref="AB12:AB13"/>
    <mergeCell ref="AF20:AF21"/>
    <mergeCell ref="Y8:Z9"/>
    <mergeCell ref="Y10:Z11"/>
    <mergeCell ref="Y12:Z13"/>
    <mergeCell ref="S19:S20"/>
    <mergeCell ref="S17:S18"/>
    <mergeCell ref="AE24:AE25"/>
    <mergeCell ref="AF24:AF25"/>
    <mergeCell ref="AG24:AG25"/>
    <mergeCell ref="AH24:AH25"/>
    <mergeCell ref="AI24:AI25"/>
    <mergeCell ref="S12:S13"/>
    <mergeCell ref="T12:T13"/>
    <mergeCell ref="S10:S11"/>
    <mergeCell ref="T10:T11"/>
    <mergeCell ref="AE8:AE9"/>
    <mergeCell ref="AF8:AF9"/>
    <mergeCell ref="AG8:AG9"/>
    <mergeCell ref="AH8:AH9"/>
    <mergeCell ref="AI8:AI9"/>
    <mergeCell ref="AF6:AF7"/>
    <mergeCell ref="AG6:AG7"/>
    <mergeCell ref="AH6:AH7"/>
  </mergeCells>
  <conditionalFormatting sqref="H3:I3 U27:U29">
    <cfRule type="dataBar" priority="3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{8F425D92-4A2F-4877-A265-B7F3BB3371C3}</x14:id>
        </ext>
      </extLst>
    </cfRule>
  </conditionalFormatting>
  <conditionalFormatting sqref="H4:I4 V27:V29">
    <cfRule type="dataBar" priority="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{A0E6CDD6-3C72-4D9A-938D-485BB748F8CA}</x14:id>
        </ext>
      </extLst>
    </cfRule>
  </conditionalFormatting>
  <conditionalFormatting sqref="H5:I5 W27:W29">
    <cfRule type="dataBar" priority="5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{B8417058-D721-4CCE-8591-B400D14BD99E}</x14:id>
        </ext>
      </extLst>
    </cfRule>
  </conditionalFormatting>
  <conditionalFormatting sqref="H6:I6 X27:X29">
    <cfRule type="dataBar" priority="6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{6AA16179-FEDB-45B2-A866-4A9D709602C9}</x14:id>
        </ext>
      </extLst>
    </cfRule>
  </conditionalFormatting>
  <conditionalFormatting sqref="H7:I7 Y27:Y29">
    <cfRule type="dataBar" priority="7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{915495D4-8A41-4239-989B-1C9721843B4C}</x14:id>
        </ext>
      </extLst>
    </cfRule>
  </conditionalFormatting>
  <conditionalFormatting sqref="H8:I8">
    <cfRule type="dataBar" priority="2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{BDF0C5F6-A062-480D-B610-93D1D77C7DAF}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F425D92-4A2F-4877-A265-B7F3BB3371C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H3:I3 U27:U29</xm:sqref>
        </x14:conditionalFormatting>
        <x14:conditionalFormatting xmlns:xm="http://schemas.microsoft.com/office/excel/2006/main">
          <x14:cfRule type="dataBar" id="{A0E6CDD6-3C72-4D9A-938D-485BB748F8C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H4:I4 V27:V29</xm:sqref>
        </x14:conditionalFormatting>
        <x14:conditionalFormatting xmlns:xm="http://schemas.microsoft.com/office/excel/2006/main">
          <x14:cfRule type="dataBar" id="{B8417058-D721-4CCE-8591-B400D14BD99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H5:I5 W27:W29</xm:sqref>
        </x14:conditionalFormatting>
        <x14:conditionalFormatting xmlns:xm="http://schemas.microsoft.com/office/excel/2006/main">
          <x14:cfRule type="dataBar" id="{6AA16179-FEDB-45B2-A866-4A9D709602C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H6:I6 X27:X29</xm:sqref>
        </x14:conditionalFormatting>
        <x14:conditionalFormatting xmlns:xm="http://schemas.microsoft.com/office/excel/2006/main">
          <x14:cfRule type="dataBar" id="{915495D4-8A41-4239-989B-1C9721843B4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H7:I7 Y27:Y29</xm:sqref>
        </x14:conditionalFormatting>
        <x14:conditionalFormatting xmlns:xm="http://schemas.microsoft.com/office/excel/2006/main">
          <x14:cfRule type="dataBar" id="{BDF0C5F6-A062-480D-B610-93D1D77C7DA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H8:I8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4E91-B4EE-4451-A06F-034569D09C85}">
  <sheetPr codeName="Sheet3">
    <tabColor rgb="FF00B050"/>
  </sheetPr>
  <dimension ref="A1:L14"/>
  <sheetViews>
    <sheetView tabSelected="1" workbookViewId="0">
      <selection activeCell="F8" sqref="F8"/>
    </sheetView>
  </sheetViews>
  <sheetFormatPr defaultRowHeight="15" x14ac:dyDescent="0.25"/>
  <cols>
    <col min="1" max="1" width="9.140625" style="2" customWidth="1"/>
    <col min="2" max="2" width="9.140625" style="2"/>
    <col min="3" max="3" width="7.85546875" style="2" customWidth="1"/>
    <col min="4" max="4" width="9.7109375" style="2" customWidth="1"/>
    <col min="5" max="8" width="9.140625" style="2"/>
    <col min="9" max="11" width="5.5703125" style="2" customWidth="1"/>
    <col min="12" max="16384" width="9.140625" style="2"/>
  </cols>
  <sheetData>
    <row r="1" spans="1:12" ht="33.75" customHeight="1" x14ac:dyDescent="0.25">
      <c r="A1" s="131" t="s">
        <v>34</v>
      </c>
      <c r="B1" s="131"/>
      <c r="C1" s="131"/>
      <c r="D1" s="131"/>
      <c r="F1" s="131" t="s">
        <v>74</v>
      </c>
      <c r="G1" s="131"/>
      <c r="H1" s="131"/>
      <c r="I1" s="131"/>
      <c r="J1" s="131"/>
      <c r="K1" s="131"/>
      <c r="L1" s="131"/>
    </row>
    <row r="2" spans="1:12" ht="15" customHeight="1" x14ac:dyDescent="0.25">
      <c r="A2" s="104"/>
      <c r="B2" s="101" t="s">
        <v>40</v>
      </c>
      <c r="C2" s="101" t="s">
        <v>67</v>
      </c>
      <c r="D2" s="101" t="s">
        <v>15</v>
      </c>
      <c r="F2" s="104"/>
      <c r="G2" s="101" t="s">
        <v>40</v>
      </c>
      <c r="H2" s="101" t="s">
        <v>67</v>
      </c>
      <c r="I2" s="101" t="s">
        <v>70</v>
      </c>
      <c r="J2" s="101" t="s">
        <v>71</v>
      </c>
      <c r="K2" s="101" t="s">
        <v>72</v>
      </c>
      <c r="L2" s="101" t="s">
        <v>73</v>
      </c>
    </row>
    <row r="3" spans="1:12" ht="15" customHeight="1" x14ac:dyDescent="0.25">
      <c r="A3" s="101" t="s">
        <v>68</v>
      </c>
      <c r="B3" s="56">
        <v>277</v>
      </c>
      <c r="C3" s="65">
        <v>15</v>
      </c>
      <c r="D3" s="65">
        <v>167</v>
      </c>
      <c r="F3" s="101" t="s">
        <v>68</v>
      </c>
      <c r="G3" s="56">
        <v>253766</v>
      </c>
      <c r="H3" s="2">
        <v>13</v>
      </c>
      <c r="I3" s="2">
        <v>344</v>
      </c>
      <c r="J3" s="61">
        <v>2290</v>
      </c>
      <c r="K3" s="61">
        <v>748</v>
      </c>
      <c r="L3" s="61">
        <f>I3*DRAGEXP_S+J3*DRAGEXP_M+K3*DRAGEXP_L</f>
        <v>4959600</v>
      </c>
    </row>
    <row r="4" spans="1:12" ht="15" customHeight="1" x14ac:dyDescent="0.25">
      <c r="A4" s="101" t="s">
        <v>69</v>
      </c>
      <c r="B4" s="56">
        <v>277</v>
      </c>
      <c r="C4" s="65">
        <v>15</v>
      </c>
      <c r="D4" s="65">
        <v>167</v>
      </c>
      <c r="F4" s="101" t="s">
        <v>69</v>
      </c>
      <c r="G4" s="56">
        <v>253766</v>
      </c>
      <c r="H4" s="2">
        <v>9</v>
      </c>
      <c r="I4" s="2">
        <v>349</v>
      </c>
      <c r="J4" s="61">
        <v>2290</v>
      </c>
      <c r="K4" s="61">
        <v>749</v>
      </c>
      <c r="L4" s="61">
        <f>I4*DRAGEXP_S+J4*DRAGEXP_M+K4*DRAGEXP_L</f>
        <v>4963850</v>
      </c>
    </row>
    <row r="5" spans="1:12" ht="15" customHeight="1" x14ac:dyDescent="0.25">
      <c r="A5" s="65"/>
      <c r="B5" s="56"/>
      <c r="C5" s="65"/>
      <c r="D5" s="65"/>
      <c r="F5" s="61"/>
      <c r="G5" s="61"/>
      <c r="H5" s="61"/>
      <c r="I5" s="61"/>
      <c r="J5" s="61"/>
      <c r="K5" s="61"/>
    </row>
    <row r="6" spans="1:12" ht="15" customHeight="1" x14ac:dyDescent="0.25">
      <c r="A6" s="100" t="s">
        <v>75</v>
      </c>
      <c r="B6" s="162" t="s">
        <v>38</v>
      </c>
      <c r="C6" s="162"/>
      <c r="D6" s="100" t="s">
        <v>15</v>
      </c>
    </row>
    <row r="7" spans="1:12" ht="18.75" customHeight="1" x14ac:dyDescent="0.25">
      <c r="A7" s="18">
        <v>3</v>
      </c>
      <c r="B7" s="171">
        <f>D13</f>
        <v>0</v>
      </c>
      <c r="C7" s="171"/>
      <c r="D7" s="87">
        <f>A7*B7</f>
        <v>0</v>
      </c>
      <c r="F7" s="97" t="s">
        <v>95</v>
      </c>
      <c r="G7" s="169">
        <f>L4-L3</f>
        <v>4250</v>
      </c>
      <c r="H7" s="169"/>
    </row>
    <row r="8" spans="1:12" ht="18.75" customHeight="1" x14ac:dyDescent="0.25">
      <c r="A8" s="64">
        <v>4</v>
      </c>
      <c r="B8" s="172">
        <f>D14</f>
        <v>0</v>
      </c>
      <c r="C8" s="172"/>
      <c r="D8" s="88">
        <f>A8*B8</f>
        <v>0</v>
      </c>
      <c r="F8" s="97" t="s">
        <v>38</v>
      </c>
      <c r="G8" s="170">
        <f>(G3-G4)/WINGS_RECOVER_DIAMS*6 + (H3-H4)/WINGS_CONSUME_DRAGON</f>
        <v>2</v>
      </c>
      <c r="H8" s="170"/>
    </row>
    <row r="9" spans="1:12" ht="18.75" customHeight="1" x14ac:dyDescent="0.25">
      <c r="A9" s="100" t="s">
        <v>76</v>
      </c>
      <c r="B9" s="65">
        <f>SUM(B7:B8)</f>
        <v>0</v>
      </c>
      <c r="C9" s="65">
        <f>SUM(D7:D8)</f>
        <v>0</v>
      </c>
      <c r="D9" s="100" t="s">
        <v>41</v>
      </c>
    </row>
    <row r="10" spans="1:12" ht="18.75" customHeight="1" x14ac:dyDescent="0.25">
      <c r="A10" s="100" t="s">
        <v>77</v>
      </c>
      <c r="B10" s="65">
        <f>(B3-B4)/WINGS_RECOVER_DIAMS*6 + (C3-C4)/WINGS_CONSUME_IO</f>
        <v>0</v>
      </c>
      <c r="C10" s="65">
        <f>D4-D3</f>
        <v>0</v>
      </c>
      <c r="D10" s="89" t="str">
        <f>IFERROR(C9/B9, "-")</f>
        <v>-</v>
      </c>
      <c r="F10" s="97" t="s">
        <v>79</v>
      </c>
      <c r="G10" s="168">
        <f>IF(G8&gt;0,G7/G8,"")</f>
        <v>2125</v>
      </c>
      <c r="H10" s="168"/>
    </row>
    <row r="12" spans="1:12" ht="15" customHeight="1" x14ac:dyDescent="0.25">
      <c r="A12" s="173" t="s">
        <v>33</v>
      </c>
      <c r="B12" s="173"/>
      <c r="C12" s="174">
        <f ca="1">NOW()</f>
        <v>43517.031912268518</v>
      </c>
      <c r="D12" s="174"/>
    </row>
    <row r="13" spans="1:12" s="83" customFormat="1" ht="15" hidden="1" customHeight="1" x14ac:dyDescent="0.25">
      <c r="A13" s="83">
        <f>Tools!A7</f>
        <v>3</v>
      </c>
      <c r="B13" s="83">
        <f>Tools!A8</f>
        <v>4</v>
      </c>
      <c r="C13" s="83">
        <f>Tools!C10</f>
        <v>0</v>
      </c>
      <c r="D13" s="83">
        <f t="array" ref="D13:D14">MMULT(MINVERSE(Tools!$A$13:$B$14),Tools!$C$13:$C$14)</f>
        <v>0</v>
      </c>
    </row>
    <row r="14" spans="1:12" s="83" customFormat="1" ht="15" hidden="1" customHeight="1" x14ac:dyDescent="0.25">
      <c r="A14" s="83">
        <v>1</v>
      </c>
      <c r="B14" s="83">
        <v>1</v>
      </c>
      <c r="C14" s="83">
        <f>Tools!B10</f>
        <v>0</v>
      </c>
      <c r="D14" s="83">
        <v>0</v>
      </c>
    </row>
  </sheetData>
  <mergeCells count="10">
    <mergeCell ref="A12:B12"/>
    <mergeCell ref="C12:D12"/>
    <mergeCell ref="F1:L1"/>
    <mergeCell ref="G10:H10"/>
    <mergeCell ref="G7:H7"/>
    <mergeCell ref="G8:H8"/>
    <mergeCell ref="B6:C6"/>
    <mergeCell ref="B7:C7"/>
    <mergeCell ref="B8:C8"/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00B0F0"/>
  </sheetPr>
  <dimension ref="A1:F101"/>
  <sheetViews>
    <sheetView workbookViewId="0">
      <selection activeCell="D8" sqref="D8"/>
    </sheetView>
  </sheetViews>
  <sheetFormatPr defaultRowHeight="15" x14ac:dyDescent="0.25"/>
  <cols>
    <col min="1" max="16384" width="9.140625" style="61"/>
  </cols>
  <sheetData>
    <row r="1" spans="1:6" x14ac:dyDescent="0.25">
      <c r="A1" s="61" t="s">
        <v>78</v>
      </c>
      <c r="B1" s="61" t="s">
        <v>38</v>
      </c>
      <c r="D1" s="61" t="s">
        <v>61</v>
      </c>
      <c r="E1" s="61" t="s">
        <v>91</v>
      </c>
      <c r="F1" s="61" t="s">
        <v>92</v>
      </c>
    </row>
    <row r="2" spans="1:6" x14ac:dyDescent="0.25">
      <c r="D2" s="62">
        <v>1</v>
      </c>
      <c r="E2" s="62">
        <v>240</v>
      </c>
      <c r="F2" s="62">
        <v>0</v>
      </c>
    </row>
    <row r="3" spans="1:6" x14ac:dyDescent="0.25">
      <c r="D3" s="62">
        <v>2</v>
      </c>
      <c r="E3" s="62">
        <v>300</v>
      </c>
      <c r="F3" s="62">
        <v>240</v>
      </c>
    </row>
    <row r="4" spans="1:6" x14ac:dyDescent="0.25">
      <c r="D4" s="62">
        <v>3</v>
      </c>
      <c r="E4" s="62">
        <v>360</v>
      </c>
      <c r="F4" s="62">
        <v>540</v>
      </c>
    </row>
    <row r="5" spans="1:6" x14ac:dyDescent="0.25">
      <c r="D5" s="62">
        <v>4</v>
      </c>
      <c r="E5" s="62">
        <v>420</v>
      </c>
      <c r="F5" s="62">
        <v>900</v>
      </c>
    </row>
    <row r="6" spans="1:6" x14ac:dyDescent="0.25">
      <c r="D6" s="62">
        <v>5</v>
      </c>
      <c r="E6" s="62">
        <v>480</v>
      </c>
      <c r="F6" s="62">
        <v>1320</v>
      </c>
    </row>
    <row r="7" spans="1:6" x14ac:dyDescent="0.25">
      <c r="D7" s="62">
        <v>6</v>
      </c>
      <c r="E7" s="62">
        <v>540</v>
      </c>
      <c r="F7" s="62">
        <v>1800</v>
      </c>
    </row>
    <row r="8" spans="1:6" x14ac:dyDescent="0.25">
      <c r="D8" s="62">
        <v>7</v>
      </c>
      <c r="E8" s="62">
        <v>600</v>
      </c>
      <c r="F8" s="62">
        <v>2340</v>
      </c>
    </row>
    <row r="9" spans="1:6" x14ac:dyDescent="0.25">
      <c r="D9" s="62">
        <v>8</v>
      </c>
      <c r="E9" s="62">
        <v>660</v>
      </c>
      <c r="F9" s="62">
        <v>2940</v>
      </c>
    </row>
    <row r="10" spans="1:6" x14ac:dyDescent="0.25">
      <c r="D10" s="62">
        <v>9</v>
      </c>
      <c r="E10" s="62">
        <v>720</v>
      </c>
      <c r="F10" s="62">
        <v>3600</v>
      </c>
    </row>
    <row r="11" spans="1:6" x14ac:dyDescent="0.25">
      <c r="D11" s="62">
        <v>10</v>
      </c>
      <c r="E11" s="62">
        <v>780</v>
      </c>
      <c r="F11" s="62">
        <v>4320</v>
      </c>
    </row>
    <row r="12" spans="1:6" x14ac:dyDescent="0.25">
      <c r="D12" s="62">
        <v>11</v>
      </c>
      <c r="E12" s="62">
        <v>900</v>
      </c>
      <c r="F12" s="62">
        <v>5100</v>
      </c>
    </row>
    <row r="13" spans="1:6" x14ac:dyDescent="0.25">
      <c r="D13" s="62">
        <v>12</v>
      </c>
      <c r="E13" s="62">
        <v>1020</v>
      </c>
      <c r="F13" s="62">
        <v>6000</v>
      </c>
    </row>
    <row r="14" spans="1:6" x14ac:dyDescent="0.25">
      <c r="D14" s="62">
        <v>13</v>
      </c>
      <c r="E14" s="62">
        <v>1140</v>
      </c>
      <c r="F14" s="62">
        <v>7020</v>
      </c>
    </row>
    <row r="15" spans="1:6" x14ac:dyDescent="0.25">
      <c r="D15" s="62">
        <v>14</v>
      </c>
      <c r="E15" s="62">
        <v>1260</v>
      </c>
      <c r="F15" s="62">
        <v>8160</v>
      </c>
    </row>
    <row r="16" spans="1:6" x14ac:dyDescent="0.25">
      <c r="D16" s="62">
        <v>15</v>
      </c>
      <c r="E16" s="62">
        <v>1380</v>
      </c>
      <c r="F16" s="62">
        <v>9420</v>
      </c>
    </row>
    <row r="17" spans="4:6" x14ac:dyDescent="0.25">
      <c r="D17" s="62">
        <v>16</v>
      </c>
      <c r="E17" s="62">
        <v>1500</v>
      </c>
      <c r="F17" s="62">
        <v>10800</v>
      </c>
    </row>
    <row r="18" spans="4:6" x14ac:dyDescent="0.25">
      <c r="D18" s="62">
        <v>17</v>
      </c>
      <c r="E18" s="62">
        <v>1620</v>
      </c>
      <c r="F18" s="62">
        <v>12300</v>
      </c>
    </row>
    <row r="19" spans="4:6" x14ac:dyDescent="0.25">
      <c r="D19" s="62">
        <v>18</v>
      </c>
      <c r="E19" s="62">
        <v>1740</v>
      </c>
      <c r="F19" s="62">
        <v>13920</v>
      </c>
    </row>
    <row r="20" spans="4:6" x14ac:dyDescent="0.25">
      <c r="D20" s="62">
        <v>19</v>
      </c>
      <c r="E20" s="62">
        <v>1860</v>
      </c>
      <c r="F20" s="62">
        <v>15660</v>
      </c>
    </row>
    <row r="21" spans="4:6" x14ac:dyDescent="0.25">
      <c r="D21" s="62">
        <v>20</v>
      </c>
      <c r="E21" s="62">
        <v>1980</v>
      </c>
      <c r="F21" s="62">
        <v>17520</v>
      </c>
    </row>
    <row r="22" spans="4:6" x14ac:dyDescent="0.25">
      <c r="D22" s="62">
        <v>21</v>
      </c>
      <c r="E22" s="62">
        <v>2160</v>
      </c>
      <c r="F22" s="62">
        <v>19500</v>
      </c>
    </row>
    <row r="23" spans="4:6" x14ac:dyDescent="0.25">
      <c r="D23" s="62">
        <v>22</v>
      </c>
      <c r="E23" s="62">
        <v>2340</v>
      </c>
      <c r="F23" s="62">
        <v>21660</v>
      </c>
    </row>
    <row r="24" spans="4:6" x14ac:dyDescent="0.25">
      <c r="D24" s="62">
        <v>23</v>
      </c>
      <c r="E24" s="62">
        <v>2520</v>
      </c>
      <c r="F24" s="62">
        <v>24000</v>
      </c>
    </row>
    <row r="25" spans="4:6" x14ac:dyDescent="0.25">
      <c r="D25" s="62">
        <v>24</v>
      </c>
      <c r="E25" s="62">
        <v>2700</v>
      </c>
      <c r="F25" s="62">
        <v>26520</v>
      </c>
    </row>
    <row r="26" spans="4:6" x14ac:dyDescent="0.25">
      <c r="D26" s="62">
        <v>25</v>
      </c>
      <c r="E26" s="62">
        <v>2880</v>
      </c>
      <c r="F26" s="62">
        <v>29220</v>
      </c>
    </row>
    <row r="27" spans="4:6" x14ac:dyDescent="0.25">
      <c r="D27" s="62">
        <v>26</v>
      </c>
      <c r="E27" s="62">
        <v>3060</v>
      </c>
      <c r="F27" s="62">
        <v>32100</v>
      </c>
    </row>
    <row r="28" spans="4:6" x14ac:dyDescent="0.25">
      <c r="D28" s="62">
        <v>27</v>
      </c>
      <c r="E28" s="62">
        <v>3240</v>
      </c>
      <c r="F28" s="62">
        <v>35160</v>
      </c>
    </row>
    <row r="29" spans="4:6" x14ac:dyDescent="0.25">
      <c r="D29" s="62">
        <v>28</v>
      </c>
      <c r="E29" s="62">
        <v>3420</v>
      </c>
      <c r="F29" s="62">
        <v>38400</v>
      </c>
    </row>
    <row r="30" spans="4:6" x14ac:dyDescent="0.25">
      <c r="D30" s="62">
        <v>29</v>
      </c>
      <c r="E30" s="62">
        <v>3600</v>
      </c>
      <c r="F30" s="62">
        <v>41820</v>
      </c>
    </row>
    <row r="31" spans="4:6" x14ac:dyDescent="0.25">
      <c r="D31" s="62">
        <v>30</v>
      </c>
      <c r="E31" s="62">
        <v>3780</v>
      </c>
      <c r="F31" s="62">
        <v>45420</v>
      </c>
    </row>
    <row r="32" spans="4:6" x14ac:dyDescent="0.25">
      <c r="D32" s="62">
        <v>31</v>
      </c>
      <c r="E32" s="62">
        <v>4020</v>
      </c>
      <c r="F32" s="62">
        <v>49200</v>
      </c>
    </row>
    <row r="33" spans="4:6" x14ac:dyDescent="0.25">
      <c r="D33" s="62">
        <v>32</v>
      </c>
      <c r="E33" s="62">
        <v>4260</v>
      </c>
      <c r="F33" s="62">
        <v>53220</v>
      </c>
    </row>
    <row r="34" spans="4:6" x14ac:dyDescent="0.25">
      <c r="D34" s="62">
        <v>33</v>
      </c>
      <c r="E34" s="62">
        <v>4500</v>
      </c>
      <c r="F34" s="62">
        <v>57480</v>
      </c>
    </row>
    <row r="35" spans="4:6" x14ac:dyDescent="0.25">
      <c r="D35" s="62">
        <v>34</v>
      </c>
      <c r="E35" s="62">
        <v>4740</v>
      </c>
      <c r="F35" s="62">
        <v>61980</v>
      </c>
    </row>
    <row r="36" spans="4:6" x14ac:dyDescent="0.25">
      <c r="D36" s="62">
        <v>35</v>
      </c>
      <c r="E36" s="62">
        <v>4980</v>
      </c>
      <c r="F36" s="62">
        <v>66720</v>
      </c>
    </row>
    <row r="37" spans="4:6" x14ac:dyDescent="0.25">
      <c r="D37" s="62">
        <v>36</v>
      </c>
      <c r="E37" s="62">
        <v>5220</v>
      </c>
      <c r="F37" s="62">
        <v>71700</v>
      </c>
    </row>
    <row r="38" spans="4:6" x14ac:dyDescent="0.25">
      <c r="D38" s="62">
        <v>37</v>
      </c>
      <c r="E38" s="62">
        <v>5460</v>
      </c>
      <c r="F38" s="62">
        <v>76920</v>
      </c>
    </row>
    <row r="39" spans="4:6" x14ac:dyDescent="0.25">
      <c r="D39" s="62">
        <v>38</v>
      </c>
      <c r="E39" s="62">
        <v>5700</v>
      </c>
      <c r="F39" s="62">
        <v>82380</v>
      </c>
    </row>
    <row r="40" spans="4:6" x14ac:dyDescent="0.25">
      <c r="D40" s="62">
        <v>39</v>
      </c>
      <c r="E40" s="62">
        <v>5940</v>
      </c>
      <c r="F40" s="62">
        <v>88080</v>
      </c>
    </row>
    <row r="41" spans="4:6" x14ac:dyDescent="0.25">
      <c r="D41" s="62">
        <v>40</v>
      </c>
      <c r="E41" s="62">
        <v>6180</v>
      </c>
      <c r="F41" s="62">
        <v>94020</v>
      </c>
    </row>
    <row r="42" spans="4:6" x14ac:dyDescent="0.25">
      <c r="D42" s="62">
        <v>41</v>
      </c>
      <c r="E42" s="62">
        <v>6480</v>
      </c>
      <c r="F42" s="62">
        <v>100200</v>
      </c>
    </row>
    <row r="43" spans="4:6" x14ac:dyDescent="0.25">
      <c r="D43" s="62">
        <v>42</v>
      </c>
      <c r="E43" s="62">
        <v>6780</v>
      </c>
      <c r="F43" s="62">
        <v>106680</v>
      </c>
    </row>
    <row r="44" spans="4:6" x14ac:dyDescent="0.25">
      <c r="D44" s="62">
        <v>43</v>
      </c>
      <c r="E44" s="62">
        <v>7080</v>
      </c>
      <c r="F44" s="62">
        <v>113460</v>
      </c>
    </row>
    <row r="45" spans="4:6" x14ac:dyDescent="0.25">
      <c r="D45" s="62">
        <v>44</v>
      </c>
      <c r="E45" s="62">
        <v>7380</v>
      </c>
      <c r="F45" s="62">
        <v>120540</v>
      </c>
    </row>
    <row r="46" spans="4:6" x14ac:dyDescent="0.25">
      <c r="D46" s="62">
        <v>45</v>
      </c>
      <c r="E46" s="62">
        <v>7680</v>
      </c>
      <c r="F46" s="62">
        <v>127920</v>
      </c>
    </row>
    <row r="47" spans="4:6" x14ac:dyDescent="0.25">
      <c r="D47" s="62">
        <v>46</v>
      </c>
      <c r="E47" s="62">
        <v>7980</v>
      </c>
      <c r="F47" s="62">
        <v>135600</v>
      </c>
    </row>
    <row r="48" spans="4:6" x14ac:dyDescent="0.25">
      <c r="D48" s="62">
        <v>47</v>
      </c>
      <c r="E48" s="62">
        <v>8280</v>
      </c>
      <c r="F48" s="62">
        <v>143580</v>
      </c>
    </row>
    <row r="49" spans="4:6" x14ac:dyDescent="0.25">
      <c r="D49" s="62">
        <v>48</v>
      </c>
      <c r="E49" s="62">
        <v>8580</v>
      </c>
      <c r="F49" s="62">
        <v>151860</v>
      </c>
    </row>
    <row r="50" spans="4:6" x14ac:dyDescent="0.25">
      <c r="D50" s="62">
        <v>49</v>
      </c>
      <c r="E50" s="62">
        <v>8880</v>
      </c>
      <c r="F50" s="62">
        <v>160440</v>
      </c>
    </row>
    <row r="51" spans="4:6" x14ac:dyDescent="0.25">
      <c r="D51" s="62">
        <v>50</v>
      </c>
      <c r="E51" s="62">
        <v>9180</v>
      </c>
      <c r="F51" s="62">
        <v>169320</v>
      </c>
    </row>
    <row r="52" spans="4:6" x14ac:dyDescent="0.25">
      <c r="D52" s="62">
        <v>51</v>
      </c>
      <c r="E52" s="62">
        <v>9540</v>
      </c>
      <c r="F52" s="62">
        <v>178500</v>
      </c>
    </row>
    <row r="53" spans="4:6" x14ac:dyDescent="0.25">
      <c r="D53" s="62">
        <v>52</v>
      </c>
      <c r="E53" s="62">
        <v>9900</v>
      </c>
      <c r="F53" s="62">
        <v>188040</v>
      </c>
    </row>
    <row r="54" spans="4:6" x14ac:dyDescent="0.25">
      <c r="D54" s="62">
        <v>53</v>
      </c>
      <c r="E54" s="62">
        <v>10260</v>
      </c>
      <c r="F54" s="62">
        <v>197940</v>
      </c>
    </row>
    <row r="55" spans="4:6" x14ac:dyDescent="0.25">
      <c r="D55" s="62">
        <v>54</v>
      </c>
      <c r="E55" s="62">
        <v>10620</v>
      </c>
      <c r="F55" s="62">
        <v>208200</v>
      </c>
    </row>
    <row r="56" spans="4:6" x14ac:dyDescent="0.25">
      <c r="D56" s="62">
        <v>55</v>
      </c>
      <c r="E56" s="62">
        <v>10980</v>
      </c>
      <c r="F56" s="62">
        <v>218820</v>
      </c>
    </row>
    <row r="57" spans="4:6" x14ac:dyDescent="0.25">
      <c r="D57" s="62">
        <v>56</v>
      </c>
      <c r="E57" s="62">
        <v>11340</v>
      </c>
      <c r="F57" s="62">
        <v>229800</v>
      </c>
    </row>
    <row r="58" spans="4:6" x14ac:dyDescent="0.25">
      <c r="D58" s="62">
        <v>57</v>
      </c>
      <c r="E58" s="62">
        <v>11700</v>
      </c>
      <c r="F58" s="62">
        <v>241140</v>
      </c>
    </row>
    <row r="59" spans="4:6" x14ac:dyDescent="0.25">
      <c r="D59" s="62">
        <v>58</v>
      </c>
      <c r="E59" s="62">
        <v>12060</v>
      </c>
      <c r="F59" s="62">
        <v>252840</v>
      </c>
    </row>
    <row r="60" spans="4:6" x14ac:dyDescent="0.25">
      <c r="D60" s="62">
        <v>59</v>
      </c>
      <c r="E60" s="62">
        <v>12420</v>
      </c>
      <c r="F60" s="62">
        <v>264900</v>
      </c>
    </row>
    <row r="61" spans="4:6" x14ac:dyDescent="0.25">
      <c r="D61" s="62">
        <v>60</v>
      </c>
      <c r="E61" s="62">
        <v>12780</v>
      </c>
      <c r="F61" s="62">
        <v>277320</v>
      </c>
    </row>
    <row r="62" spans="4:6" x14ac:dyDescent="0.25">
      <c r="D62" s="62">
        <v>61</v>
      </c>
      <c r="E62" s="62">
        <v>13230</v>
      </c>
      <c r="F62" s="62">
        <v>290100</v>
      </c>
    </row>
    <row r="63" spans="4:6" x14ac:dyDescent="0.25">
      <c r="D63" s="62">
        <v>62</v>
      </c>
      <c r="E63" s="62">
        <v>13680</v>
      </c>
      <c r="F63" s="62">
        <v>303330</v>
      </c>
    </row>
    <row r="64" spans="4:6" x14ac:dyDescent="0.25">
      <c r="D64" s="62">
        <v>63</v>
      </c>
      <c r="E64" s="62">
        <v>14130</v>
      </c>
      <c r="F64" s="62">
        <v>317010</v>
      </c>
    </row>
    <row r="65" spans="4:6" x14ac:dyDescent="0.25">
      <c r="D65" s="62">
        <v>64</v>
      </c>
      <c r="E65" s="62">
        <v>14580</v>
      </c>
      <c r="F65" s="62">
        <v>331140</v>
      </c>
    </row>
    <row r="66" spans="4:6" x14ac:dyDescent="0.25">
      <c r="D66" s="62">
        <v>65</v>
      </c>
      <c r="E66" s="62">
        <v>15030</v>
      </c>
      <c r="F66" s="62">
        <v>345720</v>
      </c>
    </row>
    <row r="67" spans="4:6" x14ac:dyDescent="0.25">
      <c r="D67" s="62">
        <v>66</v>
      </c>
      <c r="E67" s="62">
        <v>15480</v>
      </c>
      <c r="F67" s="62">
        <v>360750</v>
      </c>
    </row>
    <row r="68" spans="4:6" x14ac:dyDescent="0.25">
      <c r="D68" s="62">
        <v>67</v>
      </c>
      <c r="E68" s="62">
        <v>15930</v>
      </c>
      <c r="F68" s="62">
        <v>376230</v>
      </c>
    </row>
    <row r="69" spans="4:6" x14ac:dyDescent="0.25">
      <c r="D69" s="62">
        <v>68</v>
      </c>
      <c r="E69" s="62">
        <v>16380</v>
      </c>
      <c r="F69" s="62">
        <v>392160</v>
      </c>
    </row>
    <row r="70" spans="4:6" x14ac:dyDescent="0.25">
      <c r="D70" s="62">
        <v>69</v>
      </c>
      <c r="E70" s="62">
        <v>16830</v>
      </c>
      <c r="F70" s="62">
        <v>408540</v>
      </c>
    </row>
    <row r="71" spans="4:6" x14ac:dyDescent="0.25">
      <c r="D71" s="62">
        <v>70</v>
      </c>
      <c r="E71" s="62">
        <v>17280</v>
      </c>
      <c r="F71" s="62">
        <v>425370</v>
      </c>
    </row>
    <row r="72" spans="4:6" x14ac:dyDescent="0.25">
      <c r="D72" s="62">
        <v>71</v>
      </c>
      <c r="E72" s="62">
        <v>17880</v>
      </c>
      <c r="F72" s="62">
        <v>442650</v>
      </c>
    </row>
    <row r="73" spans="4:6" x14ac:dyDescent="0.25">
      <c r="D73" s="62">
        <v>72</v>
      </c>
      <c r="E73" s="62">
        <v>18480</v>
      </c>
      <c r="F73" s="62">
        <v>460530</v>
      </c>
    </row>
    <row r="74" spans="4:6" x14ac:dyDescent="0.25">
      <c r="D74" s="62">
        <v>73</v>
      </c>
      <c r="E74" s="62">
        <v>19080</v>
      </c>
      <c r="F74" s="62">
        <v>479010</v>
      </c>
    </row>
    <row r="75" spans="4:6" x14ac:dyDescent="0.25">
      <c r="D75" s="62">
        <v>74</v>
      </c>
      <c r="E75" s="62">
        <v>19680</v>
      </c>
      <c r="F75" s="62">
        <v>498090</v>
      </c>
    </row>
    <row r="76" spans="4:6" x14ac:dyDescent="0.25">
      <c r="D76" s="62">
        <v>75</v>
      </c>
      <c r="E76" s="62">
        <v>20280</v>
      </c>
      <c r="F76" s="62">
        <v>517770</v>
      </c>
    </row>
    <row r="77" spans="4:6" x14ac:dyDescent="0.25">
      <c r="D77" s="62">
        <v>76</v>
      </c>
      <c r="E77" s="62">
        <v>20880</v>
      </c>
      <c r="F77" s="62">
        <v>538050</v>
      </c>
    </row>
    <row r="78" spans="4:6" x14ac:dyDescent="0.25">
      <c r="D78" s="62">
        <v>77</v>
      </c>
      <c r="E78" s="62">
        <v>21480</v>
      </c>
      <c r="F78" s="62">
        <v>558930</v>
      </c>
    </row>
    <row r="79" spans="4:6" x14ac:dyDescent="0.25">
      <c r="D79" s="62">
        <v>78</v>
      </c>
      <c r="E79" s="62">
        <v>22080</v>
      </c>
      <c r="F79" s="62">
        <v>580410</v>
      </c>
    </row>
    <row r="80" spans="4:6" x14ac:dyDescent="0.25">
      <c r="D80" s="62">
        <v>79</v>
      </c>
      <c r="E80" s="62">
        <v>22680</v>
      </c>
      <c r="F80" s="62">
        <v>602490</v>
      </c>
    </row>
    <row r="81" spans="4:6" x14ac:dyDescent="0.25">
      <c r="D81" s="62">
        <v>80</v>
      </c>
      <c r="E81" s="62">
        <v>23280</v>
      </c>
      <c r="F81" s="62">
        <v>625170</v>
      </c>
    </row>
    <row r="82" spans="4:6" x14ac:dyDescent="0.25">
      <c r="D82" s="62">
        <v>81</v>
      </c>
      <c r="E82" s="62">
        <v>24030</v>
      </c>
      <c r="F82" s="62">
        <v>648450</v>
      </c>
    </row>
    <row r="83" spans="4:6" x14ac:dyDescent="0.25">
      <c r="D83" s="62">
        <v>82</v>
      </c>
      <c r="E83" s="62">
        <v>24780</v>
      </c>
      <c r="F83" s="62">
        <v>672480</v>
      </c>
    </row>
    <row r="84" spans="4:6" x14ac:dyDescent="0.25">
      <c r="D84" s="62">
        <v>83</v>
      </c>
      <c r="E84" s="62">
        <v>25530</v>
      </c>
      <c r="F84" s="62">
        <v>697260</v>
      </c>
    </row>
    <row r="85" spans="4:6" x14ac:dyDescent="0.25">
      <c r="D85" s="62">
        <v>84</v>
      </c>
      <c r="E85" s="62">
        <v>26280</v>
      </c>
      <c r="F85" s="62">
        <v>722790</v>
      </c>
    </row>
    <row r="86" spans="4:6" x14ac:dyDescent="0.25">
      <c r="D86" s="62">
        <v>85</v>
      </c>
      <c r="E86" s="62">
        <v>27030</v>
      </c>
      <c r="F86" s="62">
        <v>749070</v>
      </c>
    </row>
    <row r="87" spans="4:6" x14ac:dyDescent="0.25">
      <c r="D87" s="62">
        <v>86</v>
      </c>
      <c r="E87" s="62">
        <v>27780</v>
      </c>
      <c r="F87" s="62">
        <v>776100</v>
      </c>
    </row>
    <row r="88" spans="4:6" x14ac:dyDescent="0.25">
      <c r="D88" s="62">
        <v>87</v>
      </c>
      <c r="E88" s="62">
        <v>28530</v>
      </c>
      <c r="F88" s="62">
        <v>803880</v>
      </c>
    </row>
    <row r="89" spans="4:6" x14ac:dyDescent="0.25">
      <c r="D89" s="62">
        <v>88</v>
      </c>
      <c r="E89" s="62">
        <v>29280</v>
      </c>
      <c r="F89" s="62">
        <v>832410</v>
      </c>
    </row>
    <row r="90" spans="4:6" x14ac:dyDescent="0.25">
      <c r="D90" s="62">
        <v>89</v>
      </c>
      <c r="E90" s="62">
        <v>30030</v>
      </c>
      <c r="F90" s="62">
        <v>861690</v>
      </c>
    </row>
    <row r="91" spans="4:6" x14ac:dyDescent="0.25">
      <c r="D91" s="62">
        <v>90</v>
      </c>
      <c r="E91" s="62">
        <v>30780</v>
      </c>
      <c r="F91" s="62">
        <v>891720</v>
      </c>
    </row>
    <row r="92" spans="4:6" x14ac:dyDescent="0.25">
      <c r="D92" s="62">
        <v>91</v>
      </c>
      <c r="E92" s="62">
        <v>31680</v>
      </c>
      <c r="F92" s="62">
        <v>922500</v>
      </c>
    </row>
    <row r="93" spans="4:6" x14ac:dyDescent="0.25">
      <c r="D93" s="62">
        <v>92</v>
      </c>
      <c r="E93" s="62">
        <v>32580</v>
      </c>
      <c r="F93" s="62">
        <v>954180</v>
      </c>
    </row>
    <row r="94" spans="4:6" x14ac:dyDescent="0.25">
      <c r="D94" s="62">
        <v>93</v>
      </c>
      <c r="E94" s="62">
        <v>33480</v>
      </c>
      <c r="F94" s="62">
        <v>986760</v>
      </c>
    </row>
    <row r="95" spans="4:6" x14ac:dyDescent="0.25">
      <c r="D95" s="62">
        <v>94</v>
      </c>
      <c r="E95" s="62">
        <v>34380</v>
      </c>
      <c r="F95" s="62">
        <v>1020240</v>
      </c>
    </row>
    <row r="96" spans="4:6" x14ac:dyDescent="0.25">
      <c r="D96" s="62">
        <v>95</v>
      </c>
      <c r="E96" s="62">
        <v>35280</v>
      </c>
      <c r="F96" s="62">
        <v>1054620</v>
      </c>
    </row>
    <row r="97" spans="4:6" x14ac:dyDescent="0.25">
      <c r="D97" s="62">
        <v>96</v>
      </c>
      <c r="E97" s="62">
        <v>36180</v>
      </c>
      <c r="F97" s="62">
        <v>1089900</v>
      </c>
    </row>
    <row r="98" spans="4:6" x14ac:dyDescent="0.25">
      <c r="D98" s="62">
        <v>97</v>
      </c>
      <c r="E98" s="62">
        <v>37080</v>
      </c>
      <c r="F98" s="62">
        <v>1126080</v>
      </c>
    </row>
    <row r="99" spans="4:6" x14ac:dyDescent="0.25">
      <c r="D99" s="62">
        <v>98</v>
      </c>
      <c r="E99" s="62">
        <v>37980</v>
      </c>
      <c r="F99" s="62">
        <v>1163160</v>
      </c>
    </row>
    <row r="100" spans="4:6" x14ac:dyDescent="0.25">
      <c r="D100" s="62">
        <v>99</v>
      </c>
      <c r="E100" s="62">
        <v>38880</v>
      </c>
      <c r="F100" s="62">
        <v>1201140</v>
      </c>
    </row>
    <row r="101" spans="4:6" x14ac:dyDescent="0.25">
      <c r="D101" s="62">
        <v>100</v>
      </c>
      <c r="E101" s="62">
        <v>0</v>
      </c>
      <c r="F101" s="62">
        <v>1240020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theme="4" tint="0.59999389629810485"/>
  </sheetPr>
  <dimension ref="A1:X32"/>
  <sheetViews>
    <sheetView workbookViewId="0">
      <selection activeCell="Q2" sqref="Q2"/>
    </sheetView>
  </sheetViews>
  <sheetFormatPr defaultRowHeight="15" x14ac:dyDescent="0.25"/>
  <cols>
    <col min="1" max="2" width="3.85546875" style="18" customWidth="1"/>
    <col min="3" max="3" width="7.140625" style="47" customWidth="1"/>
    <col min="4" max="5" width="3.85546875" style="17" customWidth="1"/>
    <col min="6" max="6" width="7.140625" style="49" customWidth="1"/>
    <col min="7" max="8" width="3.85546875" style="19" customWidth="1"/>
    <col min="9" max="9" width="7.140625" style="51" customWidth="1"/>
    <col min="10" max="11" width="3.85546875" style="20" customWidth="1"/>
    <col min="12" max="12" width="7.140625" style="53" customWidth="1"/>
    <col min="13" max="14" width="3.85546875" style="16" customWidth="1"/>
    <col min="15" max="15" width="7.140625" style="55" customWidth="1"/>
    <col min="17" max="17" width="4.28515625" style="2" customWidth="1"/>
    <col min="18" max="23" width="5.42578125" style="2" customWidth="1"/>
    <col min="24" max="24" width="9.42578125" style="2" customWidth="1"/>
  </cols>
  <sheetData>
    <row r="1" spans="1:24" x14ac:dyDescent="0.25">
      <c r="A1" s="175" t="s">
        <v>89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Q1" s="176" t="s">
        <v>90</v>
      </c>
      <c r="R1" s="176"/>
      <c r="S1" s="176"/>
      <c r="T1" s="176"/>
      <c r="U1" s="176"/>
      <c r="V1" s="176"/>
      <c r="W1" s="176"/>
      <c r="X1" s="176"/>
    </row>
    <row r="2" spans="1:24" x14ac:dyDescent="0.25">
      <c r="A2" s="15" t="s">
        <v>21</v>
      </c>
      <c r="B2" s="15" t="s">
        <v>20</v>
      </c>
      <c r="C2" s="46" t="s">
        <v>41</v>
      </c>
      <c r="D2" s="14" t="s">
        <v>21</v>
      </c>
      <c r="E2" s="14" t="s">
        <v>20</v>
      </c>
      <c r="F2" s="48" t="s">
        <v>41</v>
      </c>
      <c r="G2" s="13" t="s">
        <v>21</v>
      </c>
      <c r="H2" s="13" t="s">
        <v>20</v>
      </c>
      <c r="I2" s="50" t="s">
        <v>41</v>
      </c>
      <c r="J2" s="12" t="s">
        <v>21</v>
      </c>
      <c r="K2" s="12" t="s">
        <v>20</v>
      </c>
      <c r="L2" s="52" t="s">
        <v>41</v>
      </c>
      <c r="M2" s="11" t="s">
        <v>21</v>
      </c>
      <c r="N2" s="11" t="s">
        <v>20</v>
      </c>
      <c r="O2" s="54" t="s">
        <v>41</v>
      </c>
      <c r="Q2" s="2" t="s">
        <v>19</v>
      </c>
      <c r="R2" s="2" t="s">
        <v>18</v>
      </c>
      <c r="S2" s="2" t="s">
        <v>17</v>
      </c>
      <c r="T2" s="2" t="s">
        <v>16</v>
      </c>
      <c r="U2" s="2" t="s">
        <v>15</v>
      </c>
      <c r="V2" s="2" t="s">
        <v>1</v>
      </c>
      <c r="W2" s="2" t="s">
        <v>0</v>
      </c>
      <c r="X2" s="2" t="s">
        <v>30</v>
      </c>
    </row>
    <row r="3" spans="1:24" x14ac:dyDescent="0.25">
      <c r="A3" s="18">
        <v>606</v>
      </c>
      <c r="B3" s="18">
        <v>701</v>
      </c>
      <c r="C3" s="47">
        <f t="shared" ref="C3:C26" si="0">IFERROR((A3*3+B3*4)/SUM(A3:B3), "")</f>
        <v>3.5363427697016068</v>
      </c>
      <c r="D3" s="17">
        <v>155</v>
      </c>
      <c r="E3" s="17">
        <v>173</v>
      </c>
      <c r="F3" s="49">
        <f t="shared" ref="F3:F26" si="1">IFERROR((D3*3+E3*4)/SUM(D3:E3), "")</f>
        <v>3.5274390243902438</v>
      </c>
      <c r="G3" s="19">
        <v>20</v>
      </c>
      <c r="H3" s="19">
        <v>28</v>
      </c>
      <c r="I3" s="51">
        <f t="shared" ref="I3:I26" si="2">IFERROR((G3*3+H3*4)/SUM(G3:H3), "")</f>
        <v>3.5833333333333335</v>
      </c>
      <c r="J3" s="20">
        <v>78</v>
      </c>
      <c r="K3" s="20">
        <v>80</v>
      </c>
      <c r="L3" s="53">
        <f t="shared" ref="L3:L26" si="3">IFERROR((J3*3+K3*4)/SUM(J3:K3), "")</f>
        <v>3.5063291139240507</v>
      </c>
      <c r="M3" s="16">
        <v>66</v>
      </c>
      <c r="N3" s="16">
        <v>80</v>
      </c>
      <c r="O3" s="55">
        <f t="shared" ref="O3:O26" si="4">IFERROR((M3*3+N3*4)/SUM(M3:N3), "")</f>
        <v>3.547945205479452</v>
      </c>
      <c r="Q3" s="2">
        <v>1</v>
      </c>
      <c r="R3" s="2">
        <v>2380</v>
      </c>
      <c r="S3" s="2">
        <v>715</v>
      </c>
      <c r="T3" s="2">
        <v>650</v>
      </c>
      <c r="U3" s="2">
        <v>1430</v>
      </c>
      <c r="V3" s="2">
        <v>3</v>
      </c>
      <c r="W3" s="2">
        <v>3</v>
      </c>
      <c r="X3" s="66">
        <v>25.6875</v>
      </c>
    </row>
    <row r="4" spans="1:24" x14ac:dyDescent="0.25">
      <c r="A4" s="18">
        <v>15</v>
      </c>
      <c r="B4" s="18">
        <v>13</v>
      </c>
      <c r="C4" s="47">
        <f t="shared" si="0"/>
        <v>3.4642857142857144</v>
      </c>
      <c r="D4" s="17">
        <v>6</v>
      </c>
      <c r="E4" s="17">
        <v>10</v>
      </c>
      <c r="F4" s="49">
        <f t="shared" si="1"/>
        <v>3.625</v>
      </c>
      <c r="G4" s="19">
        <v>15</v>
      </c>
      <c r="H4" s="19">
        <v>12</v>
      </c>
      <c r="I4" s="51">
        <f t="shared" si="2"/>
        <v>3.4444444444444446</v>
      </c>
      <c r="J4" s="20">
        <v>75</v>
      </c>
      <c r="K4" s="20">
        <v>74</v>
      </c>
      <c r="L4" s="53">
        <f t="shared" si="3"/>
        <v>3.4966442953020134</v>
      </c>
      <c r="M4" s="16">
        <v>2</v>
      </c>
      <c r="N4" s="16">
        <v>1</v>
      </c>
      <c r="O4" s="55">
        <f t="shared" si="4"/>
        <v>3.3333333333333335</v>
      </c>
      <c r="Q4" s="2">
        <v>2</v>
      </c>
      <c r="R4" s="2">
        <v>2370</v>
      </c>
      <c r="S4" s="2">
        <v>715</v>
      </c>
      <c r="T4" s="2">
        <v>650</v>
      </c>
      <c r="U4" s="2">
        <v>1430</v>
      </c>
      <c r="V4" s="2">
        <v>3.5</v>
      </c>
      <c r="W4" s="2">
        <v>3</v>
      </c>
      <c r="X4" s="66">
        <v>25.666666666666668</v>
      </c>
    </row>
    <row r="5" spans="1:24" x14ac:dyDescent="0.25">
      <c r="A5" s="18">
        <v>1</v>
      </c>
      <c r="B5" s="18">
        <v>1</v>
      </c>
      <c r="C5" s="47">
        <f t="shared" si="0"/>
        <v>3.5</v>
      </c>
      <c r="D5" s="17">
        <v>13</v>
      </c>
      <c r="E5" s="17">
        <v>12</v>
      </c>
      <c r="F5" s="49">
        <f t="shared" si="1"/>
        <v>3.48</v>
      </c>
      <c r="G5" s="19">
        <v>18</v>
      </c>
      <c r="H5" s="19">
        <v>10</v>
      </c>
      <c r="I5" s="51">
        <f t="shared" si="2"/>
        <v>3.3571428571428572</v>
      </c>
      <c r="J5" s="20">
        <v>9</v>
      </c>
      <c r="K5" s="20">
        <v>9</v>
      </c>
      <c r="L5" s="53">
        <f t="shared" si="3"/>
        <v>3.5</v>
      </c>
      <c r="M5" s="16">
        <v>29</v>
      </c>
      <c r="N5" s="16">
        <v>26</v>
      </c>
      <c r="O5" s="55">
        <f t="shared" si="4"/>
        <v>3.4727272727272727</v>
      </c>
      <c r="Q5" s="2">
        <v>3</v>
      </c>
      <c r="R5" s="2">
        <v>2360</v>
      </c>
      <c r="S5" s="2">
        <v>715</v>
      </c>
      <c r="T5" s="2">
        <v>650</v>
      </c>
      <c r="U5" s="2">
        <v>1430</v>
      </c>
      <c r="V5" s="2">
        <v>3.5</v>
      </c>
      <c r="W5" s="2">
        <v>3.5</v>
      </c>
      <c r="X5" s="66">
        <v>25.625</v>
      </c>
    </row>
    <row r="6" spans="1:24" x14ac:dyDescent="0.25">
      <c r="C6" s="47" t="str">
        <f t="shared" si="0"/>
        <v/>
      </c>
      <c r="D6" s="17">
        <v>4</v>
      </c>
      <c r="E6" s="17">
        <v>0</v>
      </c>
      <c r="F6" s="49">
        <f t="shared" si="1"/>
        <v>3</v>
      </c>
      <c r="G6" s="19">
        <v>13</v>
      </c>
      <c r="H6" s="19">
        <v>6</v>
      </c>
      <c r="I6" s="51">
        <f t="shared" si="2"/>
        <v>3.3157894736842106</v>
      </c>
      <c r="J6" s="20">
        <v>17</v>
      </c>
      <c r="K6" s="20">
        <v>18</v>
      </c>
      <c r="L6" s="53">
        <f t="shared" si="3"/>
        <v>3.5142857142857142</v>
      </c>
      <c r="M6" s="16">
        <v>10</v>
      </c>
      <c r="N6" s="16">
        <v>15</v>
      </c>
      <c r="O6" s="55">
        <f t="shared" si="4"/>
        <v>3.6</v>
      </c>
      <c r="Q6" s="2">
        <v>4</v>
      </c>
      <c r="R6" s="2">
        <v>2350</v>
      </c>
      <c r="S6" s="2">
        <v>715</v>
      </c>
      <c r="T6" s="2">
        <v>650</v>
      </c>
      <c r="U6" s="2">
        <v>1430</v>
      </c>
      <c r="V6" s="2">
        <v>4</v>
      </c>
      <c r="W6" s="2">
        <v>3.5</v>
      </c>
      <c r="X6" s="66">
        <v>25.541666666666668</v>
      </c>
    </row>
    <row r="7" spans="1:24" x14ac:dyDescent="0.25">
      <c r="C7" s="47" t="str">
        <f t="shared" si="0"/>
        <v/>
      </c>
      <c r="D7" s="17">
        <v>62</v>
      </c>
      <c r="E7" s="17">
        <v>65</v>
      </c>
      <c r="F7" s="49">
        <f t="shared" si="1"/>
        <v>3.5118110236220472</v>
      </c>
      <c r="I7" s="51" t="str">
        <f t="shared" si="2"/>
        <v/>
      </c>
      <c r="L7" s="53" t="str">
        <f t="shared" si="3"/>
        <v/>
      </c>
      <c r="O7" s="55" t="str">
        <f t="shared" si="4"/>
        <v/>
      </c>
      <c r="Q7" s="2">
        <v>5</v>
      </c>
      <c r="R7" s="2">
        <v>2340</v>
      </c>
      <c r="S7" s="2">
        <v>715</v>
      </c>
      <c r="T7" s="2">
        <v>650</v>
      </c>
      <c r="U7" s="2">
        <v>1430</v>
      </c>
      <c r="V7" s="2">
        <v>4</v>
      </c>
      <c r="W7" s="2">
        <v>4</v>
      </c>
      <c r="X7" s="66">
        <v>25.416666666666668</v>
      </c>
    </row>
    <row r="8" spans="1:24" x14ac:dyDescent="0.25">
      <c r="C8" s="47" t="str">
        <f t="shared" si="0"/>
        <v/>
      </c>
      <c r="D8" s="17">
        <v>44</v>
      </c>
      <c r="E8" s="17">
        <v>31</v>
      </c>
      <c r="F8" s="49">
        <f t="shared" si="1"/>
        <v>3.4133333333333336</v>
      </c>
      <c r="I8" s="51" t="str">
        <f t="shared" si="2"/>
        <v/>
      </c>
      <c r="L8" s="53" t="str">
        <f t="shared" si="3"/>
        <v/>
      </c>
      <c r="O8" s="55" t="str">
        <f t="shared" si="4"/>
        <v/>
      </c>
      <c r="Q8" s="2">
        <v>6</v>
      </c>
      <c r="R8" s="2">
        <v>2320</v>
      </c>
      <c r="S8" s="2">
        <v>715</v>
      </c>
      <c r="T8" s="2">
        <v>650</v>
      </c>
      <c r="U8" s="2">
        <v>1430</v>
      </c>
      <c r="V8" s="2">
        <v>4.5</v>
      </c>
      <c r="W8" s="2">
        <v>4</v>
      </c>
      <c r="X8" s="66">
        <v>25.25</v>
      </c>
    </row>
    <row r="9" spans="1:24" x14ac:dyDescent="0.25">
      <c r="C9" s="47" t="str">
        <f t="shared" si="0"/>
        <v/>
      </c>
      <c r="D9" s="17">
        <v>20</v>
      </c>
      <c r="E9" s="17">
        <v>20</v>
      </c>
      <c r="F9" s="49">
        <f t="shared" si="1"/>
        <v>3.5</v>
      </c>
      <c r="I9" s="51" t="str">
        <f t="shared" si="2"/>
        <v/>
      </c>
      <c r="L9" s="53" t="str">
        <f t="shared" si="3"/>
        <v/>
      </c>
      <c r="O9" s="55" t="str">
        <f t="shared" si="4"/>
        <v/>
      </c>
      <c r="Q9" s="2">
        <v>7</v>
      </c>
      <c r="R9" s="2">
        <v>2300</v>
      </c>
      <c r="S9" s="2">
        <v>715</v>
      </c>
      <c r="T9" s="2">
        <v>650</v>
      </c>
      <c r="U9" s="2">
        <v>1430</v>
      </c>
      <c r="V9" s="2">
        <v>4.5</v>
      </c>
      <c r="W9" s="2">
        <v>4.5</v>
      </c>
      <c r="X9" s="66">
        <v>25.041666666666668</v>
      </c>
    </row>
    <row r="10" spans="1:24" x14ac:dyDescent="0.25">
      <c r="C10" s="47" t="str">
        <f t="shared" si="0"/>
        <v/>
      </c>
      <c r="D10" s="17">
        <v>96</v>
      </c>
      <c r="E10" s="17">
        <v>80</v>
      </c>
      <c r="F10" s="49">
        <f t="shared" si="1"/>
        <v>3.4545454545454546</v>
      </c>
      <c r="I10" s="51" t="str">
        <f t="shared" si="2"/>
        <v/>
      </c>
      <c r="L10" s="53" t="str">
        <f t="shared" si="3"/>
        <v/>
      </c>
      <c r="O10" s="55" t="str">
        <f t="shared" si="4"/>
        <v/>
      </c>
      <c r="Q10" s="2">
        <v>8</v>
      </c>
      <c r="R10" s="2">
        <v>2280</v>
      </c>
      <c r="S10" s="2">
        <v>715</v>
      </c>
      <c r="T10" s="2">
        <v>650</v>
      </c>
      <c r="U10" s="2">
        <v>1430</v>
      </c>
      <c r="V10" s="2">
        <v>5</v>
      </c>
      <c r="W10" s="2">
        <v>4.5</v>
      </c>
      <c r="X10" s="66">
        <v>24.791666666666668</v>
      </c>
    </row>
    <row r="11" spans="1:24" x14ac:dyDescent="0.25">
      <c r="C11" s="47" t="str">
        <f t="shared" si="0"/>
        <v/>
      </c>
      <c r="D11" s="17">
        <v>8</v>
      </c>
      <c r="E11" s="17">
        <v>1</v>
      </c>
      <c r="F11" s="49">
        <f t="shared" si="1"/>
        <v>3.1111111111111112</v>
      </c>
      <c r="I11" s="51" t="str">
        <f t="shared" si="2"/>
        <v/>
      </c>
      <c r="L11" s="53" t="str">
        <f t="shared" si="3"/>
        <v/>
      </c>
      <c r="O11" s="55" t="str">
        <f t="shared" si="4"/>
        <v/>
      </c>
      <c r="Q11" s="2">
        <v>9</v>
      </c>
      <c r="R11" s="2">
        <v>2260</v>
      </c>
      <c r="S11" s="2">
        <v>715</v>
      </c>
      <c r="T11" s="2">
        <v>650</v>
      </c>
      <c r="U11" s="2">
        <v>1430</v>
      </c>
      <c r="V11" s="2">
        <v>5</v>
      </c>
      <c r="W11" s="2">
        <v>5</v>
      </c>
      <c r="X11" s="66">
        <v>24.5</v>
      </c>
    </row>
    <row r="12" spans="1:24" x14ac:dyDescent="0.25">
      <c r="C12" s="47" t="str">
        <f t="shared" si="0"/>
        <v/>
      </c>
      <c r="D12" s="17">
        <v>12</v>
      </c>
      <c r="E12" s="17">
        <v>6</v>
      </c>
      <c r="F12" s="49">
        <f t="shared" si="1"/>
        <v>3.3333333333333335</v>
      </c>
      <c r="I12" s="51" t="str">
        <f t="shared" si="2"/>
        <v/>
      </c>
      <c r="L12" s="53" t="str">
        <f t="shared" si="3"/>
        <v/>
      </c>
      <c r="O12" s="55" t="str">
        <f t="shared" si="4"/>
        <v/>
      </c>
      <c r="Q12" s="2">
        <v>10</v>
      </c>
      <c r="R12" s="2">
        <v>2240</v>
      </c>
      <c r="S12" s="2">
        <v>715</v>
      </c>
      <c r="T12" s="2">
        <v>650</v>
      </c>
      <c r="U12" s="2">
        <v>1430</v>
      </c>
      <c r="V12" s="2">
        <v>5.5</v>
      </c>
      <c r="W12" s="2">
        <v>5</v>
      </c>
      <c r="X12" s="66">
        <v>24.166666666666668</v>
      </c>
    </row>
    <row r="13" spans="1:24" x14ac:dyDescent="0.25">
      <c r="C13" s="47" t="str">
        <f t="shared" si="0"/>
        <v/>
      </c>
      <c r="D13" s="17">
        <v>3</v>
      </c>
      <c r="E13" s="17">
        <v>1</v>
      </c>
      <c r="F13" s="49">
        <f t="shared" si="1"/>
        <v>3.25</v>
      </c>
      <c r="I13" s="51" t="str">
        <f t="shared" si="2"/>
        <v/>
      </c>
      <c r="L13" s="53" t="str">
        <f t="shared" si="3"/>
        <v/>
      </c>
      <c r="O13" s="55" t="str">
        <f t="shared" si="4"/>
        <v/>
      </c>
      <c r="Q13" s="2">
        <v>11</v>
      </c>
      <c r="R13" s="2">
        <v>2210</v>
      </c>
      <c r="S13" s="2">
        <v>710</v>
      </c>
      <c r="T13" s="2">
        <v>650</v>
      </c>
      <c r="U13" s="2">
        <v>1420</v>
      </c>
      <c r="V13" s="2">
        <v>5.5</v>
      </c>
      <c r="W13" s="2">
        <v>5.5</v>
      </c>
      <c r="X13" s="66">
        <v>23.75</v>
      </c>
    </row>
    <row r="14" spans="1:24" x14ac:dyDescent="0.25">
      <c r="C14" s="47" t="str">
        <f t="shared" si="0"/>
        <v/>
      </c>
      <c r="D14" s="17">
        <v>2</v>
      </c>
      <c r="E14" s="17">
        <v>3</v>
      </c>
      <c r="F14" s="49">
        <f t="shared" si="1"/>
        <v>3.6</v>
      </c>
      <c r="I14" s="51" t="str">
        <f t="shared" si="2"/>
        <v/>
      </c>
      <c r="L14" s="53" t="str">
        <f t="shared" si="3"/>
        <v/>
      </c>
      <c r="O14" s="55" t="str">
        <f t="shared" si="4"/>
        <v/>
      </c>
      <c r="Q14" s="2">
        <v>12</v>
      </c>
      <c r="R14" s="2">
        <v>2180</v>
      </c>
      <c r="S14" s="2">
        <v>705</v>
      </c>
      <c r="T14" s="2">
        <v>650</v>
      </c>
      <c r="U14" s="2">
        <v>1410</v>
      </c>
      <c r="V14" s="2">
        <v>6</v>
      </c>
      <c r="W14" s="2">
        <v>5.5</v>
      </c>
      <c r="X14" s="66">
        <v>23.25</v>
      </c>
    </row>
    <row r="15" spans="1:24" x14ac:dyDescent="0.25">
      <c r="C15" s="47" t="str">
        <f t="shared" si="0"/>
        <v/>
      </c>
      <c r="D15" s="17">
        <v>11</v>
      </c>
      <c r="E15" s="17">
        <v>6</v>
      </c>
      <c r="F15" s="49">
        <f t="shared" si="1"/>
        <v>3.3529411764705883</v>
      </c>
      <c r="I15" s="51" t="str">
        <f t="shared" si="2"/>
        <v/>
      </c>
      <c r="L15" s="53" t="str">
        <f t="shared" si="3"/>
        <v/>
      </c>
      <c r="O15" s="55" t="str">
        <f t="shared" si="4"/>
        <v/>
      </c>
      <c r="Q15" s="2">
        <v>13</v>
      </c>
      <c r="R15" s="2">
        <v>2150</v>
      </c>
      <c r="S15" s="2">
        <v>700</v>
      </c>
      <c r="T15" s="2">
        <v>650</v>
      </c>
      <c r="U15" s="2">
        <v>1400</v>
      </c>
      <c r="V15" s="2">
        <v>6</v>
      </c>
      <c r="W15" s="2">
        <v>6</v>
      </c>
      <c r="X15" s="66">
        <v>22.666666666666668</v>
      </c>
    </row>
    <row r="16" spans="1:24" x14ac:dyDescent="0.25">
      <c r="C16" s="47" t="str">
        <f t="shared" si="0"/>
        <v/>
      </c>
      <c r="F16" s="49" t="str">
        <f t="shared" si="1"/>
        <v/>
      </c>
      <c r="I16" s="51" t="str">
        <f t="shared" si="2"/>
        <v/>
      </c>
      <c r="L16" s="53" t="str">
        <f t="shared" si="3"/>
        <v/>
      </c>
      <c r="O16" s="55" t="str">
        <f t="shared" si="4"/>
        <v/>
      </c>
      <c r="Q16" s="2">
        <v>15</v>
      </c>
      <c r="R16" s="2">
        <v>2120</v>
      </c>
      <c r="S16" s="2">
        <v>690</v>
      </c>
      <c r="T16" s="2">
        <v>650</v>
      </c>
      <c r="U16" s="2">
        <v>1380</v>
      </c>
      <c r="V16" s="2">
        <v>6.5</v>
      </c>
      <c r="W16" s="2">
        <v>6</v>
      </c>
      <c r="X16" s="66">
        <v>22</v>
      </c>
    </row>
    <row r="17" spans="3:24" x14ac:dyDescent="0.25">
      <c r="C17" s="47" t="str">
        <f t="shared" si="0"/>
        <v/>
      </c>
      <c r="F17" s="49" t="str">
        <f t="shared" si="1"/>
        <v/>
      </c>
      <c r="I17" s="51" t="str">
        <f t="shared" si="2"/>
        <v/>
      </c>
      <c r="L17" s="53" t="str">
        <f t="shared" si="3"/>
        <v/>
      </c>
      <c r="O17" s="55" t="str">
        <f t="shared" si="4"/>
        <v/>
      </c>
      <c r="Q17" s="2">
        <v>15</v>
      </c>
      <c r="R17" s="2">
        <v>2120</v>
      </c>
      <c r="S17" s="2">
        <v>690</v>
      </c>
      <c r="T17" s="2">
        <v>650</v>
      </c>
      <c r="U17" s="2">
        <v>1380</v>
      </c>
      <c r="V17" s="2">
        <v>6.5</v>
      </c>
      <c r="W17" s="2">
        <v>6</v>
      </c>
      <c r="X17" s="66">
        <v>21.25</v>
      </c>
    </row>
    <row r="18" spans="3:24" x14ac:dyDescent="0.25">
      <c r="C18" s="47" t="str">
        <f t="shared" si="0"/>
        <v/>
      </c>
      <c r="F18" s="49" t="str">
        <f t="shared" si="1"/>
        <v/>
      </c>
      <c r="I18" s="51" t="str">
        <f t="shared" si="2"/>
        <v/>
      </c>
      <c r="L18" s="53" t="str">
        <f t="shared" si="3"/>
        <v/>
      </c>
      <c r="O18" s="55" t="str">
        <f t="shared" si="4"/>
        <v/>
      </c>
      <c r="Q18" s="2">
        <v>16</v>
      </c>
      <c r="R18" s="2">
        <v>2040</v>
      </c>
      <c r="S18" s="2">
        <v>660</v>
      </c>
      <c r="T18" s="2">
        <v>650</v>
      </c>
      <c r="U18" s="2">
        <v>1320</v>
      </c>
      <c r="V18" s="2">
        <v>8</v>
      </c>
      <c r="W18" s="2">
        <v>8</v>
      </c>
      <c r="X18" s="66">
        <v>20.416666666666668</v>
      </c>
    </row>
    <row r="19" spans="3:24" x14ac:dyDescent="0.25">
      <c r="C19" s="47" t="str">
        <f t="shared" si="0"/>
        <v/>
      </c>
      <c r="F19" s="49" t="str">
        <f t="shared" si="1"/>
        <v/>
      </c>
      <c r="I19" s="51" t="str">
        <f t="shared" si="2"/>
        <v/>
      </c>
      <c r="L19" s="53" t="str">
        <f t="shared" si="3"/>
        <v/>
      </c>
      <c r="O19" s="55" t="str">
        <f t="shared" si="4"/>
        <v/>
      </c>
      <c r="Q19" s="2">
        <v>17</v>
      </c>
      <c r="R19" s="2">
        <v>1990</v>
      </c>
      <c r="S19" s="2">
        <v>640</v>
      </c>
      <c r="T19" s="2">
        <v>650</v>
      </c>
      <c r="U19" s="2">
        <v>1280</v>
      </c>
      <c r="V19" s="2">
        <v>8</v>
      </c>
      <c r="W19" s="2">
        <v>8.5</v>
      </c>
      <c r="X19" s="66">
        <v>19.5</v>
      </c>
    </row>
    <row r="20" spans="3:24" x14ac:dyDescent="0.25">
      <c r="C20" s="47" t="str">
        <f t="shared" si="0"/>
        <v/>
      </c>
      <c r="F20" s="49" t="str">
        <f t="shared" si="1"/>
        <v/>
      </c>
      <c r="I20" s="51" t="str">
        <f t="shared" si="2"/>
        <v/>
      </c>
      <c r="L20" s="53" t="str">
        <f t="shared" si="3"/>
        <v/>
      </c>
      <c r="O20" s="55" t="str">
        <f t="shared" si="4"/>
        <v/>
      </c>
      <c r="Q20" s="2">
        <v>18</v>
      </c>
      <c r="R20" s="2">
        <v>1940</v>
      </c>
      <c r="S20" s="2">
        <v>620</v>
      </c>
      <c r="T20" s="2">
        <v>650</v>
      </c>
      <c r="U20" s="2">
        <v>1240</v>
      </c>
      <c r="V20" s="2">
        <v>8.5</v>
      </c>
      <c r="W20" s="2">
        <v>8.5</v>
      </c>
      <c r="X20" s="66">
        <v>18.5</v>
      </c>
    </row>
    <row r="21" spans="3:24" x14ac:dyDescent="0.25">
      <c r="C21" s="47" t="str">
        <f t="shared" si="0"/>
        <v/>
      </c>
      <c r="F21" s="49" t="str">
        <f t="shared" si="1"/>
        <v/>
      </c>
      <c r="I21" s="51" t="str">
        <f t="shared" si="2"/>
        <v/>
      </c>
      <c r="L21" s="53" t="str">
        <f t="shared" si="3"/>
        <v/>
      </c>
      <c r="O21" s="55" t="str">
        <f t="shared" si="4"/>
        <v/>
      </c>
      <c r="Q21" s="2">
        <v>19</v>
      </c>
      <c r="R21" s="2">
        <v>1870</v>
      </c>
      <c r="S21" s="2">
        <v>590</v>
      </c>
      <c r="T21" s="2">
        <v>650</v>
      </c>
      <c r="U21" s="2">
        <v>1180</v>
      </c>
      <c r="V21" s="2">
        <v>8.5</v>
      </c>
      <c r="W21" s="2">
        <v>9</v>
      </c>
      <c r="X21" s="66">
        <v>17.416666666666668</v>
      </c>
    </row>
    <row r="22" spans="3:24" x14ac:dyDescent="0.25">
      <c r="C22" s="47" t="str">
        <f t="shared" si="0"/>
        <v/>
      </c>
      <c r="F22" s="49" t="str">
        <f t="shared" si="1"/>
        <v/>
      </c>
      <c r="I22" s="51" t="str">
        <f t="shared" si="2"/>
        <v/>
      </c>
      <c r="L22" s="53" t="str">
        <f t="shared" si="3"/>
        <v/>
      </c>
      <c r="O22" s="55" t="str">
        <f t="shared" si="4"/>
        <v/>
      </c>
      <c r="Q22" s="2">
        <v>20</v>
      </c>
      <c r="R22" s="2">
        <v>1800</v>
      </c>
      <c r="S22" s="2">
        <v>560</v>
      </c>
      <c r="T22" s="2">
        <v>650</v>
      </c>
      <c r="U22" s="2">
        <v>1120</v>
      </c>
      <c r="V22" s="2">
        <v>9</v>
      </c>
      <c r="W22" s="2">
        <v>9</v>
      </c>
      <c r="X22" s="66">
        <v>16.25</v>
      </c>
    </row>
    <row r="23" spans="3:24" x14ac:dyDescent="0.25">
      <c r="C23" s="47" t="str">
        <f t="shared" si="0"/>
        <v/>
      </c>
      <c r="F23" s="49" t="str">
        <f t="shared" si="1"/>
        <v/>
      </c>
      <c r="I23" s="51" t="str">
        <f t="shared" si="2"/>
        <v/>
      </c>
      <c r="L23" s="53" t="str">
        <f t="shared" si="3"/>
        <v/>
      </c>
      <c r="O23" s="55" t="str">
        <f t="shared" si="4"/>
        <v/>
      </c>
      <c r="Q23" s="2">
        <v>21</v>
      </c>
      <c r="R23" s="2">
        <v>1700</v>
      </c>
      <c r="S23" s="2">
        <v>520</v>
      </c>
      <c r="T23" s="2">
        <v>630</v>
      </c>
      <c r="U23" s="2">
        <v>1040</v>
      </c>
      <c r="V23" s="2">
        <v>9</v>
      </c>
      <c r="W23" s="2">
        <v>9.5</v>
      </c>
      <c r="X23" s="66">
        <v>15</v>
      </c>
    </row>
    <row r="24" spans="3:24" x14ac:dyDescent="0.25">
      <c r="C24" s="47" t="str">
        <f t="shared" si="0"/>
        <v/>
      </c>
      <c r="F24" s="49" t="str">
        <f t="shared" si="1"/>
        <v/>
      </c>
      <c r="I24" s="51" t="str">
        <f t="shared" si="2"/>
        <v/>
      </c>
      <c r="L24" s="53" t="str">
        <f t="shared" si="3"/>
        <v/>
      </c>
      <c r="O24" s="55" t="str">
        <f t="shared" si="4"/>
        <v/>
      </c>
      <c r="Q24" s="2">
        <v>22</v>
      </c>
      <c r="R24" s="2">
        <v>1600</v>
      </c>
      <c r="S24" s="2">
        <v>480</v>
      </c>
      <c r="T24" s="2">
        <v>600</v>
      </c>
      <c r="U24" s="2">
        <v>960</v>
      </c>
      <c r="V24" s="2">
        <v>9.5</v>
      </c>
      <c r="W24" s="2">
        <v>9.5</v>
      </c>
      <c r="X24" s="66">
        <v>13.666666666666666</v>
      </c>
    </row>
    <row r="25" spans="3:24" x14ac:dyDescent="0.25">
      <c r="C25" s="47" t="str">
        <f t="shared" si="0"/>
        <v/>
      </c>
      <c r="F25" s="49" t="str">
        <f t="shared" si="1"/>
        <v/>
      </c>
      <c r="I25" s="51" t="str">
        <f t="shared" si="2"/>
        <v/>
      </c>
      <c r="L25" s="53" t="str">
        <f t="shared" si="3"/>
        <v/>
      </c>
      <c r="O25" s="55" t="str">
        <f t="shared" si="4"/>
        <v/>
      </c>
      <c r="Q25" s="2">
        <v>23</v>
      </c>
      <c r="R25" s="2">
        <v>1500</v>
      </c>
      <c r="S25" s="2">
        <v>440</v>
      </c>
      <c r="T25" s="2">
        <v>560</v>
      </c>
      <c r="U25" s="2">
        <v>880</v>
      </c>
      <c r="V25" s="2">
        <v>9.5</v>
      </c>
      <c r="W25" s="2">
        <v>10</v>
      </c>
      <c r="X25" s="66">
        <v>12.25</v>
      </c>
    </row>
    <row r="26" spans="3:24" x14ac:dyDescent="0.25">
      <c r="C26" s="47" t="str">
        <f t="shared" si="0"/>
        <v/>
      </c>
      <c r="F26" s="49" t="str">
        <f t="shared" si="1"/>
        <v/>
      </c>
      <c r="I26" s="51" t="str">
        <f t="shared" si="2"/>
        <v/>
      </c>
      <c r="L26" s="53" t="str">
        <f t="shared" si="3"/>
        <v/>
      </c>
      <c r="O26" s="55" t="str">
        <f t="shared" si="4"/>
        <v/>
      </c>
      <c r="Q26" s="2">
        <v>24</v>
      </c>
      <c r="R26" s="2">
        <v>1350</v>
      </c>
      <c r="S26" s="2">
        <v>390</v>
      </c>
      <c r="T26" s="2">
        <v>510</v>
      </c>
      <c r="U26" s="2">
        <v>780</v>
      </c>
      <c r="V26" s="2">
        <v>10</v>
      </c>
      <c r="W26" s="2">
        <v>10</v>
      </c>
      <c r="X26" s="66">
        <v>10.75</v>
      </c>
    </row>
    <row r="27" spans="3:24" x14ac:dyDescent="0.25">
      <c r="Q27" s="2">
        <v>25</v>
      </c>
      <c r="R27" s="2">
        <v>1200</v>
      </c>
      <c r="S27" s="2">
        <v>340</v>
      </c>
      <c r="T27" s="2">
        <v>450</v>
      </c>
      <c r="U27" s="2">
        <v>680</v>
      </c>
      <c r="V27" s="2">
        <v>10</v>
      </c>
      <c r="W27" s="2">
        <v>10.5</v>
      </c>
      <c r="X27" s="66">
        <v>9.1666666666666661</v>
      </c>
    </row>
    <row r="28" spans="3:24" x14ac:dyDescent="0.25">
      <c r="Q28" s="2">
        <v>26</v>
      </c>
      <c r="R28" s="2">
        <v>1000</v>
      </c>
      <c r="S28" s="2">
        <v>280</v>
      </c>
      <c r="T28" s="2">
        <v>380</v>
      </c>
      <c r="U28" s="2">
        <v>560</v>
      </c>
      <c r="V28" s="2">
        <v>10.5</v>
      </c>
      <c r="W28" s="2">
        <v>10.5</v>
      </c>
      <c r="X28" s="66">
        <v>7.5</v>
      </c>
    </row>
    <row r="29" spans="3:24" x14ac:dyDescent="0.25">
      <c r="Q29" s="2">
        <v>27</v>
      </c>
      <c r="R29" s="2">
        <v>800</v>
      </c>
      <c r="S29" s="2">
        <v>220</v>
      </c>
      <c r="T29" s="2">
        <v>300</v>
      </c>
      <c r="U29" s="2">
        <v>440</v>
      </c>
      <c r="V29" s="2">
        <v>10.5</v>
      </c>
      <c r="W29" s="2">
        <v>11</v>
      </c>
      <c r="X29" s="66">
        <v>5.75</v>
      </c>
    </row>
    <row r="30" spans="3:24" x14ac:dyDescent="0.25">
      <c r="Q30" s="2">
        <v>28</v>
      </c>
      <c r="R30" s="2">
        <v>600</v>
      </c>
      <c r="S30" s="2">
        <v>160</v>
      </c>
      <c r="T30" s="2">
        <v>210</v>
      </c>
      <c r="U30" s="2">
        <v>320</v>
      </c>
      <c r="V30" s="2">
        <v>11</v>
      </c>
      <c r="W30" s="2">
        <v>11</v>
      </c>
      <c r="X30" s="66">
        <v>3.9166666666666665</v>
      </c>
    </row>
    <row r="31" spans="3:24" x14ac:dyDescent="0.25">
      <c r="Q31" s="2">
        <v>29</v>
      </c>
      <c r="R31" s="2">
        <v>300</v>
      </c>
      <c r="S31" s="2">
        <v>80</v>
      </c>
      <c r="T31" s="2">
        <v>110</v>
      </c>
      <c r="U31" s="2">
        <v>160</v>
      </c>
      <c r="V31" s="2">
        <v>11</v>
      </c>
      <c r="W31" s="2">
        <v>11.5</v>
      </c>
      <c r="X31" s="66">
        <v>2</v>
      </c>
    </row>
    <row r="32" spans="3:24" x14ac:dyDescent="0.25">
      <c r="Q32" s="2">
        <v>30</v>
      </c>
      <c r="R32" s="2">
        <v>0</v>
      </c>
      <c r="S32" s="2">
        <v>0</v>
      </c>
      <c r="T32" s="2">
        <v>0</v>
      </c>
      <c r="U32" s="2">
        <v>0</v>
      </c>
      <c r="V32" s="2">
        <v>11.5</v>
      </c>
      <c r="W32" s="2">
        <v>11.5</v>
      </c>
      <c r="X32" s="66">
        <v>0</v>
      </c>
    </row>
  </sheetData>
  <mergeCells count="2">
    <mergeCell ref="A1:O1"/>
    <mergeCell ref="Q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theme="5" tint="0.59999389629810485"/>
  </sheetPr>
  <dimension ref="A1:B32"/>
  <sheetViews>
    <sheetView workbookViewId="0">
      <selection activeCell="A18" sqref="A18"/>
    </sheetView>
  </sheetViews>
  <sheetFormatPr defaultRowHeight="15" x14ac:dyDescent="0.25"/>
  <cols>
    <col min="1" max="16384" width="9.140625" style="2"/>
  </cols>
  <sheetData>
    <row r="1" spans="1:2" x14ac:dyDescent="0.25">
      <c r="A1" s="2" t="s">
        <v>54</v>
      </c>
      <c r="B1" s="2" t="s">
        <v>55</v>
      </c>
    </row>
    <row r="2" spans="1:2" x14ac:dyDescent="0.25">
      <c r="A2" s="2">
        <v>816</v>
      </c>
      <c r="B2" s="2">
        <v>485</v>
      </c>
    </row>
    <row r="3" spans="1:2" x14ac:dyDescent="0.25">
      <c r="A3" s="2">
        <v>786</v>
      </c>
      <c r="B3" s="2">
        <v>480</v>
      </c>
    </row>
    <row r="4" spans="1:2" x14ac:dyDescent="0.25">
      <c r="A4" s="2">
        <v>783</v>
      </c>
      <c r="B4" s="2">
        <f>B3-120</f>
        <v>360</v>
      </c>
    </row>
    <row r="5" spans="1:2" x14ac:dyDescent="0.25">
      <c r="A5" s="2">
        <v>780</v>
      </c>
      <c r="B5" s="2">
        <f>B4-120</f>
        <v>240</v>
      </c>
    </row>
    <row r="6" spans="1:2" x14ac:dyDescent="0.25">
      <c r="A6" s="2">
        <v>775</v>
      </c>
      <c r="B6" s="2">
        <f>B5-120</f>
        <v>120</v>
      </c>
    </row>
    <row r="7" spans="1:2" x14ac:dyDescent="0.25">
      <c r="A7" s="2">
        <v>770</v>
      </c>
      <c r="B7" s="2">
        <f>B6-120</f>
        <v>0</v>
      </c>
    </row>
    <row r="8" spans="1:2" x14ac:dyDescent="0.25">
      <c r="A8" s="2">
        <v>763</v>
      </c>
    </row>
    <row r="9" spans="1:2" x14ac:dyDescent="0.25">
      <c r="A9" s="2">
        <v>756</v>
      </c>
    </row>
    <row r="10" spans="1:2" x14ac:dyDescent="0.25">
      <c r="A10" s="2">
        <v>749</v>
      </c>
    </row>
    <row r="11" spans="1:2" x14ac:dyDescent="0.25">
      <c r="A11" s="2">
        <v>739</v>
      </c>
    </row>
    <row r="12" spans="1:2" x14ac:dyDescent="0.25">
      <c r="A12" s="2">
        <v>729</v>
      </c>
    </row>
    <row r="13" spans="1:2" x14ac:dyDescent="0.25">
      <c r="A13" s="2">
        <v>717</v>
      </c>
    </row>
    <row r="14" spans="1:2" x14ac:dyDescent="0.25">
      <c r="A14" s="2">
        <v>705</v>
      </c>
    </row>
    <row r="15" spans="1:2" x14ac:dyDescent="0.25">
      <c r="A15" s="2">
        <v>690</v>
      </c>
    </row>
    <row r="16" spans="1:2" x14ac:dyDescent="0.25">
      <c r="A16" s="2">
        <v>675</v>
      </c>
    </row>
    <row r="17" spans="1:1" x14ac:dyDescent="0.25">
      <c r="A17" s="2">
        <v>660</v>
      </c>
    </row>
    <row r="18" spans="1:1" x14ac:dyDescent="0.25">
      <c r="A18" s="2">
        <v>640</v>
      </c>
    </row>
    <row r="19" spans="1:1" x14ac:dyDescent="0.25">
      <c r="A19" s="2">
        <v>620</v>
      </c>
    </row>
    <row r="20" spans="1:1" x14ac:dyDescent="0.25">
      <c r="A20" s="2">
        <v>600</v>
      </c>
    </row>
    <row r="21" spans="1:1" x14ac:dyDescent="0.25">
      <c r="A21" s="2">
        <v>570</v>
      </c>
    </row>
    <row r="22" spans="1:1" x14ac:dyDescent="0.25">
      <c r="A22" s="2">
        <v>540</v>
      </c>
    </row>
    <row r="23" spans="1:1" x14ac:dyDescent="0.25">
      <c r="A23" s="2">
        <v>500</v>
      </c>
    </row>
    <row r="24" spans="1:1" x14ac:dyDescent="0.25">
      <c r="A24" s="2">
        <v>460</v>
      </c>
    </row>
    <row r="25" spans="1:1" x14ac:dyDescent="0.25">
      <c r="A25" s="2">
        <v>420</v>
      </c>
    </row>
    <row r="26" spans="1:1" x14ac:dyDescent="0.25">
      <c r="A26" s="2">
        <v>370</v>
      </c>
    </row>
    <row r="27" spans="1:1" x14ac:dyDescent="0.25">
      <c r="A27" s="2">
        <v>320</v>
      </c>
    </row>
    <row r="28" spans="1:1" x14ac:dyDescent="0.25">
      <c r="A28" s="2">
        <v>260</v>
      </c>
    </row>
    <row r="29" spans="1:1" x14ac:dyDescent="0.25">
      <c r="A29" s="2">
        <v>200</v>
      </c>
    </row>
    <row r="30" spans="1:1" x14ac:dyDescent="0.25">
      <c r="A30" s="2">
        <v>140</v>
      </c>
    </row>
    <row r="31" spans="1:1" x14ac:dyDescent="0.25">
      <c r="A31" s="2">
        <v>70</v>
      </c>
    </row>
    <row r="32" spans="1:1" x14ac:dyDescent="0.25">
      <c r="A32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theme="5"/>
  </sheetPr>
  <dimension ref="A1:G20"/>
  <sheetViews>
    <sheetView topLeftCell="A4" workbookViewId="0">
      <selection activeCell="A4" sqref="A1:XFD1048576"/>
    </sheetView>
  </sheetViews>
  <sheetFormatPr defaultColWidth="2.85546875" defaultRowHeight="15" customHeight="1" x14ac:dyDescent="0.25"/>
  <cols>
    <col min="1" max="16384" width="2.85546875" style="94"/>
  </cols>
  <sheetData>
    <row r="1" spans="1:7" ht="15" customHeight="1" x14ac:dyDescent="0.25">
      <c r="A1" s="94">
        <v>2</v>
      </c>
      <c r="B1" s="94">
        <v>2</v>
      </c>
      <c r="C1" s="94">
        <v>2</v>
      </c>
      <c r="D1" s="94">
        <v>2</v>
      </c>
      <c r="E1" s="94">
        <v>2</v>
      </c>
      <c r="F1" s="94">
        <v>3</v>
      </c>
      <c r="G1" s="94">
        <v>4</v>
      </c>
    </row>
    <row r="2" spans="1:7" ht="15" customHeight="1" x14ac:dyDescent="0.25">
      <c r="A2" s="94">
        <v>3</v>
      </c>
      <c r="B2" s="94">
        <v>2</v>
      </c>
      <c r="C2" s="94">
        <v>2</v>
      </c>
      <c r="D2" s="94">
        <v>3</v>
      </c>
      <c r="E2" s="94">
        <v>2</v>
      </c>
      <c r="F2" s="94">
        <v>4</v>
      </c>
      <c r="G2" s="94">
        <v>3</v>
      </c>
    </row>
    <row r="3" spans="1:7" ht="15" customHeight="1" x14ac:dyDescent="0.25">
      <c r="A3" s="94">
        <v>2</v>
      </c>
      <c r="B3" s="94">
        <v>3</v>
      </c>
      <c r="C3" s="94">
        <v>2</v>
      </c>
      <c r="D3" s="94">
        <v>2</v>
      </c>
      <c r="E3" s="94">
        <v>2</v>
      </c>
      <c r="F3" s="94">
        <v>2</v>
      </c>
      <c r="G3" s="94">
        <v>3</v>
      </c>
    </row>
    <row r="4" spans="1:7" ht="15" customHeight="1" x14ac:dyDescent="0.25">
      <c r="A4" s="94">
        <v>2</v>
      </c>
      <c r="B4" s="94">
        <v>2</v>
      </c>
      <c r="C4" s="94">
        <v>3</v>
      </c>
      <c r="D4" s="94">
        <v>4</v>
      </c>
      <c r="E4" s="94">
        <v>3</v>
      </c>
      <c r="F4" s="94">
        <v>2</v>
      </c>
      <c r="G4" s="94">
        <v>2</v>
      </c>
    </row>
    <row r="5" spans="1:7" ht="15" customHeight="1" x14ac:dyDescent="0.25">
      <c r="A5" s="94">
        <v>2</v>
      </c>
      <c r="B5" s="94">
        <v>5</v>
      </c>
      <c r="C5" s="94">
        <v>2</v>
      </c>
      <c r="D5" s="94">
        <v>2</v>
      </c>
      <c r="E5" s="94">
        <v>2</v>
      </c>
      <c r="F5" s="94">
        <v>2</v>
      </c>
      <c r="G5" s="94">
        <v>2</v>
      </c>
    </row>
    <row r="6" spans="1:7" ht="15" customHeight="1" x14ac:dyDescent="0.25">
      <c r="A6" s="94">
        <v>3</v>
      </c>
      <c r="B6" s="94">
        <v>2</v>
      </c>
      <c r="C6" s="94">
        <v>2</v>
      </c>
      <c r="D6" s="94">
        <v>2</v>
      </c>
      <c r="E6" s="94">
        <v>2</v>
      </c>
      <c r="F6" s="94">
        <v>3</v>
      </c>
      <c r="G6" s="94">
        <v>3</v>
      </c>
    </row>
    <row r="7" spans="1:7" ht="15" customHeight="1" x14ac:dyDescent="0.25">
      <c r="A7" s="94">
        <v>2</v>
      </c>
      <c r="B7" s="94">
        <v>2</v>
      </c>
      <c r="C7" s="94">
        <v>2</v>
      </c>
      <c r="D7" s="94">
        <v>3</v>
      </c>
      <c r="E7" s="94">
        <v>2</v>
      </c>
      <c r="F7" s="94">
        <v>3</v>
      </c>
      <c r="G7" s="94">
        <v>3</v>
      </c>
    </row>
    <row r="8" spans="1:7" ht="15" customHeight="1" x14ac:dyDescent="0.25">
      <c r="A8" s="94">
        <v>2</v>
      </c>
      <c r="B8" s="94">
        <v>2</v>
      </c>
      <c r="C8" s="94">
        <v>3</v>
      </c>
      <c r="D8" s="94">
        <v>3</v>
      </c>
      <c r="E8" s="94">
        <v>2</v>
      </c>
      <c r="F8" s="94">
        <v>2</v>
      </c>
      <c r="G8" s="94">
        <v>2</v>
      </c>
    </row>
    <row r="9" spans="1:7" ht="15" customHeight="1" x14ac:dyDescent="0.25">
      <c r="A9" s="94">
        <v>2</v>
      </c>
      <c r="B9" s="94">
        <v>3</v>
      </c>
      <c r="C9" s="94">
        <v>2</v>
      </c>
      <c r="D9" s="94">
        <v>2</v>
      </c>
      <c r="E9" s="94">
        <v>2</v>
      </c>
      <c r="F9" s="94">
        <v>2</v>
      </c>
      <c r="G9" s="94">
        <v>4</v>
      </c>
    </row>
    <row r="10" spans="1:7" ht="15" customHeight="1" x14ac:dyDescent="0.25">
      <c r="A10" s="94">
        <v>2</v>
      </c>
      <c r="B10" s="94">
        <v>2</v>
      </c>
      <c r="C10" s="94">
        <v>3</v>
      </c>
      <c r="D10" s="94">
        <v>2</v>
      </c>
      <c r="E10" s="94">
        <v>2</v>
      </c>
      <c r="F10" s="94">
        <v>3</v>
      </c>
      <c r="G10" s="94">
        <v>2</v>
      </c>
    </row>
    <row r="11" spans="1:7" ht="15" customHeight="1" x14ac:dyDescent="0.25">
      <c r="A11" s="94">
        <v>2</v>
      </c>
      <c r="B11" s="94">
        <v>2</v>
      </c>
      <c r="C11" s="94">
        <v>2</v>
      </c>
      <c r="D11" s="94">
        <v>2</v>
      </c>
      <c r="E11" s="94">
        <v>4</v>
      </c>
      <c r="F11" s="94">
        <v>5</v>
      </c>
      <c r="G11" s="94">
        <v>2</v>
      </c>
    </row>
    <row r="12" spans="1:7" ht="15" customHeight="1" x14ac:dyDescent="0.25">
      <c r="A12" s="94">
        <v>2</v>
      </c>
      <c r="B12" s="94">
        <v>2</v>
      </c>
      <c r="C12" s="94">
        <v>2</v>
      </c>
      <c r="D12" s="1">
        <v>2</v>
      </c>
      <c r="E12" s="94">
        <v>2</v>
      </c>
      <c r="F12" s="94">
        <v>3</v>
      </c>
      <c r="G12" s="94">
        <v>2</v>
      </c>
    </row>
    <row r="13" spans="1:7" ht="15" customHeight="1" x14ac:dyDescent="0.25">
      <c r="A13" s="94">
        <v>2</v>
      </c>
      <c r="B13" s="94">
        <v>3</v>
      </c>
      <c r="C13" s="94">
        <v>2</v>
      </c>
      <c r="D13" s="96">
        <v>2</v>
      </c>
      <c r="E13" s="94">
        <v>2</v>
      </c>
      <c r="F13" s="94">
        <v>2</v>
      </c>
    </row>
    <row r="14" spans="1:7" ht="15" customHeight="1" x14ac:dyDescent="0.25">
      <c r="A14" s="94">
        <v>2</v>
      </c>
      <c r="B14" s="94">
        <v>3</v>
      </c>
      <c r="C14" s="94">
        <v>4</v>
      </c>
      <c r="D14" s="96">
        <v>2</v>
      </c>
      <c r="E14" s="94">
        <v>2</v>
      </c>
      <c r="F14" s="94">
        <v>2</v>
      </c>
    </row>
    <row r="15" spans="1:7" ht="15" customHeight="1" x14ac:dyDescent="0.25">
      <c r="A15" s="94">
        <v>2</v>
      </c>
      <c r="B15" s="94">
        <v>4</v>
      </c>
      <c r="C15" s="94">
        <v>3</v>
      </c>
      <c r="D15" s="1">
        <v>3</v>
      </c>
      <c r="E15" s="94">
        <v>5</v>
      </c>
      <c r="F15" s="94">
        <v>2</v>
      </c>
    </row>
    <row r="16" spans="1:7" ht="15" customHeight="1" x14ac:dyDescent="0.25">
      <c r="A16" s="94">
        <v>2</v>
      </c>
      <c r="B16" s="94">
        <v>3</v>
      </c>
      <c r="C16" s="94">
        <v>2</v>
      </c>
      <c r="D16" s="94">
        <v>2</v>
      </c>
      <c r="E16" s="94">
        <v>3</v>
      </c>
      <c r="F16" s="94">
        <v>2</v>
      </c>
    </row>
    <row r="17" spans="1:6" ht="15" customHeight="1" x14ac:dyDescent="0.25">
      <c r="A17" s="94">
        <v>2</v>
      </c>
      <c r="B17" s="94">
        <v>2</v>
      </c>
      <c r="C17" s="94">
        <v>3</v>
      </c>
      <c r="D17" s="94">
        <v>5</v>
      </c>
      <c r="E17" s="94">
        <v>2</v>
      </c>
      <c r="F17" s="94">
        <v>2</v>
      </c>
    </row>
    <row r="18" spans="1:6" ht="15" customHeight="1" x14ac:dyDescent="0.25">
      <c r="A18" s="94">
        <v>2</v>
      </c>
      <c r="B18" s="94">
        <v>3</v>
      </c>
      <c r="C18" s="94">
        <v>2</v>
      </c>
      <c r="D18" s="94">
        <v>2</v>
      </c>
      <c r="E18" s="94">
        <v>3</v>
      </c>
      <c r="F18" s="94">
        <v>3</v>
      </c>
    </row>
    <row r="19" spans="1:6" ht="15" customHeight="1" x14ac:dyDescent="0.25">
      <c r="A19" s="94">
        <v>2</v>
      </c>
      <c r="B19" s="94">
        <v>2</v>
      </c>
      <c r="C19" s="94">
        <v>2</v>
      </c>
      <c r="D19" s="94">
        <v>2</v>
      </c>
      <c r="E19" s="94">
        <v>2</v>
      </c>
      <c r="F19" s="94">
        <v>2</v>
      </c>
    </row>
    <row r="20" spans="1:6" ht="15" customHeight="1" x14ac:dyDescent="0.25">
      <c r="A20" s="94">
        <v>2</v>
      </c>
      <c r="B20" s="94">
        <v>2</v>
      </c>
      <c r="C20" s="94">
        <v>2</v>
      </c>
      <c r="D20" s="94">
        <v>2</v>
      </c>
      <c r="E20" s="94">
        <v>2</v>
      </c>
      <c r="F20" s="9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>
    <tabColor theme="5"/>
  </sheetPr>
  <dimension ref="A1"/>
  <sheetViews>
    <sheetView workbookViewId="0">
      <selection sqref="A1:XFD1048576"/>
    </sheetView>
  </sheetViews>
  <sheetFormatPr defaultColWidth="2.85546875" defaultRowHeight="15" customHeight="1" x14ac:dyDescent="0.25"/>
  <cols>
    <col min="1" max="16384" width="2.85546875" style="2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>
    <tabColor theme="5"/>
  </sheetPr>
  <dimension ref="A1:BF29"/>
  <sheetViews>
    <sheetView workbookViewId="0">
      <selection activeCell="Y10" sqref="Y10"/>
    </sheetView>
  </sheetViews>
  <sheetFormatPr defaultColWidth="2.85546875" defaultRowHeight="15" x14ac:dyDescent="0.25"/>
  <cols>
    <col min="1" max="16384" width="2.85546875" style="67"/>
  </cols>
  <sheetData>
    <row r="1" spans="1:58" x14ac:dyDescent="0.25">
      <c r="A1" s="102">
        <v>3</v>
      </c>
      <c r="B1" s="2">
        <v>2</v>
      </c>
      <c r="C1" s="2">
        <v>2</v>
      </c>
      <c r="D1" s="2">
        <v>2</v>
      </c>
      <c r="E1" s="2">
        <v>2</v>
      </c>
      <c r="F1" s="2">
        <v>2</v>
      </c>
      <c r="G1" s="2">
        <v>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 x14ac:dyDescent="0.25">
      <c r="A2" s="102">
        <v>4</v>
      </c>
      <c r="B2" s="2">
        <v>2</v>
      </c>
      <c r="C2" s="2">
        <v>2</v>
      </c>
      <c r="D2" s="2">
        <v>5</v>
      </c>
      <c r="E2" s="2">
        <v>5</v>
      </c>
      <c r="F2" s="2">
        <v>2</v>
      </c>
      <c r="G2" s="2">
        <v>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</row>
    <row r="3" spans="1:58" x14ac:dyDescent="0.25">
      <c r="A3" s="102">
        <v>2</v>
      </c>
      <c r="B3" s="2">
        <v>2</v>
      </c>
      <c r="C3" s="2">
        <v>2</v>
      </c>
      <c r="D3" s="2">
        <v>3</v>
      </c>
      <c r="E3" s="2">
        <v>2</v>
      </c>
      <c r="F3" s="2">
        <v>2</v>
      </c>
      <c r="G3" s="2">
        <v>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pans="1:58" x14ac:dyDescent="0.25">
      <c r="A4" s="102">
        <v>2</v>
      </c>
      <c r="B4" s="2">
        <v>2</v>
      </c>
      <c r="C4" s="2">
        <v>2</v>
      </c>
      <c r="D4" s="2">
        <v>2</v>
      </c>
      <c r="E4" s="2">
        <v>4</v>
      </c>
      <c r="F4" s="2">
        <v>2</v>
      </c>
      <c r="G4" s="2">
        <v>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 spans="1:58" x14ac:dyDescent="0.25">
      <c r="A5" s="10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spans="1:58" x14ac:dyDescent="0.25">
      <c r="A6" s="102">
        <v>2</v>
      </c>
      <c r="B6" s="2">
        <v>5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 spans="1:58" x14ac:dyDescent="0.25">
      <c r="A7" s="102">
        <v>2</v>
      </c>
      <c r="B7" s="2">
        <v>2</v>
      </c>
      <c r="C7" s="2">
        <v>2</v>
      </c>
      <c r="D7" s="2">
        <v>2</v>
      </c>
      <c r="E7" s="2">
        <v>2</v>
      </c>
      <c r="F7" s="2">
        <v>3</v>
      </c>
      <c r="G7" s="2">
        <v>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</row>
    <row r="8" spans="1:58" x14ac:dyDescent="0.25">
      <c r="A8" s="102">
        <v>2</v>
      </c>
      <c r="B8" s="2">
        <v>4</v>
      </c>
      <c r="C8" s="2">
        <v>3</v>
      </c>
      <c r="D8" s="2">
        <v>3</v>
      </c>
      <c r="E8" s="2">
        <v>2</v>
      </c>
      <c r="F8" s="2">
        <v>2</v>
      </c>
      <c r="G8" s="2">
        <v>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  <row r="9" spans="1:58" x14ac:dyDescent="0.25">
      <c r="A9" s="102">
        <v>2</v>
      </c>
      <c r="B9" s="2">
        <v>2</v>
      </c>
      <c r="C9" s="2">
        <v>2</v>
      </c>
      <c r="D9" s="2">
        <v>3</v>
      </c>
      <c r="E9" s="2">
        <v>2</v>
      </c>
      <c r="F9" s="2">
        <v>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</row>
    <row r="10" spans="1:58" x14ac:dyDescent="0.25">
      <c r="A10" s="102">
        <v>2</v>
      </c>
      <c r="B10" s="2">
        <v>4</v>
      </c>
      <c r="C10" s="2">
        <v>2</v>
      </c>
      <c r="D10" s="2">
        <v>3</v>
      </c>
      <c r="E10" s="2">
        <v>2</v>
      </c>
      <c r="F10" s="2">
        <v>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spans="1:58" x14ac:dyDescent="0.25">
      <c r="A11" s="102">
        <v>3</v>
      </c>
      <c r="B11" s="2">
        <v>2</v>
      </c>
      <c r="C11" s="2">
        <v>5</v>
      </c>
      <c r="D11" s="2">
        <v>2</v>
      </c>
      <c r="E11" s="2">
        <v>3</v>
      </c>
      <c r="F11" s="2">
        <v>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</row>
    <row r="12" spans="1:58" x14ac:dyDescent="0.25">
      <c r="A12" s="102">
        <v>2</v>
      </c>
      <c r="B12" s="2">
        <v>3</v>
      </c>
      <c r="C12" s="2">
        <v>3</v>
      </c>
      <c r="D12" s="2">
        <v>5</v>
      </c>
      <c r="E12" s="2">
        <v>4</v>
      </c>
      <c r="F12" s="2">
        <v>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</row>
    <row r="13" spans="1:58" x14ac:dyDescent="0.25">
      <c r="A13" s="102">
        <v>5</v>
      </c>
      <c r="B13" s="2">
        <v>2</v>
      </c>
      <c r="C13" s="2">
        <v>4</v>
      </c>
      <c r="D13" s="2">
        <v>2</v>
      </c>
      <c r="E13" s="2">
        <v>2</v>
      </c>
      <c r="F13" s="2">
        <v>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spans="1:58" x14ac:dyDescent="0.25">
      <c r="A14" s="102">
        <v>2</v>
      </c>
      <c r="B14" s="2">
        <v>3</v>
      </c>
      <c r="C14" s="2">
        <v>2</v>
      </c>
      <c r="D14" s="2">
        <v>3</v>
      </c>
      <c r="E14" s="2">
        <v>2</v>
      </c>
      <c r="F14" s="2">
        <v>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58" x14ac:dyDescent="0.25">
      <c r="A15" s="102">
        <v>2</v>
      </c>
      <c r="B15" s="2">
        <v>2</v>
      </c>
      <c r="C15" s="2">
        <v>4</v>
      </c>
      <c r="D15" s="2">
        <v>2</v>
      </c>
      <c r="E15" s="2">
        <v>2</v>
      </c>
      <c r="F15" s="2">
        <v>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1:58" x14ac:dyDescent="0.25">
      <c r="A16" s="102">
        <v>3</v>
      </c>
      <c r="B16" s="2">
        <v>5</v>
      </c>
      <c r="C16" s="2">
        <v>4</v>
      </c>
      <c r="D16" s="2">
        <v>5</v>
      </c>
      <c r="E16" s="2">
        <v>4</v>
      </c>
      <c r="F16" s="2">
        <v>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</row>
    <row r="17" spans="1:58" x14ac:dyDescent="0.25">
      <c r="A17" s="102">
        <v>2</v>
      </c>
      <c r="B17" s="2">
        <v>3</v>
      </c>
      <c r="C17" s="2">
        <v>2</v>
      </c>
      <c r="D17" s="2">
        <v>2</v>
      </c>
      <c r="E17" s="2">
        <v>2</v>
      </c>
      <c r="F17" s="2">
        <v>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spans="1:58" x14ac:dyDescent="0.25">
      <c r="A18" s="102">
        <v>2</v>
      </c>
      <c r="B18" s="2">
        <v>3</v>
      </c>
      <c r="C18" s="2">
        <v>2</v>
      </c>
      <c r="D18" s="2">
        <v>2</v>
      </c>
      <c r="E18" s="2">
        <v>2</v>
      </c>
      <c r="F18" s="2">
        <v>4</v>
      </c>
      <c r="G18" s="2">
        <v>2</v>
      </c>
      <c r="H18" s="2">
        <v>2</v>
      </c>
      <c r="I18" s="2">
        <v>3</v>
      </c>
      <c r="J18" s="102">
        <v>2</v>
      </c>
      <c r="K18" s="2">
        <v>2</v>
      </c>
      <c r="L18" s="2">
        <v>2</v>
      </c>
      <c r="M18" s="2">
        <v>3</v>
      </c>
      <c r="N18" s="2">
        <v>2</v>
      </c>
      <c r="O18" s="2">
        <v>2</v>
      </c>
      <c r="P18" s="2">
        <v>2</v>
      </c>
      <c r="Q18" s="2">
        <v>2</v>
      </c>
      <c r="R18" s="102">
        <v>2</v>
      </c>
      <c r="S18" s="2">
        <v>2</v>
      </c>
      <c r="T18" s="2">
        <v>3</v>
      </c>
      <c r="U18" s="2">
        <v>3</v>
      </c>
      <c r="V18" s="2">
        <v>3</v>
      </c>
      <c r="W18" s="2">
        <v>2</v>
      </c>
      <c r="X18" s="2">
        <v>2</v>
      </c>
      <c r="Y18" s="2">
        <v>2</v>
      </c>
      <c r="Z18" s="2">
        <v>4</v>
      </c>
      <c r="AA18" s="2">
        <v>3</v>
      </c>
      <c r="AB18" s="2">
        <v>3</v>
      </c>
      <c r="AC18" s="2">
        <v>2</v>
      </c>
      <c r="AD18" s="2">
        <v>4</v>
      </c>
      <c r="AE18" s="2">
        <v>2</v>
      </c>
      <c r="AF18" s="2">
        <v>2</v>
      </c>
      <c r="AG18" s="2">
        <v>2</v>
      </c>
      <c r="AH18" s="2">
        <v>2</v>
      </c>
      <c r="AI18" s="2">
        <v>2</v>
      </c>
      <c r="AJ18" s="2">
        <v>3</v>
      </c>
      <c r="AK18" s="2">
        <v>2</v>
      </c>
      <c r="AL18" s="2">
        <v>2</v>
      </c>
      <c r="AM18" s="2">
        <v>3</v>
      </c>
      <c r="AN18" s="2">
        <v>2</v>
      </c>
      <c r="AO18" s="2">
        <v>2</v>
      </c>
      <c r="AP18" s="2">
        <v>2</v>
      </c>
      <c r="AQ18" s="2">
        <v>2</v>
      </c>
      <c r="AR18" s="2">
        <v>3</v>
      </c>
      <c r="AS18" s="2">
        <v>3</v>
      </c>
      <c r="AT18" s="2">
        <v>2</v>
      </c>
      <c r="AU18" s="2">
        <v>4</v>
      </c>
      <c r="AV18" s="2">
        <v>4</v>
      </c>
      <c r="AW18" s="2">
        <v>3</v>
      </c>
      <c r="AX18" s="2">
        <v>2</v>
      </c>
      <c r="AY18" s="2">
        <v>2</v>
      </c>
      <c r="AZ18" s="2">
        <v>2</v>
      </c>
      <c r="BA18" s="2">
        <v>2</v>
      </c>
      <c r="BB18" s="2">
        <v>3</v>
      </c>
      <c r="BC18" s="2">
        <v>3</v>
      </c>
      <c r="BD18" s="2">
        <v>4</v>
      </c>
      <c r="BE18" s="2">
        <v>4</v>
      </c>
      <c r="BF18" s="2">
        <v>2</v>
      </c>
    </row>
    <row r="19" spans="1:58" x14ac:dyDescent="0.25">
      <c r="A19" s="102">
        <v>3</v>
      </c>
      <c r="B19" s="2">
        <v>3</v>
      </c>
      <c r="C19" s="2">
        <v>2</v>
      </c>
      <c r="D19" s="2">
        <v>2</v>
      </c>
      <c r="E19" s="2">
        <v>2</v>
      </c>
      <c r="F19" s="2">
        <v>3</v>
      </c>
      <c r="G19" s="2">
        <v>2</v>
      </c>
      <c r="H19" s="2">
        <v>3</v>
      </c>
      <c r="I19" s="2">
        <v>2</v>
      </c>
      <c r="J19" s="102">
        <v>2</v>
      </c>
      <c r="K19" s="2">
        <v>2</v>
      </c>
      <c r="L19" s="2">
        <v>2</v>
      </c>
      <c r="M19" s="2">
        <v>2</v>
      </c>
      <c r="N19" s="2">
        <v>3</v>
      </c>
      <c r="O19" s="2">
        <v>2</v>
      </c>
      <c r="P19" s="2">
        <v>2</v>
      </c>
      <c r="Q19" s="2">
        <v>2</v>
      </c>
      <c r="R19" s="2">
        <v>4</v>
      </c>
      <c r="S19" s="2">
        <v>3</v>
      </c>
      <c r="T19" s="2">
        <v>2</v>
      </c>
      <c r="U19" s="2">
        <v>3</v>
      </c>
      <c r="V19" s="2">
        <v>3</v>
      </c>
      <c r="W19" s="2">
        <v>2</v>
      </c>
      <c r="X19" s="2">
        <v>2</v>
      </c>
      <c r="Y19" s="2">
        <v>2</v>
      </c>
      <c r="Z19" s="2">
        <v>3</v>
      </c>
      <c r="AA19" s="2">
        <v>2</v>
      </c>
      <c r="AB19" s="2">
        <v>2</v>
      </c>
      <c r="AC19" s="2">
        <v>3</v>
      </c>
      <c r="AD19" s="2">
        <v>2</v>
      </c>
      <c r="AE19" s="2">
        <v>2</v>
      </c>
      <c r="AF19" s="2">
        <v>3</v>
      </c>
      <c r="AG19" s="2">
        <v>2</v>
      </c>
      <c r="AH19" s="2">
        <v>3</v>
      </c>
      <c r="AI19" s="2">
        <v>2</v>
      </c>
      <c r="AJ19" s="2">
        <v>2</v>
      </c>
      <c r="AK19" s="2">
        <v>4</v>
      </c>
      <c r="AL19" s="2">
        <v>2</v>
      </c>
      <c r="AM19" s="2">
        <v>2</v>
      </c>
      <c r="AN19" s="2">
        <v>3</v>
      </c>
      <c r="AO19" s="2">
        <v>2</v>
      </c>
      <c r="AP19" s="2">
        <v>2</v>
      </c>
      <c r="AQ19" s="2">
        <v>2</v>
      </c>
      <c r="AR19" s="2">
        <v>3</v>
      </c>
      <c r="AS19" s="2">
        <v>2</v>
      </c>
      <c r="AT19" s="2">
        <v>3</v>
      </c>
      <c r="AU19" s="2">
        <v>2</v>
      </c>
      <c r="AV19" s="2">
        <v>2</v>
      </c>
      <c r="AW19" s="2">
        <v>2</v>
      </c>
      <c r="AX19" s="2">
        <v>2</v>
      </c>
      <c r="AY19" s="2">
        <v>2</v>
      </c>
      <c r="AZ19" s="2">
        <v>3</v>
      </c>
      <c r="BA19" s="2">
        <v>2</v>
      </c>
      <c r="BB19" s="2">
        <v>2</v>
      </c>
      <c r="BC19" s="2">
        <v>3</v>
      </c>
      <c r="BD19" s="2">
        <v>3</v>
      </c>
      <c r="BE19" s="2">
        <v>2</v>
      </c>
      <c r="BF19" s="2">
        <v>2</v>
      </c>
    </row>
    <row r="20" spans="1:58" x14ac:dyDescent="0.25">
      <c r="A20" s="102">
        <v>2</v>
      </c>
      <c r="B20" s="2">
        <v>2</v>
      </c>
      <c r="C20" s="2">
        <v>2</v>
      </c>
      <c r="D20" s="2">
        <v>3</v>
      </c>
      <c r="E20" s="2">
        <v>5</v>
      </c>
      <c r="F20" s="2">
        <v>4</v>
      </c>
      <c r="G20" s="2">
        <v>2</v>
      </c>
      <c r="H20" s="2">
        <v>2</v>
      </c>
      <c r="I20" s="2">
        <v>4</v>
      </c>
      <c r="J20" s="102">
        <v>2</v>
      </c>
      <c r="K20" s="2">
        <v>2</v>
      </c>
      <c r="L20" s="2">
        <v>2</v>
      </c>
      <c r="M20" s="2">
        <v>2</v>
      </c>
      <c r="N20" s="2">
        <v>3</v>
      </c>
      <c r="O20" s="2">
        <v>5</v>
      </c>
      <c r="P20" s="2">
        <v>2</v>
      </c>
      <c r="Q20" s="2">
        <v>4</v>
      </c>
      <c r="R20" s="2">
        <v>2</v>
      </c>
      <c r="S20" s="2">
        <v>2</v>
      </c>
      <c r="T20" s="2">
        <v>2</v>
      </c>
      <c r="U20" s="2">
        <v>2</v>
      </c>
      <c r="V20" s="2">
        <v>4</v>
      </c>
      <c r="W20" s="2">
        <v>3</v>
      </c>
      <c r="X20" s="2">
        <v>2</v>
      </c>
      <c r="Y20" s="2">
        <v>3</v>
      </c>
      <c r="Z20" s="2">
        <v>3</v>
      </c>
      <c r="AA20" s="2">
        <v>2</v>
      </c>
      <c r="AB20" s="2">
        <v>2</v>
      </c>
      <c r="AC20" s="2">
        <v>2</v>
      </c>
      <c r="AD20" s="2">
        <v>2</v>
      </c>
      <c r="AE20" s="2">
        <v>2</v>
      </c>
      <c r="AF20" s="2">
        <v>2</v>
      </c>
      <c r="AG20" s="2">
        <v>3</v>
      </c>
      <c r="AH20" s="2">
        <v>5</v>
      </c>
      <c r="AI20" s="2">
        <v>2</v>
      </c>
      <c r="AJ20" s="2">
        <v>2</v>
      </c>
      <c r="AK20" s="2">
        <v>2</v>
      </c>
      <c r="AL20" s="2">
        <v>4</v>
      </c>
      <c r="AM20" s="2">
        <v>3</v>
      </c>
      <c r="AN20" s="2">
        <v>2</v>
      </c>
      <c r="AO20" s="2">
        <v>2</v>
      </c>
      <c r="AP20" s="2">
        <v>3</v>
      </c>
      <c r="AQ20" s="2">
        <v>5</v>
      </c>
      <c r="AR20" s="2">
        <v>2</v>
      </c>
      <c r="AS20" s="2">
        <v>2</v>
      </c>
      <c r="AT20" s="2">
        <v>3</v>
      </c>
      <c r="AU20" s="2">
        <v>2</v>
      </c>
      <c r="AV20" s="2">
        <v>2</v>
      </c>
      <c r="AW20" s="2">
        <v>4</v>
      </c>
      <c r="AX20" s="2">
        <v>2</v>
      </c>
      <c r="AY20" s="2">
        <v>3</v>
      </c>
      <c r="AZ20" s="2">
        <v>2</v>
      </c>
      <c r="BA20" s="2">
        <v>2</v>
      </c>
      <c r="BB20" s="2">
        <v>2</v>
      </c>
      <c r="BC20" s="2">
        <v>3</v>
      </c>
      <c r="BD20" s="2">
        <v>3</v>
      </c>
      <c r="BE20" s="2">
        <v>2</v>
      </c>
      <c r="BF20" s="2">
        <v>2</v>
      </c>
    </row>
    <row r="21" spans="1:58" x14ac:dyDescent="0.25">
      <c r="A21" s="102">
        <v>5</v>
      </c>
      <c r="B21" s="2">
        <v>2</v>
      </c>
      <c r="C21" s="2">
        <v>2</v>
      </c>
      <c r="D21" s="2">
        <v>5</v>
      </c>
      <c r="E21" s="2">
        <v>4</v>
      </c>
      <c r="F21" s="2">
        <v>3</v>
      </c>
      <c r="G21" s="2">
        <v>4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5</v>
      </c>
      <c r="N21" s="2">
        <v>3</v>
      </c>
      <c r="O21" s="2">
        <v>2</v>
      </c>
      <c r="P21" s="2">
        <v>2</v>
      </c>
      <c r="Q21" s="2">
        <v>2</v>
      </c>
      <c r="R21" s="2">
        <v>3</v>
      </c>
      <c r="S21" s="2">
        <v>3</v>
      </c>
      <c r="T21" s="2">
        <v>3</v>
      </c>
      <c r="U21" s="2">
        <v>4</v>
      </c>
      <c r="V21" s="2">
        <v>2</v>
      </c>
      <c r="W21" s="2">
        <v>5</v>
      </c>
      <c r="X21" s="2">
        <v>2</v>
      </c>
      <c r="Y21" s="2">
        <v>2</v>
      </c>
      <c r="Z21" s="2">
        <v>2</v>
      </c>
      <c r="AA21" s="2">
        <v>5</v>
      </c>
      <c r="AB21" s="2">
        <v>2</v>
      </c>
      <c r="AC21" s="2">
        <v>2</v>
      </c>
      <c r="AD21" s="2">
        <v>2</v>
      </c>
      <c r="AE21" s="2">
        <v>5</v>
      </c>
      <c r="AF21" s="2">
        <v>3</v>
      </c>
      <c r="AG21" s="2">
        <v>2</v>
      </c>
      <c r="AH21" s="2">
        <v>2</v>
      </c>
      <c r="AI21" s="2">
        <v>2</v>
      </c>
      <c r="AJ21" s="2">
        <v>2</v>
      </c>
      <c r="AK21" s="2">
        <v>2</v>
      </c>
      <c r="AL21" s="2">
        <v>2</v>
      </c>
      <c r="AM21" s="2">
        <v>5</v>
      </c>
      <c r="AN21" s="2">
        <v>5</v>
      </c>
      <c r="AO21" s="2">
        <v>2</v>
      </c>
      <c r="AP21" s="2">
        <v>2</v>
      </c>
      <c r="AQ21" s="2">
        <v>2</v>
      </c>
      <c r="AR21" s="2">
        <v>3</v>
      </c>
      <c r="AS21" s="2">
        <v>2</v>
      </c>
      <c r="AT21" s="2">
        <v>2</v>
      </c>
      <c r="AU21" s="2">
        <v>5</v>
      </c>
      <c r="AV21" s="2">
        <v>2</v>
      </c>
      <c r="AW21" s="2">
        <v>2</v>
      </c>
      <c r="AX21" s="2">
        <v>2</v>
      </c>
      <c r="AY21" s="2">
        <v>2</v>
      </c>
      <c r="AZ21" s="2">
        <v>3</v>
      </c>
      <c r="BA21" s="2">
        <v>2</v>
      </c>
      <c r="BB21" s="2">
        <v>2</v>
      </c>
      <c r="BC21" s="2">
        <v>2</v>
      </c>
      <c r="BD21" s="2">
        <v>2</v>
      </c>
      <c r="BE21" s="2">
        <v>3</v>
      </c>
      <c r="BF21" s="2">
        <v>3</v>
      </c>
    </row>
    <row r="22" spans="1:58" x14ac:dyDescent="0.25">
      <c r="A22" s="102">
        <v>4</v>
      </c>
      <c r="B22" s="2">
        <v>2</v>
      </c>
      <c r="C22" s="2">
        <v>3</v>
      </c>
      <c r="D22" s="2">
        <v>2</v>
      </c>
      <c r="E22" s="2">
        <v>2</v>
      </c>
      <c r="F22" s="2">
        <v>3</v>
      </c>
      <c r="G22" s="2">
        <v>3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3</v>
      </c>
      <c r="N22" s="2">
        <v>2</v>
      </c>
      <c r="O22" s="2">
        <v>2</v>
      </c>
      <c r="P22" s="2">
        <v>2</v>
      </c>
      <c r="Q22" s="2">
        <v>2</v>
      </c>
      <c r="R22" s="2">
        <v>3</v>
      </c>
      <c r="S22" s="2">
        <v>2</v>
      </c>
      <c r="T22" s="2">
        <v>3</v>
      </c>
      <c r="U22" s="2">
        <v>3</v>
      </c>
      <c r="V22" s="2">
        <v>2</v>
      </c>
      <c r="W22" s="2">
        <v>2</v>
      </c>
      <c r="X22" s="2">
        <v>3</v>
      </c>
      <c r="Y22" s="2">
        <v>5</v>
      </c>
      <c r="Z22" s="2">
        <v>2</v>
      </c>
      <c r="AA22" s="2">
        <v>3</v>
      </c>
      <c r="AB22" s="2">
        <v>2</v>
      </c>
      <c r="AC22" s="2">
        <v>4</v>
      </c>
      <c r="AD22" s="2">
        <v>2</v>
      </c>
      <c r="AE22" s="2">
        <v>3</v>
      </c>
      <c r="AF22" s="2">
        <v>3</v>
      </c>
      <c r="AG22" s="2">
        <v>2</v>
      </c>
      <c r="AH22" s="2">
        <v>2</v>
      </c>
      <c r="AI22" s="2">
        <v>2</v>
      </c>
      <c r="AJ22" s="2">
        <v>3</v>
      </c>
      <c r="AK22" s="2">
        <v>2</v>
      </c>
      <c r="AL22" s="2">
        <v>2</v>
      </c>
      <c r="AM22" s="2">
        <v>4</v>
      </c>
      <c r="AN22" s="2">
        <v>2</v>
      </c>
      <c r="AO22" s="2">
        <v>2</v>
      </c>
      <c r="AP22" s="2">
        <v>3</v>
      </c>
      <c r="AQ22" s="2">
        <v>2</v>
      </c>
      <c r="AR22" s="2">
        <v>2</v>
      </c>
      <c r="AS22" s="2">
        <v>5</v>
      </c>
      <c r="AT22" s="2">
        <v>2</v>
      </c>
      <c r="AU22" s="2">
        <v>2</v>
      </c>
      <c r="AV22" s="2">
        <v>3</v>
      </c>
      <c r="AW22" s="2">
        <v>2</v>
      </c>
      <c r="AX22" s="2">
        <v>2</v>
      </c>
      <c r="AY22" s="2">
        <v>3</v>
      </c>
      <c r="AZ22" s="2">
        <v>2</v>
      </c>
      <c r="BA22" s="2">
        <v>2</v>
      </c>
      <c r="BB22" s="2">
        <v>2</v>
      </c>
      <c r="BC22" s="2">
        <v>5</v>
      </c>
      <c r="BD22" s="2">
        <v>3</v>
      </c>
      <c r="BE22" s="2">
        <v>2</v>
      </c>
      <c r="BF22" s="2"/>
    </row>
    <row r="23" spans="1:58" x14ac:dyDescent="0.25">
      <c r="A23" s="102">
        <v>2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5</v>
      </c>
      <c r="J23" s="2">
        <v>3</v>
      </c>
      <c r="K23" s="2">
        <v>2</v>
      </c>
      <c r="L23" s="2">
        <v>2</v>
      </c>
      <c r="M23" s="2">
        <v>2</v>
      </c>
      <c r="N23" s="2">
        <v>3</v>
      </c>
      <c r="O23" s="2">
        <v>2</v>
      </c>
      <c r="P23" s="2">
        <v>3</v>
      </c>
      <c r="Q23" s="2">
        <v>3</v>
      </c>
      <c r="R23" s="2">
        <v>2</v>
      </c>
      <c r="S23" s="2">
        <v>3</v>
      </c>
      <c r="T23" s="2">
        <v>2</v>
      </c>
      <c r="U23" s="2">
        <v>2</v>
      </c>
      <c r="V23" s="2">
        <v>2</v>
      </c>
      <c r="W23" s="2">
        <v>2</v>
      </c>
      <c r="X23" s="2">
        <v>2</v>
      </c>
      <c r="Y23" s="2">
        <v>3</v>
      </c>
      <c r="Z23" s="2">
        <v>2</v>
      </c>
      <c r="AA23" s="2">
        <v>2</v>
      </c>
      <c r="AB23" s="2">
        <v>2</v>
      </c>
      <c r="AC23" s="2">
        <v>3</v>
      </c>
      <c r="AD23" s="2">
        <v>2</v>
      </c>
      <c r="AE23" s="2">
        <v>2</v>
      </c>
      <c r="AF23" s="2">
        <v>2</v>
      </c>
      <c r="AG23" s="2">
        <v>3</v>
      </c>
      <c r="AH23" s="2">
        <v>2</v>
      </c>
      <c r="AI23" s="2">
        <v>2</v>
      </c>
      <c r="AJ23" s="2">
        <v>2</v>
      </c>
      <c r="AK23" s="2">
        <v>2</v>
      </c>
      <c r="AL23" s="2">
        <v>2</v>
      </c>
      <c r="AM23" s="2">
        <v>3</v>
      </c>
      <c r="AN23" s="2">
        <v>5</v>
      </c>
      <c r="AO23" s="2">
        <v>3</v>
      </c>
      <c r="AP23" s="2">
        <v>3</v>
      </c>
      <c r="AQ23" s="2">
        <v>2</v>
      </c>
      <c r="AR23" s="2">
        <v>3</v>
      </c>
      <c r="AS23" s="2">
        <v>2</v>
      </c>
      <c r="AT23" s="2">
        <v>2</v>
      </c>
      <c r="AU23" s="2">
        <v>2</v>
      </c>
      <c r="AV23" s="2">
        <v>3</v>
      </c>
      <c r="AW23" s="2">
        <v>5</v>
      </c>
      <c r="AX23" s="2">
        <v>2</v>
      </c>
      <c r="AY23" s="2">
        <v>3</v>
      </c>
      <c r="AZ23" s="2">
        <v>2</v>
      </c>
      <c r="BA23" s="2">
        <v>3</v>
      </c>
      <c r="BB23" s="2">
        <v>5</v>
      </c>
      <c r="BC23" s="2">
        <v>3</v>
      </c>
      <c r="BD23" s="2">
        <v>2</v>
      </c>
      <c r="BE23" s="2">
        <v>3</v>
      </c>
      <c r="BF23" s="2"/>
    </row>
    <row r="24" spans="1:58" x14ac:dyDescent="0.25">
      <c r="A24" s="102">
        <v>3</v>
      </c>
      <c r="B24" s="2">
        <v>2</v>
      </c>
      <c r="C24" s="2">
        <v>2</v>
      </c>
      <c r="D24" s="2">
        <v>3</v>
      </c>
      <c r="E24" s="2">
        <v>3</v>
      </c>
      <c r="F24" s="2">
        <v>5</v>
      </c>
      <c r="G24" s="2">
        <v>2</v>
      </c>
      <c r="H24" s="2">
        <v>2</v>
      </c>
      <c r="I24" s="2">
        <v>5</v>
      </c>
      <c r="J24" s="2">
        <v>2</v>
      </c>
      <c r="K24" s="2">
        <v>3</v>
      </c>
      <c r="L24" s="2">
        <v>4</v>
      </c>
      <c r="M24" s="2">
        <v>2</v>
      </c>
      <c r="N24" s="2">
        <v>2</v>
      </c>
      <c r="O24" s="2">
        <v>2</v>
      </c>
      <c r="P24" s="2">
        <v>3</v>
      </c>
      <c r="Q24" s="2">
        <v>3</v>
      </c>
      <c r="R24" s="2">
        <v>2</v>
      </c>
      <c r="S24" s="2">
        <v>2</v>
      </c>
      <c r="T24" s="2">
        <v>2</v>
      </c>
      <c r="U24" s="2">
        <v>2</v>
      </c>
      <c r="V24" s="2">
        <v>2</v>
      </c>
      <c r="W24" s="2">
        <v>5</v>
      </c>
      <c r="X24" s="2">
        <v>2</v>
      </c>
      <c r="Y24" s="2">
        <v>2</v>
      </c>
      <c r="Z24" s="2">
        <v>2</v>
      </c>
      <c r="AA24" s="2">
        <v>3</v>
      </c>
      <c r="AB24" s="2">
        <v>3</v>
      </c>
      <c r="AC24" s="2">
        <v>2</v>
      </c>
      <c r="AD24" s="2">
        <v>3</v>
      </c>
      <c r="AE24" s="2">
        <v>2</v>
      </c>
      <c r="AF24" s="2">
        <v>2</v>
      </c>
      <c r="AG24" s="2">
        <v>4</v>
      </c>
      <c r="AH24" s="2">
        <v>2</v>
      </c>
      <c r="AI24" s="2">
        <v>3</v>
      </c>
      <c r="AJ24" s="2">
        <v>4</v>
      </c>
      <c r="AK24" s="2">
        <v>3</v>
      </c>
      <c r="AL24" s="2">
        <v>3</v>
      </c>
      <c r="AM24" s="2">
        <v>2</v>
      </c>
      <c r="AN24" s="2">
        <v>3</v>
      </c>
      <c r="AO24" s="2">
        <v>2</v>
      </c>
      <c r="AP24" s="2">
        <v>2</v>
      </c>
      <c r="AQ24" s="2">
        <v>2</v>
      </c>
      <c r="AR24" s="2">
        <v>3</v>
      </c>
      <c r="AS24" s="2">
        <v>2</v>
      </c>
      <c r="AT24" s="2">
        <v>3</v>
      </c>
      <c r="AU24" s="2">
        <v>2</v>
      </c>
      <c r="AV24" s="2">
        <v>2</v>
      </c>
      <c r="AW24" s="2">
        <v>3</v>
      </c>
      <c r="AX24" s="2">
        <v>4</v>
      </c>
      <c r="AY24" s="2">
        <v>2</v>
      </c>
      <c r="AZ24" s="2">
        <v>2</v>
      </c>
      <c r="BA24" s="2">
        <v>3</v>
      </c>
      <c r="BB24" s="2">
        <v>2</v>
      </c>
      <c r="BC24" s="2">
        <v>3</v>
      </c>
      <c r="BD24" s="2">
        <v>2</v>
      </c>
      <c r="BE24" s="2">
        <v>5</v>
      </c>
      <c r="BF24" s="2"/>
    </row>
    <row r="25" spans="1:58" x14ac:dyDescent="0.25">
      <c r="A25" s="102">
        <v>2</v>
      </c>
      <c r="B25" s="2">
        <v>2</v>
      </c>
      <c r="C25" s="2">
        <v>2</v>
      </c>
      <c r="D25" s="2">
        <v>5</v>
      </c>
      <c r="E25" s="2">
        <v>4</v>
      </c>
      <c r="F25" s="2">
        <v>2</v>
      </c>
      <c r="G25" s="2">
        <v>5</v>
      </c>
      <c r="H25" s="2">
        <v>2</v>
      </c>
      <c r="I25" s="2">
        <v>2</v>
      </c>
      <c r="J25" s="102">
        <v>2</v>
      </c>
      <c r="K25" s="2">
        <v>5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2">
        <v>2</v>
      </c>
      <c r="R25" s="2">
        <v>2</v>
      </c>
      <c r="S25" s="2">
        <v>2</v>
      </c>
      <c r="T25" s="2">
        <v>2</v>
      </c>
      <c r="U25" s="2">
        <v>2</v>
      </c>
      <c r="V25" s="2">
        <v>4</v>
      </c>
      <c r="W25" s="2">
        <v>2</v>
      </c>
      <c r="X25" s="2">
        <v>2</v>
      </c>
      <c r="Y25" s="2">
        <v>2</v>
      </c>
      <c r="Z25" s="2">
        <v>3</v>
      </c>
      <c r="AA25" s="2">
        <v>2</v>
      </c>
      <c r="AB25" s="2">
        <v>3</v>
      </c>
      <c r="AC25" s="2">
        <v>2</v>
      </c>
      <c r="AD25" s="2">
        <v>4</v>
      </c>
      <c r="AE25" s="2">
        <v>2</v>
      </c>
      <c r="AF25" s="2">
        <v>2</v>
      </c>
      <c r="AG25" s="2">
        <v>3</v>
      </c>
      <c r="AH25" s="2">
        <v>2</v>
      </c>
      <c r="AI25" s="2">
        <v>3</v>
      </c>
      <c r="AJ25" s="2">
        <v>3</v>
      </c>
      <c r="AK25" s="2">
        <v>3</v>
      </c>
      <c r="AL25" s="2">
        <v>2</v>
      </c>
      <c r="AM25" s="2">
        <v>3</v>
      </c>
      <c r="AN25" s="2">
        <v>3</v>
      </c>
      <c r="AO25" s="2">
        <v>2</v>
      </c>
      <c r="AP25" s="2">
        <v>2</v>
      </c>
      <c r="AQ25" s="2">
        <v>3</v>
      </c>
      <c r="AR25" s="2">
        <v>5</v>
      </c>
      <c r="AS25" s="2">
        <v>2</v>
      </c>
      <c r="AT25" s="2">
        <v>2</v>
      </c>
      <c r="AU25" s="2">
        <v>2</v>
      </c>
      <c r="AV25" s="2">
        <v>3</v>
      </c>
      <c r="AW25" s="2">
        <v>3</v>
      </c>
      <c r="AX25" s="2">
        <v>4</v>
      </c>
      <c r="AY25" s="2">
        <v>2</v>
      </c>
      <c r="AZ25" s="2">
        <v>4</v>
      </c>
      <c r="BA25" s="2">
        <v>2</v>
      </c>
      <c r="BB25" s="2">
        <v>2</v>
      </c>
      <c r="BC25" s="2">
        <v>2</v>
      </c>
      <c r="BD25" s="2">
        <v>2</v>
      </c>
      <c r="BE25" s="2">
        <v>2</v>
      </c>
      <c r="BF25" s="2"/>
    </row>
    <row r="26" spans="1:58" x14ac:dyDescent="0.25">
      <c r="A26" s="102">
        <v>2</v>
      </c>
      <c r="B26" s="2">
        <v>2</v>
      </c>
      <c r="C26" s="2">
        <v>2</v>
      </c>
      <c r="D26" s="2">
        <v>4</v>
      </c>
      <c r="E26" s="2">
        <v>2</v>
      </c>
      <c r="F26" s="2">
        <v>5</v>
      </c>
      <c r="G26" s="2">
        <v>2</v>
      </c>
      <c r="H26" s="2">
        <v>5</v>
      </c>
      <c r="I26" s="2">
        <v>3</v>
      </c>
      <c r="J26" s="102">
        <v>2</v>
      </c>
      <c r="K26" s="2">
        <v>4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2">
        <v>2</v>
      </c>
      <c r="R26" s="2">
        <v>2</v>
      </c>
      <c r="S26" s="2">
        <v>2</v>
      </c>
      <c r="T26" s="2">
        <v>2</v>
      </c>
      <c r="U26" s="2">
        <v>2</v>
      </c>
      <c r="V26" s="2">
        <v>3</v>
      </c>
      <c r="W26" s="2">
        <v>2</v>
      </c>
      <c r="X26" s="2">
        <v>4</v>
      </c>
      <c r="Y26" s="2">
        <v>2</v>
      </c>
      <c r="Z26" s="2">
        <v>2</v>
      </c>
      <c r="AA26" s="2">
        <v>3</v>
      </c>
      <c r="AB26" s="2">
        <v>4</v>
      </c>
      <c r="AC26" s="2">
        <v>2</v>
      </c>
      <c r="AD26" s="2">
        <v>3</v>
      </c>
      <c r="AE26" s="2">
        <v>3</v>
      </c>
      <c r="AF26" s="2">
        <v>3</v>
      </c>
      <c r="AG26" s="2">
        <v>2</v>
      </c>
      <c r="AH26" s="2">
        <v>2</v>
      </c>
      <c r="AI26" s="2">
        <v>2</v>
      </c>
      <c r="AJ26" s="2">
        <v>2</v>
      </c>
      <c r="AK26" s="2">
        <v>2</v>
      </c>
      <c r="AL26" s="2">
        <v>2</v>
      </c>
      <c r="AM26" s="2">
        <v>4</v>
      </c>
      <c r="AN26" s="2">
        <v>2</v>
      </c>
      <c r="AO26" s="2">
        <v>3</v>
      </c>
      <c r="AP26" s="2">
        <v>2</v>
      </c>
      <c r="AQ26" s="2">
        <v>2</v>
      </c>
      <c r="AR26" s="2">
        <v>2</v>
      </c>
      <c r="AS26" s="2">
        <v>3</v>
      </c>
      <c r="AT26" s="2">
        <v>3</v>
      </c>
      <c r="AU26" s="2">
        <v>2</v>
      </c>
      <c r="AV26" s="2">
        <v>2</v>
      </c>
      <c r="AW26" s="2">
        <v>2</v>
      </c>
      <c r="AX26" s="2">
        <v>2</v>
      </c>
      <c r="AY26" s="2">
        <v>5</v>
      </c>
      <c r="AZ26" s="2">
        <v>4</v>
      </c>
      <c r="BA26" s="2">
        <v>2</v>
      </c>
      <c r="BB26" s="2">
        <v>2</v>
      </c>
      <c r="BC26" s="2">
        <v>2</v>
      </c>
      <c r="BD26" s="2">
        <v>2</v>
      </c>
      <c r="BE26" s="2">
        <v>2</v>
      </c>
      <c r="BF26" s="2"/>
    </row>
    <row r="27" spans="1:58" x14ac:dyDescent="0.25">
      <c r="A27" s="102">
        <v>2</v>
      </c>
      <c r="B27" s="2">
        <v>2</v>
      </c>
      <c r="C27" s="2">
        <v>3</v>
      </c>
      <c r="D27" s="2">
        <v>3</v>
      </c>
      <c r="E27" s="2">
        <v>5</v>
      </c>
      <c r="F27" s="2">
        <v>2</v>
      </c>
      <c r="G27" s="2">
        <v>2</v>
      </c>
      <c r="H27" s="2">
        <v>2</v>
      </c>
      <c r="I27" s="2">
        <v>2</v>
      </c>
      <c r="J27" s="102">
        <v>3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4</v>
      </c>
      <c r="Q27" s="2">
        <v>2</v>
      </c>
      <c r="R27" s="2">
        <v>2</v>
      </c>
      <c r="S27" s="2">
        <v>2</v>
      </c>
      <c r="T27" s="2">
        <v>3</v>
      </c>
      <c r="U27" s="2">
        <v>3</v>
      </c>
      <c r="V27" s="2">
        <v>2</v>
      </c>
      <c r="W27" s="2">
        <v>4</v>
      </c>
      <c r="X27" s="2">
        <v>3</v>
      </c>
      <c r="Y27" s="2">
        <v>2</v>
      </c>
      <c r="Z27" s="2">
        <v>3</v>
      </c>
      <c r="AA27" s="2">
        <v>2</v>
      </c>
      <c r="AB27" s="2">
        <v>3</v>
      </c>
      <c r="AC27" s="2">
        <v>2</v>
      </c>
      <c r="AD27" s="2">
        <v>2</v>
      </c>
      <c r="AE27" s="2">
        <v>2</v>
      </c>
      <c r="AF27" s="2">
        <v>2</v>
      </c>
      <c r="AG27" s="2">
        <v>2</v>
      </c>
      <c r="AH27" s="2">
        <v>2</v>
      </c>
      <c r="AI27" s="2">
        <v>2</v>
      </c>
      <c r="AJ27" s="2">
        <v>2</v>
      </c>
      <c r="AK27" s="2">
        <v>2</v>
      </c>
      <c r="AL27" s="2">
        <v>3</v>
      </c>
      <c r="AM27" s="2">
        <v>4</v>
      </c>
      <c r="AN27" s="2">
        <v>2</v>
      </c>
      <c r="AO27" s="2">
        <v>2</v>
      </c>
      <c r="AP27" s="2">
        <v>4</v>
      </c>
      <c r="AQ27" s="2">
        <v>2</v>
      </c>
      <c r="AR27" s="2">
        <v>3</v>
      </c>
      <c r="AS27" s="2">
        <v>5</v>
      </c>
      <c r="AT27" s="2">
        <v>2</v>
      </c>
      <c r="AU27" s="2">
        <v>2</v>
      </c>
      <c r="AV27" s="2">
        <v>2</v>
      </c>
      <c r="AW27" s="2">
        <v>4</v>
      </c>
      <c r="AX27" s="2">
        <v>2</v>
      </c>
      <c r="AY27" s="2">
        <v>2</v>
      </c>
      <c r="AZ27" s="2">
        <v>2</v>
      </c>
      <c r="BA27" s="2">
        <v>2</v>
      </c>
      <c r="BB27" s="2">
        <v>4</v>
      </c>
      <c r="BC27" s="2">
        <v>4</v>
      </c>
      <c r="BD27" s="2">
        <v>2</v>
      </c>
      <c r="BE27" s="2">
        <v>2</v>
      </c>
      <c r="BF27" s="2"/>
    </row>
    <row r="28" spans="1:58" x14ac:dyDescent="0.25">
      <c r="A28" s="102">
        <v>2</v>
      </c>
      <c r="B28" s="2">
        <v>2</v>
      </c>
      <c r="C28" s="2">
        <v>2</v>
      </c>
      <c r="D28" s="2">
        <v>3</v>
      </c>
      <c r="E28" s="2">
        <v>4</v>
      </c>
      <c r="F28" s="2">
        <v>5</v>
      </c>
      <c r="G28" s="2">
        <v>2</v>
      </c>
      <c r="H28" s="2">
        <v>2</v>
      </c>
      <c r="I28" s="2">
        <v>2</v>
      </c>
      <c r="J28" s="102">
        <v>2</v>
      </c>
      <c r="K28" s="2">
        <v>2</v>
      </c>
      <c r="L28" s="2">
        <v>2</v>
      </c>
      <c r="M28" s="2">
        <v>2</v>
      </c>
      <c r="N28" s="2">
        <v>2</v>
      </c>
      <c r="O28" s="2">
        <v>2</v>
      </c>
      <c r="P28" s="2">
        <v>2</v>
      </c>
      <c r="Q28" s="2">
        <v>2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2</v>
      </c>
      <c r="X28" s="2">
        <v>2</v>
      </c>
      <c r="Y28" s="2">
        <v>2</v>
      </c>
      <c r="Z28" s="2">
        <v>2</v>
      </c>
      <c r="AA28" s="2">
        <v>3</v>
      </c>
      <c r="AB28" s="2">
        <v>2</v>
      </c>
      <c r="AC28" s="2">
        <v>3</v>
      </c>
      <c r="AD28" s="2">
        <v>3</v>
      </c>
      <c r="AE28" s="2">
        <v>2</v>
      </c>
      <c r="AF28" s="2">
        <v>2</v>
      </c>
      <c r="AG28" s="2">
        <v>4</v>
      </c>
      <c r="AH28" s="2">
        <v>2</v>
      </c>
      <c r="AI28" s="2">
        <v>5</v>
      </c>
      <c r="AJ28" s="2">
        <v>3</v>
      </c>
      <c r="AK28" s="2">
        <v>2</v>
      </c>
      <c r="AL28" s="2">
        <v>2</v>
      </c>
      <c r="AM28" s="2">
        <v>3</v>
      </c>
      <c r="AN28" s="2">
        <v>2</v>
      </c>
      <c r="AO28" s="2">
        <v>2</v>
      </c>
      <c r="AP28" s="2">
        <v>5</v>
      </c>
      <c r="AQ28" s="2">
        <v>2</v>
      </c>
      <c r="AR28" s="2">
        <v>2</v>
      </c>
      <c r="AS28" s="2">
        <v>2</v>
      </c>
      <c r="AT28" s="2">
        <v>2</v>
      </c>
      <c r="AU28" s="2">
        <v>2</v>
      </c>
      <c r="AV28" s="2">
        <v>2</v>
      </c>
      <c r="AW28" s="2">
        <v>2</v>
      </c>
      <c r="AX28" s="2">
        <v>2</v>
      </c>
      <c r="AY28" s="2">
        <v>2</v>
      </c>
      <c r="AZ28" s="2">
        <v>4</v>
      </c>
      <c r="BA28" s="2">
        <v>3</v>
      </c>
      <c r="BB28" s="2">
        <v>2</v>
      </c>
      <c r="BC28" s="2">
        <v>5</v>
      </c>
      <c r="BD28" s="2">
        <v>2</v>
      </c>
      <c r="BE28" s="2">
        <v>2</v>
      </c>
      <c r="BF28" s="2"/>
    </row>
    <row r="29" spans="1:58" x14ac:dyDescent="0.25">
      <c r="A29" s="102">
        <v>2</v>
      </c>
      <c r="B29" s="2">
        <v>2</v>
      </c>
      <c r="C29" s="2">
        <v>2</v>
      </c>
      <c r="D29" s="2">
        <v>2</v>
      </c>
      <c r="E29" s="2">
        <v>4</v>
      </c>
      <c r="F29" s="2">
        <v>2</v>
      </c>
      <c r="G29" s="2">
        <v>3</v>
      </c>
      <c r="H29" s="2">
        <v>2</v>
      </c>
      <c r="I29" s="2">
        <v>2</v>
      </c>
      <c r="J29" s="102">
        <v>3</v>
      </c>
      <c r="K29" s="2">
        <v>2</v>
      </c>
      <c r="L29" s="2">
        <v>2</v>
      </c>
      <c r="M29" s="2">
        <v>2</v>
      </c>
      <c r="N29" s="2">
        <v>2</v>
      </c>
      <c r="O29" s="2">
        <v>2</v>
      </c>
      <c r="P29" s="2">
        <v>4</v>
      </c>
      <c r="Q29" s="2">
        <v>3</v>
      </c>
      <c r="R29" s="2">
        <v>4</v>
      </c>
      <c r="S29" s="2">
        <v>2</v>
      </c>
      <c r="T29" s="2">
        <v>3</v>
      </c>
      <c r="U29" s="2">
        <v>2</v>
      </c>
      <c r="V29" s="2">
        <v>2</v>
      </c>
      <c r="W29" s="2">
        <v>2</v>
      </c>
      <c r="X29" s="2">
        <v>4</v>
      </c>
      <c r="Y29" s="2">
        <v>3</v>
      </c>
      <c r="Z29" s="2">
        <v>2</v>
      </c>
      <c r="AA29" s="2">
        <v>2</v>
      </c>
      <c r="AB29" s="2">
        <v>2</v>
      </c>
      <c r="AC29" s="2">
        <v>2</v>
      </c>
      <c r="AD29" s="2">
        <v>2</v>
      </c>
      <c r="AE29" s="2">
        <v>5</v>
      </c>
      <c r="AF29" s="2">
        <v>2</v>
      </c>
      <c r="AG29" s="2">
        <v>2</v>
      </c>
      <c r="AH29" s="2">
        <v>2</v>
      </c>
      <c r="AI29" s="2">
        <v>5</v>
      </c>
      <c r="AJ29" s="2">
        <v>2</v>
      </c>
      <c r="AK29" s="2">
        <v>2</v>
      </c>
      <c r="AL29" s="2">
        <v>5</v>
      </c>
      <c r="AM29" s="2">
        <v>3</v>
      </c>
      <c r="AN29" s="2">
        <v>2</v>
      </c>
      <c r="AO29" s="2">
        <v>2</v>
      </c>
      <c r="AP29" s="2">
        <v>2</v>
      </c>
      <c r="AQ29" s="2">
        <v>2</v>
      </c>
      <c r="AR29" s="2">
        <v>2</v>
      </c>
      <c r="AS29" s="2">
        <v>3</v>
      </c>
      <c r="AT29" s="2">
        <v>2</v>
      </c>
      <c r="AU29" s="2">
        <v>5</v>
      </c>
      <c r="AV29" s="2">
        <v>2</v>
      </c>
      <c r="AW29" s="2">
        <v>2</v>
      </c>
      <c r="AX29" s="2">
        <v>2</v>
      </c>
      <c r="AY29" s="2">
        <v>2</v>
      </c>
      <c r="AZ29" s="2">
        <v>2</v>
      </c>
      <c r="BA29" s="2">
        <v>2</v>
      </c>
      <c r="BB29" s="2">
        <v>2</v>
      </c>
      <c r="BC29" s="2">
        <v>4</v>
      </c>
      <c r="BD29" s="2">
        <v>2</v>
      </c>
      <c r="BE29" s="2">
        <v>2</v>
      </c>
      <c r="BF29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>
    <tabColor theme="5"/>
  </sheetPr>
  <dimension ref="A1"/>
  <sheetViews>
    <sheetView workbookViewId="0">
      <selection sqref="A1:XFD1048576"/>
    </sheetView>
  </sheetViews>
  <sheetFormatPr defaultColWidth="2.85546875" defaultRowHeight="15" x14ac:dyDescent="0.25"/>
  <cols>
    <col min="1" max="16384" width="2.85546875" style="2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>
    <tabColor theme="5"/>
  </sheetPr>
  <dimension ref="A1"/>
  <sheetViews>
    <sheetView workbookViewId="0">
      <selection sqref="A1:XFD1048576"/>
    </sheetView>
  </sheetViews>
  <sheetFormatPr defaultColWidth="2.85546875" defaultRowHeight="15" x14ac:dyDescent="0.25"/>
  <cols>
    <col min="1" max="16384" width="2.85546875" style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12</vt:i4>
      </vt:variant>
    </vt:vector>
  </HeadingPairs>
  <TitlesOfParts>
    <vt:vector size="22" baseType="lpstr">
      <vt:lpstr>Summary</vt:lpstr>
      <vt:lpstr>Tools</vt:lpstr>
      <vt:lpstr>_DataDragonEXP</vt:lpstr>
      <vt:lpstr>_DataIO</vt:lpstr>
      <vt:lpstr>_DataHDrags</vt:lpstr>
      <vt:lpstr>_DataHBrun</vt:lpstr>
      <vt:lpstr>_DataHMerc</vt:lpstr>
      <vt:lpstr>_DataHMid</vt:lpstr>
      <vt:lpstr>_DataHJup</vt:lpstr>
      <vt:lpstr>_DataHZod</vt:lpstr>
      <vt:lpstr>DATA_DRAG_ACCU_EXP</vt:lpstr>
      <vt:lpstr>DATA_DRAG_LV_EXP</vt:lpstr>
      <vt:lpstr>DATA_DRAGON_EXP</vt:lpstr>
      <vt:lpstr>DATA_DRAGON_PLAYS</vt:lpstr>
      <vt:lpstr>DATA_HDRAG_HBRUN</vt:lpstr>
      <vt:lpstr>DATA_HDRAG_HJUP</vt:lpstr>
      <vt:lpstr>DATA_HDRAG_HMERC</vt:lpstr>
      <vt:lpstr>DATA_HDRAG_HMID</vt:lpstr>
      <vt:lpstr>DATA_HDRAG_HZOD</vt:lpstr>
      <vt:lpstr>DATA_HDRAGS_BUILDING</vt:lpstr>
      <vt:lpstr>DATA_HDRAGS_DRAGON</vt:lpstr>
      <vt:lpstr>DATA_IO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dcterms:created xsi:type="dcterms:W3CDTF">2018-11-17T15:28:10Z</dcterms:created>
  <dcterms:modified xsi:type="dcterms:W3CDTF">2019-02-21T08:53:46Z</dcterms:modified>
</cp:coreProperties>
</file>