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Objects="none"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02241451-BD8A-4FF7-8E18-12855B598A9A}" xr6:coauthVersionLast="45" xr6:coauthVersionMax="45" xr10:uidLastSave="{00000000-0000-0000-0000-000000000000}"/>
  <bookViews>
    <workbookView xWindow="4875" yWindow="1650" windowWidth="21600" windowHeight="11385" activeTab="14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傷害估算" sheetId="55" r:id="rId20"/>
    <sheet name="Sheet1" sheetId="56" r:id="rId21"/>
    <sheet name="玩家EXP" sheetId="33" state="hidden" r:id="rId22"/>
    <sheet name="D玩家EXP" sheetId="32" state="hidden" r:id="rId23"/>
    <sheet name="E速度" sheetId="36" state="hidden" r:id="rId24"/>
    <sheet name="Raid" sheetId="16" state="hidden" r:id="rId25"/>
    <sheet name="R速度" sheetId="30" state="hidden" r:id="rId26"/>
    <sheet name="R預估差" sheetId="31" state="hidden" r:id="rId27"/>
    <sheet name="迎擊" sheetId="18" state="hidden" r:id="rId28"/>
    <sheet name="D迎擊" sheetId="7" state="hidden" r:id="rId29"/>
    <sheet name="龍煉-護符" sheetId="19" state="hidden" r:id="rId30"/>
    <sheet name="D龍煉-護符" sheetId="4" state="hidden" r:id="rId31"/>
    <sheet name="爪草" sheetId="22" state="hidden" r:id="rId32"/>
    <sheet name="D爪草" sheetId="23" state="hidden" r:id="rId33"/>
    <sheet name="活動建築" sheetId="37" state="hidden" r:id="rId34"/>
  </sheets>
  <definedNames>
    <definedName name="_xlnm._FilterDatabase" localSheetId="21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7" i="47" l="1"/>
  <c r="G137" i="47"/>
  <c r="K137" i="47" s="1"/>
  <c r="F137" i="47"/>
  <c r="I137" i="47" s="1"/>
  <c r="J137" i="47" s="1"/>
  <c r="E137" i="47"/>
  <c r="H136" i="47" l="1"/>
  <c r="G136" i="47"/>
  <c r="K136" i="47" s="1"/>
  <c r="F136" i="47"/>
  <c r="I136" i="47" s="1"/>
  <c r="J136" i="47" s="1"/>
  <c r="E136" i="47"/>
  <c r="I135" i="47" l="1"/>
  <c r="J135" i="47" s="1"/>
  <c r="H135" i="47"/>
  <c r="G135" i="47"/>
  <c r="K135" i="47" s="1"/>
  <c r="F135" i="47"/>
  <c r="E135" i="47"/>
  <c r="H134" i="47"/>
  <c r="G134" i="47"/>
  <c r="K134" i="47" s="1"/>
  <c r="F134" i="47"/>
  <c r="I134" i="47" s="1"/>
  <c r="J134" i="47" s="1"/>
  <c r="E134" i="47"/>
  <c r="F23" i="50" l="1"/>
  <c r="G23" i="50"/>
  <c r="H23" i="50" s="1"/>
  <c r="H133" i="47" l="1"/>
  <c r="G133" i="47"/>
  <c r="K133" i="47" s="1"/>
  <c r="F133" i="47"/>
  <c r="I133" i="47" s="1"/>
  <c r="J133" i="47" s="1"/>
  <c r="E133" i="47"/>
  <c r="B10" i="56" l="1"/>
  <c r="B11" i="56" s="1"/>
  <c r="B12" i="56" s="1"/>
  <c r="B13" i="56" s="1"/>
  <c r="C39" i="56" l="1"/>
  <c r="B39" i="56"/>
  <c r="C38" i="56"/>
  <c r="B37" i="56"/>
  <c r="C37" i="56"/>
  <c r="K36" i="56" l="1"/>
  <c r="K34" i="56"/>
  <c r="C36" i="56"/>
  <c r="C35" i="56"/>
  <c r="B35" i="56"/>
  <c r="C34" i="56"/>
  <c r="B31" i="56"/>
  <c r="B33" i="56"/>
  <c r="C33" i="56"/>
  <c r="C32" i="56"/>
  <c r="B29" i="56"/>
  <c r="C31" i="56"/>
  <c r="C30" i="56"/>
  <c r="M37" i="56"/>
  <c r="N37" i="56" s="1"/>
  <c r="L37" i="56"/>
  <c r="L36" i="56"/>
  <c r="M35" i="56"/>
  <c r="L35" i="56"/>
  <c r="L34" i="56"/>
  <c r="K29" i="56"/>
  <c r="K28" i="56"/>
  <c r="L25" i="56"/>
  <c r="L26" i="56"/>
  <c r="L27" i="56"/>
  <c r="L28" i="56"/>
  <c r="L29" i="56"/>
  <c r="M33" i="56"/>
  <c r="L33" i="56"/>
  <c r="K32" i="56"/>
  <c r="L32" i="56"/>
  <c r="M31" i="56"/>
  <c r="L31" i="56"/>
  <c r="K26" i="56"/>
  <c r="L30" i="56"/>
  <c r="L24" i="56"/>
  <c r="L23" i="56"/>
  <c r="L22" i="56"/>
  <c r="L21" i="56"/>
  <c r="L20" i="56"/>
  <c r="L19" i="56"/>
  <c r="C29" i="56"/>
  <c r="C28" i="56"/>
  <c r="C27" i="56"/>
  <c r="C26" i="56"/>
  <c r="C25" i="56"/>
  <c r="C24" i="56"/>
  <c r="C23" i="56"/>
  <c r="C22" i="56"/>
  <c r="C21" i="56"/>
  <c r="C20" i="56"/>
  <c r="C19" i="56"/>
  <c r="M30" i="56"/>
  <c r="M27" i="56"/>
  <c r="M22" i="56"/>
  <c r="N22" i="56" s="1"/>
  <c r="M28" i="56"/>
  <c r="M25" i="56"/>
  <c r="K24" i="56"/>
  <c r="M23" i="56"/>
  <c r="K22" i="56"/>
  <c r="M20" i="56"/>
  <c r="N20" i="56" s="1"/>
  <c r="K20" i="56"/>
  <c r="M19" i="56"/>
  <c r="K10" i="56"/>
  <c r="K11" i="56" s="1"/>
  <c r="K12" i="56" s="1"/>
  <c r="K5" i="56"/>
  <c r="K6" i="56" s="1"/>
  <c r="K7" i="56" s="1"/>
  <c r="K8" i="56" s="1"/>
  <c r="K21" i="56" s="1"/>
  <c r="B27" i="56"/>
  <c r="B24" i="56"/>
  <c r="B22" i="56"/>
  <c r="D23" i="56"/>
  <c r="D21" i="56"/>
  <c r="D20" i="56"/>
  <c r="F20" i="56" s="1"/>
  <c r="D19" i="56"/>
  <c r="C10" i="56"/>
  <c r="C11" i="56" s="1"/>
  <c r="B26" i="56"/>
  <c r="B5" i="56"/>
  <c r="B6" i="56" s="1"/>
  <c r="B7" i="56" s="1"/>
  <c r="F21" i="56" l="1"/>
  <c r="C16" i="56"/>
  <c r="K19" i="56"/>
  <c r="L16" i="56"/>
  <c r="K33" i="56"/>
  <c r="K25" i="56"/>
  <c r="K37" i="56"/>
  <c r="K35" i="56"/>
  <c r="P22" i="56"/>
  <c r="P21" i="56"/>
  <c r="P20" i="56"/>
  <c r="P19" i="56"/>
  <c r="K30" i="56"/>
  <c r="P32" i="56" s="1"/>
  <c r="M16" i="56"/>
  <c r="K31" i="56"/>
  <c r="K27" i="56"/>
  <c r="O35" i="56"/>
  <c r="O36" i="56" s="1"/>
  <c r="O37" i="56" s="1"/>
  <c r="N33" i="56"/>
  <c r="N34" i="56" s="1"/>
  <c r="N35" i="56" s="1"/>
  <c r="N23" i="56"/>
  <c r="N30" i="56"/>
  <c r="N31" i="56" s="1"/>
  <c r="N28" i="56"/>
  <c r="B23" i="56"/>
  <c r="B8" i="56"/>
  <c r="B19" i="56" s="1"/>
  <c r="K13" i="56"/>
  <c r="C12" i="56"/>
  <c r="C13" i="56" s="1"/>
  <c r="D26" i="56"/>
  <c r="E20" i="56"/>
  <c r="E21" i="56" s="1"/>
  <c r="K23" i="56"/>
  <c r="N25" i="56"/>
  <c r="N26" i="56" s="1"/>
  <c r="N27" i="56" s="1"/>
  <c r="O20" i="56"/>
  <c r="E23" i="56"/>
  <c r="E24" i="56" s="1"/>
  <c r="F22" i="56"/>
  <c r="F23" i="56" s="1"/>
  <c r="H132" i="47"/>
  <c r="G132" i="47"/>
  <c r="K132" i="47" s="1"/>
  <c r="F132" i="47"/>
  <c r="I132" i="47" s="1"/>
  <c r="J132" i="47" s="1"/>
  <c r="E132" i="47"/>
  <c r="K16" i="56" l="1"/>
  <c r="N16" i="56" s="1"/>
  <c r="P35" i="56"/>
  <c r="P24" i="56"/>
  <c r="P25" i="56"/>
  <c r="P36" i="56"/>
  <c r="P30" i="56"/>
  <c r="P33" i="56"/>
  <c r="P27" i="56"/>
  <c r="P29" i="56"/>
  <c r="D38" i="56"/>
  <c r="F38" i="56" s="1"/>
  <c r="F39" i="56" s="1"/>
  <c r="D34" i="56"/>
  <c r="D30" i="56"/>
  <c r="F30" i="56" s="1"/>
  <c r="F31" i="56" s="1"/>
  <c r="D36" i="56"/>
  <c r="D32" i="56"/>
  <c r="E32" i="56" s="1"/>
  <c r="E33" i="56" s="1"/>
  <c r="P26" i="56"/>
  <c r="P31" i="56"/>
  <c r="P37" i="56"/>
  <c r="B38" i="56"/>
  <c r="B34" i="56"/>
  <c r="B30" i="56"/>
  <c r="B28" i="56"/>
  <c r="B32" i="56"/>
  <c r="B36" i="56"/>
  <c r="P23" i="56"/>
  <c r="P34" i="56"/>
  <c r="G19" i="56"/>
  <c r="P28" i="56"/>
  <c r="O21" i="56"/>
  <c r="B25" i="56"/>
  <c r="D25" i="56"/>
  <c r="D28" i="56"/>
  <c r="E28" i="56" s="1"/>
  <c r="E29" i="56" s="1"/>
  <c r="B21" i="56"/>
  <c r="B20" i="56"/>
  <c r="H131" i="47"/>
  <c r="G131" i="47"/>
  <c r="K131" i="47" s="1"/>
  <c r="F131" i="47"/>
  <c r="I131" i="47" s="1"/>
  <c r="J131" i="47" s="1"/>
  <c r="E131" i="47"/>
  <c r="B16" i="56" l="1"/>
  <c r="E16" i="56" s="1"/>
  <c r="E30" i="56"/>
  <c r="F32" i="56"/>
  <c r="G31" i="56"/>
  <c r="G37" i="56"/>
  <c r="G39" i="56"/>
  <c r="G20" i="56"/>
  <c r="G32" i="56"/>
  <c r="G28" i="56"/>
  <c r="F36" i="56"/>
  <c r="E36" i="56"/>
  <c r="E37" i="56" s="1"/>
  <c r="E38" i="56" s="1"/>
  <c r="G33" i="56"/>
  <c r="G24" i="56"/>
  <c r="G34" i="56"/>
  <c r="G25" i="56"/>
  <c r="E34" i="56"/>
  <c r="F34" i="56"/>
  <c r="F35" i="56" s="1"/>
  <c r="G38" i="56"/>
  <c r="G21" i="56"/>
  <c r="G29" i="56"/>
  <c r="G30" i="56"/>
  <c r="F25" i="56"/>
  <c r="F26" i="56" s="1"/>
  <c r="F27" i="56" s="1"/>
  <c r="F28" i="56" s="1"/>
  <c r="D16" i="56"/>
  <c r="G22" i="56"/>
  <c r="G26" i="56"/>
  <c r="G35" i="56"/>
  <c r="G27" i="56"/>
  <c r="G23" i="56"/>
  <c r="G36" i="56"/>
  <c r="O22" i="56"/>
  <c r="O23" i="56" s="1"/>
  <c r="O24" i="56" s="1"/>
  <c r="O25" i="56" s="1"/>
  <c r="O27" i="56" s="1"/>
  <c r="O28" i="56" s="1"/>
  <c r="O29" i="56" s="1"/>
  <c r="O30" i="56" s="1"/>
  <c r="O31" i="56" s="1"/>
  <c r="O32" i="56" s="1"/>
  <c r="O33" i="56" s="1"/>
  <c r="E25" i="56"/>
  <c r="E26" i="56" s="1"/>
  <c r="S38" i="44" a="1"/>
  <c r="S38" i="44" s="1"/>
  <c r="S37" i="44" a="1"/>
  <c r="S37" i="44" s="1"/>
  <c r="S36" i="44" a="1"/>
  <c r="S36" i="44"/>
  <c r="S32" i="44" a="1"/>
  <c r="S32" i="44" s="1"/>
  <c r="S31" i="44" a="1"/>
  <c r="S31" i="44" s="1"/>
  <c r="S30" i="44" a="1"/>
  <c r="S30" i="44" s="1"/>
  <c r="S26" i="44" a="1"/>
  <c r="S26" i="44" s="1"/>
  <c r="S25" i="44" a="1"/>
  <c r="S25" i="44" s="1"/>
  <c r="S24" i="44" a="1"/>
  <c r="S24" i="44" s="1"/>
  <c r="S20" i="44" a="1"/>
  <c r="S20" i="44" s="1"/>
  <c r="S19" i="44" a="1"/>
  <c r="S19" i="44" s="1"/>
  <c r="S18" i="44" a="1"/>
  <c r="S18" i="44" s="1"/>
  <c r="S14" i="44" a="1"/>
  <c r="S14" i="44" s="1"/>
  <c r="S13" i="44" a="1"/>
  <c r="S13" i="44" s="1"/>
  <c r="S12" i="44" a="1"/>
  <c r="S12" i="44" s="1"/>
  <c r="T38" i="44" a="1"/>
  <c r="T38" i="44" s="1"/>
  <c r="T37" i="44" a="1"/>
  <c r="T37" i="44" s="1"/>
  <c r="T36" i="44" a="1"/>
  <c r="T36" i="44" s="1"/>
  <c r="T32" i="44" a="1"/>
  <c r="T32" i="44" s="1"/>
  <c r="T31" i="44" a="1"/>
  <c r="T31" i="44" s="1"/>
  <c r="T30" i="44" a="1"/>
  <c r="T30" i="44" s="1"/>
  <c r="T26" i="44" a="1"/>
  <c r="T26" i="44" s="1"/>
  <c r="T25" i="44" a="1"/>
  <c r="T25" i="44" s="1"/>
  <c r="T24" i="44" a="1"/>
  <c r="T24" i="44" s="1"/>
  <c r="T20" i="44" a="1"/>
  <c r="T20" i="44" s="1"/>
  <c r="T19" i="44" a="1"/>
  <c r="T19" i="44" s="1"/>
  <c r="T18" i="44" a="1"/>
  <c r="T18" i="44" s="1"/>
  <c r="T14" i="44" a="1"/>
  <c r="T14" i="44" s="1"/>
  <c r="T13" i="44" a="1"/>
  <c r="T13" i="44" s="1"/>
  <c r="T12" i="44" a="1"/>
  <c r="T12" i="44" s="1"/>
  <c r="K15" i="44"/>
  <c r="L15" i="44"/>
  <c r="M15" i="44"/>
  <c r="N15" i="44"/>
  <c r="O15" i="44"/>
  <c r="P15" i="44"/>
  <c r="Q15" i="44"/>
  <c r="R15" i="44"/>
  <c r="K16" i="44"/>
  <c r="L16" i="44"/>
  <c r="M16" i="44"/>
  <c r="N16" i="44"/>
  <c r="O16" i="44"/>
  <c r="P16" i="44"/>
  <c r="Q16" i="44"/>
  <c r="R16" i="44"/>
  <c r="K17" i="44"/>
  <c r="L17" i="44"/>
  <c r="M17" i="44"/>
  <c r="N17" i="44"/>
  <c r="O17" i="44"/>
  <c r="P17" i="44"/>
  <c r="Q17" i="44"/>
  <c r="R17" i="44"/>
  <c r="K21" i="44"/>
  <c r="L21" i="44"/>
  <c r="M21" i="44"/>
  <c r="N21" i="44"/>
  <c r="O21" i="44"/>
  <c r="P21" i="44"/>
  <c r="Q21" i="44"/>
  <c r="R21" i="44"/>
  <c r="K22" i="44"/>
  <c r="L22" i="44"/>
  <c r="M22" i="44"/>
  <c r="N22" i="44"/>
  <c r="O22" i="44"/>
  <c r="P22" i="44"/>
  <c r="Q22" i="44"/>
  <c r="R22" i="44"/>
  <c r="K23" i="44"/>
  <c r="L23" i="44"/>
  <c r="M23" i="44"/>
  <c r="N23" i="44"/>
  <c r="O23" i="44"/>
  <c r="P23" i="44"/>
  <c r="Q23" i="44"/>
  <c r="R23" i="44"/>
  <c r="K27" i="44"/>
  <c r="L27" i="44"/>
  <c r="M27" i="44"/>
  <c r="N27" i="44"/>
  <c r="O27" i="44"/>
  <c r="P27" i="44"/>
  <c r="Q27" i="44"/>
  <c r="R27" i="44"/>
  <c r="K28" i="44"/>
  <c r="L28" i="44"/>
  <c r="M28" i="44"/>
  <c r="N28" i="44"/>
  <c r="O28" i="44"/>
  <c r="P28" i="44"/>
  <c r="Q28" i="44"/>
  <c r="R28" i="44"/>
  <c r="K29" i="44"/>
  <c r="L29" i="44"/>
  <c r="M29" i="44"/>
  <c r="N29" i="44"/>
  <c r="O29" i="44"/>
  <c r="P29" i="44"/>
  <c r="Q29" i="44"/>
  <c r="R29" i="44"/>
  <c r="K33" i="44"/>
  <c r="L33" i="44"/>
  <c r="M33" i="44"/>
  <c r="N33" i="44"/>
  <c r="O33" i="44"/>
  <c r="P33" i="44"/>
  <c r="Q33" i="44"/>
  <c r="R33" i="44"/>
  <c r="K34" i="44"/>
  <c r="L34" i="44"/>
  <c r="M34" i="44"/>
  <c r="N34" i="44"/>
  <c r="O34" i="44"/>
  <c r="P34" i="44"/>
  <c r="Q34" i="44"/>
  <c r="R34" i="44"/>
  <c r="K35" i="44"/>
  <c r="L35" i="44"/>
  <c r="M35" i="44"/>
  <c r="N35" i="44"/>
  <c r="O35" i="44"/>
  <c r="P35" i="44"/>
  <c r="Q35" i="44"/>
  <c r="R35" i="44"/>
  <c r="K39" i="44"/>
  <c r="L39" i="44"/>
  <c r="M39" i="44"/>
  <c r="N39" i="44"/>
  <c r="O39" i="44"/>
  <c r="P39" i="44"/>
  <c r="Q39" i="44"/>
  <c r="R39" i="44"/>
  <c r="K40" i="44"/>
  <c r="L40" i="44"/>
  <c r="M40" i="44"/>
  <c r="N40" i="44"/>
  <c r="O40" i="44"/>
  <c r="P40" i="44"/>
  <c r="Q40" i="44"/>
  <c r="R40" i="44"/>
  <c r="Y40" i="44"/>
  <c r="K41" i="44"/>
  <c r="L41" i="44"/>
  <c r="M41" i="44"/>
  <c r="N41" i="44"/>
  <c r="O41" i="44"/>
  <c r="P41" i="44"/>
  <c r="Q41" i="44"/>
  <c r="R41" i="44"/>
  <c r="H130" i="47"/>
  <c r="G130" i="47"/>
  <c r="K130" i="47" s="1"/>
  <c r="F130" i="47"/>
  <c r="I130" i="47" s="1"/>
  <c r="J130" i="47" s="1"/>
  <c r="F36" i="44"/>
  <c r="F18" i="44"/>
  <c r="F12" i="44"/>
  <c r="E130" i="47"/>
  <c r="Y37" i="44" l="1"/>
  <c r="Y25" i="44"/>
  <c r="Y38" i="44"/>
  <c r="Y20" i="44"/>
  <c r="Y14" i="44"/>
  <c r="Y18" i="44"/>
  <c r="Y26" i="44"/>
  <c r="Y36" i="44"/>
  <c r="I129" i="47"/>
  <c r="J129" i="47" s="1"/>
  <c r="H129" i="47"/>
  <c r="G129" i="47"/>
  <c r="K129" i="47" s="1"/>
  <c r="F129" i="47"/>
  <c r="E129" i="47"/>
  <c r="Y31" i="44" l="1"/>
  <c r="Y30" i="44"/>
  <c r="Y13" i="44"/>
  <c r="Y32" i="44"/>
  <c r="Y19" i="44"/>
  <c r="Y12" i="44"/>
  <c r="Y24" i="44"/>
  <c r="H128" i="47"/>
  <c r="G128" i="47"/>
  <c r="K128" i="47" s="1"/>
  <c r="F128" i="47"/>
  <c r="I128" i="47" s="1"/>
  <c r="J128" i="47" s="1"/>
  <c r="E128" i="47"/>
  <c r="H127" i="47" l="1"/>
  <c r="G127" i="47"/>
  <c r="K127" i="47" s="1"/>
  <c r="F127" i="47"/>
  <c r="I127" i="47" s="1"/>
  <c r="J127" i="47" s="1"/>
  <c r="E127" i="47"/>
  <c r="I126" i="47" l="1"/>
  <c r="J126" i="47" s="1"/>
  <c r="H126" i="47"/>
  <c r="G126" i="47"/>
  <c r="K126" i="47" s="1"/>
  <c r="F126" i="47"/>
  <c r="E126" i="47"/>
  <c r="H125" i="47" l="1"/>
  <c r="G125" i="47"/>
  <c r="K125" i="47" s="1"/>
  <c r="F125" i="47"/>
  <c r="I125" i="47" s="1"/>
  <c r="J125" i="47" s="1"/>
  <c r="E125" i="47"/>
  <c r="K7" i="55" l="1"/>
  <c r="H7" i="55"/>
  <c r="D7" i="55"/>
  <c r="L7" i="55" s="1"/>
  <c r="M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M3" i="55" s="1"/>
  <c r="I124" i="47"/>
  <c r="J124" i="47" s="1"/>
  <c r="H124" i="47"/>
  <c r="G124" i="47"/>
  <c r="K124" i="47" s="1"/>
  <c r="F124" i="47"/>
  <c r="I123" i="47"/>
  <c r="J123" i="47" s="1"/>
  <c r="H123" i="47"/>
  <c r="G123" i="47"/>
  <c r="K123" i="47" s="1"/>
  <c r="F123" i="47"/>
  <c r="E123" i="47"/>
  <c r="E124" i="47"/>
  <c r="G22" i="50"/>
  <c r="H22" i="50" s="1"/>
  <c r="F22" i="50"/>
  <c r="M4" i="55" l="1"/>
  <c r="I122" i="47"/>
  <c r="J122" i="47" s="1"/>
  <c r="H122" i="47"/>
  <c r="G122" i="47"/>
  <c r="K122" i="47" s="1"/>
  <c r="F122" i="47"/>
  <c r="E122" i="47"/>
  <c r="I121" i="47" l="1"/>
  <c r="J121" i="47" s="1"/>
  <c r="H121" i="47"/>
  <c r="G121" i="47"/>
  <c r="K121" i="47" s="1"/>
  <c r="F121" i="47"/>
  <c r="E121" i="47"/>
  <c r="H120" i="47" l="1"/>
  <c r="G120" i="47"/>
  <c r="K120" i="47" s="1"/>
  <c r="F120" i="47"/>
  <c r="I120" i="47" s="1"/>
  <c r="J120" i="47" s="1"/>
  <c r="E120" i="47"/>
  <c r="H119" i="47" l="1"/>
  <c r="G119" i="47"/>
  <c r="K119" i="47" s="1"/>
  <c r="F119" i="47"/>
  <c r="I119" i="47" s="1"/>
  <c r="J119" i="47" s="1"/>
  <c r="E119" i="47"/>
  <c r="H118" i="47" l="1"/>
  <c r="G118" i="47"/>
  <c r="K118" i="47" s="1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K117" i="47" s="1"/>
  <c r="F117" i="47"/>
  <c r="I117" i="47" s="1"/>
  <c r="J117" i="47" s="1"/>
  <c r="E117" i="47"/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C36" i="44" l="1"/>
  <c r="F30" i="44"/>
  <c r="C30" i="44"/>
  <c r="C18" i="44"/>
  <c r="C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M9" i="44"/>
  <c r="M8" i="44"/>
  <c r="M7" i="44"/>
  <c r="M6" i="44"/>
  <c r="M4" i="44"/>
  <c r="M5" i="44"/>
  <c r="H73" i="47"/>
  <c r="F73" i="47"/>
  <c r="I73" i="47"/>
  <c r="E73" i="47"/>
  <c r="F24" i="44"/>
  <c r="C24" i="44"/>
  <c r="F33" i="44"/>
  <c r="C33" i="44"/>
  <c r="F27" i="44"/>
  <c r="C27" i="44"/>
  <c r="F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T7" i="44"/>
  <c r="T6" i="44"/>
  <c r="T5" i="44"/>
  <c r="T4" i="44"/>
  <c r="T8" i="44"/>
  <c r="T9" i="44"/>
  <c r="S9" i="44"/>
  <c r="R9" i="44"/>
  <c r="Q9" i="44"/>
  <c r="O9" i="44"/>
  <c r="N9" i="44"/>
  <c r="O8" i="44"/>
  <c r="N8" i="44"/>
  <c r="O7" i="44"/>
  <c r="N7" i="44"/>
  <c r="O6" i="44"/>
  <c r="N6" i="44"/>
  <c r="O5" i="44"/>
  <c r="N5" i="44"/>
  <c r="O4" i="44"/>
  <c r="N4" i="44"/>
  <c r="S8" i="44"/>
  <c r="X8" i="44" s="1" a="1"/>
  <c r="X8" i="44" s="1"/>
  <c r="R8" i="44"/>
  <c r="Q8" i="44"/>
  <c r="S7" i="44"/>
  <c r="X7" i="44" s="1" a="1"/>
  <c r="X7" i="44" s="1"/>
  <c r="R7" i="44"/>
  <c r="Q7" i="44"/>
  <c r="S6" i="44"/>
  <c r="X6" i="44" s="1" a="1"/>
  <c r="X6" i="44" s="1"/>
  <c r="R6" i="44"/>
  <c r="Q6" i="44"/>
  <c r="S5" i="44"/>
  <c r="X5" i="44" s="1" a="1"/>
  <c r="X5" i="44" s="1"/>
  <c r="R5" i="44"/>
  <c r="Q5" i="44"/>
  <c r="S4" i="44"/>
  <c r="X4" i="44" s="1" a="1"/>
  <c r="X4" i="44" s="1"/>
  <c r="R4" i="44"/>
  <c r="Q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P9" i="44"/>
  <c r="L9" i="44"/>
  <c r="C6" i="37"/>
  <c r="P8" i="44"/>
  <c r="L8" i="44"/>
  <c r="V36" i="44" s="1"/>
  <c r="P7" i="44"/>
  <c r="L7" i="44"/>
  <c r="V30" i="44" s="1"/>
  <c r="P6" i="44"/>
  <c r="L6" i="44"/>
  <c r="V24" i="44" s="1"/>
  <c r="P5" i="44"/>
  <c r="L5" i="44"/>
  <c r="V18" i="44" s="1"/>
  <c r="P4" i="44"/>
  <c r="L4" i="44"/>
  <c r="V12" i="44" s="1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X31" i="44" l="1"/>
  <c r="X32" i="44"/>
  <c r="W31" i="44"/>
  <c r="W30" i="44"/>
  <c r="W36" i="44"/>
  <c r="W37" i="44"/>
  <c r="X14" i="44"/>
  <c r="X13" i="44"/>
  <c r="X38" i="44"/>
  <c r="X37" i="44"/>
  <c r="X20" i="44"/>
  <c r="X19" i="44"/>
  <c r="W12" i="44"/>
  <c r="W13" i="44"/>
  <c r="W24" i="44"/>
  <c r="W25" i="44"/>
  <c r="W18" i="44"/>
  <c r="W19" i="44"/>
  <c r="X26" i="44"/>
  <c r="X25" i="44"/>
  <c r="W6" i="44" a="1"/>
  <c r="W6" i="44" s="1"/>
  <c r="V6" i="44" s="1" a="1"/>
  <c r="V6" i="44" s="1"/>
  <c r="W8" i="44" a="1"/>
  <c r="W8" i="44" s="1"/>
  <c r="V8" i="44" s="1" a="1"/>
  <c r="V8" i="44" s="1"/>
  <c r="W7" i="44" a="1"/>
  <c r="W7" i="44" s="1"/>
  <c r="V7" i="44" s="1" a="1"/>
  <c r="V7" i="44" s="1"/>
  <c r="O14" i="18"/>
  <c r="O15" i="18"/>
  <c r="L18" i="18"/>
  <c r="N18" i="18" s="1"/>
  <c r="W5" i="44" a="1"/>
  <c r="W5" i="44" s="1"/>
  <c r="V5" i="44" s="1" a="1"/>
  <c r="V5" i="44" s="1"/>
  <c r="W4" i="44" a="1"/>
  <c r="W4" i="44" s="1"/>
  <c r="V4" i="44" s="1" a="1"/>
  <c r="V4" i="44" s="1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I36" i="33"/>
  <c r="F220" i="33"/>
  <c r="AQ35" i="7"/>
  <c r="I81" i="33"/>
  <c r="I160" i="33"/>
  <c r="F71" i="33"/>
  <c r="I142" i="33"/>
  <c r="AN15" i="7"/>
  <c r="I141" i="33"/>
  <c r="I5" i="33"/>
  <c r="AU22" i="7"/>
  <c r="F64" i="33"/>
  <c r="I169" i="33"/>
  <c r="AN27" i="7"/>
  <c r="AU17" i="7"/>
  <c r="F186" i="33"/>
  <c r="I23" i="33"/>
  <c r="AU25" i="7"/>
  <c r="AU36" i="7"/>
  <c r="AN30" i="7"/>
  <c r="F31" i="33"/>
  <c r="AQ8" i="7"/>
  <c r="F166" i="33"/>
  <c r="I79" i="33"/>
  <c r="I130" i="33"/>
  <c r="F198" i="33"/>
  <c r="AP18" i="7"/>
  <c r="AR17" i="7"/>
  <c r="I108" i="33"/>
  <c r="F13" i="33"/>
  <c r="AO31" i="7"/>
  <c r="AO21" i="7"/>
  <c r="I43" i="33"/>
  <c r="I99" i="33"/>
  <c r="I7" i="16"/>
  <c r="AV34" i="7"/>
  <c r="F62" i="33"/>
  <c r="AU15" i="7"/>
  <c r="F16" i="33"/>
  <c r="F158" i="33"/>
  <c r="G13" i="18"/>
  <c r="F192" i="33"/>
  <c r="I143" i="33"/>
  <c r="F22" i="33"/>
  <c r="I157" i="33"/>
  <c r="F145" i="33"/>
  <c r="F209" i="33"/>
  <c r="I68" i="33"/>
  <c r="F138" i="33"/>
  <c r="F39" i="33"/>
  <c r="F60" i="33"/>
  <c r="F98" i="33"/>
  <c r="F188" i="33"/>
  <c r="AO4" i="7"/>
  <c r="I174" i="33"/>
  <c r="I62" i="33"/>
  <c r="I144" i="33"/>
  <c r="F95" i="33"/>
  <c r="AN16" i="7"/>
  <c r="I83" i="33"/>
  <c r="F20" i="33"/>
  <c r="I221" i="33"/>
  <c r="I171" i="33"/>
  <c r="F110" i="33"/>
  <c r="AN7" i="7"/>
  <c r="AV9" i="7"/>
  <c r="AO20" i="7"/>
  <c r="F41" i="33"/>
  <c r="AQ29" i="7"/>
  <c r="I70" i="33"/>
  <c r="I206" i="33"/>
  <c r="I218" i="33"/>
  <c r="I7" i="33"/>
  <c r="I40" i="33"/>
  <c r="I49" i="33"/>
  <c r="AO16" i="7"/>
  <c r="AR21" i="7"/>
  <c r="F54" i="33"/>
  <c r="AO27" i="7"/>
  <c r="I90" i="33"/>
  <c r="I25" i="33"/>
  <c r="AR27" i="7"/>
  <c r="AQ6" i="7"/>
  <c r="I215" i="33"/>
  <c r="I164" i="33"/>
  <c r="I166" i="33"/>
  <c r="F81" i="33"/>
  <c r="I104" i="33"/>
  <c r="AQ15" i="7"/>
  <c r="AO34" i="7"/>
  <c r="F163" i="33"/>
  <c r="AN6" i="7"/>
  <c r="F140" i="33"/>
  <c r="F204" i="33"/>
  <c r="F195" i="33"/>
  <c r="I154" i="33"/>
  <c r="AV36" i="7"/>
  <c r="I197" i="33"/>
  <c r="I86" i="33"/>
  <c r="F201" i="33"/>
  <c r="I133" i="33"/>
  <c r="I91" i="33"/>
  <c r="AV28" i="7"/>
  <c r="AU9" i="7"/>
  <c r="F97" i="33"/>
  <c r="F135" i="33"/>
  <c r="F18" i="33"/>
  <c r="F108" i="33"/>
  <c r="AO25" i="7"/>
  <c r="I20" i="33"/>
  <c r="AN35" i="7"/>
  <c r="I161" i="33"/>
  <c r="F69" i="33"/>
  <c r="AU28" i="7"/>
  <c r="AP13" i="7"/>
  <c r="F45" i="33"/>
  <c r="AP14" i="7"/>
  <c r="AP17" i="7"/>
  <c r="F222" i="33"/>
  <c r="I198" i="33"/>
  <c r="AP25" i="7"/>
  <c r="F136" i="33"/>
  <c r="AN9" i="7"/>
  <c r="I75" i="33"/>
  <c r="AP8" i="7"/>
  <c r="I28" i="33"/>
  <c r="F116" i="33"/>
  <c r="AR11" i="7"/>
  <c r="AV35" i="7"/>
  <c r="I9" i="33"/>
  <c r="AV22" i="7"/>
  <c r="I204" i="33"/>
  <c r="I72" i="33"/>
  <c r="AQ30" i="7"/>
  <c r="AV26" i="7"/>
  <c r="I132" i="33"/>
  <c r="I145" i="33"/>
  <c r="F17" i="33"/>
  <c r="AP4" i="7"/>
  <c r="F61" i="33"/>
  <c r="I181" i="33"/>
  <c r="I153" i="33"/>
  <c r="AU31" i="7"/>
  <c r="F75" i="33"/>
  <c r="I168" i="33"/>
  <c r="F219" i="33"/>
  <c r="AU33" i="7"/>
  <c r="AV20" i="7"/>
  <c r="F76" i="33"/>
  <c r="I202" i="33"/>
  <c r="I102" i="33"/>
  <c r="F78" i="33"/>
  <c r="AO24" i="7"/>
  <c r="I111" i="33"/>
  <c r="I94" i="33"/>
  <c r="F10" i="33"/>
  <c r="AN14" i="7"/>
  <c r="AQ4" i="7"/>
  <c r="AQ19" i="7"/>
  <c r="I203" i="33"/>
  <c r="F83" i="33"/>
  <c r="F52" i="33"/>
  <c r="I45" i="33"/>
  <c r="F118" i="33"/>
  <c r="AR24" i="7"/>
  <c r="F46" i="33"/>
  <c r="AP3" i="7"/>
  <c r="AN12" i="7"/>
  <c r="I147" i="33"/>
  <c r="I89" i="33"/>
  <c r="F34" i="33"/>
  <c r="F203" i="33"/>
  <c r="I134" i="33"/>
  <c r="AN8" i="7"/>
  <c r="E9" i="16"/>
  <c r="F74" i="33"/>
  <c r="F153" i="33"/>
  <c r="AQ14" i="7"/>
  <c r="AO30" i="7"/>
  <c r="I38" i="33"/>
  <c r="F84" i="33"/>
  <c r="AR18" i="7"/>
  <c r="F215" i="33"/>
  <c r="AQ20" i="7"/>
  <c r="F70" i="33"/>
  <c r="F171" i="33"/>
  <c r="AP5" i="7"/>
  <c r="I137" i="33"/>
  <c r="I100" i="33"/>
  <c r="F49" i="33"/>
  <c r="F14" i="33"/>
  <c r="I50" i="33"/>
  <c r="AV11" i="7"/>
  <c r="F87" i="33"/>
  <c r="AR19" i="7"/>
  <c r="AO7" i="7"/>
  <c r="AQ33" i="7"/>
  <c r="F102" i="33"/>
  <c r="I186" i="33"/>
  <c r="I115" i="33"/>
  <c r="F122" i="33"/>
  <c r="F101" i="33"/>
  <c r="F93" i="33"/>
  <c r="F33" i="33"/>
  <c r="F181" i="33"/>
  <c r="F11" i="33"/>
  <c r="AP30" i="7"/>
  <c r="F147" i="33"/>
  <c r="AV24" i="7"/>
  <c r="F88" i="33"/>
  <c r="G7" i="18"/>
  <c r="AV5" i="7"/>
  <c r="AR35" i="7"/>
  <c r="F44" i="33"/>
  <c r="I69" i="33"/>
  <c r="I59" i="33"/>
  <c r="AN31" i="7"/>
  <c r="AU3" i="7"/>
  <c r="F131" i="33"/>
  <c r="F126" i="33"/>
  <c r="F6" i="33"/>
  <c r="F121" i="33"/>
  <c r="F72" i="33"/>
  <c r="G9" i="18"/>
  <c r="AO3" i="7"/>
  <c r="I95" i="33"/>
  <c r="F182" i="33"/>
  <c r="AP16" i="7"/>
  <c r="I214" i="33"/>
  <c r="G18" i="18"/>
  <c r="F168" i="33"/>
  <c r="AV21" i="7"/>
  <c r="F92" i="33"/>
  <c r="F50" i="33"/>
  <c r="I187" i="33"/>
  <c r="AQ21" i="7"/>
  <c r="F216" i="33"/>
  <c r="AP9" i="7"/>
  <c r="AU4" i="7"/>
  <c r="AP23" i="7"/>
  <c r="I27" i="33"/>
  <c r="F26" i="33"/>
  <c r="F221" i="33"/>
  <c r="F207" i="33"/>
  <c r="I126" i="33"/>
  <c r="I17" i="33"/>
  <c r="I140" i="33"/>
  <c r="AP21" i="7"/>
  <c r="F37" i="33"/>
  <c r="F184" i="33"/>
  <c r="AN11" i="7"/>
  <c r="I148" i="33"/>
  <c r="F180" i="33"/>
  <c r="AP27" i="7"/>
  <c r="AV3" i="7"/>
  <c r="F183" i="33"/>
  <c r="F59" i="33"/>
  <c r="F56" i="33"/>
  <c r="AN10" i="7"/>
  <c r="F179" i="33"/>
  <c r="AV33" i="7"/>
  <c r="I121" i="33"/>
  <c r="I24" i="33"/>
  <c r="F28" i="33"/>
  <c r="AV10" i="7"/>
  <c r="I170" i="33"/>
  <c r="I66" i="33"/>
  <c r="AO18" i="7"/>
  <c r="AN28" i="7"/>
  <c r="AV14" i="7"/>
  <c r="F159" i="33"/>
  <c r="I97" i="33"/>
  <c r="F170" i="33"/>
  <c r="AR33" i="7"/>
  <c r="F196" i="33"/>
  <c r="AN20" i="7"/>
  <c r="I9" i="16"/>
  <c r="F177" i="33"/>
  <c r="F156" i="33"/>
  <c r="I93" i="33"/>
  <c r="AP22" i="7"/>
  <c r="I156" i="33"/>
  <c r="AP26" i="7"/>
  <c r="AO8" i="7"/>
  <c r="F8" i="33"/>
  <c r="I8" i="16"/>
  <c r="D9" i="16"/>
  <c r="AP32" i="7"/>
  <c r="I150" i="33"/>
  <c r="AO12" i="7"/>
  <c r="I16" i="33"/>
  <c r="I188" i="33"/>
  <c r="F4" i="33"/>
  <c r="F143" i="33"/>
  <c r="AU7" i="7"/>
  <c r="AO5" i="7"/>
  <c r="AN5" i="7"/>
  <c r="AO35" i="7"/>
  <c r="F218" i="33"/>
  <c r="AN23" i="7"/>
  <c r="I3" i="33"/>
  <c r="AQ5" i="7"/>
  <c r="AQ16" i="7"/>
  <c r="F189" i="33"/>
  <c r="I207" i="33"/>
  <c r="AO13" i="7"/>
  <c r="AP19" i="7"/>
  <c r="AO23" i="7"/>
  <c r="I196" i="33"/>
  <c r="F96" i="33"/>
  <c r="AR36" i="7"/>
  <c r="F200" i="33"/>
  <c r="I56" i="33"/>
  <c r="I158" i="33"/>
  <c r="I177" i="33"/>
  <c r="AU20" i="7"/>
  <c r="I87" i="33"/>
  <c r="AQ7" i="7"/>
  <c r="AP15" i="7"/>
  <c r="F210" i="33"/>
  <c r="F107" i="33"/>
  <c r="F129" i="33"/>
  <c r="F47" i="33"/>
  <c r="I10" i="33"/>
  <c r="I173" i="33"/>
  <c r="F15" i="33"/>
  <c r="I200" i="33"/>
  <c r="I189" i="33"/>
  <c r="F151" i="33"/>
  <c r="AU18" i="7"/>
  <c r="AQ12" i="7"/>
  <c r="F43" i="33"/>
  <c r="I103" i="33"/>
  <c r="F214" i="33"/>
  <c r="AU13" i="7"/>
  <c r="I129" i="33"/>
  <c r="AO17" i="7"/>
  <c r="I6" i="33"/>
  <c r="F105" i="33"/>
  <c r="AU5" i="7"/>
  <c r="F167" i="33"/>
  <c r="F90" i="33"/>
  <c r="AN25" i="7"/>
  <c r="I18" i="33"/>
  <c r="I47" i="33"/>
  <c r="AR14" i="7"/>
  <c r="I201" i="33"/>
  <c r="H7" i="16"/>
  <c r="F154" i="33"/>
  <c r="E7" i="16"/>
  <c r="I113" i="33"/>
  <c r="F205" i="33"/>
  <c r="I76" i="33"/>
  <c r="I80" i="33"/>
  <c r="F113" i="33"/>
  <c r="F27" i="33"/>
  <c r="AN21" i="7"/>
  <c r="E8" i="16"/>
  <c r="I77" i="33"/>
  <c r="I184" i="33"/>
  <c r="AV29" i="7"/>
  <c r="AN24" i="7"/>
  <c r="I37" i="33"/>
  <c r="F65" i="33"/>
  <c r="F148" i="33"/>
  <c r="I185" i="33"/>
  <c r="AV27" i="7"/>
  <c r="F199" i="33"/>
  <c r="AQ17" i="7"/>
  <c r="AR31" i="7"/>
  <c r="F5" i="33"/>
  <c r="I60" i="33"/>
  <c r="AQ3" i="7"/>
  <c r="AQ27" i="7"/>
  <c r="AR12" i="7"/>
  <c r="F115" i="33"/>
  <c r="AO9" i="7"/>
  <c r="AP34" i="7"/>
  <c r="G10" i="18"/>
  <c r="I193" i="33"/>
  <c r="AO19" i="7"/>
  <c r="AN19" i="7"/>
  <c r="F173" i="33"/>
  <c r="I32" i="33"/>
  <c r="AU24" i="7"/>
  <c r="G17" i="18"/>
  <c r="F106" i="33"/>
  <c r="I42" i="33"/>
  <c r="AR32" i="7"/>
  <c r="F19" i="33"/>
  <c r="AP12" i="7"/>
  <c r="F57" i="33"/>
  <c r="G12" i="18"/>
  <c r="I109" i="33"/>
  <c r="F202" i="33"/>
  <c r="I57" i="33"/>
  <c r="F125" i="33"/>
  <c r="F190" i="33"/>
  <c r="I53" i="33"/>
  <c r="I120" i="33"/>
  <c r="I127" i="33"/>
  <c r="F24" i="33"/>
  <c r="I30" i="33"/>
  <c r="I192" i="33"/>
  <c r="F162" i="33"/>
  <c r="F53" i="33"/>
  <c r="I183" i="33"/>
  <c r="AR23" i="7"/>
  <c r="I194" i="33"/>
  <c r="AQ36" i="7"/>
  <c r="AV30" i="7"/>
  <c r="F111" i="33"/>
  <c r="F178" i="33"/>
  <c r="I128" i="33"/>
  <c r="AQ11" i="7"/>
  <c r="I107" i="33"/>
  <c r="F134" i="33"/>
  <c r="F63" i="33"/>
  <c r="I52" i="33"/>
  <c r="AV19" i="7"/>
  <c r="AV4" i="7"/>
  <c r="AQ28" i="7"/>
  <c r="F124" i="33"/>
  <c r="AU14" i="7"/>
  <c r="I15" i="33"/>
  <c r="I35" i="33"/>
  <c r="AU8" i="7"/>
  <c r="AN34" i="7"/>
  <c r="F119" i="33"/>
  <c r="AO28" i="7"/>
  <c r="I31" i="33"/>
  <c r="AV18" i="7"/>
  <c r="I21" i="33"/>
  <c r="F68" i="33"/>
  <c r="AP35" i="7"/>
  <c r="AR5" i="7"/>
  <c r="AQ23" i="7"/>
  <c r="F144" i="33"/>
  <c r="I213" i="33"/>
  <c r="I48" i="33"/>
  <c r="AV8" i="7"/>
  <c r="F206" i="33"/>
  <c r="I165" i="33"/>
  <c r="F193" i="33"/>
  <c r="F80" i="33"/>
  <c r="I33" i="33"/>
  <c r="AU32" i="7"/>
  <c r="I14" i="33"/>
  <c r="AP6" i="7"/>
  <c r="AV31" i="7"/>
  <c r="AN29" i="7"/>
  <c r="AO15" i="7"/>
  <c r="G5" i="18"/>
  <c r="AQ24" i="7"/>
  <c r="G16" i="18"/>
  <c r="AN18" i="7"/>
  <c r="F103" i="33"/>
  <c r="F197" i="33"/>
  <c r="F139" i="33"/>
  <c r="F150" i="33"/>
  <c r="I39" i="33"/>
  <c r="I116" i="33"/>
  <c r="AU10" i="7"/>
  <c r="AQ25" i="7"/>
  <c r="F169" i="33"/>
  <c r="AR3" i="7"/>
  <c r="AN22" i="7"/>
  <c r="F99" i="33"/>
  <c r="I155" i="33"/>
  <c r="F146" i="33"/>
  <c r="F165" i="33"/>
  <c r="AR28" i="7"/>
  <c r="I84" i="33"/>
  <c r="AR30" i="7"/>
  <c r="AN36" i="7"/>
  <c r="I220" i="33"/>
  <c r="AP7" i="7"/>
  <c r="G4" i="18"/>
  <c r="I123" i="33"/>
  <c r="F155" i="33"/>
  <c r="I210" i="33"/>
  <c r="I117" i="33"/>
  <c r="I8" i="33"/>
  <c r="I172" i="33"/>
  <c r="I209" i="33"/>
  <c r="I124" i="33"/>
  <c r="I167" i="33"/>
  <c r="F94" i="33"/>
  <c r="AU6" i="7"/>
  <c r="I110" i="33"/>
  <c r="F29" i="33"/>
  <c r="F30" i="33"/>
  <c r="AO11" i="7"/>
  <c r="AR20" i="7"/>
  <c r="I73" i="33"/>
  <c r="AR13" i="7"/>
  <c r="F172" i="33"/>
  <c r="I55" i="33"/>
  <c r="F73" i="33"/>
  <c r="I205" i="33"/>
  <c r="AU26" i="7"/>
  <c r="F104" i="33"/>
  <c r="F85" i="33"/>
  <c r="AR34" i="7"/>
  <c r="I41" i="33"/>
  <c r="I176" i="33"/>
  <c r="F217" i="33"/>
  <c r="D7" i="16"/>
  <c r="D8" i="16"/>
  <c r="AQ26" i="7"/>
  <c r="I179" i="33"/>
  <c r="I64" i="33"/>
  <c r="I54" i="33"/>
  <c r="F164" i="33"/>
  <c r="F40" i="33"/>
  <c r="F212" i="33"/>
  <c r="AP31" i="7"/>
  <c r="I63" i="33"/>
  <c r="F36" i="33"/>
  <c r="AR29" i="7"/>
  <c r="AR7" i="7"/>
  <c r="I105" i="33"/>
  <c r="I118" i="33"/>
  <c r="AQ18" i="7"/>
  <c r="I212" i="33"/>
  <c r="F152" i="33"/>
  <c r="F109" i="33"/>
  <c r="F128" i="33"/>
  <c r="F191" i="33"/>
  <c r="AV15" i="7"/>
  <c r="F7" i="33"/>
  <c r="F100" i="33"/>
  <c r="I222" i="33"/>
  <c r="AP11" i="7"/>
  <c r="AN17" i="7"/>
  <c r="I219" i="33"/>
  <c r="F55" i="33"/>
  <c r="AO29" i="7"/>
  <c r="AN26" i="7"/>
  <c r="I125" i="33"/>
  <c r="AP28" i="7"/>
  <c r="F208" i="33"/>
  <c r="AN32" i="7"/>
  <c r="I139" i="33"/>
  <c r="AN3" i="7"/>
  <c r="AV17" i="7"/>
  <c r="AR16" i="7"/>
  <c r="I216" i="33"/>
  <c r="AP29" i="7"/>
  <c r="I61" i="33"/>
  <c r="AV13" i="7"/>
  <c r="I29" i="33"/>
  <c r="AN33" i="7"/>
  <c r="I175" i="33"/>
  <c r="I217" i="33"/>
  <c r="AU29" i="7"/>
  <c r="F77" i="33"/>
  <c r="F91" i="33"/>
  <c r="I106" i="33"/>
  <c r="F132" i="33"/>
  <c r="G8" i="18"/>
  <c r="F130" i="33"/>
  <c r="F120" i="33"/>
  <c r="I135" i="33"/>
  <c r="AN4" i="7"/>
  <c r="AN13" i="7"/>
  <c r="AQ32" i="7"/>
  <c r="F157" i="33"/>
  <c r="AU23" i="7"/>
  <c r="AR10" i="7"/>
  <c r="F137" i="33"/>
  <c r="I13" i="33"/>
  <c r="I34" i="33"/>
  <c r="AQ34" i="7"/>
  <c r="F160" i="33"/>
  <c r="I163" i="33"/>
  <c r="AR22" i="7"/>
  <c r="AO14" i="7"/>
  <c r="AR6" i="7"/>
  <c r="I146" i="33"/>
  <c r="I114" i="33"/>
  <c r="F35" i="33"/>
  <c r="F48" i="33"/>
  <c r="I131" i="33"/>
  <c r="I11" i="33"/>
  <c r="AP20" i="7"/>
  <c r="AR25" i="7"/>
  <c r="I85" i="33"/>
  <c r="AV7" i="7"/>
  <c r="F133" i="33"/>
  <c r="F21" i="33"/>
  <c r="AR15" i="7"/>
  <c r="F185" i="33"/>
  <c r="AU16" i="7"/>
  <c r="I67" i="33"/>
  <c r="AU30" i="7"/>
  <c r="H8" i="16"/>
  <c r="AU21" i="7"/>
  <c r="AO36" i="7"/>
  <c r="F89" i="33"/>
  <c r="AP36" i="7"/>
  <c r="I122" i="33"/>
  <c r="AU11" i="7"/>
  <c r="I12" i="33"/>
  <c r="AQ10" i="7"/>
  <c r="F42" i="33"/>
  <c r="F127" i="33"/>
  <c r="F38" i="33"/>
  <c r="I159" i="33"/>
  <c r="AO22" i="7"/>
  <c r="F67" i="33"/>
  <c r="I180" i="33"/>
  <c r="I71" i="33"/>
  <c r="I211" i="33"/>
  <c r="F58" i="33"/>
  <c r="I58" i="33"/>
  <c r="F194" i="33"/>
  <c r="F141" i="33"/>
  <c r="G6" i="18"/>
  <c r="AR26" i="7"/>
  <c r="I88" i="33"/>
  <c r="AO33" i="7"/>
  <c r="AU34" i="7"/>
  <c r="I151" i="33"/>
  <c r="AV23" i="7"/>
  <c r="I82" i="33"/>
  <c r="I182" i="33"/>
  <c r="F176" i="33"/>
  <c r="F114" i="33"/>
  <c r="AO6" i="7"/>
  <c r="AO26" i="7"/>
  <c r="I138" i="33"/>
  <c r="I19" i="33"/>
  <c r="I190" i="33"/>
  <c r="AQ9" i="7"/>
  <c r="I78" i="33"/>
  <c r="F187" i="33"/>
  <c r="I208" i="33"/>
  <c r="AV32" i="7"/>
  <c r="I65" i="33"/>
  <c r="I98" i="33"/>
  <c r="AV16" i="7"/>
  <c r="AR9" i="7"/>
  <c r="F112" i="33"/>
  <c r="I199" i="33"/>
  <c r="I44" i="33"/>
  <c r="G11" i="18"/>
  <c r="F213" i="33"/>
  <c r="F161" i="33"/>
  <c r="I46" i="33"/>
  <c r="AP33" i="7"/>
  <c r="F32" i="33"/>
  <c r="AQ22" i="7"/>
  <c r="AP10" i="7"/>
  <c r="F66" i="33"/>
  <c r="F117" i="33"/>
  <c r="I149" i="33"/>
  <c r="I101" i="33"/>
  <c r="F123" i="33"/>
  <c r="AQ13" i="7"/>
  <c r="AV6" i="7"/>
  <c r="AO10" i="7"/>
  <c r="I191" i="33"/>
  <c r="H9" i="16"/>
  <c r="F175" i="33"/>
  <c r="AV25" i="7"/>
  <c r="I26" i="33"/>
  <c r="AU27" i="7"/>
  <c r="F211" i="33"/>
  <c r="I4" i="33"/>
  <c r="AU35" i="7"/>
  <c r="I74" i="33"/>
  <c r="AO32" i="7"/>
  <c r="F9" i="33"/>
  <c r="AU19" i="7"/>
  <c r="F3" i="33"/>
  <c r="F23" i="33"/>
  <c r="I51" i="33"/>
  <c r="I119" i="33"/>
  <c r="I178" i="33"/>
  <c r="F82" i="33"/>
  <c r="I112" i="33"/>
  <c r="F12" i="33"/>
  <c r="F86" i="33"/>
  <c r="I22" i="33"/>
  <c r="AR4" i="7"/>
  <c r="F25" i="33"/>
  <c r="I195" i="33"/>
  <c r="AR8" i="7"/>
  <c r="AP24" i="7"/>
  <c r="I92" i="33"/>
  <c r="AQ31" i="7"/>
  <c r="F142" i="33"/>
  <c r="I136" i="33"/>
  <c r="AU12" i="7"/>
  <c r="F51" i="33"/>
  <c r="F174" i="33"/>
  <c r="I152" i="33"/>
  <c r="F79" i="33"/>
  <c r="I162" i="33"/>
  <c r="I96" i="33"/>
  <c r="AV12" i="7"/>
  <c r="F149" i="33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<sst xmlns="http://schemas.openxmlformats.org/spreadsheetml/2006/main" count="1486" uniqueCount="585">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</sst>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01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0" borderId="13" xfId="0" applyNumberFormat="1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5" borderId="13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9" borderId="13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3" fillId="8" borderId="7" xfId="0" applyNumberFormat="1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13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5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chartsheet" Target="chartsheets/sheet3.xml"/><Relationship Id="rId39" Type="http://schemas.openxmlformats.org/officeDocument/2006/relationships/calcChain" Target="calcChain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29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2.xml"/><Relationship Id="rId32" Type="http://schemas.openxmlformats.org/officeDocument/2006/relationships/worksheet" Target="worksheets/sheet28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4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chartsheet" Target="chartsheets/sheet4.xml"/><Relationship Id="rId30" Type="http://schemas.openxmlformats.org/officeDocument/2006/relationships/worksheet" Target="worksheets/sheet26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495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127030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127525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78" t="s">
        <v>170</v>
      </c>
      <c r="B10" s="416" t="s">
        <v>171</v>
      </c>
    </row>
    <row r="11" spans="1:3" s="403" customFormat="1" ht="35.25" customHeight="1" x14ac:dyDescent="0.25">
      <c r="A11" s="879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80" t="s">
        <v>167</v>
      </c>
      <c r="B17" s="875" t="s">
        <v>167</v>
      </c>
      <c r="C17" s="419" t="s">
        <v>175</v>
      </c>
    </row>
    <row r="18" spans="1:3" s="402" customFormat="1" ht="22.5" customHeight="1" x14ac:dyDescent="0.25">
      <c r="A18" s="881"/>
      <c r="B18" s="876"/>
      <c r="C18" s="419" t="s">
        <v>205</v>
      </c>
    </row>
    <row r="19" spans="1:3" s="402" customFormat="1" ht="22.5" customHeight="1" x14ac:dyDescent="0.25">
      <c r="A19" s="881"/>
      <c r="B19" s="876"/>
      <c r="C19" s="424" t="s">
        <v>202</v>
      </c>
    </row>
    <row r="20" spans="1:3" s="402" customFormat="1" ht="22.5" customHeight="1" x14ac:dyDescent="0.25">
      <c r="A20" s="881"/>
      <c r="B20" s="876"/>
      <c r="C20" s="424" t="s">
        <v>201</v>
      </c>
    </row>
    <row r="21" spans="1:3" s="415" customFormat="1" ht="22.5" customHeight="1" thickBot="1" x14ac:dyDescent="0.3">
      <c r="A21" s="882"/>
      <c r="B21" s="877"/>
      <c r="C21" s="420" t="s">
        <v>206</v>
      </c>
    </row>
    <row r="22" spans="1:3" s="412" customFormat="1" ht="22.5" customHeight="1" x14ac:dyDescent="0.25">
      <c r="A22" s="880" t="s">
        <v>180</v>
      </c>
      <c r="B22" s="875" t="s">
        <v>181</v>
      </c>
      <c r="C22" s="418" t="s">
        <v>182</v>
      </c>
    </row>
    <row r="23" spans="1:3" s="402" customFormat="1" ht="22.5" customHeight="1" x14ac:dyDescent="0.25">
      <c r="A23" s="881"/>
      <c r="B23" s="876"/>
      <c r="C23" s="419" t="s">
        <v>183</v>
      </c>
    </row>
    <row r="24" spans="1:3" s="402" customFormat="1" ht="22.5" customHeight="1" x14ac:dyDescent="0.25">
      <c r="A24" s="881"/>
      <c r="B24" s="876"/>
      <c r="C24" s="402" t="s">
        <v>186</v>
      </c>
    </row>
    <row r="25" spans="1:3" s="402" customFormat="1" ht="22.5" customHeight="1" x14ac:dyDescent="0.25">
      <c r="A25" s="881"/>
      <c r="B25" s="876"/>
      <c r="C25" s="419" t="s">
        <v>184</v>
      </c>
    </row>
    <row r="26" spans="1:3" s="415" customFormat="1" ht="22.5" customHeight="1" thickBot="1" x14ac:dyDescent="0.3">
      <c r="A26" s="882"/>
      <c r="B26" s="877"/>
      <c r="C26" s="415" t="s">
        <v>185</v>
      </c>
    </row>
    <row r="27" spans="1:3" s="412" customFormat="1" ht="22.5" customHeight="1" x14ac:dyDescent="0.25">
      <c r="A27" s="880" t="s">
        <v>188</v>
      </c>
      <c r="B27" s="875" t="s">
        <v>188</v>
      </c>
      <c r="C27" s="418" t="s">
        <v>189</v>
      </c>
    </row>
    <row r="28" spans="1:3" s="402" customFormat="1" ht="22.5" customHeight="1" x14ac:dyDescent="0.25">
      <c r="A28" s="881"/>
      <c r="B28" s="876"/>
      <c r="C28" s="424" t="s">
        <v>241</v>
      </c>
    </row>
    <row r="29" spans="1:3" s="402" customFormat="1" ht="22.5" customHeight="1" x14ac:dyDescent="0.25">
      <c r="A29" s="881"/>
      <c r="B29" s="876"/>
      <c r="C29" s="424" t="s">
        <v>243</v>
      </c>
    </row>
    <row r="30" spans="1:3" s="402" customFormat="1" ht="22.5" customHeight="1" x14ac:dyDescent="0.25">
      <c r="A30" s="881"/>
      <c r="B30" s="876"/>
      <c r="C30" s="402" t="s">
        <v>242</v>
      </c>
    </row>
    <row r="31" spans="1:3" s="414" customFormat="1" ht="22.5" customHeight="1" thickBot="1" x14ac:dyDescent="0.3">
      <c r="A31" s="882"/>
      <c r="B31" s="413" t="s">
        <v>190</v>
      </c>
      <c r="C31" s="414" t="s">
        <v>314</v>
      </c>
    </row>
    <row r="32" spans="1:3" s="412" customFormat="1" ht="22.5" customHeight="1" x14ac:dyDescent="0.25">
      <c r="A32" s="872" t="s">
        <v>194</v>
      </c>
      <c r="B32" s="869" t="s">
        <v>194</v>
      </c>
      <c r="C32" s="418" t="s">
        <v>195</v>
      </c>
    </row>
    <row r="33" spans="1:3" s="402" customFormat="1" ht="22.5" customHeight="1" x14ac:dyDescent="0.25">
      <c r="A33" s="873"/>
      <c r="B33" s="870"/>
      <c r="C33" s="419" t="s">
        <v>196</v>
      </c>
    </row>
    <row r="34" spans="1:3" s="402" customFormat="1" ht="22.5" customHeight="1" x14ac:dyDescent="0.25">
      <c r="A34" s="873"/>
      <c r="B34" s="870"/>
      <c r="C34" s="419" t="s">
        <v>197</v>
      </c>
    </row>
    <row r="35" spans="1:3" s="415" customFormat="1" ht="22.5" customHeight="1" thickBot="1" x14ac:dyDescent="0.3">
      <c r="A35" s="874"/>
      <c r="B35" s="871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90" t="s">
        <v>414</v>
      </c>
      <c r="B1" s="890"/>
      <c r="C1" s="890"/>
      <c r="D1" s="890"/>
      <c r="E1" s="890"/>
      <c r="F1" s="890"/>
      <c r="G1" s="890"/>
      <c r="H1" s="890"/>
      <c r="I1" s="890"/>
      <c r="J1" s="890"/>
      <c r="K1" s="890"/>
      <c r="L1" s="890"/>
      <c r="M1" s="890"/>
    </row>
    <row r="2" spans="1:21" s="11" customFormat="1" ht="18.75" customHeight="1" x14ac:dyDescent="0.25">
      <c r="A2" s="891" t="s">
        <v>315</v>
      </c>
      <c r="B2" s="891"/>
      <c r="C2" s="891"/>
      <c r="D2" s="891"/>
      <c r="E2" s="891"/>
      <c r="F2" s="891"/>
      <c r="G2" s="891"/>
      <c r="H2" s="891"/>
      <c r="I2" s="891"/>
      <c r="J2" s="891"/>
      <c r="K2" s="891"/>
      <c r="L2" s="891"/>
      <c r="M2" s="891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17" t="s">
        <v>248</v>
      </c>
      <c r="B3" s="915" t="s">
        <v>309</v>
      </c>
      <c r="C3" s="916"/>
      <c r="D3" s="915" t="s">
        <v>295</v>
      </c>
      <c r="E3" s="916"/>
      <c r="F3" s="915" t="s">
        <v>299</v>
      </c>
      <c r="G3" s="916"/>
      <c r="H3" s="915" t="s">
        <v>299</v>
      </c>
      <c r="I3" s="916"/>
      <c r="J3" s="915" t="s">
        <v>336</v>
      </c>
      <c r="K3" s="916"/>
      <c r="L3" s="915"/>
      <c r="M3" s="916"/>
      <c r="N3" s="915"/>
      <c r="O3" s="916"/>
      <c r="P3" s="915"/>
      <c r="Q3" s="916"/>
      <c r="R3" s="915"/>
      <c r="S3" s="916"/>
      <c r="T3" s="915"/>
      <c r="U3" s="916"/>
    </row>
    <row r="4" spans="1:21" s="589" customFormat="1" ht="21" customHeight="1" x14ac:dyDescent="0.25">
      <c r="A4" s="918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19"/>
      <c r="B5" s="913" t="s">
        <v>310</v>
      </c>
      <c r="C5" s="914"/>
      <c r="D5" s="913" t="s">
        <v>298</v>
      </c>
      <c r="E5" s="914"/>
      <c r="F5" s="913" t="s">
        <v>303</v>
      </c>
      <c r="G5" s="920"/>
      <c r="H5" s="920"/>
      <c r="I5" s="914"/>
      <c r="J5" s="913" t="s">
        <v>339</v>
      </c>
      <c r="K5" s="914"/>
      <c r="L5" s="913"/>
      <c r="M5" s="914"/>
      <c r="N5" s="913"/>
      <c r="O5" s="914"/>
      <c r="P5" s="913"/>
      <c r="Q5" s="914"/>
      <c r="R5" s="913"/>
      <c r="S5" s="914"/>
      <c r="T5" s="913"/>
      <c r="U5" s="914"/>
    </row>
    <row r="6" spans="1:21" s="586" customFormat="1" ht="21" customHeight="1" x14ac:dyDescent="0.25">
      <c r="A6" s="887" t="s">
        <v>250</v>
      </c>
      <c r="B6" s="883" t="s">
        <v>244</v>
      </c>
      <c r="C6" s="884"/>
      <c r="D6" s="883" t="s">
        <v>269</v>
      </c>
      <c r="E6" s="884"/>
      <c r="F6" s="883" t="s">
        <v>277</v>
      </c>
      <c r="G6" s="884"/>
      <c r="H6" s="883" t="s">
        <v>384</v>
      </c>
      <c r="I6" s="884"/>
      <c r="J6" s="883"/>
      <c r="K6" s="884"/>
      <c r="L6" s="883"/>
      <c r="M6" s="884"/>
      <c r="N6" s="883"/>
      <c r="O6" s="884"/>
      <c r="P6" s="883"/>
      <c r="Q6" s="884"/>
      <c r="R6" s="883"/>
      <c r="S6" s="884"/>
      <c r="T6" s="883"/>
      <c r="U6" s="884"/>
    </row>
    <row r="7" spans="1:21" s="590" customFormat="1" ht="21" customHeight="1" x14ac:dyDescent="0.25">
      <c r="A7" s="888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88"/>
      <c r="B8" s="885" t="s">
        <v>382</v>
      </c>
      <c r="C8" s="886"/>
      <c r="D8" s="885"/>
      <c r="E8" s="886"/>
      <c r="F8" s="885" t="s">
        <v>301</v>
      </c>
      <c r="G8" s="886"/>
      <c r="H8" s="885"/>
      <c r="I8" s="886"/>
      <c r="J8" s="885"/>
      <c r="K8" s="886"/>
      <c r="L8" s="885"/>
      <c r="M8" s="886"/>
      <c r="N8" s="885"/>
      <c r="O8" s="886"/>
      <c r="P8" s="885"/>
      <c r="Q8" s="886"/>
      <c r="R8" s="885"/>
      <c r="S8" s="886"/>
      <c r="T8" s="885"/>
      <c r="U8" s="886"/>
    </row>
    <row r="9" spans="1:21" s="695" customFormat="1" ht="21" customHeight="1" x14ac:dyDescent="0.25">
      <c r="A9" s="888"/>
      <c r="B9" s="883" t="s">
        <v>408</v>
      </c>
      <c r="C9" s="884"/>
      <c r="D9" s="883" t="s">
        <v>269</v>
      </c>
      <c r="E9" s="884"/>
      <c r="F9" s="883" t="s">
        <v>412</v>
      </c>
      <c r="G9" s="884"/>
      <c r="H9" s="883"/>
      <c r="I9" s="884"/>
      <c r="J9" s="883"/>
      <c r="K9" s="884"/>
      <c r="L9" s="883"/>
      <c r="M9" s="884"/>
      <c r="N9" s="883"/>
      <c r="O9" s="884"/>
      <c r="P9" s="883"/>
      <c r="Q9" s="884"/>
      <c r="R9" s="883"/>
      <c r="S9" s="884"/>
      <c r="T9" s="883"/>
      <c r="U9" s="884"/>
    </row>
    <row r="10" spans="1:21" s="590" customFormat="1" ht="21" customHeight="1" x14ac:dyDescent="0.25">
      <c r="A10" s="888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89"/>
      <c r="B11" s="885" t="s">
        <v>411</v>
      </c>
      <c r="C11" s="886"/>
      <c r="D11" s="885" t="s">
        <v>410</v>
      </c>
      <c r="E11" s="886"/>
      <c r="F11" s="885" t="s">
        <v>410</v>
      </c>
      <c r="G11" s="886"/>
      <c r="H11" s="885"/>
      <c r="I11" s="886"/>
      <c r="J11" s="885"/>
      <c r="K11" s="886"/>
      <c r="L11" s="885"/>
      <c r="M11" s="886"/>
      <c r="N11" s="885"/>
      <c r="O11" s="886"/>
      <c r="P11" s="885"/>
      <c r="Q11" s="886"/>
      <c r="R11" s="885"/>
      <c r="S11" s="886"/>
      <c r="T11" s="885"/>
      <c r="U11" s="886"/>
    </row>
    <row r="12" spans="1:21" s="149" customFormat="1" ht="21" customHeight="1" x14ac:dyDescent="0.25">
      <c r="A12" s="910" t="s">
        <v>251</v>
      </c>
      <c r="B12" s="908" t="s">
        <v>276</v>
      </c>
      <c r="C12" s="909"/>
      <c r="D12" s="908" t="s">
        <v>283</v>
      </c>
      <c r="E12" s="909"/>
      <c r="F12" s="908"/>
      <c r="G12" s="909"/>
      <c r="H12" s="908"/>
      <c r="I12" s="909"/>
      <c r="J12" s="908"/>
      <c r="K12" s="909"/>
      <c r="L12" s="908"/>
      <c r="M12" s="909"/>
      <c r="N12" s="908"/>
      <c r="O12" s="909"/>
      <c r="P12" s="908"/>
      <c r="Q12" s="909"/>
      <c r="R12" s="908"/>
      <c r="S12" s="909"/>
      <c r="T12" s="908"/>
      <c r="U12" s="909"/>
    </row>
    <row r="13" spans="1:21" s="589" customFormat="1" ht="21" customHeight="1" x14ac:dyDescent="0.25">
      <c r="A13" s="911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12"/>
      <c r="B14" s="906" t="s">
        <v>280</v>
      </c>
      <c r="C14" s="907"/>
      <c r="D14" s="906" t="s">
        <v>288</v>
      </c>
      <c r="E14" s="907"/>
      <c r="F14" s="906"/>
      <c r="G14" s="907"/>
      <c r="H14" s="906"/>
      <c r="I14" s="907"/>
      <c r="J14" s="906"/>
      <c r="K14" s="907"/>
      <c r="L14" s="906"/>
      <c r="M14" s="907"/>
      <c r="N14" s="906"/>
      <c r="O14" s="907"/>
      <c r="P14" s="906"/>
      <c r="Q14" s="907"/>
      <c r="R14" s="906"/>
      <c r="S14" s="907"/>
      <c r="T14" s="906"/>
      <c r="U14" s="907"/>
    </row>
    <row r="15" spans="1:21" s="157" customFormat="1" ht="21" customHeight="1" x14ac:dyDescent="0.25">
      <c r="A15" s="903" t="s">
        <v>253</v>
      </c>
      <c r="B15" s="901" t="s">
        <v>258</v>
      </c>
      <c r="C15" s="902"/>
      <c r="D15" s="901" t="s">
        <v>258</v>
      </c>
      <c r="E15" s="902"/>
      <c r="F15" s="901"/>
      <c r="G15" s="902"/>
      <c r="H15" s="901"/>
      <c r="I15" s="902"/>
      <c r="J15" s="901"/>
      <c r="K15" s="902"/>
      <c r="L15" s="901"/>
      <c r="M15" s="902"/>
      <c r="N15" s="901"/>
      <c r="O15" s="902"/>
      <c r="P15" s="901"/>
      <c r="Q15" s="902"/>
      <c r="R15" s="901"/>
      <c r="S15" s="902"/>
      <c r="T15" s="901"/>
      <c r="U15" s="902"/>
    </row>
    <row r="16" spans="1:21" s="589" customFormat="1" ht="21" customHeight="1" x14ac:dyDescent="0.25">
      <c r="A16" s="904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905"/>
      <c r="B17" s="899" t="s">
        <v>312</v>
      </c>
      <c r="C17" s="900"/>
      <c r="D17" s="899" t="s">
        <v>271</v>
      </c>
      <c r="E17" s="900"/>
      <c r="F17" s="899"/>
      <c r="G17" s="900"/>
      <c r="H17" s="899"/>
      <c r="I17" s="900"/>
      <c r="J17" s="899"/>
      <c r="K17" s="900"/>
      <c r="L17" s="899"/>
      <c r="M17" s="900"/>
      <c r="N17" s="899"/>
      <c r="O17" s="900"/>
      <c r="P17" s="899"/>
      <c r="Q17" s="900"/>
      <c r="R17" s="899"/>
      <c r="S17" s="900"/>
      <c r="T17" s="899"/>
      <c r="U17" s="900"/>
    </row>
    <row r="18" spans="1:21" s="164" customFormat="1" ht="21" customHeight="1" x14ac:dyDescent="0.25">
      <c r="A18" s="896" t="s">
        <v>255</v>
      </c>
      <c r="B18" s="894" t="s">
        <v>261</v>
      </c>
      <c r="C18" s="895"/>
      <c r="D18" s="894" t="s">
        <v>332</v>
      </c>
      <c r="E18" s="895"/>
      <c r="F18" s="894" t="s">
        <v>263</v>
      </c>
      <c r="G18" s="895"/>
      <c r="H18" s="894" t="s">
        <v>313</v>
      </c>
      <c r="I18" s="895"/>
      <c r="J18" s="894"/>
      <c r="K18" s="895"/>
      <c r="L18" s="894"/>
      <c r="M18" s="895"/>
      <c r="N18" s="894"/>
      <c r="O18" s="895"/>
      <c r="P18" s="894"/>
      <c r="Q18" s="895"/>
      <c r="R18" s="894"/>
      <c r="S18" s="895"/>
      <c r="T18" s="894"/>
      <c r="U18" s="895"/>
    </row>
    <row r="19" spans="1:21" s="589" customFormat="1" ht="21" customHeight="1" x14ac:dyDescent="0.25">
      <c r="A19" s="897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98"/>
      <c r="B20" s="892"/>
      <c r="C20" s="893"/>
      <c r="D20" s="892"/>
      <c r="E20" s="893"/>
      <c r="F20" s="892" t="s">
        <v>264</v>
      </c>
      <c r="G20" s="893"/>
      <c r="H20" s="892"/>
      <c r="I20" s="893"/>
      <c r="J20" s="892"/>
      <c r="K20" s="893"/>
      <c r="L20" s="892"/>
      <c r="M20" s="893"/>
      <c r="N20" s="892"/>
      <c r="O20" s="893"/>
      <c r="P20" s="892"/>
      <c r="Q20" s="893"/>
      <c r="R20" s="892"/>
      <c r="S20" s="893"/>
      <c r="T20" s="892"/>
      <c r="U20" s="893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21" t="s">
        <v>422</v>
      </c>
      <c r="B1" s="921"/>
      <c r="C1" s="921"/>
      <c r="D1" s="921"/>
      <c r="E1" s="921"/>
      <c r="F1" s="921"/>
      <c r="G1" s="921"/>
      <c r="H1" s="921"/>
      <c r="I1" s="921"/>
      <c r="J1" s="921"/>
      <c r="K1" s="921"/>
      <c r="L1" s="921"/>
      <c r="M1" s="921"/>
    </row>
    <row r="2" spans="1:21" s="137" customFormat="1" ht="21" customHeight="1" x14ac:dyDescent="0.25">
      <c r="A2" s="922" t="s">
        <v>249</v>
      </c>
      <c r="B2" s="915" t="s">
        <v>309</v>
      </c>
      <c r="C2" s="916"/>
      <c r="D2" s="915" t="s">
        <v>295</v>
      </c>
      <c r="E2" s="916"/>
      <c r="F2" s="915" t="s">
        <v>299</v>
      </c>
      <c r="G2" s="916"/>
      <c r="H2" s="915" t="s">
        <v>299</v>
      </c>
      <c r="I2" s="916"/>
      <c r="J2" s="915" t="s">
        <v>385</v>
      </c>
      <c r="K2" s="916"/>
      <c r="L2" s="915"/>
      <c r="M2" s="916"/>
      <c r="N2" s="915"/>
      <c r="O2" s="916"/>
      <c r="P2" s="915"/>
      <c r="Q2" s="916"/>
      <c r="R2" s="915"/>
      <c r="S2" s="916"/>
      <c r="T2" s="915"/>
      <c r="U2" s="916"/>
    </row>
    <row r="3" spans="1:21" s="589" customFormat="1" ht="21" customHeight="1" x14ac:dyDescent="0.25">
      <c r="A3" s="923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23"/>
      <c r="B4" s="913" t="s">
        <v>310</v>
      </c>
      <c r="C4" s="914"/>
      <c r="D4" s="913" t="s">
        <v>298</v>
      </c>
      <c r="E4" s="914"/>
      <c r="F4" s="913" t="s">
        <v>303</v>
      </c>
      <c r="G4" s="920"/>
      <c r="H4" s="920"/>
      <c r="I4" s="914"/>
      <c r="J4" s="913" t="s">
        <v>393</v>
      </c>
      <c r="K4" s="914"/>
      <c r="L4" s="913"/>
      <c r="M4" s="914"/>
      <c r="N4" s="913"/>
      <c r="O4" s="914"/>
      <c r="P4" s="913"/>
      <c r="Q4" s="914"/>
      <c r="R4" s="913"/>
      <c r="S4" s="914"/>
      <c r="T4" s="913"/>
      <c r="U4" s="914"/>
    </row>
    <row r="5" spans="1:21" s="695" customFormat="1" ht="21" customHeight="1" x14ac:dyDescent="0.25">
      <c r="A5" s="888"/>
      <c r="B5" s="883" t="s">
        <v>408</v>
      </c>
      <c r="C5" s="884"/>
      <c r="D5" s="883" t="s">
        <v>407</v>
      </c>
      <c r="E5" s="884"/>
      <c r="F5" s="883" t="s">
        <v>269</v>
      </c>
      <c r="G5" s="884"/>
      <c r="H5" s="883"/>
      <c r="I5" s="884"/>
      <c r="J5" s="883"/>
      <c r="K5" s="884"/>
      <c r="L5" s="883"/>
      <c r="M5" s="884"/>
      <c r="N5" s="883"/>
      <c r="O5" s="884"/>
      <c r="P5" s="883"/>
      <c r="Q5" s="884"/>
      <c r="R5" s="883"/>
      <c r="S5" s="884"/>
      <c r="T5" s="883"/>
      <c r="U5" s="884"/>
    </row>
    <row r="6" spans="1:21" s="590" customFormat="1" ht="21" customHeight="1" x14ac:dyDescent="0.25">
      <c r="A6" s="888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89"/>
      <c r="B7" s="885" t="s">
        <v>410</v>
      </c>
      <c r="C7" s="886"/>
      <c r="D7" s="885" t="s">
        <v>410</v>
      </c>
      <c r="E7" s="886"/>
      <c r="F7" s="885" t="s">
        <v>410</v>
      </c>
      <c r="G7" s="886"/>
      <c r="H7" s="885"/>
      <c r="I7" s="886"/>
      <c r="J7" s="885"/>
      <c r="K7" s="886"/>
      <c r="L7" s="885"/>
      <c r="M7" s="886"/>
      <c r="N7" s="885"/>
      <c r="O7" s="886"/>
      <c r="P7" s="885"/>
      <c r="Q7" s="886"/>
      <c r="R7" s="885"/>
      <c r="S7" s="886"/>
      <c r="T7" s="885"/>
      <c r="U7" s="886"/>
    </row>
    <row r="8" spans="1:21" s="149" customFormat="1" ht="21" customHeight="1" x14ac:dyDescent="0.25">
      <c r="A8" s="932" t="s">
        <v>252</v>
      </c>
      <c r="B8" s="930" t="s">
        <v>266</v>
      </c>
      <c r="C8" s="909"/>
      <c r="D8" s="908" t="s">
        <v>276</v>
      </c>
      <c r="E8" s="909"/>
      <c r="F8" s="908" t="s">
        <v>273</v>
      </c>
      <c r="G8" s="909"/>
      <c r="H8" s="908" t="s">
        <v>283</v>
      </c>
      <c r="I8" s="909"/>
      <c r="J8" s="908" t="s">
        <v>283</v>
      </c>
      <c r="K8" s="909"/>
      <c r="L8" s="908" t="s">
        <v>318</v>
      </c>
      <c r="M8" s="909"/>
      <c r="N8" s="908"/>
      <c r="O8" s="909"/>
      <c r="P8" s="908"/>
      <c r="Q8" s="909"/>
      <c r="R8" s="908"/>
      <c r="S8" s="909"/>
      <c r="T8" s="908"/>
      <c r="U8" s="909"/>
    </row>
    <row r="9" spans="1:21" s="589" customFormat="1" ht="21" customHeight="1" x14ac:dyDescent="0.25">
      <c r="A9" s="933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33"/>
      <c r="B10" s="931" t="s">
        <v>268</v>
      </c>
      <c r="C10" s="907"/>
      <c r="D10" s="906" t="s">
        <v>280</v>
      </c>
      <c r="E10" s="907"/>
      <c r="F10" s="906" t="s">
        <v>275</v>
      </c>
      <c r="G10" s="907"/>
      <c r="H10" s="906"/>
      <c r="I10" s="907"/>
      <c r="J10" s="906" t="s">
        <v>305</v>
      </c>
      <c r="K10" s="907"/>
      <c r="L10" s="906"/>
      <c r="M10" s="907"/>
      <c r="N10" s="906"/>
      <c r="O10" s="907"/>
      <c r="P10" s="906"/>
      <c r="Q10" s="907"/>
      <c r="R10" s="906"/>
      <c r="S10" s="907"/>
      <c r="T10" s="906"/>
      <c r="U10" s="907"/>
    </row>
    <row r="11" spans="1:21" s="149" customFormat="1" ht="21" customHeight="1" x14ac:dyDescent="0.25">
      <c r="A11" s="933"/>
      <c r="B11" s="930" t="s">
        <v>285</v>
      </c>
      <c r="C11" s="909"/>
      <c r="D11" s="908" t="s">
        <v>289</v>
      </c>
      <c r="E11" s="909"/>
      <c r="F11" s="908" t="s">
        <v>292</v>
      </c>
      <c r="G11" s="909"/>
      <c r="H11" s="908" t="s">
        <v>306</v>
      </c>
      <c r="I11" s="909"/>
      <c r="J11" s="908" t="s">
        <v>306</v>
      </c>
      <c r="K11" s="909"/>
      <c r="L11" s="908" t="s">
        <v>263</v>
      </c>
      <c r="M11" s="909"/>
      <c r="N11" s="908"/>
      <c r="O11" s="909"/>
      <c r="P11" s="908"/>
      <c r="Q11" s="909"/>
      <c r="R11" s="908"/>
      <c r="S11" s="909"/>
      <c r="T11" s="908"/>
      <c r="U11" s="909"/>
    </row>
    <row r="12" spans="1:21" s="589" customFormat="1" ht="21" customHeight="1" x14ac:dyDescent="0.25">
      <c r="A12" s="933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34"/>
      <c r="B13" s="931" t="s">
        <v>286</v>
      </c>
      <c r="C13" s="907"/>
      <c r="D13" s="906" t="s">
        <v>291</v>
      </c>
      <c r="E13" s="907"/>
      <c r="F13" s="906" t="s">
        <v>294</v>
      </c>
      <c r="G13" s="907"/>
      <c r="H13" s="906" t="s">
        <v>307</v>
      </c>
      <c r="I13" s="907"/>
      <c r="J13" s="906"/>
      <c r="K13" s="907"/>
      <c r="L13" s="906" t="s">
        <v>387</v>
      </c>
      <c r="M13" s="907"/>
      <c r="N13" s="906"/>
      <c r="O13" s="907"/>
      <c r="P13" s="906"/>
      <c r="Q13" s="907"/>
      <c r="R13" s="906"/>
      <c r="S13" s="907"/>
      <c r="T13" s="906"/>
      <c r="U13" s="907"/>
    </row>
    <row r="14" spans="1:21" s="157" customFormat="1" ht="21" customHeight="1" x14ac:dyDescent="0.25">
      <c r="A14" s="927" t="s">
        <v>254</v>
      </c>
      <c r="B14" s="935" t="s">
        <v>258</v>
      </c>
      <c r="C14" s="902"/>
      <c r="D14" s="901" t="s">
        <v>246</v>
      </c>
      <c r="E14" s="902"/>
      <c r="F14" s="901" t="s">
        <v>354</v>
      </c>
      <c r="G14" s="902"/>
      <c r="H14" s="901" t="s">
        <v>258</v>
      </c>
      <c r="I14" s="902"/>
      <c r="J14" s="901"/>
      <c r="K14" s="902"/>
      <c r="L14" s="901"/>
      <c r="M14" s="902"/>
      <c r="N14" s="901"/>
      <c r="O14" s="902"/>
      <c r="P14" s="901"/>
      <c r="Q14" s="902"/>
      <c r="R14" s="901"/>
      <c r="S14" s="902"/>
      <c r="T14" s="901"/>
      <c r="U14" s="902"/>
    </row>
    <row r="15" spans="1:21" s="589" customFormat="1" ht="21" customHeight="1" x14ac:dyDescent="0.25">
      <c r="A15" s="928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29"/>
      <c r="B16" s="936" t="s">
        <v>353</v>
      </c>
      <c r="C16" s="900"/>
      <c r="D16" s="936" t="s">
        <v>353</v>
      </c>
      <c r="E16" s="900"/>
      <c r="F16" s="899" t="s">
        <v>352</v>
      </c>
      <c r="G16" s="900"/>
      <c r="H16" s="899" t="s">
        <v>352</v>
      </c>
      <c r="I16" s="900"/>
      <c r="J16" s="899"/>
      <c r="K16" s="900"/>
      <c r="L16" s="899"/>
      <c r="M16" s="900"/>
      <c r="N16" s="899"/>
      <c r="O16" s="900"/>
      <c r="P16" s="899"/>
      <c r="Q16" s="900"/>
      <c r="R16" s="899"/>
      <c r="S16" s="900"/>
      <c r="T16" s="899"/>
      <c r="U16" s="900"/>
    </row>
    <row r="17" spans="1:21" s="164" customFormat="1" ht="21" customHeight="1" x14ac:dyDescent="0.25">
      <c r="A17" s="924" t="s">
        <v>256</v>
      </c>
      <c r="B17" s="894" t="s">
        <v>261</v>
      </c>
      <c r="C17" s="895"/>
      <c r="D17" s="894" t="s">
        <v>332</v>
      </c>
      <c r="E17" s="895"/>
      <c r="F17" s="894" t="s">
        <v>263</v>
      </c>
      <c r="G17" s="895"/>
      <c r="H17" s="894" t="s">
        <v>313</v>
      </c>
      <c r="I17" s="895"/>
      <c r="J17" s="894" t="s">
        <v>380</v>
      </c>
      <c r="K17" s="895"/>
      <c r="L17" s="894"/>
      <c r="M17" s="895"/>
      <c r="N17" s="894"/>
      <c r="O17" s="895"/>
      <c r="P17" s="894"/>
      <c r="Q17" s="895"/>
      <c r="R17" s="894"/>
      <c r="S17" s="895"/>
      <c r="T17" s="894"/>
      <c r="U17" s="895"/>
    </row>
    <row r="18" spans="1:21" s="589" customFormat="1" ht="21" customHeight="1" x14ac:dyDescent="0.25">
      <c r="A18" s="925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26"/>
      <c r="B19" s="892"/>
      <c r="C19" s="893"/>
      <c r="D19" s="892"/>
      <c r="E19" s="893"/>
      <c r="F19" s="892" t="s">
        <v>264</v>
      </c>
      <c r="G19" s="893"/>
      <c r="H19" s="892"/>
      <c r="I19" s="893"/>
      <c r="J19" s="892"/>
      <c r="K19" s="893"/>
      <c r="L19" s="892"/>
      <c r="M19" s="893"/>
      <c r="N19" s="892"/>
      <c r="O19" s="893"/>
      <c r="P19" s="892"/>
      <c r="Q19" s="893"/>
      <c r="R19" s="892"/>
      <c r="S19" s="893"/>
      <c r="T19" s="892"/>
      <c r="U19" s="893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1" workbookViewId="0">
      <selection activeCell="H10" sqref="H10:H11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37" t="s">
        <v>340</v>
      </c>
      <c r="I1" s="937"/>
      <c r="J1" s="937"/>
      <c r="K1" s="937"/>
      <c r="L1" s="937"/>
      <c r="M1" s="937"/>
      <c r="N1" s="937"/>
      <c r="O1" s="937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1004" t="s">
        <v>236</v>
      </c>
      <c r="B2" s="1005"/>
      <c r="C2" s="1005"/>
      <c r="D2" s="1006"/>
      <c r="F2" s="981" t="s">
        <v>30</v>
      </c>
      <c r="G2" s="982"/>
      <c r="H2" s="989" t="s">
        <v>217</v>
      </c>
      <c r="I2" s="990"/>
      <c r="J2" s="990"/>
      <c r="K2" s="990"/>
      <c r="L2" s="990"/>
      <c r="M2" s="990"/>
      <c r="N2" s="990"/>
      <c r="O2" s="991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74" t="s">
        <v>193</v>
      </c>
      <c r="B3" s="975"/>
      <c r="C3" s="975"/>
      <c r="D3" s="976"/>
      <c r="F3" s="983"/>
      <c r="G3" s="984"/>
      <c r="H3" s="494" t="str">
        <f>"中級 (" &amp; HDRAG_GAMES_HBRUN_MED &amp; "場)"</f>
        <v>中級 (299場)</v>
      </c>
      <c r="I3" s="997" t="str">
        <f>"高級 (" &amp; HDRAG_GAMES_HBRUN_EXP &amp; "場)"</f>
        <v>高級 (225場)</v>
      </c>
      <c r="J3" s="998"/>
      <c r="K3" s="999"/>
      <c r="L3" s="997" t="str">
        <f>"超級 (" &amp; HDRAG_GAMES_HBRUN_MST &amp; "場)"</f>
        <v>超級 (232場)</v>
      </c>
      <c r="M3" s="998"/>
      <c r="N3" s="998"/>
      <c r="O3" s="1007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93">
        <f>HDRAG_AVG_HBRUN_MED_ORB</f>
        <v>2.4381270903010033</v>
      </c>
      <c r="I5" s="992">
        <f>HDRAG_AVG_HBRUN_EXP_ORB</f>
        <v>4.4133333333333331</v>
      </c>
      <c r="J5" s="992">
        <f>HDRAG_AVG_HBRUN_EXP_TAIL</f>
        <v>2</v>
      </c>
      <c r="K5" s="994">
        <f>HDRAG_AVG_HBRUN_EXP_ORIHAL</f>
        <v>0.31555555555555553</v>
      </c>
      <c r="L5" s="992">
        <f>HDRAG_AVG_HBRUN_MST_ORB</f>
        <v>6.3965517241379306</v>
      </c>
      <c r="M5" s="992">
        <f>HDRAG_AVG_HBRUN_MST_TAIL</f>
        <v>2.0517241379310347</v>
      </c>
      <c r="N5" s="992">
        <f>HDRAG_AVG_HBRUN_MST_HORN</f>
        <v>1.9827586206896552</v>
      </c>
      <c r="O5" s="977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93"/>
      <c r="I6" s="992"/>
      <c r="J6" s="992"/>
      <c r="K6" s="994"/>
      <c r="L6" s="992"/>
      <c r="M6" s="1031"/>
      <c r="N6" s="1031"/>
      <c r="O6" s="978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85" t="s">
        <v>35</v>
      </c>
      <c r="G7" s="986"/>
      <c r="H7" s="969" t="s">
        <v>217</v>
      </c>
      <c r="I7" s="970"/>
      <c r="J7" s="970"/>
      <c r="K7" s="970"/>
      <c r="L7" s="970"/>
      <c r="M7" s="970"/>
      <c r="N7" s="970"/>
      <c r="O7" s="971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87"/>
      <c r="G8" s="988"/>
      <c r="H8" s="495" t="str">
        <f>"中級 (" &amp; HDRAG_GAMES_HMERC_MED &amp; "場)"</f>
        <v>中級 (246場)</v>
      </c>
      <c r="I8" s="1034" t="str">
        <f>"高級 (" &amp; HDRAG_GAMES_HMERC_EXP &amp; "場)"</f>
        <v>高級 (524場)</v>
      </c>
      <c r="J8" s="1035"/>
      <c r="K8" s="1048"/>
      <c r="L8" s="1034" t="str">
        <f>"超級 (" &amp; HDRAG_GAMES_HMERC_MST &amp; "場)"</f>
        <v>超級 (356場)</v>
      </c>
      <c r="M8" s="1035"/>
      <c r="N8" s="1035"/>
      <c r="O8" s="1036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72">
        <f>HDRAG_AVG_HMERC_MED_ORB</f>
        <v>2.3861788617886179</v>
      </c>
      <c r="I10" s="979">
        <f>HDRAG_AVG_HMERC_EXP_ORB</f>
        <v>4.4217557251908399</v>
      </c>
      <c r="J10" s="1000">
        <f>HDRAG_AVG_HMERC_EXP_TAIL</f>
        <v>2.0152671755725189</v>
      </c>
      <c r="K10" s="995">
        <f>HDRAG_AVG_HMERC_EXP_ORIHAL</f>
        <v>0.35496183206106868</v>
      </c>
      <c r="L10" s="1000">
        <f>HDRAG_AVG_HMERC_MST_ORB</f>
        <v>6.4241573033707864</v>
      </c>
      <c r="M10" s="1000">
        <f>HDRAG_AVG_HMERC_MST_TAIL</f>
        <v>1.9213483146067416</v>
      </c>
      <c r="N10" s="1000">
        <f>HDRAG_AVG_HMERC_MST_HORN</f>
        <v>2.1151685393258428</v>
      </c>
      <c r="O10" s="1002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1004" t="s">
        <v>237</v>
      </c>
      <c r="B11" s="1005"/>
      <c r="C11" s="1005"/>
      <c r="D11" s="1006"/>
      <c r="F11" s="467" t="s">
        <v>210</v>
      </c>
      <c r="G11" s="468">
        <f>IF(HDRAG_HAS_REC_HMERC,HDRAG_HMERC_ITEMS + G9 + G10,0)</f>
        <v>3116</v>
      </c>
      <c r="H11" s="973"/>
      <c r="I11" s="980"/>
      <c r="J11" s="1001"/>
      <c r="K11" s="996"/>
      <c r="L11" s="1001"/>
      <c r="M11" s="1001"/>
      <c r="N11" s="1001"/>
      <c r="O11" s="1003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38" t="s">
        <v>31</v>
      </c>
      <c r="G12" s="939"/>
      <c r="H12" s="962" t="s">
        <v>217</v>
      </c>
      <c r="I12" s="963"/>
      <c r="J12" s="963"/>
      <c r="K12" s="963"/>
      <c r="L12" s="963"/>
      <c r="M12" s="963"/>
      <c r="N12" s="963"/>
      <c r="O12" s="964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40"/>
      <c r="G13" s="941"/>
      <c r="H13" s="496" t="str">
        <f>"中級 (" &amp; HDRAG_GAMES_HMID_MED &amp; "場)"</f>
        <v>中級 (803場)</v>
      </c>
      <c r="I13" s="1045" t="str">
        <f>"高級 (" &amp; HDRAG_GAMES_HMID_EXP &amp; "場)"</f>
        <v>高級 (471場)</v>
      </c>
      <c r="J13" s="1046"/>
      <c r="K13" s="1047"/>
      <c r="L13" s="1045" t="str">
        <f>"超級 (" &amp; HDRAG_GAMES_HMID_MST &amp; "場)"</f>
        <v>超級 (131場)</v>
      </c>
      <c r="M13" s="1046"/>
      <c r="N13" s="1046"/>
      <c r="O13" s="1079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65">
        <f>HDRAG_AVG_HMID_MED_ORB</f>
        <v>2.5504358655043586</v>
      </c>
      <c r="I15" s="966">
        <f>HDRAG_AVG_HMID_EXP_ORB</f>
        <v>4.3949044585987265</v>
      </c>
      <c r="J15" s="966">
        <f>HDRAG_AVG_HMID_EXP_TAIL</f>
        <v>1.9660297239915074</v>
      </c>
      <c r="K15" s="960">
        <f>HDRAG_AVG_HMID_EXP_ORIHAL</f>
        <v>0.32484076433121017</v>
      </c>
      <c r="L15" s="966">
        <f>HDRAG_AVG_HMID_MST_ORB</f>
        <v>6.5038167938931295</v>
      </c>
      <c r="M15" s="966">
        <f>HDRAG_AVG_HMID_MST_TAIL</f>
        <v>1.9541984732824427</v>
      </c>
      <c r="N15" s="966">
        <f>HDRAG_AVG_HMID_MST_HORN</f>
        <v>2.0839694656488548</v>
      </c>
      <c r="O15" s="967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65"/>
      <c r="I16" s="966"/>
      <c r="J16" s="966"/>
      <c r="K16" s="960"/>
      <c r="L16" s="966"/>
      <c r="M16" s="1033"/>
      <c r="N16" s="1033"/>
      <c r="O16" s="968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42" t="s">
        <v>36</v>
      </c>
      <c r="G17" s="943"/>
      <c r="H17" s="950" t="s">
        <v>217</v>
      </c>
      <c r="I17" s="951"/>
      <c r="J17" s="951"/>
      <c r="K17" s="951"/>
      <c r="L17" s="951"/>
      <c r="M17" s="951"/>
      <c r="N17" s="951"/>
      <c r="O17" s="952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44"/>
      <c r="G18" s="945"/>
      <c r="H18" s="499" t="str">
        <f>"中級 (" &amp; HDRAG_GAMES_HJUP_MED &amp; "場)"</f>
        <v>中級 (443場)</v>
      </c>
      <c r="I18" s="1042" t="str">
        <f>"高級 (" &amp; HDRAG_GAMES_HJUP_EXP &amp; "場)"</f>
        <v>高級 (435場)</v>
      </c>
      <c r="J18" s="1043"/>
      <c r="K18" s="1044"/>
      <c r="L18" s="1042" t="str">
        <f>"超級 (" &amp; HDRAG_GAMES_HJUP_MST &amp; "場)"</f>
        <v>超級 (254場)</v>
      </c>
      <c r="M18" s="1043"/>
      <c r="N18" s="1043"/>
      <c r="O18" s="1078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53">
        <f>HDRAG_AVG_HJUP_MED_ORB</f>
        <v>2.4582392776523703</v>
      </c>
      <c r="I20" s="954">
        <f>HDRAG_AVG_HJUP_EXP_ORB</f>
        <v>4.4206896551724135</v>
      </c>
      <c r="J20" s="954">
        <f>HDRAG_AVG_HJUP_EXP_TAIL</f>
        <v>2.0045977011494251</v>
      </c>
      <c r="K20" s="961">
        <f>HDRAG_AVG_HJUP_EXP_ORIHAL</f>
        <v>0.30804597701149428</v>
      </c>
      <c r="L20" s="954">
        <f>HDRAG_AVG_HJUP_MST_ORB</f>
        <v>6.4763779527559056</v>
      </c>
      <c r="M20" s="954">
        <f>HDRAG_AVG_HJUP_MST_TAIL</f>
        <v>2.106299212598425</v>
      </c>
      <c r="N20" s="954">
        <f>HDRAG_AVG_HJUP_MST_HORN</f>
        <v>2.0393700787401574</v>
      </c>
      <c r="O20" s="955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53"/>
      <c r="I21" s="954"/>
      <c r="J21" s="954"/>
      <c r="K21" s="961"/>
      <c r="L21" s="954"/>
      <c r="M21" s="1032"/>
      <c r="N21" s="1032"/>
      <c r="O21" s="956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46" t="s">
        <v>37</v>
      </c>
      <c r="G22" s="947"/>
      <c r="H22" s="957" t="s">
        <v>217</v>
      </c>
      <c r="I22" s="958"/>
      <c r="J22" s="958"/>
      <c r="K22" s="958"/>
      <c r="L22" s="958"/>
      <c r="M22" s="958"/>
      <c r="N22" s="958"/>
      <c r="O22" s="959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48"/>
      <c r="G23" s="949"/>
      <c r="H23" s="502" t="str">
        <f>"中級 (" &amp; HDRAG_GAMES_HZOD_MED &amp; "場)"</f>
        <v>中級 (241場)</v>
      </c>
      <c r="I23" s="1039" t="str">
        <f>"高級 (" &amp; HDRAG_GAMES_HZOD_EXP &amp; "場)"</f>
        <v>高級 (331場)</v>
      </c>
      <c r="J23" s="1040"/>
      <c r="K23" s="1041"/>
      <c r="L23" s="1039" t="str">
        <f>"超級 (" &amp; HDRAG_GAMES_HZOD_MST &amp; "場)"</f>
        <v>超級 (397場)</v>
      </c>
      <c r="M23" s="1040"/>
      <c r="N23" s="1040"/>
      <c r="O23" s="1077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12">
        <f>HDRAG_AVG_HZOD_MED_ORB</f>
        <v>2.3692946058091287</v>
      </c>
      <c r="I25" s="1014">
        <f>HDRAG_AVG_HZOD_EXP_ORB</f>
        <v>4.4410876132930515</v>
      </c>
      <c r="J25" s="1014">
        <f>HDRAG_AVG_HZOD_EXP_TAIL</f>
        <v>1.9607250755287009</v>
      </c>
      <c r="K25" s="1019">
        <f>HDRAG_AVG_HZOD_EXP_ORIHAL</f>
        <v>0.35649546827794559</v>
      </c>
      <c r="L25" s="1014">
        <f>HDRAG_AVG_HZOD_MST_ORB</f>
        <v>6.3576826196473553</v>
      </c>
      <c r="M25" s="1014">
        <f>HDRAG_AVG_HZOD_MST_TAIL</f>
        <v>2.005037783375315</v>
      </c>
      <c r="N25" s="1014">
        <f>HDRAG_AVG_HZOD_MST_HORN</f>
        <v>1.9899244332493702</v>
      </c>
      <c r="O25" s="1010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13"/>
      <c r="I26" s="1015"/>
      <c r="J26" s="1015"/>
      <c r="K26" s="1020"/>
      <c r="L26" s="1015"/>
      <c r="M26" s="1015"/>
      <c r="N26" s="1015"/>
      <c r="O26" s="1011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16"/>
      <c r="I27" s="1017"/>
      <c r="J27" s="1017"/>
      <c r="K27" s="1017"/>
      <c r="L27" s="1017"/>
      <c r="M27" s="1017"/>
      <c r="N27" s="1017"/>
      <c r="O27" s="1018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73" t="str">
        <f>"高級 (" &amp; HDRAG_GAMES_HBRUN_EXP + HDRAG_GAMES_HMERC_EXP + HDRAG_GAMES_HMID_EXP + HDRAG_GAMES_HJUP_EXP + HDRAG_GAMES_HZOD_EXP &amp; "場)"</f>
        <v>高級 (1986場)</v>
      </c>
      <c r="J28" s="1074"/>
      <c r="K28" s="1075"/>
      <c r="L28" s="1073" t="str">
        <f>"超級 (" &amp; HDRAG_GAMES_HBRUN_MST + HDRAG_GAMES_HMERC_MST + HDRAG_GAMES_HMID_MST + HDRAG_GAMES_HJUP_MST + HDRAG_GAMES_HZOD_MST &amp; "場)"</f>
        <v>超級 (1370場)</v>
      </c>
      <c r="M28" s="1074"/>
      <c r="N28" s="1074"/>
      <c r="O28" s="1076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80">
        <f>AVERAGE(DATA_HDRAG_HBRUN_MED_ORB,HDRAG_AVG_HMERC_MED_ORB,HDRAG_AVG_HMID_MED_ORB,HDRAG_AVG_HJUP_MED_ORB,HDRAG_AVG_HZOD_MED_ORB)</f>
        <v>2.4381655069661865</v>
      </c>
      <c r="I30" s="1021">
        <f>AVERAGE(DATA_HDRAG_HBRUN_EXP_ORB,HDRAG_AVG_HMERC_EXP_ORB,HDRAG_AVG_HMID_EXP_ORB,HDRAG_AVG_HJUP_EXP_ORB,HDRAG_AVG_HZOD_EXP_ORB)</f>
        <v>4.4134429583067902</v>
      </c>
      <c r="J30" s="1021">
        <f>AVERAGE(DATA_HDRAG_HBRUN_EXP_TAIL,HDRAG_AVG_HMERC_EXP_TAIL,HDRAG_AVG_HMID_EXP_TAIL,HDRAG_AVG_HJUP_EXP_TAIL,HDRAG_AVG_HZOD_EXP_TAIL)</f>
        <v>1.9997668981495291</v>
      </c>
      <c r="K30" s="1037">
        <f>AVERAGE(DATA_HDRAG_HBRUN_EXP_ORIHAL,HDRAG_AVG_HMERC_EXP_ORIHAL,HDRAG_AVG_HMID_EXP_ORIHAL,HDRAG_AVG_HJUP_EXP_ORIHAL,HDRAG_AVG_HZOD_EXP_ORIHAL)</f>
        <v>0.3159141661208808</v>
      </c>
      <c r="L30" s="1021">
        <f>AVERAGE(DATA_HDRAG_HBRUN_MST_ORB,HDRAG_AVG_HMERC_MST_ORB,HDRAG_AVG_HMID_MST_ORB,HDRAG_AVG_HJUP_MST_ORB,HDRAG_AVG_HZOD_MST_ORB)</f>
        <v>6.3972967570748613</v>
      </c>
      <c r="M30" s="1021">
        <f>AVERAGE(DATA_HDRAG_HBRUN_MST_TAIL,HDRAG_AVG_HMERC_MST_TAIL,HDRAG_AVG_HMID_MST_TAIL,HDRAG_AVG_HJUP_MST_TAIL,HDRAG_AVG_HZOD_MST_TAIL)</f>
        <v>2.0507918804400971</v>
      </c>
      <c r="N30" s="1021">
        <f>AVERAGE(DATA_HDRAG_HBRUN_MST_HORN,HDRAG_AVG_HMERC_MST_HORN,HDRAG_AVG_HMID_MST_HORN,HDRAG_AVG_HJUP_MST_HORN,HDRAG_AVG_HZOD_MST_HORN)</f>
        <v>1.9840187818515433</v>
      </c>
      <c r="O30" s="1008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81"/>
      <c r="I31" s="1022"/>
      <c r="J31" s="1022"/>
      <c r="K31" s="1038"/>
      <c r="L31" s="1022"/>
      <c r="M31" s="1022"/>
      <c r="N31" s="1022"/>
      <c r="O31" s="1009"/>
    </row>
    <row r="32" spans="1:18" ht="15.75" customHeight="1" x14ac:dyDescent="0.25">
      <c r="G32" s="311"/>
      <c r="R32" s="239"/>
    </row>
    <row r="33" spans="3:18" ht="28.5" customHeight="1" x14ac:dyDescent="0.25">
      <c r="F33" s="1049"/>
      <c r="G33" s="1050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53" t="s">
        <v>24</v>
      </c>
      <c r="Q33" s="1054"/>
      <c r="R33" s="581" t="s">
        <v>296</v>
      </c>
    </row>
    <row r="34" spans="3:18" ht="16.5" customHeight="1" x14ac:dyDescent="0.25">
      <c r="F34" s="1027" t="s">
        <v>30</v>
      </c>
      <c r="G34" s="1028"/>
      <c r="H34" s="1094" t="s">
        <v>226</v>
      </c>
      <c r="I34" s="1051" t="s">
        <v>223</v>
      </c>
      <c r="J34" s="1051" t="s">
        <v>223</v>
      </c>
      <c r="K34" s="1051" t="s">
        <v>226</v>
      </c>
      <c r="L34" s="1051" t="s">
        <v>223</v>
      </c>
      <c r="M34" s="1051" t="s">
        <v>223</v>
      </c>
      <c r="N34" s="1051" t="s">
        <v>226</v>
      </c>
      <c r="O34" s="1100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1029"/>
      <c r="G35" s="1030"/>
      <c r="H35" s="1095"/>
      <c r="I35" s="1052"/>
      <c r="J35" s="1052"/>
      <c r="K35" s="1052"/>
      <c r="L35" s="1052"/>
      <c r="M35" s="1052"/>
      <c r="N35" s="1052"/>
      <c r="O35" s="1101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23" t="s">
        <v>35</v>
      </c>
      <c r="G38" s="1024"/>
      <c r="H38" s="1102" t="s">
        <v>226</v>
      </c>
      <c r="I38" s="1096" t="s">
        <v>223</v>
      </c>
      <c r="J38" s="1096" t="s">
        <v>223</v>
      </c>
      <c r="K38" s="1096" t="s">
        <v>226</v>
      </c>
      <c r="L38" s="1096" t="s">
        <v>223</v>
      </c>
      <c r="M38" s="1096" t="s">
        <v>226</v>
      </c>
      <c r="N38" s="1096" t="s">
        <v>226</v>
      </c>
      <c r="O38" s="1098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1025"/>
      <c r="G39" s="1026"/>
      <c r="H39" s="1103"/>
      <c r="I39" s="1097"/>
      <c r="J39" s="1097"/>
      <c r="K39" s="1097"/>
      <c r="L39" s="1097"/>
      <c r="M39" s="1097"/>
      <c r="N39" s="1097"/>
      <c r="O39" s="1099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86" t="s">
        <v>31</v>
      </c>
      <c r="G42" s="1087"/>
      <c r="H42" s="1084" t="s">
        <v>226</v>
      </c>
      <c r="I42" s="1082" t="s">
        <v>226</v>
      </c>
      <c r="J42" s="1082" t="s">
        <v>223</v>
      </c>
      <c r="K42" s="1082" t="s">
        <v>226</v>
      </c>
      <c r="L42" s="1082" t="s">
        <v>226</v>
      </c>
      <c r="M42" s="1082" t="s">
        <v>226</v>
      </c>
      <c r="N42" s="1082" t="s">
        <v>223</v>
      </c>
      <c r="O42" s="1092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088"/>
      <c r="G43" s="1089"/>
      <c r="H43" s="1085"/>
      <c r="I43" s="1083"/>
      <c r="J43" s="1083"/>
      <c r="K43" s="1083"/>
      <c r="L43" s="1083"/>
      <c r="M43" s="1083"/>
      <c r="N43" s="1083"/>
      <c r="O43" s="1093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65" t="s">
        <v>36</v>
      </c>
      <c r="G46" s="1066"/>
      <c r="H46" s="1069" t="s">
        <v>223</v>
      </c>
      <c r="I46" s="1071" t="s">
        <v>226</v>
      </c>
      <c r="J46" s="1071" t="s">
        <v>226</v>
      </c>
      <c r="K46" s="1071" t="s">
        <v>226</v>
      </c>
      <c r="L46" s="1071" t="s">
        <v>223</v>
      </c>
      <c r="M46" s="1071" t="s">
        <v>223</v>
      </c>
      <c r="N46" s="1071" t="s">
        <v>223</v>
      </c>
      <c r="O46" s="1090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67"/>
      <c r="G47" s="1068"/>
      <c r="H47" s="1070"/>
      <c r="I47" s="1072"/>
      <c r="J47" s="1072"/>
      <c r="K47" s="1072"/>
      <c r="L47" s="1072"/>
      <c r="M47" s="1072"/>
      <c r="N47" s="1072"/>
      <c r="O47" s="1091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61" t="s">
        <v>37</v>
      </c>
      <c r="G50" s="1062"/>
      <c r="H50" s="1059" t="s">
        <v>226</v>
      </c>
      <c r="I50" s="1057" t="s">
        <v>226</v>
      </c>
      <c r="J50" s="1057" t="s">
        <v>223</v>
      </c>
      <c r="K50" s="1057" t="s">
        <v>223</v>
      </c>
      <c r="L50" s="1057" t="s">
        <v>226</v>
      </c>
      <c r="M50" s="1057" t="s">
        <v>223</v>
      </c>
      <c r="N50" s="1057" t="s">
        <v>226</v>
      </c>
      <c r="O50" s="1055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63"/>
      <c r="G51" s="1064"/>
      <c r="H51" s="1060"/>
      <c r="I51" s="1058"/>
      <c r="J51" s="1058"/>
      <c r="K51" s="1058"/>
      <c r="L51" s="1058"/>
      <c r="M51" s="1058"/>
      <c r="N51" s="1058"/>
      <c r="O51" s="1056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90" t="s">
        <v>214</v>
      </c>
      <c r="C1" s="890"/>
      <c r="D1" s="890"/>
      <c r="E1" s="890" t="s">
        <v>219</v>
      </c>
      <c r="F1" s="890"/>
      <c r="G1" s="890"/>
      <c r="H1" s="890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90" t="s">
        <v>214</v>
      </c>
      <c r="C1" s="890"/>
      <c r="D1" s="890"/>
      <c r="E1" s="890" t="s">
        <v>219</v>
      </c>
      <c r="F1" s="890"/>
      <c r="G1" s="890"/>
      <c r="H1" s="890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90" t="s">
        <v>214</v>
      </c>
      <c r="C1" s="890"/>
      <c r="D1" s="890"/>
      <c r="E1" s="890" t="s">
        <v>219</v>
      </c>
      <c r="F1" s="890"/>
      <c r="G1" s="890"/>
      <c r="H1" s="890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90" t="s">
        <v>214</v>
      </c>
      <c r="C1" s="890"/>
      <c r="D1" s="890"/>
      <c r="E1" s="890" t="s">
        <v>219</v>
      </c>
      <c r="F1" s="890"/>
      <c r="G1" s="890"/>
      <c r="H1" s="890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90" t="s">
        <v>214</v>
      </c>
      <c r="C1" s="890"/>
      <c r="D1" s="890"/>
      <c r="E1" s="890" t="s">
        <v>219</v>
      </c>
      <c r="F1" s="890"/>
      <c r="G1" s="890"/>
      <c r="H1" s="890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21" t="s">
        <v>429</v>
      </c>
      <c r="B1" s="921"/>
      <c r="C1" s="921"/>
      <c r="D1" s="921"/>
      <c r="E1" s="921"/>
      <c r="F1" s="921"/>
      <c r="G1" s="921"/>
      <c r="H1" s="921"/>
      <c r="I1" s="921"/>
      <c r="J1" s="921"/>
      <c r="K1" s="921"/>
      <c r="L1" s="670"/>
      <c r="M1" s="670"/>
    </row>
    <row r="2" spans="1:21" s="667" customFormat="1" ht="21" customHeight="1" x14ac:dyDescent="0.25">
      <c r="A2" s="922" t="s">
        <v>319</v>
      </c>
      <c r="B2" s="915"/>
      <c r="C2" s="916"/>
      <c r="D2" s="915"/>
      <c r="E2" s="916"/>
      <c r="F2" s="915"/>
      <c r="G2" s="916"/>
      <c r="H2" s="915"/>
      <c r="I2" s="916"/>
      <c r="J2" s="915"/>
      <c r="K2" s="916"/>
      <c r="L2" s="915"/>
      <c r="M2" s="916"/>
      <c r="N2" s="915"/>
      <c r="O2" s="916"/>
      <c r="P2" s="915"/>
      <c r="Q2" s="916"/>
      <c r="R2" s="915"/>
      <c r="S2" s="916"/>
      <c r="T2" s="915"/>
      <c r="U2" s="916"/>
    </row>
    <row r="3" spans="1:21" s="589" customFormat="1" ht="21" customHeight="1" x14ac:dyDescent="0.25">
      <c r="A3" s="923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23"/>
      <c r="B4" s="913"/>
      <c r="C4" s="914"/>
      <c r="D4" s="913"/>
      <c r="E4" s="914"/>
      <c r="F4" s="913"/>
      <c r="G4" s="920"/>
      <c r="H4" s="920"/>
      <c r="I4" s="914"/>
      <c r="J4" s="913"/>
      <c r="K4" s="914"/>
      <c r="L4" s="913"/>
      <c r="M4" s="914"/>
      <c r="N4" s="913"/>
      <c r="O4" s="914"/>
      <c r="P4" s="913"/>
      <c r="Q4" s="914"/>
      <c r="R4" s="913"/>
      <c r="S4" s="914"/>
      <c r="T4" s="913"/>
      <c r="U4" s="914"/>
    </row>
    <row r="5" spans="1:21" s="664" customFormat="1" ht="21" customHeight="1" x14ac:dyDescent="0.25">
      <c r="A5" s="887" t="s">
        <v>320</v>
      </c>
      <c r="B5" s="1114" t="s">
        <v>426</v>
      </c>
      <c r="C5" s="884"/>
      <c r="D5" s="1114" t="s">
        <v>426</v>
      </c>
      <c r="E5" s="884"/>
      <c r="F5" s="883" t="s">
        <v>431</v>
      </c>
      <c r="G5" s="884"/>
      <c r="H5" s="883" t="s">
        <v>433</v>
      </c>
      <c r="I5" s="884"/>
      <c r="J5" s="883" t="s">
        <v>412</v>
      </c>
      <c r="K5" s="884"/>
      <c r="L5" s="883"/>
      <c r="M5" s="884"/>
      <c r="N5" s="883"/>
      <c r="O5" s="884"/>
      <c r="P5" s="883"/>
      <c r="Q5" s="884"/>
      <c r="R5" s="883"/>
      <c r="S5" s="884"/>
      <c r="T5" s="883"/>
      <c r="U5" s="884"/>
    </row>
    <row r="6" spans="1:21" s="590" customFormat="1" ht="21" customHeight="1" x14ac:dyDescent="0.25">
      <c r="A6" s="888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89"/>
      <c r="B7" s="1113" t="s">
        <v>427</v>
      </c>
      <c r="C7" s="886"/>
      <c r="D7" s="885" t="s">
        <v>428</v>
      </c>
      <c r="E7" s="886"/>
      <c r="F7" s="885" t="s">
        <v>432</v>
      </c>
      <c r="G7" s="886"/>
      <c r="H7" s="885" t="s">
        <v>436</v>
      </c>
      <c r="I7" s="886"/>
      <c r="J7" s="885" t="s">
        <v>435</v>
      </c>
      <c r="K7" s="886"/>
      <c r="L7" s="885"/>
      <c r="M7" s="886"/>
      <c r="N7" s="885"/>
      <c r="O7" s="886"/>
      <c r="P7" s="885"/>
      <c r="Q7" s="886"/>
      <c r="R7" s="885"/>
      <c r="S7" s="886"/>
      <c r="T7" s="885"/>
      <c r="U7" s="886"/>
    </row>
    <row r="8" spans="1:21" s="668" customFormat="1" ht="21" customHeight="1" x14ac:dyDescent="0.25">
      <c r="A8" s="932" t="s">
        <v>321</v>
      </c>
      <c r="B8" s="930" t="s">
        <v>293</v>
      </c>
      <c r="C8" s="909"/>
      <c r="D8" s="908" t="s">
        <v>342</v>
      </c>
      <c r="E8" s="909"/>
      <c r="F8" s="908" t="s">
        <v>345</v>
      </c>
      <c r="G8" s="909"/>
      <c r="H8" s="908" t="s">
        <v>347</v>
      </c>
      <c r="I8" s="909"/>
      <c r="J8" s="908" t="s">
        <v>318</v>
      </c>
      <c r="K8" s="909"/>
      <c r="L8" s="908"/>
      <c r="M8" s="909"/>
      <c r="N8" s="908"/>
      <c r="O8" s="909"/>
      <c r="P8" s="908"/>
      <c r="Q8" s="909"/>
      <c r="R8" s="908"/>
      <c r="S8" s="909"/>
      <c r="T8" s="908"/>
      <c r="U8" s="909"/>
    </row>
    <row r="9" spans="1:21" s="589" customFormat="1" ht="21" customHeight="1" x14ac:dyDescent="0.25">
      <c r="A9" s="933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33"/>
      <c r="B10" s="1104" t="s">
        <v>341</v>
      </c>
      <c r="C10" s="1105"/>
      <c r="D10" s="1106" t="s">
        <v>344</v>
      </c>
      <c r="E10" s="1105"/>
      <c r="F10" s="1106" t="s">
        <v>346</v>
      </c>
      <c r="G10" s="1105"/>
      <c r="H10" s="1106" t="s">
        <v>349</v>
      </c>
      <c r="I10" s="1105"/>
      <c r="J10" s="1106" t="s">
        <v>350</v>
      </c>
      <c r="K10" s="1105"/>
      <c r="L10" s="906"/>
      <c r="M10" s="907"/>
      <c r="N10" s="906"/>
      <c r="O10" s="907"/>
      <c r="P10" s="906"/>
      <c r="Q10" s="907"/>
      <c r="R10" s="906"/>
      <c r="S10" s="907"/>
      <c r="T10" s="906"/>
      <c r="U10" s="907"/>
    </row>
    <row r="11" spans="1:21" s="668" customFormat="1" ht="21" customHeight="1" x14ac:dyDescent="0.25">
      <c r="A11" s="933"/>
      <c r="B11" s="930" t="s">
        <v>333</v>
      </c>
      <c r="C11" s="909"/>
      <c r="D11" s="908" t="s">
        <v>420</v>
      </c>
      <c r="E11" s="909"/>
      <c r="F11" s="908" t="s">
        <v>424</v>
      </c>
      <c r="G11" s="909"/>
      <c r="H11" s="908"/>
      <c r="I11" s="909"/>
      <c r="J11" s="908"/>
      <c r="K11" s="909"/>
      <c r="L11" s="908"/>
      <c r="M11" s="909"/>
      <c r="N11" s="908"/>
      <c r="O11" s="909"/>
      <c r="P11" s="908"/>
      <c r="Q11" s="909"/>
      <c r="R11" s="908"/>
      <c r="S11" s="909"/>
      <c r="T11" s="908"/>
      <c r="U11" s="909"/>
    </row>
    <row r="12" spans="1:21" s="589" customFormat="1" ht="21" customHeight="1" x14ac:dyDescent="0.25">
      <c r="A12" s="933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34"/>
      <c r="B13" s="1104" t="s">
        <v>386</v>
      </c>
      <c r="C13" s="1105"/>
      <c r="D13" s="1106"/>
      <c r="E13" s="1105"/>
      <c r="F13" s="1106" t="s">
        <v>386</v>
      </c>
      <c r="G13" s="1105"/>
      <c r="H13" s="1106"/>
      <c r="I13" s="1105"/>
      <c r="J13" s="1106"/>
      <c r="K13" s="1105"/>
      <c r="L13" s="906"/>
      <c r="M13" s="907"/>
      <c r="N13" s="906"/>
      <c r="O13" s="907"/>
      <c r="P13" s="906"/>
      <c r="Q13" s="907"/>
      <c r="R13" s="906"/>
      <c r="S13" s="907"/>
      <c r="T13" s="906"/>
      <c r="U13" s="907"/>
    </row>
    <row r="14" spans="1:21" s="157" customFormat="1" ht="21" customHeight="1" x14ac:dyDescent="0.25">
      <c r="A14" s="903" t="s">
        <v>322</v>
      </c>
      <c r="B14" s="901" t="s">
        <v>355</v>
      </c>
      <c r="C14" s="902"/>
      <c r="D14" s="901" t="s">
        <v>364</v>
      </c>
      <c r="E14" s="902"/>
      <c r="F14" s="901" t="s">
        <v>363</v>
      </c>
      <c r="G14" s="902"/>
      <c r="H14" s="901" t="s">
        <v>361</v>
      </c>
      <c r="I14" s="902"/>
      <c r="J14" s="901" t="s">
        <v>370</v>
      </c>
      <c r="K14" s="902"/>
      <c r="L14" s="935"/>
      <c r="M14" s="902"/>
      <c r="N14" s="901"/>
      <c r="O14" s="902"/>
      <c r="P14" s="901"/>
      <c r="Q14" s="902"/>
      <c r="R14" s="901"/>
      <c r="S14" s="902"/>
      <c r="T14" s="901"/>
      <c r="U14" s="902"/>
    </row>
    <row r="15" spans="1:21" s="589" customFormat="1" ht="21" customHeight="1" x14ac:dyDescent="0.25">
      <c r="A15" s="904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04"/>
      <c r="B16" s="899" t="s">
        <v>360</v>
      </c>
      <c r="C16" s="900"/>
      <c r="D16" s="1107" t="s">
        <v>367</v>
      </c>
      <c r="E16" s="1108"/>
      <c r="F16" s="899" t="s">
        <v>369</v>
      </c>
      <c r="G16" s="900"/>
      <c r="H16" s="899" t="s">
        <v>365</v>
      </c>
      <c r="I16" s="900"/>
      <c r="J16" s="899" t="s">
        <v>365</v>
      </c>
      <c r="K16" s="900"/>
      <c r="L16" s="936"/>
      <c r="M16" s="900"/>
      <c r="N16" s="899"/>
      <c r="O16" s="900"/>
      <c r="P16" s="899"/>
      <c r="Q16" s="900"/>
      <c r="R16" s="899"/>
      <c r="S16" s="900"/>
      <c r="T16" s="899"/>
      <c r="U16" s="900"/>
    </row>
    <row r="17" spans="1:21" s="157" customFormat="1" ht="21" customHeight="1" x14ac:dyDescent="0.25">
      <c r="A17" s="904"/>
      <c r="B17" s="901" t="s">
        <v>355</v>
      </c>
      <c r="C17" s="902"/>
      <c r="D17" s="901" t="s">
        <v>359</v>
      </c>
      <c r="E17" s="902"/>
      <c r="F17" s="901" t="s">
        <v>364</v>
      </c>
      <c r="G17" s="902"/>
      <c r="H17" s="1111" t="s">
        <v>417</v>
      </c>
      <c r="I17" s="1112"/>
      <c r="J17" s="1111"/>
      <c r="K17" s="1112"/>
      <c r="L17" s="901"/>
      <c r="M17" s="902"/>
      <c r="N17" s="901"/>
      <c r="O17" s="902"/>
      <c r="P17" s="901"/>
      <c r="Q17" s="902"/>
      <c r="R17" s="901"/>
      <c r="S17" s="902"/>
      <c r="T17" s="901"/>
      <c r="U17" s="902"/>
    </row>
    <row r="18" spans="1:21" s="589" customFormat="1" ht="21" customHeight="1" x14ac:dyDescent="0.25">
      <c r="A18" s="904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904"/>
      <c r="B19" s="899" t="s">
        <v>358</v>
      </c>
      <c r="C19" s="900"/>
      <c r="D19" s="899" t="s">
        <v>376</v>
      </c>
      <c r="E19" s="900"/>
      <c r="F19" s="899" t="s">
        <v>366</v>
      </c>
      <c r="G19" s="900"/>
      <c r="H19" s="899"/>
      <c r="I19" s="900"/>
      <c r="J19" s="899"/>
      <c r="K19" s="900"/>
      <c r="L19" s="899"/>
      <c r="M19" s="900"/>
      <c r="N19" s="899"/>
      <c r="O19" s="900"/>
      <c r="P19" s="899"/>
      <c r="Q19" s="900"/>
      <c r="R19" s="899"/>
      <c r="S19" s="900"/>
      <c r="T19" s="899"/>
      <c r="U19" s="900"/>
    </row>
    <row r="20" spans="1:21" s="157" customFormat="1" ht="21" customHeight="1" x14ac:dyDescent="0.25">
      <c r="A20" s="904"/>
      <c r="B20" s="1111" t="s">
        <v>370</v>
      </c>
      <c r="C20" s="1112"/>
      <c r="D20" s="1111" t="s">
        <v>258</v>
      </c>
      <c r="E20" s="1112"/>
      <c r="F20" s="901" t="s">
        <v>355</v>
      </c>
      <c r="G20" s="902"/>
      <c r="H20" s="1111" t="s">
        <v>379</v>
      </c>
      <c r="I20" s="1112"/>
      <c r="J20" s="1111"/>
      <c r="K20" s="1112"/>
      <c r="L20" s="901"/>
      <c r="M20" s="902"/>
      <c r="N20" s="901"/>
      <c r="O20" s="902"/>
      <c r="P20" s="901"/>
      <c r="Q20" s="902"/>
      <c r="R20" s="901"/>
      <c r="S20" s="902"/>
      <c r="T20" s="901"/>
      <c r="U20" s="902"/>
    </row>
    <row r="21" spans="1:21" s="589" customFormat="1" ht="21" customHeight="1" x14ac:dyDescent="0.25">
      <c r="A21" s="904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905"/>
      <c r="B22" s="899" t="s">
        <v>378</v>
      </c>
      <c r="C22" s="900"/>
      <c r="D22" s="899" t="s">
        <v>378</v>
      </c>
      <c r="E22" s="900"/>
      <c r="F22" s="899" t="s">
        <v>378</v>
      </c>
      <c r="G22" s="900"/>
      <c r="H22" s="899" t="s">
        <v>378</v>
      </c>
      <c r="I22" s="900"/>
      <c r="J22" s="899"/>
      <c r="K22" s="900"/>
      <c r="L22" s="899"/>
      <c r="M22" s="900"/>
      <c r="N22" s="899"/>
      <c r="O22" s="900"/>
      <c r="P22" s="899"/>
      <c r="Q22" s="900"/>
      <c r="R22" s="899"/>
      <c r="S22" s="900"/>
      <c r="T22" s="899"/>
      <c r="U22" s="900"/>
    </row>
    <row r="23" spans="1:21" s="669" customFormat="1" ht="21" customHeight="1" x14ac:dyDescent="0.25">
      <c r="A23" s="924" t="s">
        <v>323</v>
      </c>
      <c r="B23" s="1109"/>
      <c r="C23" s="1110"/>
      <c r="D23" s="1109"/>
      <c r="E23" s="1110"/>
      <c r="F23" s="894"/>
      <c r="G23" s="895"/>
      <c r="H23" s="894"/>
      <c r="I23" s="895"/>
      <c r="J23" s="894"/>
      <c r="K23" s="895"/>
      <c r="L23" s="894"/>
      <c r="M23" s="895"/>
      <c r="N23" s="894"/>
      <c r="O23" s="895"/>
      <c r="P23" s="894"/>
      <c r="Q23" s="895"/>
      <c r="R23" s="894"/>
      <c r="S23" s="895"/>
      <c r="T23" s="894"/>
      <c r="U23" s="895"/>
    </row>
    <row r="24" spans="1:21" s="589" customFormat="1" ht="21" customHeight="1" x14ac:dyDescent="0.25">
      <c r="A24" s="925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26"/>
      <c r="B25" s="892"/>
      <c r="C25" s="893"/>
      <c r="D25" s="892"/>
      <c r="E25" s="893"/>
      <c r="F25" s="892"/>
      <c r="G25" s="893"/>
      <c r="H25" s="892"/>
      <c r="I25" s="893"/>
      <c r="J25" s="892"/>
      <c r="K25" s="893"/>
      <c r="L25" s="892"/>
      <c r="M25" s="893"/>
      <c r="N25" s="892"/>
      <c r="O25" s="893"/>
      <c r="P25" s="892"/>
      <c r="Q25" s="893"/>
      <c r="R25" s="892"/>
      <c r="S25" s="893"/>
      <c r="T25" s="892"/>
      <c r="U25" s="893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zoomScale="101" zoomScaleNormal="100" workbookViewId="0">
      <selection activeCell="C7" sqref="C7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8" width="6" style="602" customWidth="1"/>
    <col min="9" max="9" width="2.28515625" style="602" customWidth="1"/>
    <col min="10" max="17" width="8" style="602" customWidth="1"/>
    <col min="18" max="18" width="8" style="599" customWidth="1"/>
    <col min="19" max="20" width="8" style="602" customWidth="1"/>
    <col min="21" max="21" width="4" style="222" customWidth="1"/>
    <col min="22" max="23" width="7.140625" style="222" customWidth="1"/>
    <col min="24" max="24" width="7.140625" style="602" customWidth="1"/>
    <col min="25" max="25" width="36.5703125" style="602" customWidth="1"/>
    <col min="26" max="16384" width="9.28515625" style="602"/>
  </cols>
  <sheetData>
    <row r="1" spans="1:27" s="603" customFormat="1" ht="8.65" customHeight="1" x14ac:dyDescent="0.25">
      <c r="A1" s="603">
        <v>5</v>
      </c>
      <c r="E1" s="711"/>
      <c r="F1" s="854"/>
      <c r="J1" s="219"/>
      <c r="K1" s="219"/>
      <c r="L1" s="219"/>
      <c r="M1" s="219"/>
      <c r="N1" s="219"/>
      <c r="O1" s="219"/>
      <c r="P1" s="219"/>
      <c r="Q1" s="219"/>
      <c r="R1" s="219"/>
      <c r="S1" s="648"/>
      <c r="T1" s="219"/>
      <c r="U1" s="219"/>
      <c r="V1" s="744"/>
      <c r="W1" s="744"/>
      <c r="X1" s="744"/>
      <c r="Y1" s="219"/>
    </row>
    <row r="2" spans="1:27" ht="15" customHeight="1" x14ac:dyDescent="0.25">
      <c r="C2" s="1155" t="s">
        <v>317</v>
      </c>
      <c r="D2" s="1156"/>
      <c r="E2" s="1157"/>
      <c r="F2" s="1143" t="s">
        <v>561</v>
      </c>
      <c r="G2" s="1148" t="s">
        <v>327</v>
      </c>
      <c r="H2" s="1148" t="s">
        <v>328</v>
      </c>
      <c r="J2" s="1160" t="s">
        <v>375</v>
      </c>
      <c r="K2" s="1166" t="s">
        <v>66</v>
      </c>
      <c r="L2" s="1155" t="s">
        <v>455</v>
      </c>
      <c r="M2" s="1157"/>
      <c r="N2" s="1155" t="s">
        <v>214</v>
      </c>
      <c r="O2" s="1156"/>
      <c r="P2" s="1157"/>
      <c r="Q2" s="1155" t="s">
        <v>219</v>
      </c>
      <c r="R2" s="1156"/>
      <c r="S2" s="1156"/>
      <c r="T2" s="1157"/>
      <c r="U2" s="219"/>
      <c r="V2" s="1140" t="s">
        <v>452</v>
      </c>
      <c r="W2" s="1141"/>
      <c r="X2" s="1142"/>
    </row>
    <row r="3" spans="1:27" ht="15.95" customHeight="1" x14ac:dyDescent="0.25">
      <c r="C3" s="611" t="s">
        <v>65</v>
      </c>
      <c r="D3" s="712" t="s">
        <v>64</v>
      </c>
      <c r="E3" s="714" t="s">
        <v>448</v>
      </c>
      <c r="F3" s="1144"/>
      <c r="G3" s="1149"/>
      <c r="H3" s="1163"/>
      <c r="J3" s="1161"/>
      <c r="K3" s="1144"/>
      <c r="L3" s="673" t="s">
        <v>25</v>
      </c>
      <c r="M3" s="675" t="s">
        <v>65</v>
      </c>
      <c r="N3" s="673" t="s">
        <v>25</v>
      </c>
      <c r="O3" s="674" t="s">
        <v>65</v>
      </c>
      <c r="P3" s="675" t="s">
        <v>64</v>
      </c>
      <c r="Q3" s="728" t="s">
        <v>25</v>
      </c>
      <c r="R3" s="717" t="s">
        <v>64</v>
      </c>
      <c r="S3" s="717" t="s">
        <v>448</v>
      </c>
      <c r="T3" s="727" t="s">
        <v>215</v>
      </c>
      <c r="U3" s="644"/>
      <c r="V3" s="745" t="s">
        <v>47</v>
      </c>
      <c r="W3" s="746" t="s">
        <v>453</v>
      </c>
      <c r="X3" s="747" t="s">
        <v>454</v>
      </c>
    </row>
    <row r="4" spans="1:27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1</v>
      </c>
      <c r="G4" s="619">
        <v>20</v>
      </c>
      <c r="H4" s="620">
        <v>15</v>
      </c>
      <c r="J4" s="1161"/>
      <c r="K4" s="612" t="s">
        <v>319</v>
      </c>
      <c r="L4" s="672">
        <f>IFERROR(COUNT(AGITO_FLAME_STD_SILVER),"")</f>
        <v>165</v>
      </c>
      <c r="M4" s="635">
        <f>IFERROR(AVERAGE(AGITO_FLAME_STD_SILVER) + 2, "")</f>
        <v>7.2545454545454549</v>
      </c>
      <c r="N4" s="672">
        <f>IFERROR(COUNT(AGITO_FLAME_EXP_SILVER),"")</f>
        <v>728</v>
      </c>
      <c r="O4" s="635">
        <f>IFERROR(AVERAGE(AGITO_FLAME_EXP_SILVER),"")</f>
        <v>2.5837912087912089</v>
      </c>
      <c r="P4" s="636">
        <f>IFERROR(AVERAGE(AGITO_FLAME_EXP_GOLD),"")</f>
        <v>3.4793956043956045</v>
      </c>
      <c r="Q4" s="716">
        <f>IFERROR(COUNT(AGITO_FLAME_MST_GOLD),"")</f>
        <v>0</v>
      </c>
      <c r="R4" s="635" t="str">
        <f>IFERROR(AVERAGE(AGITO_FLAME_MST_GOLD),"")</f>
        <v/>
      </c>
      <c r="S4" s="635" t="str">
        <f>IFERROR(AVERAGE(AGITO_FLAME_MST_POT),"")</f>
        <v/>
      </c>
      <c r="T4" s="636" t="str">
        <f>IFERROR(AVERAGE(AGITO_FLAME_MST_ORIHAL),"")</f>
        <v/>
      </c>
      <c r="U4" s="644"/>
      <c r="V4" s="748" t="str" cm="1">
        <f t="array" ref="V4">IFERROR(_xlfn.CEILING.MATH((AGITO_WEAPON_MUB_624_SILVER - W4*O4) / M4),"")</f>
        <v/>
      </c>
      <c r="W4" s="749" t="str" cm="1">
        <f t="array" ref="W4">IFERROR(_xlfn.CEILING.MATH((AGITO_WEAPON_MUB_624_GOLD - X4*R4) / P4),"")</f>
        <v/>
      </c>
      <c r="X4" s="750" t="str" cm="1">
        <f t="array" ref="X4">IFERROR(_xlfn.CEILING.MATH(AGITO_WEAPON_MUB_624_POT / S4),"")</f>
        <v/>
      </c>
    </row>
    <row r="5" spans="1:27" s="284" customFormat="1" ht="21.95" customHeight="1" x14ac:dyDescent="0.25">
      <c r="B5" s="613" t="s">
        <v>320</v>
      </c>
      <c r="C5" s="621">
        <v>2785</v>
      </c>
      <c r="D5" s="622">
        <v>2952</v>
      </c>
      <c r="E5" s="622"/>
      <c r="F5" s="622">
        <v>0</v>
      </c>
      <c r="G5" s="622">
        <v>20</v>
      </c>
      <c r="H5" s="623">
        <v>15</v>
      </c>
      <c r="J5" s="1161"/>
      <c r="K5" s="613" t="s">
        <v>320</v>
      </c>
      <c r="L5" s="609">
        <f>IFERROR(COUNT(AGITO_WATER_STD_SILVER),"")</f>
        <v>115</v>
      </c>
      <c r="M5" s="637">
        <f>IFERROR(AVERAGE(AGITO_WATER_STD_SILVER) + 2, "")</f>
        <v>7.2</v>
      </c>
      <c r="N5" s="609">
        <f>IFERROR(COUNT(AGITO_WATER_EXP_SILVER),"")</f>
        <v>399</v>
      </c>
      <c r="O5" s="637">
        <f>IFERROR(AVERAGE(AGITO_WATER_EXP_SILVER),"")</f>
        <v>2.581453634085213</v>
      </c>
      <c r="P5" s="638">
        <f>IFERROR(AVERAGE(AGITO_WATER_EXP_GOLD),"")</f>
        <v>3.4761904761904763</v>
      </c>
      <c r="Q5" s="609">
        <f>IFERROR(COUNT(AGITO_WATER_MST_GOLD),"")</f>
        <v>0</v>
      </c>
      <c r="R5" s="637" t="str">
        <f>IFERROR(AVERAGE(AGITO_WATER_MST_GOLD),"")</f>
        <v/>
      </c>
      <c r="S5" s="637" t="str">
        <f>IFERROR(AVERAGE(AGITO_WATER_MST_POT),"")</f>
        <v/>
      </c>
      <c r="T5" s="638" t="str">
        <f>IFERROR(AVERAGE(AGITO_WATER_MST_ORIHAL),"")</f>
        <v/>
      </c>
      <c r="U5" s="644"/>
      <c r="V5" s="751" t="str" cm="1">
        <f t="array" ref="V5">IFERROR(_xlfn.CEILING.MATH((AGITO_WEAPON_MUB_624_SILVER - W5*O5) / M5),"")</f>
        <v/>
      </c>
      <c r="W5" s="752" t="str" cm="1">
        <f t="array" ref="W5">IFERROR(_xlfn.CEILING.MATH((AGITO_WEAPON_MUB_624_GOLD - X5*R5) / P5),"")</f>
        <v/>
      </c>
      <c r="X5" s="753" t="str" cm="1">
        <f t="array" ref="X5">IFERROR(_xlfn.CEILING.MATH(AGITO_WEAPON_MUB_624_POT / S5),"")</f>
        <v/>
      </c>
    </row>
    <row r="6" spans="1:27" ht="21.95" customHeight="1" x14ac:dyDescent="0.25">
      <c r="B6" s="614" t="s">
        <v>321</v>
      </c>
      <c r="C6" s="624">
        <v>3283</v>
      </c>
      <c r="D6" s="625">
        <v>3026</v>
      </c>
      <c r="E6" s="625">
        <v>478</v>
      </c>
      <c r="F6" s="625">
        <v>0</v>
      </c>
      <c r="G6" s="625">
        <v>20</v>
      </c>
      <c r="H6" s="626">
        <v>25</v>
      </c>
      <c r="J6" s="1161"/>
      <c r="K6" s="614" t="s">
        <v>321</v>
      </c>
      <c r="L6" s="610">
        <f>IFERROR(COUNT(AGITO_WIND_STD_SILVER),"")</f>
        <v>478</v>
      </c>
      <c r="M6" s="639">
        <f>IFERROR(AVERAGE(AGITO_WIND_STD_SILVER) + 2, "")</f>
        <v>7.1882845188284517</v>
      </c>
      <c r="N6" s="610">
        <f>IFERROR(COUNT(AGITO_WIND_EXP_SILVER),"")</f>
        <v>1084</v>
      </c>
      <c r="O6" s="639">
        <f>IFERROR(AVERAGE(AGITO_WIND_EXP_SILVER),"")</f>
        <v>2.6448339483394836</v>
      </c>
      <c r="P6" s="640">
        <f>IFERROR(AVERAGE(AGITO_WIND_EXP_GOLD),"")</f>
        <v>3.4391143911439115</v>
      </c>
      <c r="Q6" s="610">
        <f>IFERROR(COUNT(AGITO_WIND_MST_GOLD),"")</f>
        <v>238</v>
      </c>
      <c r="R6" s="639">
        <f>IFERROR(AVERAGE(AGITO_WIND_MST_GOLD),"")</f>
        <v>2.0420168067226889</v>
      </c>
      <c r="S6" s="639">
        <f>IFERROR(AVERAGE(AGITO_WIND_MST_POT),"")</f>
        <v>2.9957983193277311</v>
      </c>
      <c r="T6" s="640">
        <f>IFERROR(AVERAGE(AGITO_WIND_MST_ORIHAL),"")</f>
        <v>1.0924369747899159</v>
      </c>
      <c r="U6" s="644"/>
      <c r="V6" s="754" cm="1">
        <f t="array" ref="V6">IFERROR(_xlfn.CEILING.MATH((AGITO_WEAPON_MUB_624_SILVER - W6*O6) / M6),"")</f>
        <v>20</v>
      </c>
      <c r="W6" s="755" cm="1">
        <f t="array" ref="W6">IFERROR(_xlfn.CEILING.MATH((AGITO_WEAPON_MUB_624_GOLD - X6*R6) / P6),"")</f>
        <v>52</v>
      </c>
      <c r="X6" s="756" cm="1">
        <f t="array" ref="X6">IFERROR(_xlfn.CEILING.MATH(AGITO_WEAPON_MUB_624_POT / S6),"")</f>
        <v>12</v>
      </c>
    </row>
    <row r="7" spans="1:27" ht="21.95" customHeight="1" x14ac:dyDescent="0.25">
      <c r="B7" s="615" t="s">
        <v>322</v>
      </c>
      <c r="C7" s="627">
        <v>1314</v>
      </c>
      <c r="D7" s="628">
        <v>1798</v>
      </c>
      <c r="E7" s="628">
        <v>223</v>
      </c>
      <c r="F7" s="628">
        <v>2</v>
      </c>
      <c r="G7" s="628">
        <v>20</v>
      </c>
      <c r="H7" s="629">
        <v>25</v>
      </c>
      <c r="J7" s="1161"/>
      <c r="K7" s="615" t="s">
        <v>322</v>
      </c>
      <c r="L7" s="676">
        <f>IFERROR(COUNT(AGITO_LIGHT_STD_SILVER),"")</f>
        <v>103</v>
      </c>
      <c r="M7" s="641">
        <f>IFERROR(AVERAGE(AGITO_LIGHT_STD_SILVER) + 2, "")</f>
        <v>7.1844660194174761</v>
      </c>
      <c r="N7" s="676">
        <f>IFERROR(COUNT(AGITO_LIGHT_EXP_SILVER),"")</f>
        <v>936</v>
      </c>
      <c r="O7" s="641">
        <f>IFERROR(AVERAGE(AGITO_LIGHT_EXP_SILVER),"")</f>
        <v>2.5715811965811968</v>
      </c>
      <c r="P7" s="642">
        <f>IFERROR(AVERAGE(AGITO_LIGHT_EXP_GOLD),"")</f>
        <v>3.5074786324786325</v>
      </c>
      <c r="Q7" s="724">
        <f>IFERROR(COUNT(AGITO_LIGHT_MST_GOLD),"")</f>
        <v>129</v>
      </c>
      <c r="R7" s="641">
        <f>IFERROR(AVERAGE(AGITO_LIGHT_MST_GOLD),"")</f>
        <v>2.0155038759689923</v>
      </c>
      <c r="S7" s="641">
        <f>IFERROR(AVERAGE(AGITO_LIGHT_MST_POT),"")</f>
        <v>3.0465116279069768</v>
      </c>
      <c r="T7" s="642">
        <f>IFERROR(AVERAGE(AGITO_LIGHT_MST_ORIHAL),"")</f>
        <v>1.1085271317829457</v>
      </c>
      <c r="U7" s="644"/>
      <c r="V7" s="757" cm="1">
        <f t="array" ref="V7">IFERROR(_xlfn.CEILING.MATH((AGITO_WEAPON_MUB_624_SILVER - W7*O7) / M7),"")</f>
        <v>21</v>
      </c>
      <c r="W7" s="758" cm="1">
        <f t="array" ref="W7">IFERROR(_xlfn.CEILING.MATH((AGITO_WEAPON_MUB_624_GOLD - X7*R7) / P7),"")</f>
        <v>51</v>
      </c>
      <c r="X7" s="759" cm="1">
        <f t="array" ref="X7">IFERROR(_xlfn.CEILING.MATH(AGITO_WEAPON_MUB_624_POT / S7),"")</f>
        <v>12</v>
      </c>
    </row>
    <row r="8" spans="1:27" s="284" customFormat="1" ht="21.95" customHeight="1" x14ac:dyDescent="0.25">
      <c r="B8" s="616" t="s">
        <v>323</v>
      </c>
      <c r="C8" s="630"/>
      <c r="D8" s="631"/>
      <c r="E8" s="631"/>
      <c r="F8" s="631"/>
      <c r="G8" s="631"/>
      <c r="H8" s="632"/>
      <c r="J8" s="1161"/>
      <c r="K8" s="680" t="s">
        <v>323</v>
      </c>
      <c r="L8" s="677">
        <f>IFERROR(COUNT(AGITO_SHADOW_STD_SILVER),"")</f>
        <v>0</v>
      </c>
      <c r="M8" s="678" t="str">
        <f>IFERROR(AVERAGE(AGITO_SHADOW_STD_SILVER) + 2, "")</f>
        <v/>
      </c>
      <c r="N8" s="677">
        <f>IFERROR(COUNT(AGITO_SHADOW_EXP_SILVER),"")</f>
        <v>0</v>
      </c>
      <c r="O8" s="678" t="str">
        <f>IFERROR(AVERAGE(AGITO_SHADOW_EXP_SILVER),"")</f>
        <v/>
      </c>
      <c r="P8" s="684" t="str">
        <f>IFERROR(AVERAGE(AGITO_SHADOW_EXP_GOLD),"")</f>
        <v/>
      </c>
      <c r="Q8" s="723">
        <f>IFERROR(COUNT(AGITO_SHADOW_MST_GOLD),"")</f>
        <v>0</v>
      </c>
      <c r="R8" s="678" t="str">
        <f>IFERROR(AVERAGE(AGITO_SHADOW_MST_GOLD),"")</f>
        <v/>
      </c>
      <c r="S8" s="678" t="str">
        <f>IFERROR(AVERAGE(AGITO_SHADOW_MST_POT),"")</f>
        <v/>
      </c>
      <c r="T8" s="684" t="str">
        <f>IFERROR(AVERAGE(AGITO_SHADOW_MST_ORIHAL),"")</f>
        <v/>
      </c>
      <c r="U8" s="644"/>
      <c r="V8" s="760" t="str" cm="1">
        <f t="array" ref="V8">IFERROR(_xlfn.CEILING.MATH((AGITO_WEAPON_MUB_624_SILVER - W8*O8) / M8),"")</f>
        <v/>
      </c>
      <c r="W8" s="761" t="str" cm="1">
        <f t="array" ref="W8">IFERROR(_xlfn.CEILING.MATH((AGITO_WEAPON_MUB_624_GOLD - X8*R8) / P8),"")</f>
        <v/>
      </c>
      <c r="X8" s="762" t="str" cm="1">
        <f t="array" ref="X8">IFERROR(_xlfn.CEILING.MATH(AGITO_WEAPON_MUB_624_POT / S8),"")</f>
        <v/>
      </c>
    </row>
    <row r="9" spans="1:27" s="284" customFormat="1" ht="21.95" customHeight="1" x14ac:dyDescent="0.25">
      <c r="B9" s="590"/>
      <c r="C9" s="679"/>
      <c r="D9" s="679"/>
      <c r="E9" s="679"/>
      <c r="F9" s="679"/>
      <c r="G9" s="679"/>
      <c r="H9" s="679"/>
      <c r="J9" s="1162"/>
      <c r="K9" s="681" t="s">
        <v>211</v>
      </c>
      <c r="L9" s="682">
        <f>IFERROR(COUNT(AGITO_FLAME_STD_SILVER,AGITO_WATER_STD_SILVER,AGITO_WIND_STD_SILVER,AGITO_LIGHT_STD_SILVER,AGITO_SHADOW_STD_SILVER),"")</f>
        <v>861</v>
      </c>
      <c r="M9" s="685">
        <f>IFERROR(AVERAGE(AGITO_FLAME_STD_SILVER,AGITO_WATER_STD_SILVER,AGITO_WIND_STD_SILVER,AGITO_LIGHT_STD_SILVER,AGITO_SHADOW_STD_SILVER) + 2,"")</f>
        <v>7.2020905923344944</v>
      </c>
      <c r="N9" s="682">
        <f>IFERROR(COUNT(AGITO_FLAME_EXP_SILVER,AGITO_WATER_EXP_SILVER,AGITO_WIND_EXP_SILVER,AGITO_LIGHT_EXP_SILVER,AGITO_SHADOW_EXP_SILVER),"")</f>
        <v>3147</v>
      </c>
      <c r="O9" s="685">
        <f>IFERROR(AVERAGE(AGITO_FLAME_EXP_SILVER,AGITO_WATER_EXP_SILVER,AGITO_WIND_EXP_SILVER,AGITO_LIGHT_EXP_SILVER,AGITO_SHADOW_EXP_SILVER),"")</f>
        <v>2.6008897362567525</v>
      </c>
      <c r="P9" s="683">
        <f>IFERROR(AVERAGE(AGITO_FLAME_EXP_GOLD,AGITO_WATER_EXP_GOLD,AGITO_WIND_EXP_GOLD,AGITO_LIGHT_EXP_GOLD,AGITO_SHADOW_EXP_GOLD),"")</f>
        <v>3.4734667937718462</v>
      </c>
      <c r="Q9" s="682">
        <f>IFERROR(COUNT(AGITO_FLAME_MST_GOLD,AGITO_WATER_MST_GOLD,AGITO_WIND_MST_GOLD,AGITO_LIGHT_MST_GOLD,AGITO_SHADOW_MST_GOLD),"")</f>
        <v>367</v>
      </c>
      <c r="R9" s="685">
        <f>IFERROR(AVERAGE(AGITO_FLAME_MST_GOLD,AGITO_WATER_MST_GOLD,AGITO_WIND_MST_GOLD,AGITO_LIGHT_MST_GOLD,AGITO_SHADOW_MST_GOLD),"")</f>
        <v>2.0326975476839237</v>
      </c>
      <c r="S9" s="685">
        <f>IFERROR(AVERAGE(AGITO_FLAME_MST_POT,AGITO_WATER_MST_POT,AGITO_WIND_MST_POT,AGITO_LIGHT_MST_POT,AGITO_SHADOW_MST_POT),"")</f>
        <v>3.0136239782016347</v>
      </c>
      <c r="T9" s="683">
        <f>IFERROR(AVERAGE(AGITO_FLAME_MST_ORIHAL,AGITO_WATER_MST_ORIHAL,AGITO_WIND_MST_ORIHAL,AGITO_LIGHT_MST_ORIHAL,AGITO_SHADOW_MST_ORIHAL),"")</f>
        <v>1.098092643051771</v>
      </c>
      <c r="U9" s="649"/>
      <c r="V9" s="786" t="s">
        <v>131</v>
      </c>
      <c r="W9" s="787" t="s">
        <v>131</v>
      </c>
      <c r="X9" s="788" t="s">
        <v>131</v>
      </c>
      <c r="Y9" s="644"/>
      <c r="Z9" s="219"/>
      <c r="AA9" s="219"/>
    </row>
    <row r="10" spans="1:27" ht="15" customHeight="1" x14ac:dyDescent="0.25">
      <c r="B10" s="737"/>
      <c r="C10" s="1145" t="s">
        <v>38</v>
      </c>
      <c r="D10" s="1146"/>
      <c r="E10" s="1146"/>
      <c r="F10" s="1146"/>
      <c r="G10" s="1146"/>
      <c r="H10" s="1147"/>
      <c r="J10" s="219"/>
      <c r="K10" s="219"/>
      <c r="L10" s="219"/>
      <c r="M10" s="219"/>
      <c r="N10" s="219"/>
      <c r="O10" s="219"/>
      <c r="P10" s="219"/>
      <c r="Q10" s="219"/>
      <c r="R10" s="219"/>
      <c r="S10" s="648"/>
      <c r="T10" s="219"/>
      <c r="U10" s="219"/>
      <c r="V10" s="744"/>
      <c r="W10" s="744"/>
      <c r="X10" s="744"/>
      <c r="Y10" s="219"/>
    </row>
    <row r="11" spans="1:27" ht="15" customHeight="1" x14ac:dyDescent="0.25">
      <c r="A11" s="239"/>
      <c r="B11" s="644"/>
      <c r="C11" s="1152" t="s">
        <v>65</v>
      </c>
      <c r="D11" s="1150"/>
      <c r="E11" s="1150"/>
      <c r="F11" s="1150" t="s">
        <v>64</v>
      </c>
      <c r="G11" s="1150"/>
      <c r="H11" s="1151"/>
      <c r="J11" s="1172" t="s">
        <v>450</v>
      </c>
      <c r="K11" s="725" t="s">
        <v>142</v>
      </c>
      <c r="L11" s="726" t="s">
        <v>7</v>
      </c>
      <c r="M11" s="726" t="s">
        <v>221</v>
      </c>
      <c r="N11" s="726" t="s">
        <v>5</v>
      </c>
      <c r="O11" s="726" t="s">
        <v>10</v>
      </c>
      <c r="P11" s="726" t="s">
        <v>13</v>
      </c>
      <c r="Q11" s="726" t="s">
        <v>4</v>
      </c>
      <c r="R11" s="617" t="s">
        <v>222</v>
      </c>
      <c r="S11" s="650" t="s">
        <v>329</v>
      </c>
      <c r="T11" s="1164" t="s">
        <v>24</v>
      </c>
      <c r="U11" s="1165"/>
      <c r="V11" s="763" t="s">
        <v>324</v>
      </c>
      <c r="W11" s="764" t="s">
        <v>325</v>
      </c>
      <c r="X11" s="764" t="s">
        <v>451</v>
      </c>
      <c r="Y11" s="643" t="s">
        <v>296</v>
      </c>
    </row>
    <row r="12" spans="1:27" s="284" customFormat="1" ht="18.95" customHeight="1" x14ac:dyDescent="0.25">
      <c r="B12" s="1027" t="s">
        <v>319</v>
      </c>
      <c r="C12" s="1125">
        <f>IF(ISBLANK(H4),"",INDEX(DATA_AGITO_BUILDING_25,H4+ 1, 3))</f>
        <v>0</v>
      </c>
      <c r="D12" s="1126"/>
      <c r="E12" s="1126"/>
      <c r="F12" s="1126">
        <f>IF(ISBLANK(H4),"",INDEX(DATA_AGITO_BUILDING_15,H4 + 1, 4))</f>
        <v>0</v>
      </c>
      <c r="G12" s="1126"/>
      <c r="H12" s="1153"/>
      <c r="J12" s="1173"/>
      <c r="K12" s="1169">
        <v>614</v>
      </c>
      <c r="L12" s="1158">
        <v>614</v>
      </c>
      <c r="M12" s="1158">
        <v>614</v>
      </c>
      <c r="N12" s="1158">
        <v>614</v>
      </c>
      <c r="O12" s="1158">
        <v>614</v>
      </c>
      <c r="P12" s="1158">
        <v>614</v>
      </c>
      <c r="Q12" s="1158">
        <v>614</v>
      </c>
      <c r="R12" s="1158">
        <v>614</v>
      </c>
      <c r="S12" s="741" cm="1">
        <f t="array" ref="S12">IF(ISBLANK(C4),"",(SUM(K15:R15) + C4) / AGITO_WEAPON_MUB_614_SILVER + F4)</f>
        <v>19.5</v>
      </c>
      <c r="T12" s="592" cm="1">
        <f t="array" ref="T12">IF(ISBLANK(C4),"",-((G4-F4) * AGITO_WEAPON_MUB_614_SILVER - SUM(K15:R15) - C4))</f>
        <v>-100</v>
      </c>
      <c r="U12" s="735" t="s">
        <v>65</v>
      </c>
      <c r="V12" s="765">
        <f>IF(AND(L4&gt;0,T12&lt;0), _xlfn.CEILING.MATH(-T12/M4),"")</f>
        <v>14</v>
      </c>
      <c r="W12" s="766">
        <f>IF(AND(N4&gt;0,T12&lt;0), _xlfn.CEILING.MATH(-T12/O4),"")</f>
        <v>39</v>
      </c>
      <c r="X12" s="767" t="s">
        <v>131</v>
      </c>
      <c r="Y12" s="645">
        <f>IFERROR((-G4 * AGITO_WEAPON_MUB_614_SILVER - T12)/(-G4 * AGITO_WEAPON_MUB_614_SILVER),"")</f>
        <v>0.97499999999999998</v>
      </c>
    </row>
    <row r="13" spans="1:27" s="284" customFormat="1" ht="18.95" customHeight="1" x14ac:dyDescent="0.25">
      <c r="B13" s="1029"/>
      <c r="C13" s="1127"/>
      <c r="D13" s="1128"/>
      <c r="E13" s="1128"/>
      <c r="F13" s="1128"/>
      <c r="G13" s="1128"/>
      <c r="H13" s="1154"/>
      <c r="J13" s="1173"/>
      <c r="K13" s="1170"/>
      <c r="L13" s="1159"/>
      <c r="M13" s="1159"/>
      <c r="N13" s="1159"/>
      <c r="O13" s="1159"/>
      <c r="P13" s="1159"/>
      <c r="Q13" s="1159"/>
      <c r="R13" s="1159"/>
      <c r="S13" s="742" cm="1">
        <f t="array" ref="S13">IF(ISBLANK(D4),"",(SUM(K16:R16) + D4) / AGITO_WEAPON_MUB_614_GOLD + F4)</f>
        <v>19.206666666666667</v>
      </c>
      <c r="T13" s="593" cm="1">
        <f t="array" ref="T13">IF(ISBLANK(D4),"",-((G4-F4) * AGITO_WEAPON_MUB_614_GOLD - SUM(K16:R16) - D4))</f>
        <v>-119</v>
      </c>
      <c r="U13" s="733" t="s">
        <v>64</v>
      </c>
      <c r="V13" s="768" t="s">
        <v>131</v>
      </c>
      <c r="W13" s="769">
        <f>IF(AND(N4&gt;0,T13&lt;0), _xlfn.CEILING.MATH(-T13/P4),"")</f>
        <v>35</v>
      </c>
      <c r="X13" s="770" t="str">
        <f>IF(AND(Q4&gt;0,T13&lt;0), _xlfn.CEILING.MATH(-T13/R4),"")</f>
        <v/>
      </c>
      <c r="Y13" s="646">
        <f>IFERROR((-G4 * AGITO_WEAPON_MUB_614_GOLD - T13)/(-G4 * AGITO_WEAPON_MUB_614_GOLD),"")</f>
        <v>0.96033333333333337</v>
      </c>
    </row>
    <row r="14" spans="1:27" s="284" customFormat="1" ht="18.95" customHeight="1" x14ac:dyDescent="0.25">
      <c r="B14" s="1029"/>
      <c r="C14" s="1127"/>
      <c r="D14" s="1128"/>
      <c r="E14" s="1128"/>
      <c r="F14" s="1128"/>
      <c r="G14" s="1128"/>
      <c r="H14" s="1154"/>
      <c r="J14" s="1173"/>
      <c r="K14" s="1170"/>
      <c r="L14" s="1159"/>
      <c r="M14" s="1159"/>
      <c r="N14" s="1159"/>
      <c r="O14" s="1159"/>
      <c r="P14" s="1159"/>
      <c r="Q14" s="1159"/>
      <c r="R14" s="1159"/>
      <c r="S14" s="742" t="str" cm="1">
        <f t="array" ref="S14">IF(ISBLANK(E5),"",(SUM(K17:R17) + E4) / AGITO_WEAPON_MUB_614_POT + F4)</f>
        <v/>
      </c>
      <c r="T14" s="593" t="str" cm="1">
        <f t="array" ref="T14">IF(ISBLANK(E4),"",-((G4-F4) * AGITO_WEAPON_MUB_614_POT - SUM(K17:R17) - E4))</f>
        <v/>
      </c>
      <c r="U14" s="733" t="s">
        <v>448</v>
      </c>
      <c r="V14" s="768" t="s">
        <v>131</v>
      </c>
      <c r="W14" s="769" t="s">
        <v>131</v>
      </c>
      <c r="X14" s="770" t="str">
        <f>IF(AND(Q4&gt;0,T14&lt;0), _xlfn.CEILING.MATH(-T14/S4),"")</f>
        <v/>
      </c>
      <c r="Y14" s="646" t="str">
        <f>IFERROR((-G4 * AGITO_WEAPON_MUB_614_POT - T14)/(-G4 * AGITO_WEAPON_MUB_614_POT),"")</f>
        <v/>
      </c>
    </row>
    <row r="15" spans="1:27" ht="20.25" hidden="1" customHeight="1" x14ac:dyDescent="0.25">
      <c r="B15" s="719"/>
      <c r="C15" s="855"/>
      <c r="D15" s="736"/>
      <c r="E15" s="736"/>
      <c r="F15" s="736"/>
      <c r="G15" s="736"/>
      <c r="H15" s="856"/>
      <c r="J15" s="1173"/>
      <c r="K15" s="651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652">
        <f>_xlfn.IFNA(VLOOKUP(R12,DATA_AGITO_WEAPON,2,FALSE), 0)</f>
        <v>200</v>
      </c>
      <c r="S15" s="742"/>
      <c r="T15" s="607"/>
      <c r="U15" s="733"/>
      <c r="V15" s="768"/>
      <c r="W15" s="769"/>
      <c r="X15" s="770"/>
      <c r="Y15" s="646"/>
    </row>
    <row r="16" spans="1:27" ht="39.75" hidden="1" customHeight="1" x14ac:dyDescent="0.25">
      <c r="B16" s="719"/>
      <c r="C16" s="855"/>
      <c r="D16" s="736"/>
      <c r="E16" s="736"/>
      <c r="F16" s="736"/>
      <c r="G16" s="736"/>
      <c r="H16" s="856"/>
      <c r="J16" s="1173"/>
      <c r="K16" s="651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652">
        <f>_xlfn.IFNA(VLOOKUP(R12,DATA_AGITO_WEAPON,3,FALSE), 0)</f>
        <v>150</v>
      </c>
      <c r="S16" s="742"/>
      <c r="T16" s="607"/>
      <c r="U16" s="733"/>
      <c r="V16" s="768"/>
      <c r="W16" s="769"/>
      <c r="X16" s="770"/>
      <c r="Y16" s="646"/>
    </row>
    <row r="17" spans="2:25" s="715" customFormat="1" ht="54" hidden="1" customHeight="1" x14ac:dyDescent="0.25">
      <c r="B17" s="719"/>
      <c r="C17" s="855"/>
      <c r="D17" s="736"/>
      <c r="E17" s="736"/>
      <c r="F17" s="736"/>
      <c r="G17" s="736"/>
      <c r="H17" s="856"/>
      <c r="J17" s="1173"/>
      <c r="K17" s="651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652">
        <f>_xlfn.IFNA(VLOOKUP(R12,DATA_AGITO_WEAPON,4,FALSE), 0)</f>
        <v>0</v>
      </c>
      <c r="S17" s="742"/>
      <c r="T17" s="607"/>
      <c r="U17" s="733"/>
      <c r="V17" s="768"/>
      <c r="W17" s="769"/>
      <c r="X17" s="770"/>
      <c r="Y17" s="646"/>
    </row>
    <row r="18" spans="2:25" s="284" customFormat="1" ht="18.95" customHeight="1" x14ac:dyDescent="0.25">
      <c r="B18" s="1025" t="s">
        <v>320</v>
      </c>
      <c r="C18" s="1123">
        <f>IF(ISBLANK(H5),"",INDEX(DATA_AGITO_BUILDING_25,H5+ 1, 3))</f>
        <v>0</v>
      </c>
      <c r="D18" s="1124"/>
      <c r="E18" s="1124"/>
      <c r="F18" s="1124">
        <f>IF(ISBLANK(H5),"",INDEX(DATA_AGITO_BUILDING_15,H5+ 1, 4))</f>
        <v>0</v>
      </c>
      <c r="G18" s="1124"/>
      <c r="H18" s="1139"/>
      <c r="J18" s="1173"/>
      <c r="K18" s="1168">
        <v>614</v>
      </c>
      <c r="L18" s="1131">
        <v>614</v>
      </c>
      <c r="M18" s="1131">
        <v>614</v>
      </c>
      <c r="N18" s="1131">
        <v>614</v>
      </c>
      <c r="O18" s="1131">
        <v>614</v>
      </c>
      <c r="P18" s="1131">
        <v>614</v>
      </c>
      <c r="Q18" s="1131">
        <v>614</v>
      </c>
      <c r="R18" s="1131">
        <v>614</v>
      </c>
      <c r="S18" s="742" cm="1">
        <f t="array" ref="S18">IF(ISBLANK(C5),"",(SUM(K21:R21) + C5) / AGITO_WEAPON_MUB_614_SILVER + F5)</f>
        <v>21.925000000000001</v>
      </c>
      <c r="T18" s="593" cm="1">
        <f t="array" ref="T18">IF(ISBLANK(C5),"",-((G5-F5) * AGITO_WEAPON_MUB_614_SILVER - SUM(K21:R21) - C5))</f>
        <v>385</v>
      </c>
      <c r="U18" s="733" t="s">
        <v>65</v>
      </c>
      <c r="V18" s="768" t="str">
        <f>IF(AND(L5&gt;0,T18&lt;0), _xlfn.CEILING.MATH(-T18/M5),"")</f>
        <v/>
      </c>
      <c r="W18" s="769" t="str">
        <f>IF(AND(N5&gt;0,T18&lt;0), _xlfn.CEILING.MATH(-T18/O5),"")</f>
        <v/>
      </c>
      <c r="X18" s="770" t="s">
        <v>131</v>
      </c>
      <c r="Y18" s="646">
        <f>IFERROR((-G5 * AGITO_WEAPON_MUB_614_SILVER - T18)/(-G5 * AGITO_WEAPON_MUB_614_SILVER),"")</f>
        <v>1.0962499999999999</v>
      </c>
    </row>
    <row r="19" spans="2:25" s="284" customFormat="1" ht="18.95" customHeight="1" x14ac:dyDescent="0.25">
      <c r="B19" s="1025"/>
      <c r="C19" s="1123"/>
      <c r="D19" s="1124"/>
      <c r="E19" s="1124"/>
      <c r="F19" s="1124"/>
      <c r="G19" s="1124"/>
      <c r="H19" s="1139"/>
      <c r="J19" s="1173"/>
      <c r="K19" s="1168"/>
      <c r="L19" s="1131"/>
      <c r="M19" s="1131"/>
      <c r="N19" s="1131"/>
      <c r="O19" s="1131"/>
      <c r="P19" s="1131"/>
      <c r="Q19" s="1131"/>
      <c r="R19" s="1131"/>
      <c r="S19" s="742" cm="1">
        <f t="array" ref="S19">IF(ISBLANK(D5),"",(SUM(K22:R22) + D5) / AGITO_WEAPON_MUB_614_GOLD + F5)</f>
        <v>27.68</v>
      </c>
      <c r="T19" s="593" cm="1">
        <f t="array" ref="T19">IF(ISBLANK(D5),"",-((G5-F5) * AGITO_WEAPON_MUB_614_GOLD - SUM(K22:R22) - D5))</f>
        <v>1152</v>
      </c>
      <c r="U19" s="733" t="s">
        <v>64</v>
      </c>
      <c r="V19" s="768" t="s">
        <v>131</v>
      </c>
      <c r="W19" s="769" t="str">
        <f>IF(AND(N5&gt;0,T19&lt;0), _xlfn.CEILING.MATH(-T19/P5),"")</f>
        <v/>
      </c>
      <c r="X19" s="770" t="str">
        <f>IF(AND(Q5&gt;0,T19&lt;0), _xlfn.CEILING.MATH(-T19/R5),"")</f>
        <v/>
      </c>
      <c r="Y19" s="646">
        <f>IFERROR((-G5 * AGITO_WEAPON_MUB_614_GOLD - T19)/(-G5 * AGITO_WEAPON_MUB_614_GOLD),"")</f>
        <v>1.3839999999999999</v>
      </c>
    </row>
    <row r="20" spans="2:25" s="284" customFormat="1" ht="18.95" customHeight="1" x14ac:dyDescent="0.25">
      <c r="B20" s="1025"/>
      <c r="C20" s="1123"/>
      <c r="D20" s="1124"/>
      <c r="E20" s="1124"/>
      <c r="F20" s="1124"/>
      <c r="G20" s="1124"/>
      <c r="H20" s="1139"/>
      <c r="J20" s="1173"/>
      <c r="K20" s="1168"/>
      <c r="L20" s="1131"/>
      <c r="M20" s="1131"/>
      <c r="N20" s="1131"/>
      <c r="O20" s="1131"/>
      <c r="P20" s="1131"/>
      <c r="Q20" s="1131"/>
      <c r="R20" s="1131"/>
      <c r="S20" s="742" t="str" cm="1">
        <f t="array" ref="S20">IF(ISBLANK(E5),"",(SUM(K23:R23) + E5) / AGITO_WEAPON_MUB_614_POT + F5)</f>
        <v/>
      </c>
      <c r="T20" s="593" t="str" cm="1">
        <f t="array" ref="T20">IF(ISBLANK(E5),"",-((G5-F5) * AGITO_WEAPON_MUB_614_POT - SUM(K23:R23) - E5))</f>
        <v/>
      </c>
      <c r="U20" s="733" t="s">
        <v>448</v>
      </c>
      <c r="V20" s="768" t="s">
        <v>131</v>
      </c>
      <c r="W20" s="769" t="s">
        <v>131</v>
      </c>
      <c r="X20" s="770" t="str">
        <f>IF(AND(Q5&gt;0,T20&lt;0), _xlfn.CEILING.MATH(-T20/S5),"")</f>
        <v/>
      </c>
      <c r="Y20" s="646" t="str">
        <f>IFERROR((-G5 * AGITO_WEAPON_MUB_614_POT - T20)/(-G5 * AGITO_WEAPON_MUB_614_POT),"")</f>
        <v/>
      </c>
    </row>
    <row r="21" spans="2:25" ht="26.25" hidden="1" customHeight="1" x14ac:dyDescent="0.25">
      <c r="B21" s="718"/>
      <c r="C21" s="855" t="str">
        <f>IF(ISBLANK(H10),"",INDEX(DATA_AGITO_BUILDING_25,H10+ 1, 1))</f>
        <v/>
      </c>
      <c r="D21" s="736"/>
      <c r="E21" s="736"/>
      <c r="F21" s="736" t="str">
        <f>IF(ISBLANK(H10),"",INDEX(DATA_AGITO_BUILDING_25,H10+ 1, 2))</f>
        <v/>
      </c>
      <c r="G21" s="736"/>
      <c r="H21" s="856"/>
      <c r="J21" s="1173"/>
      <c r="K21" s="653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654">
        <f>_xlfn.IFNA(VLOOKUP(R18,DATA_AGITO_WEAPON,2,FALSE), 0)</f>
        <v>200</v>
      </c>
      <c r="S21" s="742"/>
      <c r="T21" s="607"/>
      <c r="U21" s="733"/>
      <c r="V21" s="768"/>
      <c r="W21" s="769"/>
      <c r="X21" s="770"/>
      <c r="Y21" s="646"/>
    </row>
    <row r="22" spans="2:25" ht="24" hidden="1" customHeight="1" x14ac:dyDescent="0.25">
      <c r="B22" s="718"/>
      <c r="C22" s="855"/>
      <c r="D22" s="736"/>
      <c r="E22" s="736"/>
      <c r="F22" s="736"/>
      <c r="G22" s="736"/>
      <c r="H22" s="856"/>
      <c r="J22" s="1173"/>
      <c r="K22" s="653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654">
        <f>_xlfn.IFNA(VLOOKUP(R18,DATA_AGITO_WEAPON,3,FALSE), 0)</f>
        <v>150</v>
      </c>
      <c r="S22" s="742"/>
      <c r="T22" s="607"/>
      <c r="U22" s="733"/>
      <c r="V22" s="768"/>
      <c r="W22" s="769"/>
      <c r="X22" s="770"/>
      <c r="Y22" s="646"/>
    </row>
    <row r="23" spans="2:25" s="715" customFormat="1" ht="24" hidden="1" customHeight="1" x14ac:dyDescent="0.25">
      <c r="B23" s="718"/>
      <c r="C23" s="855"/>
      <c r="D23" s="736"/>
      <c r="E23" s="736"/>
      <c r="F23" s="736"/>
      <c r="G23" s="736"/>
      <c r="H23" s="856"/>
      <c r="J23" s="1173"/>
      <c r="K23" s="653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654">
        <f>_xlfn.IFNA(VLOOKUP(R18,DATA_AGITO_WEAPON,4,FALSE), 0)</f>
        <v>0</v>
      </c>
      <c r="S23" s="742"/>
      <c r="T23" s="607"/>
      <c r="U23" s="733"/>
      <c r="V23" s="768"/>
      <c r="W23" s="769"/>
      <c r="X23" s="770"/>
      <c r="Y23" s="646"/>
    </row>
    <row r="24" spans="2:25" s="284" customFormat="1" ht="18.95" customHeight="1" x14ac:dyDescent="0.25">
      <c r="B24" s="1088" t="s">
        <v>321</v>
      </c>
      <c r="C24" s="1121">
        <f>IF(ISBLANK(H6),"",INDEX(DATA_AGITO_BUILDING_25,H6+ 1, 1))</f>
        <v>0</v>
      </c>
      <c r="D24" s="1122"/>
      <c r="E24" s="1122"/>
      <c r="F24" s="1122">
        <f>IF(ISBLANK(H6),"",INDEX(DATA_AGITO_BUILDING_25,H6+ 1, 2))</f>
        <v>0</v>
      </c>
      <c r="G24" s="1122"/>
      <c r="H24" s="1138"/>
      <c r="J24" s="1173"/>
      <c r="K24" s="1167">
        <v>624</v>
      </c>
      <c r="L24" s="1130">
        <v>624</v>
      </c>
      <c r="M24" s="1130">
        <v>624</v>
      </c>
      <c r="N24" s="1130">
        <v>624</v>
      </c>
      <c r="O24" s="1130">
        <v>624</v>
      </c>
      <c r="P24" s="1130">
        <v>624</v>
      </c>
      <c r="Q24" s="1130">
        <v>624</v>
      </c>
      <c r="R24" s="1130">
        <v>624</v>
      </c>
      <c r="S24" s="742" cm="1">
        <f t="array" ref="S24">IF(ISBLANK(C6),"",(SUM(K27:R27) + C6) / AGITO_WEAPON_MUB_624_SILVER + F6)</f>
        <v>19.725000000000001</v>
      </c>
      <c r="T24" s="593" cm="1">
        <f t="array" ref="T24">IF(ISBLANK(C6),"",-((G6-F6) * AGITO_WEAPON_MUB_624_SILVER-SUM(K27:R27)-C6))</f>
        <v>-77</v>
      </c>
      <c r="U24" s="733" t="s">
        <v>65</v>
      </c>
      <c r="V24" s="768">
        <f>IF(AND(T24&lt;0,L6&gt;0), _xlfn.CEILING.MATH(-T24/M6),"")</f>
        <v>11</v>
      </c>
      <c r="W24" s="769">
        <f>IF(AND(T24&lt;0,N6&gt;0), _xlfn.CEILING.MATH(-T24/O6),"")</f>
        <v>30</v>
      </c>
      <c r="X24" s="770" t="s">
        <v>131</v>
      </c>
      <c r="Y24" s="646">
        <f>IFERROR((-G6 * AGITO_WEAPON_MUB_624_SILVER - T24)/(-G6 * AGITO_WEAPON_MUB_624_SILVER),"")</f>
        <v>0.98624999999999996</v>
      </c>
    </row>
    <row r="25" spans="2:25" s="284" customFormat="1" ht="18.95" customHeight="1" x14ac:dyDescent="0.25">
      <c r="B25" s="1088"/>
      <c r="C25" s="1121"/>
      <c r="D25" s="1122"/>
      <c r="E25" s="1122"/>
      <c r="F25" s="1122"/>
      <c r="G25" s="1122"/>
      <c r="H25" s="1138"/>
      <c r="J25" s="1173"/>
      <c r="K25" s="1167"/>
      <c r="L25" s="1130"/>
      <c r="M25" s="1130"/>
      <c r="N25" s="1130"/>
      <c r="O25" s="1130"/>
      <c r="P25" s="1130"/>
      <c r="Q25" s="1130"/>
      <c r="R25" s="1130"/>
      <c r="S25" s="742" cm="1">
        <f t="array" ref="S25">IF(ISBLANK(D6),"",(SUM(K28:R28) + D6) / AGITO_WEAPON_MUB_624_GOLD + F6)</f>
        <v>23.13</v>
      </c>
      <c r="T25" s="593" cm="1">
        <f t="array" ref="T25">IF(ISBLANK(D6),"",-((G6-F6) * AGITO_WEAPON_MUB_624_GOLD - SUM(K28:R28) - D6))</f>
        <v>626</v>
      </c>
      <c r="U25" s="733" t="s">
        <v>64</v>
      </c>
      <c r="V25" s="768" t="s">
        <v>131</v>
      </c>
      <c r="W25" s="769" t="str">
        <f>IF(AND(N6&gt;0,T25&lt;0), _xlfn.CEILING.MATH(-T25/P6),"")</f>
        <v/>
      </c>
      <c r="X25" s="770" t="str">
        <f>IF(AND(Q6&gt;0,T25&lt;0), _xlfn.CEILING.MATH(-T25/R6),"")</f>
        <v/>
      </c>
      <c r="Y25" s="646">
        <f>IFERROR((-G6 * AGITO_WEAPON_MUB_624_GOLD - T25)/(-G6 * AGITO_WEAPON_MUB_624_GOLD),"")</f>
        <v>1.1565000000000001</v>
      </c>
    </row>
    <row r="26" spans="2:25" s="284" customFormat="1" ht="18.95" customHeight="1" x14ac:dyDescent="0.25">
      <c r="B26" s="1088"/>
      <c r="C26" s="1121"/>
      <c r="D26" s="1122"/>
      <c r="E26" s="1122"/>
      <c r="F26" s="1122"/>
      <c r="G26" s="1122"/>
      <c r="H26" s="1138"/>
      <c r="J26" s="1173"/>
      <c r="K26" s="1167"/>
      <c r="L26" s="1130"/>
      <c r="M26" s="1130"/>
      <c r="N26" s="1130"/>
      <c r="O26" s="1130"/>
      <c r="P26" s="1130"/>
      <c r="Q26" s="1130"/>
      <c r="R26" s="1130"/>
      <c r="S26" s="742" cm="1">
        <f t="array" ref="S26">IF(ISBLANK(E6),"",(SUM(K29:R29) + E6) / AGITO_WEAPON_MUB_624_POT + F6)</f>
        <v>21.657142857142858</v>
      </c>
      <c r="T26" s="593" cm="1">
        <f t="array" ref="T26">IF(ISBLANK(E6),"",-((G6-F6) * AGITO_WEAPON_MUB_624_POT - SUM(K29:R29) - E6))</f>
        <v>58</v>
      </c>
      <c r="U26" s="733" t="s">
        <v>448</v>
      </c>
      <c r="V26" s="768" t="s">
        <v>131</v>
      </c>
      <c r="W26" s="769" t="s">
        <v>131</v>
      </c>
      <c r="X26" s="770" t="str">
        <f>IF(AND(Q6&gt;0,T25&lt;0), _xlfn.CEILING.MATH(-T25/S6),"")</f>
        <v/>
      </c>
      <c r="Y26" s="646">
        <f>IFERROR((-G6 * AGITO_WEAPON_MUB_624_POT - T26)/(-G6 * AGITO_WEAPON_MUB_624_POT),"")</f>
        <v>1.082857142857143</v>
      </c>
    </row>
    <row r="27" spans="2:25" ht="27" hidden="1" customHeight="1" x14ac:dyDescent="0.25">
      <c r="B27" s="722"/>
      <c r="C27" s="855" t="str">
        <f>IF(ISBLANK(H15),"",INDEX(DATA_AGITO_BUILDING_25,H15+ 1, 1))</f>
        <v/>
      </c>
      <c r="D27" s="736"/>
      <c r="E27" s="736"/>
      <c r="F27" s="736" t="str">
        <f>IF(ISBLANK(H15),"",INDEX(DATA_AGITO_BUILDING_25,H15+ 1, 2))</f>
        <v/>
      </c>
      <c r="G27" s="736"/>
      <c r="H27" s="856"/>
      <c r="J27" s="1173"/>
      <c r="K27" s="655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656">
        <f>_xlfn.IFNA(VLOOKUP(R24,DATA_AGITO_WEAPON,2,FALSE), 0)</f>
        <v>280</v>
      </c>
      <c r="S27" s="742"/>
      <c r="T27" s="607"/>
      <c r="U27" s="733"/>
      <c r="V27" s="768"/>
      <c r="W27" s="769"/>
      <c r="X27" s="770"/>
      <c r="Y27" s="646"/>
    </row>
    <row r="28" spans="2:25" ht="29.25" hidden="1" customHeight="1" x14ac:dyDescent="0.25">
      <c r="B28" s="722"/>
      <c r="C28" s="855"/>
      <c r="D28" s="736"/>
      <c r="E28" s="736"/>
      <c r="F28" s="736"/>
      <c r="G28" s="736"/>
      <c r="H28" s="856"/>
      <c r="J28" s="1173"/>
      <c r="K28" s="655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656">
        <f>_xlfn.IFNA(VLOOKUP(R24,DATA_AGITO_WEAPON,3,FALSE), 0)</f>
        <v>200</v>
      </c>
      <c r="S28" s="742"/>
      <c r="T28" s="607"/>
      <c r="U28" s="733"/>
      <c r="V28" s="768"/>
      <c r="W28" s="769"/>
      <c r="X28" s="770"/>
      <c r="Y28" s="646"/>
    </row>
    <row r="29" spans="2:25" s="715" customFormat="1" ht="29.25" hidden="1" customHeight="1" x14ac:dyDescent="0.25">
      <c r="B29" s="722"/>
      <c r="C29" s="855"/>
      <c r="D29" s="736"/>
      <c r="E29" s="736"/>
      <c r="F29" s="736"/>
      <c r="G29" s="736"/>
      <c r="H29" s="856"/>
      <c r="J29" s="1173"/>
      <c r="K29" s="655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656">
        <f>_xlfn.IFNA(VLOOKUP(R24,DATA_AGITO_WEAPON,4,FALSE), 0)</f>
        <v>35</v>
      </c>
      <c r="S29" s="742"/>
      <c r="T29" s="607"/>
      <c r="U29" s="733"/>
      <c r="V29" s="768"/>
      <c r="W29" s="769"/>
      <c r="X29" s="770"/>
      <c r="Y29" s="646"/>
    </row>
    <row r="30" spans="2:25" ht="18.95" customHeight="1" x14ac:dyDescent="0.25">
      <c r="B30" s="1067" t="s">
        <v>322</v>
      </c>
      <c r="C30" s="1119">
        <f>IF(ISBLANK(H7),"",INDEX(DATA_AGITO_BUILDING_25,H7+ 1, 3))</f>
        <v>0</v>
      </c>
      <c r="D30" s="1120"/>
      <c r="E30" s="1120"/>
      <c r="F30" s="1120">
        <f>IF(ISBLANK(H7),"",INDEX(DATA_AGITO_BUILDING_25,H7+ 1, 4))</f>
        <v>0</v>
      </c>
      <c r="G30" s="1120"/>
      <c r="H30" s="1137"/>
      <c r="J30" s="1173"/>
      <c r="K30" s="1171">
        <v>624</v>
      </c>
      <c r="L30" s="1134">
        <v>624</v>
      </c>
      <c r="M30" s="1134">
        <v>624</v>
      </c>
      <c r="N30" s="1134">
        <v>624</v>
      </c>
      <c r="O30" s="1134">
        <v>624</v>
      </c>
      <c r="P30" s="1134">
        <v>624</v>
      </c>
      <c r="Q30" s="1134">
        <v>624</v>
      </c>
      <c r="R30" s="1134">
        <v>624</v>
      </c>
      <c r="S30" s="742" cm="1">
        <f t="array" ref="S30">IF(ISBLANK(C7),"",(SUM(K33:R33) + C7) / AGITO_WEAPON_MUB_624_SILVER + F7)</f>
        <v>14.692857142857143</v>
      </c>
      <c r="T30" s="593" cm="1">
        <f t="array" ref="T30">IF(ISBLANK(C7),"",-((G7-F7) * AGITO_WEAPON_MUB_624_SILVER - SUM(K33:R33) - C7))</f>
        <v>-1486</v>
      </c>
      <c r="U30" s="733" t="s">
        <v>65</v>
      </c>
      <c r="V30" s="768">
        <f>IF(AND(T30&lt;0,L7&gt;0), _xlfn.CEILING.MATH(-T30/M7),"")</f>
        <v>207</v>
      </c>
      <c r="W30" s="769">
        <f>IF(AND(T30&lt;0,N7&gt;0), _xlfn.CEILING.MATH(-T30/O7),"")</f>
        <v>578</v>
      </c>
      <c r="X30" s="770" t="s">
        <v>131</v>
      </c>
      <c r="Y30" s="646">
        <f>IFERROR((-G7 * AGITO_WEAPON_MUB_624_SILVER - T30)/(-G7 * AGITO_WEAPON_MUB_624_SILVER),"")</f>
        <v>0.73464285714285715</v>
      </c>
    </row>
    <row r="31" spans="2:25" ht="18.95" customHeight="1" x14ac:dyDescent="0.25">
      <c r="B31" s="1067"/>
      <c r="C31" s="1119"/>
      <c r="D31" s="1120"/>
      <c r="E31" s="1120"/>
      <c r="F31" s="1120"/>
      <c r="G31" s="1120"/>
      <c r="H31" s="1137"/>
      <c r="J31" s="1173"/>
      <c r="K31" s="1171"/>
      <c r="L31" s="1134"/>
      <c r="M31" s="1134"/>
      <c r="N31" s="1134"/>
      <c r="O31" s="1134"/>
      <c r="P31" s="1134"/>
      <c r="Q31" s="1134"/>
      <c r="R31" s="1134"/>
      <c r="S31" s="742" cm="1">
        <f t="array" ref="S31">IF(ISBLANK(D7),"",(SUM(K34:R34) + D7) / AGITO_WEAPON_MUB_624_GOLD + F7)</f>
        <v>18.989999999999998</v>
      </c>
      <c r="T31" s="593" cm="1">
        <f t="array" ref="T31">IF(ISBLANK(D7),"",-((G7-F7) * AGITO_WEAPON_MUB_624_GOLD - SUM(K34:R34) - D7))</f>
        <v>-202</v>
      </c>
      <c r="U31" s="733" t="s">
        <v>64</v>
      </c>
      <c r="V31" s="768" t="s">
        <v>131</v>
      </c>
      <c r="W31" s="769">
        <f>IF(AND(T31&lt;0,N7&gt;0), _xlfn.CEILING.MATH(-T31/P7),"")</f>
        <v>58</v>
      </c>
      <c r="X31" s="770">
        <f>IF(AND(T31&lt;0,Q7&gt;0), _xlfn.CEILING.MATH(-T31/R7),"")</f>
        <v>101</v>
      </c>
      <c r="Y31" s="646">
        <f>IFERROR((-G7 * AGITO_WEAPON_MUB_624_GOLD - T31)/(-G7 * AGITO_WEAPON_MUB_624_GOLD),"")</f>
        <v>0.94950000000000001</v>
      </c>
    </row>
    <row r="32" spans="2:25" s="715" customFormat="1" ht="18.95" customHeight="1" x14ac:dyDescent="0.25">
      <c r="B32" s="1067"/>
      <c r="C32" s="1119"/>
      <c r="D32" s="1120"/>
      <c r="E32" s="1120"/>
      <c r="F32" s="1120"/>
      <c r="G32" s="1120"/>
      <c r="H32" s="1137"/>
      <c r="J32" s="1173"/>
      <c r="K32" s="1171"/>
      <c r="L32" s="1134"/>
      <c r="M32" s="1134"/>
      <c r="N32" s="1134"/>
      <c r="O32" s="1134"/>
      <c r="P32" s="1134"/>
      <c r="Q32" s="1134"/>
      <c r="R32" s="1134"/>
      <c r="S32" s="742" cm="1">
        <f t="array" ref="S32">IF(ISBLANK(E7),"",(SUM(K35:R35) + E7) / AGITO_WEAPON_MUB_624_POT + F7)</f>
        <v>16.371428571428574</v>
      </c>
      <c r="T32" s="593" cm="1">
        <f t="array" ref="T32">IF(ISBLANK(E7),"",-((G7-F7) * AGITO_WEAPON_MUB_624_POT - SUM(K35:R35) - E7))</f>
        <v>-127</v>
      </c>
      <c r="U32" s="733" t="s">
        <v>448</v>
      </c>
      <c r="V32" s="768" t="s">
        <v>131</v>
      </c>
      <c r="W32" s="769" t="s">
        <v>131</v>
      </c>
      <c r="X32" s="770">
        <f>IF(AND(T32&lt;0,Q7&gt;0), _xlfn.CEILING.MATH(-T32/S7),"")</f>
        <v>42</v>
      </c>
      <c r="Y32" s="646">
        <f>IFERROR((-G7 * AGITO_WEAPON_MUB_624_POT - T32)/(-G7 * AGITO_WEAPON_MUB_624_POT),"")</f>
        <v>0.81857142857142862</v>
      </c>
    </row>
    <row r="33" spans="2:25" ht="30.75" hidden="1" customHeight="1" x14ac:dyDescent="0.25">
      <c r="B33" s="721"/>
      <c r="C33" s="855" t="str">
        <f>IF(ISBLANK(H21),"",INDEX(DATA_AGITO_BUILDING_25,H21+ 1, 1))</f>
        <v/>
      </c>
      <c r="D33" s="736"/>
      <c r="E33" s="736"/>
      <c r="F33" s="736" t="str">
        <f>IF(ISBLANK(H21),"",INDEX(DATA_AGITO_BUILDING_25,H21+ 1, 2))</f>
        <v/>
      </c>
      <c r="G33" s="736"/>
      <c r="H33" s="856"/>
      <c r="J33" s="1173"/>
      <c r="K33" s="657">
        <f>_xlfn.IFNA(VLOOKUP(K30,DATA_AGITO_WEAPON,2,FALSE), 0)</f>
        <v>280</v>
      </c>
      <c r="L33" s="658">
        <f>_xlfn.IFNA(VLOOKUP(L30,DATA_AGITO_WEAPON,2,FALSE), 0)</f>
        <v>280</v>
      </c>
      <c r="M33" s="658">
        <f>_xlfn.IFNA(VLOOKUP(M30,DATA_AGITO_WEAPON,2,FALSE), 0)</f>
        <v>280</v>
      </c>
      <c r="N33" s="658">
        <f>_xlfn.IFNA(VLOOKUP(N30,DATA_AGITO_WEAPON,2,FALSE), 0)</f>
        <v>280</v>
      </c>
      <c r="O33" s="658">
        <f>_xlfn.IFNA(VLOOKUP(O30,DATA_AGITO_WEAPON,2,FALSE), 0)</f>
        <v>280</v>
      </c>
      <c r="P33" s="658">
        <f>_xlfn.IFNA(VLOOKUP(P30,DATA_AGITO_WEAPON,2,FALSE), 0)</f>
        <v>280</v>
      </c>
      <c r="Q33" s="658">
        <f>_xlfn.IFNA(VLOOKUP(Q30,DATA_AGITO_WEAPON,2,FALSE), 0)</f>
        <v>280</v>
      </c>
      <c r="R33" s="658">
        <f>_xlfn.IFNA(VLOOKUP(R30,DATA_AGITO_WEAPON,2,FALSE), 0)</f>
        <v>280</v>
      </c>
      <c r="S33" s="742"/>
      <c r="T33" s="607"/>
      <c r="U33" s="733"/>
      <c r="V33" s="768"/>
      <c r="W33" s="769"/>
      <c r="X33" s="770"/>
      <c r="Y33" s="646"/>
    </row>
    <row r="34" spans="2:25" ht="27.75" hidden="1" customHeight="1" x14ac:dyDescent="0.25">
      <c r="B34" s="721"/>
      <c r="C34" s="855"/>
      <c r="D34" s="736"/>
      <c r="E34" s="736"/>
      <c r="F34" s="736"/>
      <c r="G34" s="736"/>
      <c r="H34" s="856"/>
      <c r="J34" s="1173"/>
      <c r="K34" s="657">
        <f>_xlfn.IFNA(VLOOKUP(K30,DATA_AGITO_WEAPON,3,FALSE), 0)</f>
        <v>200</v>
      </c>
      <c r="L34" s="658">
        <f>_xlfn.IFNA(VLOOKUP(L30,DATA_AGITO_WEAPON,3,FALSE), 0)</f>
        <v>200</v>
      </c>
      <c r="M34" s="658">
        <f>_xlfn.IFNA(VLOOKUP(M30,DATA_AGITO_WEAPON,3,FALSE), 0)</f>
        <v>200</v>
      </c>
      <c r="N34" s="658">
        <f>_xlfn.IFNA(VLOOKUP(N30,DATA_AGITO_WEAPON,3,FALSE), 0)</f>
        <v>200</v>
      </c>
      <c r="O34" s="658">
        <f>_xlfn.IFNA(VLOOKUP(O30,DATA_AGITO_WEAPON,3,FALSE), 0)</f>
        <v>200</v>
      </c>
      <c r="P34" s="658">
        <f>_xlfn.IFNA(VLOOKUP(P30,DATA_AGITO_WEAPON,3,FALSE), 0)</f>
        <v>200</v>
      </c>
      <c r="Q34" s="658">
        <f>_xlfn.IFNA(VLOOKUP(Q30,DATA_AGITO_WEAPON,3,FALSE), 0)</f>
        <v>200</v>
      </c>
      <c r="R34" s="658">
        <f>_xlfn.IFNA(VLOOKUP(R30,DATA_AGITO_WEAPON,3,FALSE), 0)</f>
        <v>200</v>
      </c>
      <c r="S34" s="742"/>
      <c r="T34" s="607"/>
      <c r="U34" s="733"/>
      <c r="V34" s="768"/>
      <c r="W34" s="769"/>
      <c r="X34" s="770"/>
      <c r="Y34" s="646"/>
    </row>
    <row r="35" spans="2:25" s="715" customFormat="1" ht="27.75" hidden="1" customHeight="1" x14ac:dyDescent="0.25">
      <c r="B35" s="721"/>
      <c r="C35" s="855"/>
      <c r="D35" s="736"/>
      <c r="E35" s="736"/>
      <c r="F35" s="736"/>
      <c r="G35" s="736"/>
      <c r="H35" s="856"/>
      <c r="J35" s="1173"/>
      <c r="K35" s="657">
        <f>_xlfn.IFNA(VLOOKUP(K30,DATA_AGITO_WEAPON,4,FALSE), 0)</f>
        <v>35</v>
      </c>
      <c r="L35" s="658">
        <f>_xlfn.IFNA(VLOOKUP(L30,DATA_AGITO_WEAPON,4,FALSE), 0)</f>
        <v>35</v>
      </c>
      <c r="M35" s="658">
        <f>_xlfn.IFNA(VLOOKUP(M30,DATA_AGITO_WEAPON,4,FALSE), 0)</f>
        <v>35</v>
      </c>
      <c r="N35" s="658">
        <f>_xlfn.IFNA(VLOOKUP(N30,DATA_AGITO_WEAPON,4,FALSE), 0)</f>
        <v>35</v>
      </c>
      <c r="O35" s="658">
        <f>_xlfn.IFNA(VLOOKUP(O30,DATA_AGITO_WEAPON,4,FALSE), 0)</f>
        <v>35</v>
      </c>
      <c r="P35" s="658">
        <f>_xlfn.IFNA(VLOOKUP(P30,DATA_AGITO_WEAPON,4,FALSE), 0)</f>
        <v>35</v>
      </c>
      <c r="Q35" s="658">
        <f>_xlfn.IFNA(VLOOKUP(Q30,DATA_AGITO_WEAPON,4,FALSE), 0)</f>
        <v>35</v>
      </c>
      <c r="R35" s="658">
        <f>_xlfn.IFNA(VLOOKUP(R30,DATA_AGITO_WEAPON,4,FALSE), 0)</f>
        <v>35</v>
      </c>
      <c r="S35" s="742"/>
      <c r="T35" s="607"/>
      <c r="U35" s="733"/>
      <c r="V35" s="768"/>
      <c r="W35" s="769"/>
      <c r="X35" s="770"/>
      <c r="Y35" s="646"/>
    </row>
    <row r="36" spans="2:25" ht="18.95" customHeight="1" x14ac:dyDescent="0.25">
      <c r="B36" s="1129" t="s">
        <v>323</v>
      </c>
      <c r="C36" s="1115" t="str">
        <f>IF(ISBLANK(H8),"",INDEX(DATA_AGITO_BUILDING_25,H8+ 1, 3))</f>
        <v/>
      </c>
      <c r="D36" s="1116"/>
      <c r="E36" s="1116"/>
      <c r="F36" s="1116" t="str">
        <f>IF(ISBLANK(H8),"",INDEX(DATA_AGITO_BUILDING_15,H8+ 1, 4))</f>
        <v/>
      </c>
      <c r="G36" s="1116"/>
      <c r="H36" s="1135"/>
      <c r="J36" s="1173"/>
      <c r="K36" s="1175"/>
      <c r="L36" s="1132"/>
      <c r="M36" s="1132"/>
      <c r="N36" s="1132"/>
      <c r="O36" s="1132"/>
      <c r="P36" s="1132"/>
      <c r="Q36" s="1132"/>
      <c r="R36" s="1132"/>
      <c r="S36" s="742" t="str" cm="1">
        <f t="array" ref="S36">IF(ISBLANK(C8),"",(SUM(K39:R39) + C8) / AGITO_WEAPON_MUB_614_SILVER + F8)</f>
        <v/>
      </c>
      <c r="T36" s="593" t="str" cm="1">
        <f t="array" ref="T36">IF(ISBLANK(C8),"",-((G8-F8) * AGITO_WEAPON_MUB_614_SILVER-SUM(K39:R39)-C8))</f>
        <v/>
      </c>
      <c r="U36" s="733" t="s">
        <v>65</v>
      </c>
      <c r="V36" s="768" t="str">
        <f>IF(AND(T36&lt;0,L8&gt;0), _xlfn.CEILING.MATH(-T36/M8),"")</f>
        <v/>
      </c>
      <c r="W36" s="769" t="str">
        <f>IF(AND(T36&lt;0,N8&gt;0), _xlfn.CEILING.MATH(-T36/O8),"")</f>
        <v/>
      </c>
      <c r="X36" s="770" t="s">
        <v>131</v>
      </c>
      <c r="Y36" s="646" t="str">
        <f>IFERROR((-G8 * AGITO_WEAPON_MUB_614_SILVER - T36)/(-G8 * AGITO_WEAPON_MUB_614_SILVER),"")</f>
        <v/>
      </c>
    </row>
    <row r="37" spans="2:25" ht="18.95" customHeight="1" x14ac:dyDescent="0.25">
      <c r="B37" s="1129"/>
      <c r="C37" s="1115"/>
      <c r="D37" s="1116"/>
      <c r="E37" s="1116"/>
      <c r="F37" s="1116"/>
      <c r="G37" s="1116"/>
      <c r="H37" s="1135"/>
      <c r="J37" s="1173"/>
      <c r="K37" s="1175"/>
      <c r="L37" s="1132"/>
      <c r="M37" s="1132"/>
      <c r="N37" s="1132"/>
      <c r="O37" s="1132"/>
      <c r="P37" s="1132"/>
      <c r="Q37" s="1132"/>
      <c r="R37" s="1132"/>
      <c r="S37" s="742" t="str" cm="1">
        <f t="array" ref="S37">IF(ISBLANK(D8),"",(SUM(K40:R40) + D8) / AGITO_WEAPON_MUB_614_GOLD + F8)</f>
        <v/>
      </c>
      <c r="T37" s="593" t="str" cm="1">
        <f t="array" ref="T37">IF(ISBLANK(D8),"",-((G8-F8) * AGITO_WEAPON_MUB_614_GOLD - SUM(K40:R40) - D8))</f>
        <v/>
      </c>
      <c r="U37" s="733" t="s">
        <v>64</v>
      </c>
      <c r="V37" s="768" t="s">
        <v>131</v>
      </c>
      <c r="W37" s="769" t="str">
        <f>IF(AND(T37&lt;0,N8&gt;0), _xlfn.CEILING.MATH(-T37/P8),"")</f>
        <v/>
      </c>
      <c r="X37" s="770" t="str">
        <f>IF(AND(T37&lt;0,Q8&gt;0), _xlfn.CEILING.MATH(-T37/R8),"")</f>
        <v/>
      </c>
      <c r="Y37" s="646" t="str">
        <f>IFERROR((-G8 * AGITO_WEAPON_MUB_614_GOLD - T37)/(-G8 * AGITO_WEAPON_MUB_614_GOLD),"")</f>
        <v/>
      </c>
    </row>
    <row r="38" spans="2:25" s="715" customFormat="1" ht="18.95" customHeight="1" x14ac:dyDescent="0.25">
      <c r="B38" s="1063"/>
      <c r="C38" s="1117"/>
      <c r="D38" s="1118"/>
      <c r="E38" s="1118"/>
      <c r="F38" s="1118"/>
      <c r="G38" s="1118"/>
      <c r="H38" s="1136"/>
      <c r="J38" s="1173"/>
      <c r="K38" s="1176"/>
      <c r="L38" s="1133"/>
      <c r="M38" s="1133"/>
      <c r="N38" s="1133"/>
      <c r="O38" s="1133"/>
      <c r="P38" s="1133"/>
      <c r="Q38" s="1133"/>
      <c r="R38" s="1133"/>
      <c r="S38" s="743" t="str" cm="1">
        <f t="array" ref="S38">IF(ISBLANK(E8),"",(SUM(K41:R41) + E8) / AGITO_WEAPON_MUB_614_POT + F8)</f>
        <v/>
      </c>
      <c r="T38" s="594" t="str" cm="1">
        <f t="array" ref="T38">IF(ISBLANK(E8),"",-((G8-F8) * AGITO_WEAPON_MUB_614_GOLD - SUM(K41:R41) - E8))</f>
        <v/>
      </c>
      <c r="U38" s="734" t="s">
        <v>448</v>
      </c>
      <c r="V38" s="771" t="s">
        <v>131</v>
      </c>
      <c r="W38" s="772" t="s">
        <v>131</v>
      </c>
      <c r="X38" s="773" t="str">
        <f>IF(AND(T38&lt;0,Q8&gt;0), _xlfn.CEILING.MATH(-T38/S8),"")</f>
        <v/>
      </c>
      <c r="Y38" s="647" t="str">
        <f>IFERROR((-G8 * AGITO_WEAPON_MUB_614_POT - T38)/(-G8 * AGITO_WEAPON_MUB_614_POT),"")</f>
        <v/>
      </c>
    </row>
    <row r="39" spans="2:25" ht="36" hidden="1" customHeight="1" x14ac:dyDescent="0.25">
      <c r="C39" s="284"/>
      <c r="D39" s="284"/>
      <c r="E39" s="284"/>
      <c r="G39" s="211"/>
      <c r="H39" s="211"/>
      <c r="J39" s="1173"/>
      <c r="K39" s="56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480">
        <f>_xlfn.IFNA(VLOOKUP(R36,DATA_AGITO_WEAPON,2,FALSE), 0)</f>
        <v>0</v>
      </c>
      <c r="S39" s="738"/>
      <c r="T39" s="731"/>
      <c r="U39" s="731"/>
      <c r="V39" s="774"/>
      <c r="W39" s="774"/>
      <c r="X39" s="774"/>
      <c r="Y39" s="487"/>
    </row>
    <row r="40" spans="2:25" ht="20.25" hidden="1" customHeight="1" x14ac:dyDescent="0.25">
      <c r="G40" s="211"/>
      <c r="H40" s="211"/>
      <c r="J40" s="1173"/>
      <c r="K40" s="56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480">
        <f>_xlfn.IFNA(VLOOKUP(R36,DATA_AGITO_WEAPON,3,FALSE), 0)</f>
        <v>0</v>
      </c>
      <c r="S40" s="738"/>
      <c r="T40" s="731"/>
      <c r="U40" s="731"/>
      <c r="V40" s="774"/>
      <c r="W40" s="774"/>
      <c r="X40" s="774"/>
      <c r="Y40" s="487" t="str">
        <f>IFERROR(IF(U37=0,100%,(HDRAG_MAX_BUILDING - U37)/HDRAG_MAX_BUILDING),"")</f>
        <v/>
      </c>
    </row>
    <row r="41" spans="2:25" s="715" customFormat="1" ht="20.25" hidden="1" customHeight="1" x14ac:dyDescent="0.25">
      <c r="G41" s="211"/>
      <c r="H41" s="211"/>
      <c r="J41" s="1174"/>
      <c r="K41" s="720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481">
        <f>_xlfn.IFNA(VLOOKUP(R36,DATA_AGITO_WEAPON,4,FALSE), 0)</f>
        <v>0</v>
      </c>
      <c r="S41" s="739"/>
      <c r="T41" s="740"/>
      <c r="U41" s="740"/>
      <c r="V41" s="775"/>
      <c r="W41" s="775"/>
      <c r="X41" s="775"/>
      <c r="Y41" s="489"/>
    </row>
    <row r="42" spans="2:25" x14ac:dyDescent="0.25">
      <c r="G42" s="211"/>
      <c r="H42" s="211"/>
      <c r="J42" s="730"/>
      <c r="R42" s="602"/>
      <c r="S42" s="599"/>
      <c r="U42" s="602"/>
      <c r="X42" s="222"/>
    </row>
    <row r="43" spans="2:25" x14ac:dyDescent="0.25">
      <c r="G43" s="211"/>
      <c r="H43" s="211"/>
    </row>
    <row r="45" spans="2:25" x14ac:dyDescent="0.25">
      <c r="I45" s="659"/>
    </row>
  </sheetData>
  <mergeCells count="70"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  <mergeCell ref="K2:K3"/>
    <mergeCell ref="O36:O38"/>
    <mergeCell ref="O24:O26"/>
    <mergeCell ref="M12:M14"/>
    <mergeCell ref="L12:L14"/>
    <mergeCell ref="P12:P14"/>
    <mergeCell ref="O12:O14"/>
    <mergeCell ref="N12:N14"/>
    <mergeCell ref="N2:P2"/>
    <mergeCell ref="L2:M2"/>
    <mergeCell ref="Q36:Q38"/>
    <mergeCell ref="N30:N32"/>
    <mergeCell ref="M30:M32"/>
    <mergeCell ref="L30:L32"/>
    <mergeCell ref="P24:P26"/>
    <mergeCell ref="Q24:Q26"/>
    <mergeCell ref="P36:P38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C36:E38"/>
    <mergeCell ref="C30:E32"/>
    <mergeCell ref="C24:E26"/>
    <mergeCell ref="C18:E20"/>
    <mergeCell ref="C12:E14"/>
  </mergeCells>
  <conditionalFormatting sqref="Y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3" operator="equal">
      <formula>"D524"</formula>
    </cfRule>
  </conditionalFormatting>
  <conditionalFormatting sqref="S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H118" zoomScaleNormal="100" workbookViewId="0">
      <selection activeCell="X132" sqref="X132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27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80" t="s">
        <v>214</v>
      </c>
      <c r="C1" s="1180"/>
      <c r="D1" s="1180" t="s">
        <v>219</v>
      </c>
      <c r="E1" s="1180"/>
      <c r="F1" s="1183"/>
      <c r="G1" s="606" t="s">
        <v>212</v>
      </c>
      <c r="H1" s="1181" t="s">
        <v>214</v>
      </c>
      <c r="I1" s="1181"/>
      <c r="J1" s="1181" t="s">
        <v>219</v>
      </c>
      <c r="K1" s="1181"/>
      <c r="L1" s="1184"/>
      <c r="M1" s="633" t="s">
        <v>212</v>
      </c>
      <c r="N1" s="1104" t="s">
        <v>214</v>
      </c>
      <c r="O1" s="1104"/>
      <c r="P1" s="1104" t="s">
        <v>219</v>
      </c>
      <c r="Q1" s="1104"/>
      <c r="R1" s="1105"/>
      <c r="S1" s="605" t="s">
        <v>212</v>
      </c>
      <c r="T1" s="1182" t="s">
        <v>214</v>
      </c>
      <c r="U1" s="1182"/>
      <c r="V1" s="1182" t="s">
        <v>219</v>
      </c>
      <c r="W1" s="1182"/>
      <c r="X1" s="1108"/>
      <c r="Y1" s="732" t="s">
        <v>212</v>
      </c>
      <c r="Z1" s="1177" t="s">
        <v>214</v>
      </c>
      <c r="AA1" s="1177"/>
      <c r="AB1" s="1177" t="s">
        <v>219</v>
      </c>
      <c r="AC1" s="1177"/>
      <c r="AD1" s="1178"/>
      <c r="AF1" s="1179" t="s">
        <v>326</v>
      </c>
      <c r="AG1" s="1179" t="s">
        <v>497</v>
      </c>
      <c r="AH1" s="1179"/>
      <c r="AI1" s="1179" t="s">
        <v>498</v>
      </c>
      <c r="AJ1" s="1179"/>
      <c r="AK1" s="1179" t="s">
        <v>449</v>
      </c>
      <c r="AL1" s="1179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79"/>
      <c r="AG2" s="729" t="s">
        <v>65</v>
      </c>
      <c r="AH2" s="729" t="s">
        <v>64</v>
      </c>
      <c r="AI2" s="828" t="s">
        <v>65</v>
      </c>
      <c r="AJ2" s="828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27">
        <f>SUM(AK4:AK$18)</f>
        <v>425</v>
      </c>
      <c r="AJ3" s="827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27">
        <f>SUM(AK5:AK$18)</f>
        <v>415</v>
      </c>
      <c r="AJ4" s="827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27">
        <f>SUM(AK6:AK$18)</f>
        <v>405</v>
      </c>
      <c r="AJ5" s="827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27">
        <f>SUM(AK7:AK$18)</f>
        <v>385</v>
      </c>
      <c r="AJ6" s="827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27">
        <f>SUM(AK8:AK$18)</f>
        <v>365</v>
      </c>
      <c r="AJ7" s="827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27">
        <f>SUM(AK9:AK$18)</f>
        <v>335</v>
      </c>
      <c r="AJ8" s="827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27">
        <f>SUM(AK10:AK$18)</f>
        <v>305</v>
      </c>
      <c r="AJ9" s="827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27">
        <f>SUM(AK11:AK$18)</f>
        <v>275</v>
      </c>
      <c r="AJ10" s="827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27">
        <f>SUM(AK12:AK$18)</f>
        <v>245</v>
      </c>
      <c r="AJ11" s="827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27">
        <f>SUM(AK13:AK$18)</f>
        <v>215</v>
      </c>
      <c r="AJ12" s="827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27">
        <f>SUM(AK14:AK$18)</f>
        <v>180</v>
      </c>
      <c r="AJ13" s="827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27">
        <f>SUM(AK15:AK$18)</f>
        <v>145</v>
      </c>
      <c r="AJ14" s="827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27">
        <f>SUM(AK16:AK$18)</f>
        <v>110</v>
      </c>
      <c r="AJ15" s="827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27">
        <f>SUM(AK17:AK$18)</f>
        <v>75</v>
      </c>
      <c r="AJ16" s="827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27">
        <f>SUM(AK18:AK$18)</f>
        <v>40</v>
      </c>
      <c r="AJ17" s="827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27">
        <f>SUM(AM19:AM$28)</f>
        <v>0</v>
      </c>
      <c r="AJ18" s="827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27">
        <f>SUM(AM20:AM$28)</f>
        <v>0</v>
      </c>
      <c r="AJ19" s="827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27">
        <f>SUM(AM21:AM$28)</f>
        <v>0</v>
      </c>
      <c r="AJ20" s="827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27">
        <f>SUM(AM22:AM$28)</f>
        <v>0</v>
      </c>
      <c r="AJ21" s="827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27">
        <f>SUM(AM23:AM$28)</f>
        <v>0</v>
      </c>
      <c r="AJ22" s="827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27">
        <f>SUM(AM24:AM$28)</f>
        <v>0</v>
      </c>
      <c r="AJ23" s="827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27">
        <f>SUM(AM25:AM$28)</f>
        <v>0</v>
      </c>
      <c r="AJ24" s="827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27">
        <f>SUM(AM26:AM$28)</f>
        <v>0</v>
      </c>
      <c r="AJ25" s="827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27">
        <f>SUM(AM27:AM$28)</f>
        <v>0</v>
      </c>
      <c r="AJ26" s="827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27">
        <f>SUM(AM28:AM$28)</f>
        <v>0</v>
      </c>
      <c r="AJ27" s="827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27">
        <v>0</v>
      </c>
      <c r="AJ28" s="827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482">
        <v>3</v>
      </c>
      <c r="W31" s="482">
        <v>3</v>
      </c>
      <c r="X31" s="482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482">
        <v>1</v>
      </c>
      <c r="W32" s="482">
        <v>4</v>
      </c>
      <c r="X32" s="482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482">
        <v>2</v>
      </c>
      <c r="W33" s="482">
        <v>3</v>
      </c>
      <c r="X33" s="482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482">
        <v>3</v>
      </c>
      <c r="W34" s="482">
        <v>3</v>
      </c>
      <c r="X34" s="482">
        <v>1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482">
        <v>1</v>
      </c>
      <c r="W35" s="482">
        <v>3</v>
      </c>
      <c r="X35" s="482">
        <v>2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482">
        <v>2</v>
      </c>
      <c r="W36" s="482">
        <v>2</v>
      </c>
      <c r="X36" s="482">
        <v>1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  <c r="V47" s="295">
        <v>2</v>
      </c>
      <c r="W47" s="295">
        <v>4</v>
      </c>
      <c r="X47" s="295">
        <v>1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  <c r="V48" s="295">
        <v>3</v>
      </c>
      <c r="W48" s="295">
        <v>4</v>
      </c>
      <c r="X48" s="295">
        <v>1</v>
      </c>
    </row>
    <row r="49" spans="1:24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  <c r="V49" s="295">
        <v>2</v>
      </c>
      <c r="W49" s="295">
        <v>4</v>
      </c>
      <c r="X49" s="295">
        <v>1</v>
      </c>
    </row>
    <row r="50" spans="1:24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  <c r="V50" s="295">
        <v>3</v>
      </c>
      <c r="W50" s="295">
        <v>4</v>
      </c>
      <c r="X50" s="295">
        <v>1</v>
      </c>
    </row>
    <row r="51" spans="1:24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  <c r="V51" s="295">
        <v>1</v>
      </c>
      <c r="W51" s="295">
        <v>3</v>
      </c>
      <c r="X51" s="295">
        <v>1</v>
      </c>
    </row>
    <row r="52" spans="1:24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  <c r="V52" s="295">
        <v>2</v>
      </c>
      <c r="W52" s="295">
        <v>2</v>
      </c>
      <c r="X52" s="295">
        <v>1</v>
      </c>
    </row>
    <row r="53" spans="1:24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  <c r="V53" s="295">
        <v>2</v>
      </c>
      <c r="W53" s="295">
        <v>2</v>
      </c>
      <c r="X53" s="295">
        <v>1</v>
      </c>
    </row>
    <row r="54" spans="1:24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  <c r="V54" s="295">
        <v>1</v>
      </c>
      <c r="W54" s="295">
        <v>4</v>
      </c>
      <c r="X54" s="295">
        <v>1</v>
      </c>
    </row>
    <row r="55" spans="1:24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  <c r="V55" s="295">
        <v>3</v>
      </c>
      <c r="W55" s="295">
        <v>2</v>
      </c>
      <c r="X55" s="295">
        <v>1</v>
      </c>
    </row>
    <row r="56" spans="1:24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  <c r="V56" s="295">
        <v>3</v>
      </c>
      <c r="W56" s="295">
        <v>3</v>
      </c>
      <c r="X56" s="295">
        <v>2</v>
      </c>
    </row>
    <row r="57" spans="1:24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  <c r="V57" s="295">
        <v>1</v>
      </c>
      <c r="W57" s="295">
        <v>2</v>
      </c>
      <c r="X57" s="295">
        <v>2</v>
      </c>
    </row>
    <row r="58" spans="1:24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  <c r="V58" s="295">
        <v>3</v>
      </c>
      <c r="W58" s="295">
        <v>3</v>
      </c>
      <c r="X58" s="295">
        <v>1</v>
      </c>
    </row>
    <row r="59" spans="1:24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  <c r="V59" s="295">
        <v>2</v>
      </c>
      <c r="W59" s="295">
        <v>3</v>
      </c>
      <c r="X59" s="295">
        <v>1</v>
      </c>
    </row>
    <row r="60" spans="1:24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  <c r="V60" s="295">
        <v>1</v>
      </c>
      <c r="W60" s="295">
        <v>4</v>
      </c>
      <c r="X60" s="295">
        <v>1</v>
      </c>
    </row>
    <row r="61" spans="1:24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  <c r="V61" s="295">
        <v>2</v>
      </c>
      <c r="W61" s="295">
        <v>2</v>
      </c>
      <c r="X61" s="295">
        <v>1</v>
      </c>
    </row>
    <row r="62" spans="1:24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  <c r="V62" s="295">
        <v>1</v>
      </c>
      <c r="W62" s="295">
        <v>4</v>
      </c>
      <c r="X62" s="295">
        <v>1</v>
      </c>
    </row>
    <row r="63" spans="1:24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  <c r="V63" s="295">
        <v>3</v>
      </c>
      <c r="W63" s="295">
        <v>3</v>
      </c>
      <c r="X63" s="295">
        <v>1</v>
      </c>
    </row>
    <row r="64" spans="1:24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  <c r="V64" s="295">
        <v>2</v>
      </c>
      <c r="W64" s="295">
        <v>3</v>
      </c>
      <c r="X64" s="295">
        <v>1</v>
      </c>
    </row>
    <row r="65" spans="1:24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  <c r="V65" s="295">
        <v>2</v>
      </c>
      <c r="W65" s="295">
        <v>2</v>
      </c>
      <c r="X65" s="295">
        <v>1</v>
      </c>
    </row>
    <row r="66" spans="1:24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  <c r="V66" s="295">
        <v>1</v>
      </c>
      <c r="W66" s="295">
        <v>3</v>
      </c>
      <c r="X66" s="295">
        <v>2</v>
      </c>
    </row>
    <row r="67" spans="1:24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  <c r="V67" s="295">
        <v>2</v>
      </c>
      <c r="W67" s="295">
        <v>3</v>
      </c>
      <c r="X67" s="295">
        <v>1</v>
      </c>
    </row>
    <row r="68" spans="1:24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  <c r="V68" s="295">
        <v>2</v>
      </c>
      <c r="W68" s="295">
        <v>2</v>
      </c>
      <c r="X68" s="295">
        <v>1</v>
      </c>
    </row>
    <row r="69" spans="1:24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  <c r="V69" s="295">
        <v>2</v>
      </c>
      <c r="W69" s="295">
        <v>3</v>
      </c>
      <c r="X69" s="295">
        <v>1</v>
      </c>
    </row>
    <row r="70" spans="1:24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  <c r="V70" s="295">
        <v>1</v>
      </c>
      <c r="W70" s="295">
        <v>3</v>
      </c>
      <c r="X70" s="295">
        <v>1</v>
      </c>
    </row>
    <row r="71" spans="1:24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  <c r="V71" s="295">
        <v>1</v>
      </c>
      <c r="W71" s="295">
        <v>4</v>
      </c>
      <c r="X71" s="295">
        <v>1</v>
      </c>
    </row>
    <row r="72" spans="1:24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  <c r="V72" s="295">
        <v>3</v>
      </c>
      <c r="W72" s="295">
        <v>2</v>
      </c>
      <c r="X72" s="295">
        <v>1</v>
      </c>
    </row>
    <row r="73" spans="1:24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  <c r="V73" s="295">
        <v>3</v>
      </c>
      <c r="W73" s="295">
        <v>3</v>
      </c>
      <c r="X73" s="295">
        <v>1</v>
      </c>
    </row>
    <row r="74" spans="1:24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  <c r="V74" s="295">
        <v>1</v>
      </c>
      <c r="W74" s="295">
        <v>2</v>
      </c>
      <c r="X74" s="295">
        <v>1</v>
      </c>
    </row>
    <row r="75" spans="1:24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  <c r="V75" s="295">
        <v>1</v>
      </c>
      <c r="W75" s="295">
        <v>3</v>
      </c>
      <c r="X75" s="295">
        <v>1</v>
      </c>
    </row>
    <row r="76" spans="1:24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  <c r="V76" s="295">
        <v>1</v>
      </c>
      <c r="W76" s="295">
        <v>2</v>
      </c>
      <c r="X76" s="295">
        <v>1</v>
      </c>
    </row>
    <row r="77" spans="1:24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  <c r="V77" s="295">
        <v>2</v>
      </c>
      <c r="W77" s="295">
        <v>3</v>
      </c>
      <c r="X77" s="295">
        <v>1</v>
      </c>
    </row>
    <row r="78" spans="1:24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  <c r="V78" s="295">
        <v>3</v>
      </c>
      <c r="W78" s="295">
        <v>3</v>
      </c>
      <c r="X78" s="295">
        <v>2</v>
      </c>
    </row>
    <row r="79" spans="1:24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  <c r="V79" s="295">
        <v>1</v>
      </c>
      <c r="W79" s="295">
        <v>4</v>
      </c>
      <c r="X79" s="295">
        <v>1</v>
      </c>
    </row>
    <row r="80" spans="1:24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  <c r="V80" s="295">
        <v>2</v>
      </c>
      <c r="W80" s="295">
        <v>4</v>
      </c>
      <c r="X80" s="295">
        <v>2</v>
      </c>
    </row>
    <row r="81" spans="1:24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  <c r="V81" s="295">
        <v>1</v>
      </c>
      <c r="W81" s="295">
        <v>3</v>
      </c>
      <c r="X81" s="295">
        <v>1</v>
      </c>
    </row>
    <row r="82" spans="1:24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  <c r="V82" s="295">
        <v>1</v>
      </c>
      <c r="W82" s="295">
        <v>2</v>
      </c>
      <c r="X82" s="295">
        <v>1</v>
      </c>
    </row>
    <row r="83" spans="1:24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  <c r="V83" s="295">
        <v>2</v>
      </c>
      <c r="W83" s="295">
        <v>2</v>
      </c>
      <c r="X83" s="295">
        <v>1</v>
      </c>
    </row>
    <row r="84" spans="1:24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  <c r="V84" s="295">
        <v>1</v>
      </c>
      <c r="W84" s="295">
        <v>4</v>
      </c>
      <c r="X84" s="295">
        <v>1</v>
      </c>
    </row>
    <row r="85" spans="1:24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  <c r="V85" s="295">
        <v>3</v>
      </c>
      <c r="W85" s="295">
        <v>4</v>
      </c>
      <c r="X85" s="295">
        <v>1</v>
      </c>
    </row>
    <row r="86" spans="1:24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  <c r="V86" s="295">
        <v>1</v>
      </c>
      <c r="W86" s="295">
        <v>2</v>
      </c>
      <c r="X86" s="295">
        <v>1</v>
      </c>
    </row>
    <row r="87" spans="1:24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  <c r="V87" s="295">
        <v>3</v>
      </c>
      <c r="W87" s="295">
        <v>2</v>
      </c>
      <c r="X87" s="295">
        <v>1</v>
      </c>
    </row>
    <row r="88" spans="1:24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  <c r="V88" s="295">
        <v>1</v>
      </c>
      <c r="W88" s="295">
        <v>3</v>
      </c>
      <c r="X88" s="295">
        <v>1</v>
      </c>
    </row>
    <row r="89" spans="1:24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  <c r="V89" s="295">
        <v>2</v>
      </c>
      <c r="W89" s="295">
        <v>4</v>
      </c>
      <c r="X89" s="295">
        <v>1</v>
      </c>
    </row>
    <row r="90" spans="1:24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  <c r="V90" s="295">
        <v>2</v>
      </c>
      <c r="W90" s="295">
        <v>4</v>
      </c>
      <c r="X90" s="295">
        <v>2</v>
      </c>
    </row>
    <row r="91" spans="1:24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  <c r="V91" s="868">
        <v>3</v>
      </c>
      <c r="W91" s="868">
        <v>4</v>
      </c>
      <c r="X91" s="868">
        <v>1</v>
      </c>
    </row>
    <row r="92" spans="1:24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  <c r="V92" s="868">
        <v>3</v>
      </c>
      <c r="W92" s="868">
        <v>2</v>
      </c>
      <c r="X92" s="868">
        <v>1</v>
      </c>
    </row>
    <row r="93" spans="1:24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  <c r="V93" s="868">
        <v>2</v>
      </c>
      <c r="W93" s="868">
        <v>3</v>
      </c>
      <c r="X93" s="868">
        <v>1</v>
      </c>
    </row>
    <row r="94" spans="1:24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  <c r="V94" s="867">
        <v>3</v>
      </c>
      <c r="W94" s="867">
        <v>2</v>
      </c>
      <c r="X94" s="867">
        <v>2</v>
      </c>
    </row>
    <row r="95" spans="1:24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  <c r="V95" s="867">
        <v>2</v>
      </c>
      <c r="W95" s="867">
        <v>3</v>
      </c>
      <c r="X95" s="867">
        <v>1</v>
      </c>
    </row>
    <row r="96" spans="1:24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  <c r="V96" s="867">
        <v>1</v>
      </c>
      <c r="W96" s="867">
        <v>4</v>
      </c>
      <c r="X96" s="867">
        <v>1</v>
      </c>
    </row>
    <row r="97" spans="1:24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  <c r="V97" s="867">
        <v>1</v>
      </c>
      <c r="W97" s="867">
        <v>2</v>
      </c>
      <c r="X97" s="867">
        <v>1</v>
      </c>
    </row>
    <row r="98" spans="1:24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  <c r="V98" s="867">
        <v>1</v>
      </c>
      <c r="W98" s="867">
        <v>2</v>
      </c>
      <c r="X98" s="867">
        <v>1</v>
      </c>
    </row>
    <row r="99" spans="1:24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  <c r="V99" s="867">
        <v>2</v>
      </c>
      <c r="W99" s="867">
        <v>4</v>
      </c>
      <c r="X99" s="867">
        <v>1</v>
      </c>
    </row>
    <row r="100" spans="1:24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  <c r="V100" s="867">
        <v>3</v>
      </c>
      <c r="W100" s="867">
        <v>3</v>
      </c>
      <c r="X100" s="867">
        <v>1</v>
      </c>
    </row>
    <row r="101" spans="1:24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4">
        <v>5</v>
      </c>
      <c r="T101" s="295">
        <v>2</v>
      </c>
      <c r="U101" s="295">
        <v>3</v>
      </c>
      <c r="V101" s="867">
        <v>3</v>
      </c>
      <c r="W101" s="867">
        <v>4</v>
      </c>
      <c r="X101" s="867">
        <v>1</v>
      </c>
    </row>
    <row r="102" spans="1:24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4">
        <v>5</v>
      </c>
      <c r="T102" s="295">
        <v>4</v>
      </c>
      <c r="U102" s="295">
        <v>3</v>
      </c>
      <c r="V102" s="867">
        <v>3</v>
      </c>
      <c r="W102" s="867">
        <v>3</v>
      </c>
      <c r="X102" s="867">
        <v>1</v>
      </c>
    </row>
    <row r="103" spans="1:24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4">
        <v>5</v>
      </c>
      <c r="T103" s="295">
        <v>3</v>
      </c>
      <c r="U103" s="295">
        <v>4</v>
      </c>
      <c r="V103" s="867">
        <v>3</v>
      </c>
      <c r="W103" s="867">
        <v>3</v>
      </c>
      <c r="X103" s="867">
        <v>1</v>
      </c>
    </row>
    <row r="104" spans="1:24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4">
        <v>5</v>
      </c>
      <c r="T104" s="295">
        <v>2</v>
      </c>
      <c r="U104" s="295">
        <v>3</v>
      </c>
      <c r="V104" s="867">
        <v>2</v>
      </c>
      <c r="W104" s="867">
        <v>2</v>
      </c>
      <c r="X104" s="867">
        <v>1</v>
      </c>
    </row>
    <row r="105" spans="1:24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4">
        <v>5</v>
      </c>
      <c r="T105" s="295">
        <v>2</v>
      </c>
      <c r="U105" s="295">
        <v>4</v>
      </c>
      <c r="V105" s="867">
        <v>2</v>
      </c>
      <c r="W105" s="867">
        <v>3</v>
      </c>
      <c r="X105" s="867">
        <v>1</v>
      </c>
    </row>
    <row r="106" spans="1:24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  <c r="V106" s="867">
        <v>1</v>
      </c>
      <c r="W106" s="867">
        <v>3</v>
      </c>
      <c r="X106" s="867">
        <v>1</v>
      </c>
    </row>
    <row r="107" spans="1:24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  <c r="V107" s="867">
        <v>3</v>
      </c>
      <c r="W107" s="867">
        <v>2</v>
      </c>
      <c r="X107" s="867">
        <v>1</v>
      </c>
    </row>
    <row r="108" spans="1:24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  <c r="V108" s="867">
        <v>3</v>
      </c>
      <c r="W108" s="867">
        <v>3</v>
      </c>
      <c r="X108" s="867">
        <v>1</v>
      </c>
    </row>
    <row r="109" spans="1:24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  <c r="V109" s="867">
        <v>1</v>
      </c>
      <c r="W109" s="867">
        <v>3</v>
      </c>
      <c r="X109" s="867">
        <v>2</v>
      </c>
    </row>
    <row r="110" spans="1:24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  <c r="V110" s="867">
        <v>3</v>
      </c>
      <c r="W110" s="867">
        <v>3</v>
      </c>
      <c r="X110" s="867">
        <v>1</v>
      </c>
    </row>
    <row r="111" spans="1:24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  <c r="V111" s="867">
        <v>2</v>
      </c>
      <c r="W111" s="867">
        <v>2</v>
      </c>
      <c r="X111" s="867">
        <v>1</v>
      </c>
    </row>
    <row r="112" spans="1:24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  <c r="V112" s="867">
        <v>1</v>
      </c>
      <c r="W112" s="867">
        <v>2</v>
      </c>
      <c r="X112" s="867">
        <v>1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  <c r="V113" s="867">
        <v>2</v>
      </c>
      <c r="W113" s="867">
        <v>2</v>
      </c>
      <c r="X113" s="867">
        <v>1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  <c r="V114" s="867">
        <v>2</v>
      </c>
      <c r="W114" s="867">
        <v>3</v>
      </c>
      <c r="X114" s="867">
        <v>1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  <c r="V115" s="867">
        <v>1</v>
      </c>
      <c r="W115" s="867">
        <v>4</v>
      </c>
      <c r="X115" s="867">
        <v>1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  <c r="V116" s="867">
        <v>2</v>
      </c>
      <c r="W116" s="867">
        <v>3</v>
      </c>
      <c r="X116" s="867">
        <v>1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  <c r="V117" s="867">
        <v>2</v>
      </c>
      <c r="W117" s="867">
        <v>3</v>
      </c>
      <c r="X117" s="867">
        <v>1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  <c r="V118" s="867">
        <v>1</v>
      </c>
      <c r="W118" s="867">
        <v>3</v>
      </c>
      <c r="X118" s="867">
        <v>1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  <c r="V119" s="867">
        <v>3</v>
      </c>
      <c r="W119" s="867">
        <v>3</v>
      </c>
      <c r="X119" s="867">
        <v>1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  <c r="V120" s="867">
        <v>2</v>
      </c>
      <c r="W120" s="867">
        <v>2</v>
      </c>
      <c r="X120" s="867">
        <v>1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  <c r="V121" s="867">
        <v>1</v>
      </c>
      <c r="W121" s="867">
        <v>4</v>
      </c>
      <c r="X121" s="867">
        <v>1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  <c r="V122" s="867">
        <v>3</v>
      </c>
      <c r="W122" s="867">
        <v>2</v>
      </c>
      <c r="X122" s="867">
        <v>1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V123" s="867">
        <v>1</v>
      </c>
      <c r="W123" s="867">
        <v>2</v>
      </c>
      <c r="X123" s="867">
        <v>1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V124" s="867">
        <v>3</v>
      </c>
      <c r="W124" s="867">
        <v>4</v>
      </c>
      <c r="X124" s="867">
        <v>1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V125" s="867">
        <v>1</v>
      </c>
      <c r="W125" s="867">
        <v>4</v>
      </c>
      <c r="X125" s="867">
        <v>1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V126" s="867">
        <v>2</v>
      </c>
      <c r="W126" s="867">
        <v>3</v>
      </c>
      <c r="X126" s="867">
        <v>1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V127" s="867">
        <v>2</v>
      </c>
      <c r="W127" s="867">
        <v>3</v>
      </c>
      <c r="X127" s="867">
        <v>1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  <c r="V128" s="867">
        <v>2</v>
      </c>
      <c r="W128" s="867">
        <v>4</v>
      </c>
      <c r="X128" s="867">
        <v>1</v>
      </c>
    </row>
    <row r="129" spans="1:24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  <c r="V129" s="295">
        <v>3</v>
      </c>
      <c r="W129" s="295">
        <v>2</v>
      </c>
      <c r="X129" s="295">
        <v>1</v>
      </c>
    </row>
    <row r="130" spans="1:24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  <c r="V130" s="295">
        <v>2</v>
      </c>
      <c r="W130" s="295">
        <v>3</v>
      </c>
      <c r="X130" s="295">
        <v>1</v>
      </c>
    </row>
    <row r="131" spans="1:24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  <c r="V131" s="295">
        <v>3</v>
      </c>
      <c r="W131" s="295">
        <v>4</v>
      </c>
      <c r="X131" s="295">
        <v>1</v>
      </c>
    </row>
    <row r="132" spans="1:24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4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4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4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4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4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4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4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4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4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4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4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4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H401" s="238">
        <v>3</v>
      </c>
      <c r="I401" s="238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G24" sqref="G2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29" t="s">
        <v>500</v>
      </c>
      <c r="B1" s="829" t="s">
        <v>501</v>
      </c>
      <c r="C1" s="829" t="s">
        <v>502</v>
      </c>
      <c r="D1" s="829" t="s">
        <v>503</v>
      </c>
      <c r="E1" s="829" t="s">
        <v>504</v>
      </c>
      <c r="F1" s="890" t="s">
        <v>505</v>
      </c>
      <c r="G1" s="890"/>
    </row>
    <row r="2" spans="1:7" x14ac:dyDescent="0.25">
      <c r="A2" s="1186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186">
        <v>3.63</v>
      </c>
      <c r="G2" s="1186"/>
    </row>
    <row r="3" spans="1:7" x14ac:dyDescent="0.25">
      <c r="A3" s="1186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186"/>
      <c r="G3" s="1186"/>
    </row>
    <row r="4" spans="1:7" x14ac:dyDescent="0.25">
      <c r="A4" s="830"/>
      <c r="B4" s="688">
        <v>56</v>
      </c>
      <c r="C4" s="688">
        <v>0.86</v>
      </c>
      <c r="D4" s="688">
        <f>IF(B4,SUM(B$2:B4),"")</f>
        <v>122</v>
      </c>
      <c r="E4" s="688">
        <f>IF(C4,SUM(C$2:C4),"")</f>
        <v>1.8599999999999999</v>
      </c>
      <c r="F4" s="890" t="str">
        <f>"Predicted left to " &amp; A2</f>
        <v>Predicted left to 8</v>
      </c>
      <c r="G4" s="890"/>
    </row>
    <row r="5" spans="1:7" ht="15" customHeight="1" x14ac:dyDescent="0.25">
      <c r="A5" s="831"/>
      <c r="B5" s="688">
        <v>62</v>
      </c>
      <c r="C5" s="688">
        <v>0.71</v>
      </c>
      <c r="D5" s="688">
        <f>IF(B5,SUM(B$2:B5),"")</f>
        <v>184</v>
      </c>
      <c r="E5" s="688">
        <f>IF(C5,SUM(C$2:C5),"")</f>
        <v>2.57</v>
      </c>
      <c r="F5" s="1185">
        <f>IF(F2&gt;A2,"",_xlfn.FORECAST.LINEAR(A2-F2, D:D, E:E))</f>
        <v>321.3372862182149</v>
      </c>
      <c r="G5" s="890" t="s">
        <v>506</v>
      </c>
    </row>
    <row r="6" spans="1:7" ht="15" customHeight="1" x14ac:dyDescent="0.25">
      <c r="A6" s="831"/>
      <c r="B6" s="688">
        <v>54</v>
      </c>
      <c r="C6" s="688">
        <v>0.63</v>
      </c>
      <c r="D6" s="688">
        <f>IF(B6,SUM(B$2:B6),"")</f>
        <v>238</v>
      </c>
      <c r="E6" s="688">
        <f>IF(C6,SUM(C$2:C6),"")</f>
        <v>3.1999999999999997</v>
      </c>
      <c r="F6" s="1185"/>
      <c r="G6" s="890"/>
    </row>
    <row r="7" spans="1:7" x14ac:dyDescent="0.25">
      <c r="A7" s="688"/>
      <c r="B7" s="688">
        <v>66</v>
      </c>
      <c r="C7" s="688">
        <v>0.98</v>
      </c>
      <c r="D7" s="688">
        <f>IF(B7,SUM(B$2:B7),"")</f>
        <v>304</v>
      </c>
      <c r="E7" s="688">
        <f>IF(C7,SUM(C$2:C7),"")</f>
        <v>4.18</v>
      </c>
      <c r="F7" s="890" t="str">
        <f>"Predicted total to " &amp; A2</f>
        <v>Predicted total to 8</v>
      </c>
      <c r="G7" s="890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185">
        <f>_xlfn.FORECAST.LINEAR(A2, D:D, E:E)</f>
        <v>599.50168573450662</v>
      </c>
      <c r="G8" s="890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185"/>
      <c r="G9" s="890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37"/>
  <sheetViews>
    <sheetView tabSelected="1" topLeftCell="A121" workbookViewId="0">
      <selection activeCell="K137" sqref="K137"/>
    </sheetView>
  </sheetViews>
  <sheetFormatPr defaultColWidth="9.140625" defaultRowHeight="15" x14ac:dyDescent="0.25"/>
  <cols>
    <col min="1" max="1" width="16.5703125" style="691" customWidth="1"/>
    <col min="2" max="2" width="27.140625" style="825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4"/>
      <c r="C1" s="703"/>
      <c r="D1" s="703"/>
      <c r="E1" s="1187" t="s">
        <v>443</v>
      </c>
      <c r="F1" s="1187"/>
      <c r="G1" s="1187"/>
      <c r="H1" s="1187"/>
      <c r="I1" s="1187"/>
      <c r="J1" s="1187"/>
      <c r="L1" s="1179" t="s">
        <v>444</v>
      </c>
      <c r="M1" s="1179"/>
    </row>
    <row r="2" spans="1:13" s="693" customFormat="1" ht="15" customHeight="1" x14ac:dyDescent="0.25">
      <c r="A2" s="703"/>
      <c r="B2" s="824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4"/>
      <c r="C3" s="702"/>
      <c r="D3" s="702"/>
      <c r="E3" s="706" cm="1">
        <f t="array" ref="E3">SUMIF($F6:$F99999,"&gt;0") / SCOUT_DAYS_FROM_EARLIEST * 30</f>
        <v>19398.763108363102</v>
      </c>
      <c r="F3" s="706" cm="1">
        <f t="array" ref="F3">SUMIF($H6:$H99999,"&gt;0") / SCOUT_DAYS_FROM_EARLIEST * 30</f>
        <v>51469.035324788289</v>
      </c>
      <c r="G3" s="706"/>
      <c r="H3" s="706" cm="1">
        <f t="array" ref="H3">(SUMIF($F6:$F99999,"&gt;0") + SUMIF($H6:$H99999,"&gt;0")) / SCOUT_DAYS_FROM_EARLIEST * 30</f>
        <v>70867.798433151387</v>
      </c>
      <c r="I3" s="706" cm="1">
        <f t="array" ref="I3">(SUMIF($F6:$F99999,"&lt;0") + SUMIF($H6:$H99999,"&lt;0")) / SCOUT_DAYS_FROM_EARLIEST * 30</f>
        <v>-70616.577264712629</v>
      </c>
      <c r="J3" s="706">
        <f>H3+I3</f>
        <v>251.22116843875847</v>
      </c>
      <c r="L3" s="95" cm="1">
        <f t="array" ref="L3">SUM(L6:L99999) / SCOUT_DAYS_FROM_EARLIEST * 30</f>
        <v>58995.629406485372</v>
      </c>
      <c r="M3" s="709" cm="1">
        <f t="array" ref="M3">SUM(M6:M99999) / SCOUT_DAYS_FROM_EARLIEST * 30</f>
        <v>1095.8440623277074</v>
      </c>
    </row>
    <row r="4" spans="1:13" s="694" customFormat="1" ht="15" customHeight="1" x14ac:dyDescent="0.25">
      <c r="A4" s="1188" t="s">
        <v>388</v>
      </c>
      <c r="B4" s="1156" t="s">
        <v>395</v>
      </c>
      <c r="C4" s="1156" t="s">
        <v>82</v>
      </c>
      <c r="D4" s="1156"/>
      <c r="E4" s="1156"/>
      <c r="F4" s="1156" t="s">
        <v>94</v>
      </c>
      <c r="G4" s="1156"/>
      <c r="H4" s="1156"/>
      <c r="I4" s="1156"/>
      <c r="J4" s="1156"/>
      <c r="K4" s="790" t="s">
        <v>443</v>
      </c>
      <c r="L4" s="1156" t="s">
        <v>405</v>
      </c>
      <c r="M4" s="1156"/>
    </row>
    <row r="5" spans="1:13" s="687" customFormat="1" ht="15" customHeight="1" x14ac:dyDescent="0.25">
      <c r="A5" s="1189"/>
      <c r="B5" s="975"/>
      <c r="C5" s="687" t="s">
        <v>389</v>
      </c>
      <c r="D5" s="687" t="s">
        <v>390</v>
      </c>
      <c r="E5" s="687" t="s">
        <v>392</v>
      </c>
      <c r="F5" s="689" t="s">
        <v>389</v>
      </c>
      <c r="G5" s="792" t="s">
        <v>476</v>
      </c>
      <c r="H5" s="689" t="s">
        <v>390</v>
      </c>
      <c r="I5" s="689" t="s">
        <v>392</v>
      </c>
      <c r="J5" s="221" t="s">
        <v>404</v>
      </c>
      <c r="K5" s="791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25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25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25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25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25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25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25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25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25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25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26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25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26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25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25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25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25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25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25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25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25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25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25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25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25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25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25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25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25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25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25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25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26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25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25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25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25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25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25" t="s">
        <v>510</v>
      </c>
      <c r="C102" s="688">
        <v>1115</v>
      </c>
      <c r="D102" s="688">
        <v>156010</v>
      </c>
      <c r="E102" s="688">
        <f t="shared" ref="E102:E123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25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25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3" x14ac:dyDescent="0.25">
      <c r="A116" s="691">
        <v>44033.117361111108</v>
      </c>
      <c r="B116" s="825" t="s">
        <v>525</v>
      </c>
      <c r="C116" s="688">
        <v>5430</v>
      </c>
      <c r="D116" s="688">
        <v>125525</v>
      </c>
      <c r="E116" s="688">
        <f t="shared" si="121"/>
        <v>130955</v>
      </c>
      <c r="F116" s="690">
        <f t="shared" ref="F116" si="188">C116-C115</f>
        <v>2025</v>
      </c>
      <c r="G116" s="690">
        <f>SUMIF(F$6:F116,"&gt;0")</f>
        <v>86665</v>
      </c>
      <c r="H116" s="690">
        <f t="shared" ref="H116" si="189">D116-D115</f>
        <v>155</v>
      </c>
      <c r="I116" s="690">
        <f t="shared" ref="I116" si="190">SUM(F116,H116)</f>
        <v>2180</v>
      </c>
      <c r="J116" s="699">
        <f t="shared" ref="J116" si="191">I116/4200*80</f>
        <v>41.523809523809526</v>
      </c>
      <c r="K116" s="690">
        <f t="shared" ref="K116" si="192">G116 - _xlfn.XLOOKUP(A116-30, $A$6:$A$14999,G$6:G$14999,"",-1,2)</f>
        <v>17350</v>
      </c>
    </row>
    <row r="117" spans="1:13" x14ac:dyDescent="0.25">
      <c r="A117" s="691">
        <v>44033.922222222223</v>
      </c>
      <c r="B117" s="825" t="s">
        <v>526</v>
      </c>
      <c r="C117" s="688">
        <v>7430</v>
      </c>
      <c r="D117" s="688">
        <v>125515</v>
      </c>
      <c r="E117" s="688">
        <f t="shared" si="121"/>
        <v>132945</v>
      </c>
      <c r="F117" s="690">
        <f t="shared" ref="F117" si="193">C117-C116</f>
        <v>2000</v>
      </c>
      <c r="G117" s="690">
        <f>SUMIF(F$6:F117,"&gt;0")</f>
        <v>88665</v>
      </c>
      <c r="H117" s="690">
        <f t="shared" ref="H117" si="194">D117-D116</f>
        <v>-10</v>
      </c>
      <c r="I117" s="690">
        <f t="shared" ref="I117" si="195">SUM(F117,H117)</f>
        <v>1990</v>
      </c>
      <c r="J117" s="699">
        <f t="shared" ref="J117" si="196">I117/4200*80</f>
        <v>37.904761904761905</v>
      </c>
      <c r="K117" s="690">
        <f t="shared" ref="K117" si="197">G117 - _xlfn.XLOOKUP(A117-30, $A$6:$A$14999,G$6:G$14999,"",-1,2)</f>
        <v>19350</v>
      </c>
    </row>
    <row r="118" spans="1:13" x14ac:dyDescent="0.25">
      <c r="A118" s="691">
        <v>44035.056250000001</v>
      </c>
      <c r="B118" s="825" t="s">
        <v>529</v>
      </c>
      <c r="C118" s="688">
        <v>8755</v>
      </c>
      <c r="D118" s="688">
        <v>125505</v>
      </c>
      <c r="E118" s="688">
        <f t="shared" si="121"/>
        <v>134260</v>
      </c>
      <c r="F118" s="690">
        <f t="shared" ref="F118" si="198">C118-C117</f>
        <v>1325</v>
      </c>
      <c r="G118" s="690">
        <f>SUMIF(F$6:F118,"&gt;0")</f>
        <v>89990</v>
      </c>
      <c r="H118" s="690">
        <f t="shared" ref="H118" si="199">D118-D117</f>
        <v>-10</v>
      </c>
      <c r="I118" s="690">
        <f t="shared" ref="I118" si="200">SUM(F118,H118)</f>
        <v>1315</v>
      </c>
      <c r="J118" s="699">
        <f t="shared" ref="J118" si="201">I118/4200*80</f>
        <v>25.047619047619047</v>
      </c>
      <c r="K118" s="690">
        <f t="shared" ref="K118" si="202">G118 - _xlfn.XLOOKUP(A118-30, $A$6:$A$14999,G$6:G$14999,"",-1,2)</f>
        <v>15830</v>
      </c>
    </row>
    <row r="119" spans="1:13" x14ac:dyDescent="0.25">
      <c r="A119" s="691">
        <v>44036.682638888888</v>
      </c>
      <c r="B119" s="825" t="s">
        <v>401</v>
      </c>
      <c r="C119" s="688">
        <v>9405</v>
      </c>
      <c r="D119" s="688">
        <v>125555</v>
      </c>
      <c r="E119" s="688">
        <f t="shared" si="121"/>
        <v>134960</v>
      </c>
      <c r="F119" s="690">
        <f t="shared" ref="F119" si="203">C119-C118</f>
        <v>650</v>
      </c>
      <c r="G119" s="690">
        <f>SUMIF(F$6:F119,"&gt;0")</f>
        <v>90640</v>
      </c>
      <c r="H119" s="690">
        <f t="shared" ref="H119" si="204">D119-D118</f>
        <v>50</v>
      </c>
      <c r="I119" s="690">
        <f t="shared" ref="I119" si="205">SUM(F119,H119)</f>
        <v>700</v>
      </c>
      <c r="J119" s="699">
        <f t="shared" ref="J119" si="206">I119/4200*80</f>
        <v>13.333333333333332</v>
      </c>
      <c r="K119" s="690">
        <f t="shared" ref="K119" si="207">G119 - _xlfn.XLOOKUP(A119-30, $A$6:$A$14999,G$6:G$14999,"",-1,2)</f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21"/>
        <v>135465</v>
      </c>
      <c r="F120" s="690">
        <f t="shared" ref="F120" si="208">C120-C119</f>
        <v>375</v>
      </c>
      <c r="G120" s="690">
        <f>SUMIF(F$6:F120,"&gt;0")</f>
        <v>91015</v>
      </c>
      <c r="H120" s="690">
        <f t="shared" ref="H120" si="209">D120-D119</f>
        <v>130</v>
      </c>
      <c r="I120" s="690">
        <f t="shared" ref="I120" si="210">SUM(F120,H120)</f>
        <v>505</v>
      </c>
      <c r="J120" s="699">
        <f t="shared" ref="J120" si="211">I120/4200*80</f>
        <v>9.6190476190476186</v>
      </c>
      <c r="K120" s="690">
        <f t="shared" ref="K120" si="212">G120 - _xlfn.XLOOKUP(A120-30, $A$6:$A$14999,G$6:G$14999,"",-1,2)</f>
        <v>15605</v>
      </c>
    </row>
    <row r="121" spans="1:13" x14ac:dyDescent="0.25">
      <c r="A121" s="691">
        <v>44039.043749999997</v>
      </c>
      <c r="B121" s="825" t="s">
        <v>528</v>
      </c>
      <c r="C121" s="688">
        <v>9805</v>
      </c>
      <c r="D121" s="688">
        <v>125535</v>
      </c>
      <c r="E121" s="688">
        <f t="shared" si="121"/>
        <v>135340</v>
      </c>
      <c r="F121" s="690">
        <f t="shared" ref="F121" si="213">C121-C120</f>
        <v>25</v>
      </c>
      <c r="G121" s="690">
        <f>SUMIF(F$6:F121,"&gt;0")</f>
        <v>91040</v>
      </c>
      <c r="H121" s="690">
        <f t="shared" ref="H121" si="214">D121-D120</f>
        <v>-150</v>
      </c>
      <c r="I121" s="690">
        <f t="shared" ref="I121" si="215">SUM(F121,H121)</f>
        <v>-125</v>
      </c>
      <c r="J121" s="699">
        <f t="shared" ref="J121" si="216">I121/4200*80</f>
        <v>-2.3809523809523809</v>
      </c>
      <c r="K121" s="690">
        <f t="shared" ref="K121" si="217">G121 - _xlfn.XLOOKUP(A121-30, $A$6:$A$14999,G$6:G$14999,"",-1,2)</f>
        <v>13980</v>
      </c>
    </row>
    <row r="122" spans="1:13" x14ac:dyDescent="0.25">
      <c r="A122" s="691">
        <v>44039.479861111111</v>
      </c>
      <c r="B122" s="825" t="s">
        <v>530</v>
      </c>
      <c r="C122" s="688">
        <v>10455</v>
      </c>
      <c r="D122" s="688">
        <v>125960</v>
      </c>
      <c r="E122" s="688">
        <f t="shared" si="121"/>
        <v>136415</v>
      </c>
      <c r="F122" s="690">
        <f t="shared" ref="F122" si="218">C122-C121</f>
        <v>650</v>
      </c>
      <c r="G122" s="690">
        <f>SUMIF(F$6:F122,"&gt;0")</f>
        <v>91690</v>
      </c>
      <c r="H122" s="690">
        <f t="shared" ref="H122" si="219">D122-D121</f>
        <v>425</v>
      </c>
      <c r="I122" s="690">
        <f t="shared" ref="I122" si="220">SUM(F122,H122)</f>
        <v>1075</v>
      </c>
      <c r="J122" s="699">
        <f t="shared" ref="J122" si="221">I122/4200*80</f>
        <v>20.476190476190474</v>
      </c>
      <c r="K122" s="690">
        <f t="shared" ref="K122" si="222">G122 - _xlfn.XLOOKUP(A122-30, $A$6:$A$14999,G$6:G$14999,"",-1,2)</f>
        <v>14630</v>
      </c>
      <c r="L122" s="688">
        <v>480</v>
      </c>
      <c r="M122" s="688">
        <v>8</v>
      </c>
    </row>
    <row r="123" spans="1:13" x14ac:dyDescent="0.25">
      <c r="A123" s="691">
        <v>44041.791666666664</v>
      </c>
      <c r="B123" s="825" t="s">
        <v>533</v>
      </c>
      <c r="C123" s="688">
        <v>12380</v>
      </c>
      <c r="D123" s="688">
        <v>124950</v>
      </c>
      <c r="E123" s="688">
        <f t="shared" si="121"/>
        <v>137330</v>
      </c>
      <c r="F123" s="690">
        <f t="shared" ref="F123:F124" si="223">C123-C122</f>
        <v>1925</v>
      </c>
      <c r="G123" s="690">
        <f>SUMIF(F$6:F123,"&gt;0")</f>
        <v>93615</v>
      </c>
      <c r="H123" s="690">
        <f t="shared" ref="H123:H124" si="224">D123-D122</f>
        <v>-1010</v>
      </c>
      <c r="I123" s="690">
        <f t="shared" ref="I123:I124" si="225">SUM(F123,H123)</f>
        <v>915</v>
      </c>
      <c r="J123" s="699">
        <f t="shared" ref="J123:J124" si="226">I123/4200*80</f>
        <v>17.428571428571431</v>
      </c>
      <c r="K123" s="690">
        <f t="shared" ref="K123:K124" si="227">G123 - _xlfn.XLOOKUP(A123-30, $A$6:$A$14999,G$6:G$14999,"",-1,2)</f>
        <v>14855</v>
      </c>
    </row>
    <row r="124" spans="1:13" x14ac:dyDescent="0.25">
      <c r="A124" s="691">
        <v>44042.136111111111</v>
      </c>
      <c r="B124" s="825" t="s">
        <v>532</v>
      </c>
      <c r="C124" s="688">
        <v>380</v>
      </c>
      <c r="D124" s="688">
        <v>121350</v>
      </c>
      <c r="E124" s="688">
        <f t="shared" ref="E124:E134" si="228">SUM(C124:D124)</f>
        <v>121730</v>
      </c>
      <c r="F124" s="690">
        <f t="shared" si="223"/>
        <v>-12000</v>
      </c>
      <c r="G124" s="690">
        <f>SUMIF(F$6:F124,"&gt;0")</f>
        <v>93615</v>
      </c>
      <c r="H124" s="690">
        <f t="shared" si="224"/>
        <v>-3600</v>
      </c>
      <c r="I124" s="690">
        <f t="shared" si="225"/>
        <v>-15600</v>
      </c>
      <c r="J124" s="699">
        <f t="shared" si="226"/>
        <v>-297.14285714285717</v>
      </c>
      <c r="K124" s="690">
        <f t="shared" si="227"/>
        <v>14855</v>
      </c>
    </row>
    <row r="125" spans="1:13" x14ac:dyDescent="0.25">
      <c r="A125" s="691">
        <v>44044.12222222222</v>
      </c>
      <c r="B125" s="825" t="s">
        <v>534</v>
      </c>
      <c r="C125" s="688">
        <v>1290</v>
      </c>
      <c r="D125" s="688">
        <v>122670</v>
      </c>
      <c r="E125" s="688">
        <f t="shared" si="228"/>
        <v>123960</v>
      </c>
      <c r="F125" s="690">
        <f t="shared" ref="F125" si="229">C125-C124</f>
        <v>910</v>
      </c>
      <c r="G125" s="690">
        <f>SUMIF(F$6:F125,"&gt;0")</f>
        <v>94525</v>
      </c>
      <c r="H125" s="690">
        <f t="shared" ref="H125" si="230">D125-D124</f>
        <v>1320</v>
      </c>
      <c r="I125" s="690">
        <f t="shared" ref="I125" si="231">SUM(F125,H125)</f>
        <v>2230</v>
      </c>
      <c r="J125" s="699">
        <f t="shared" ref="J125" si="232">I125/4200*80</f>
        <v>42.476190476190474</v>
      </c>
      <c r="K125" s="690">
        <f t="shared" ref="K125" si="233">G125 - _xlfn.XLOOKUP(A125-30, $A$6:$A$14999,G$6:G$14999,"",-1,2)</f>
        <v>15665</v>
      </c>
      <c r="L125" s="688">
        <v>700</v>
      </c>
      <c r="M125" s="688">
        <v>10</v>
      </c>
    </row>
    <row r="126" spans="1:13" x14ac:dyDescent="0.2">
      <c r="A126" s="691">
        <v>44045.277777777781</v>
      </c>
      <c r="B126" s="847" t="s">
        <v>559</v>
      </c>
      <c r="C126" s="688">
        <v>1715</v>
      </c>
      <c r="D126" s="688">
        <v>122720</v>
      </c>
      <c r="E126" s="688">
        <f t="shared" si="228"/>
        <v>124435</v>
      </c>
      <c r="F126" s="690">
        <f t="shared" ref="F126" si="234">C126-C125</f>
        <v>425</v>
      </c>
      <c r="G126" s="690">
        <f>SUMIF(F$6:F126,"&gt;0")</f>
        <v>94950</v>
      </c>
      <c r="H126" s="690">
        <f t="shared" ref="H126" si="235">D126-D125</f>
        <v>50</v>
      </c>
      <c r="I126" s="690">
        <f t="shared" ref="I126" si="236">SUM(F126,H126)</f>
        <v>475</v>
      </c>
      <c r="J126" s="699">
        <f t="shared" ref="J126" si="237">I126/4200*80</f>
        <v>9.0476190476190474</v>
      </c>
      <c r="K126" s="690">
        <f t="shared" ref="K126" si="238">G126 - _xlfn.XLOOKUP(A126-30, $A$6:$A$14999,G$6:G$14999,"",-1,2)</f>
        <v>15765</v>
      </c>
    </row>
    <row r="127" spans="1:13" x14ac:dyDescent="0.25">
      <c r="A127" s="691">
        <v>44047.069444444445</v>
      </c>
      <c r="B127" s="825" t="s">
        <v>560</v>
      </c>
      <c r="C127" s="688">
        <v>2240</v>
      </c>
      <c r="D127" s="688">
        <v>121750</v>
      </c>
      <c r="E127" s="688">
        <f t="shared" si="228"/>
        <v>123990</v>
      </c>
      <c r="F127" s="690">
        <f t="shared" ref="F127" si="239">C127-C126</f>
        <v>525</v>
      </c>
      <c r="G127" s="690">
        <f>SUMIF(F$6:F127,"&gt;0")</f>
        <v>95475</v>
      </c>
      <c r="H127" s="690">
        <f t="shared" ref="H127" si="240">D127-D126</f>
        <v>-970</v>
      </c>
      <c r="I127" s="690">
        <f t="shared" ref="I127" si="241">SUM(F127,H127)</f>
        <v>-445</v>
      </c>
      <c r="J127" s="699">
        <f t="shared" ref="J127" si="242">I127/4200*80</f>
        <v>-8.4761904761904763</v>
      </c>
      <c r="K127" s="690">
        <f t="shared" ref="K127" si="243">G127 - _xlfn.XLOOKUP(A127-30, $A$6:$A$14999,G$6:G$14999,"",-1,2)</f>
        <v>16290</v>
      </c>
    </row>
    <row r="128" spans="1:13" x14ac:dyDescent="0.25">
      <c r="A128" s="691">
        <v>44048.241666666669</v>
      </c>
      <c r="C128" s="688">
        <v>2240</v>
      </c>
      <c r="D128" s="688">
        <v>121800</v>
      </c>
      <c r="E128" s="688">
        <f t="shared" si="228"/>
        <v>124040</v>
      </c>
      <c r="F128" s="690">
        <f t="shared" ref="F128" si="244">C128-C127</f>
        <v>0</v>
      </c>
      <c r="G128" s="690">
        <f>SUMIF(F$6:F128,"&gt;0")</f>
        <v>95475</v>
      </c>
      <c r="H128" s="690">
        <f t="shared" ref="H128" si="245">D128-D127</f>
        <v>50</v>
      </c>
      <c r="I128" s="690">
        <f t="shared" ref="I128" si="246">SUM(F128,H128)</f>
        <v>50</v>
      </c>
      <c r="J128" s="699">
        <f t="shared" ref="J128" si="247">I128/4200*80</f>
        <v>0.95238095238095233</v>
      </c>
      <c r="K128" s="690">
        <f t="shared" ref="K128" si="248">G128 - _xlfn.XLOOKUP(A128-30, $A$6:$A$14999,G$6:G$14999,"",-1,2)</f>
        <v>16090</v>
      </c>
    </row>
    <row r="129" spans="1:13" x14ac:dyDescent="0.25">
      <c r="A129" s="691">
        <v>44050.146527777775</v>
      </c>
      <c r="C129" s="688">
        <v>2840</v>
      </c>
      <c r="D129" s="688">
        <v>122330</v>
      </c>
      <c r="E129" s="688">
        <f t="shared" si="228"/>
        <v>125170</v>
      </c>
      <c r="F129" s="690">
        <f t="shared" ref="F129" si="249">C129-C128</f>
        <v>600</v>
      </c>
      <c r="G129" s="690">
        <f>SUMIF(F$6:F129,"&gt;0")</f>
        <v>96075</v>
      </c>
      <c r="H129" s="690">
        <f t="shared" ref="H129" si="250">D129-D128</f>
        <v>530</v>
      </c>
      <c r="I129" s="690">
        <f t="shared" ref="I129" si="251">SUM(F129,H129)</f>
        <v>1130</v>
      </c>
      <c r="J129" s="699">
        <f t="shared" ref="J129" si="252">I129/4200*80</f>
        <v>21.523809523809522</v>
      </c>
      <c r="K129" s="690">
        <f t="shared" ref="K129" si="253">G129 - _xlfn.XLOOKUP(A129-30, $A$6:$A$14999,G$6:G$14999,"",-1,2)</f>
        <v>16265</v>
      </c>
    </row>
    <row r="130" spans="1:13" x14ac:dyDescent="0.25">
      <c r="A130" s="691">
        <v>44051.536805555559</v>
      </c>
      <c r="C130" s="688">
        <v>3240</v>
      </c>
      <c r="D130" s="688">
        <v>123005</v>
      </c>
      <c r="E130" s="688">
        <f t="shared" si="228"/>
        <v>126245</v>
      </c>
      <c r="F130" s="690">
        <f t="shared" ref="F130" si="254">C130-C129</f>
        <v>400</v>
      </c>
      <c r="G130" s="690">
        <f>SUMIF(F$6:F130,"&gt;0")</f>
        <v>96475</v>
      </c>
      <c r="H130" s="690">
        <f t="shared" ref="H130" si="255">D130-D129</f>
        <v>675</v>
      </c>
      <c r="I130" s="690">
        <f t="shared" ref="I130" si="256">SUM(F130,H130)</f>
        <v>1075</v>
      </c>
      <c r="J130" s="699">
        <f t="shared" ref="J130" si="257">I130/4200*80</f>
        <v>20.476190476190474</v>
      </c>
      <c r="K130" s="690">
        <f t="shared" ref="K130" si="258">G130 - _xlfn.XLOOKUP(A130-30, $A$6:$A$14999,G$6:G$14999,"",-1,2)</f>
        <v>15765</v>
      </c>
    </row>
    <row r="131" spans="1:13" x14ac:dyDescent="0.25">
      <c r="A131" s="691">
        <v>44052.595138888886</v>
      </c>
      <c r="C131" s="688">
        <v>3340</v>
      </c>
      <c r="D131" s="688">
        <v>123055</v>
      </c>
      <c r="E131" s="688">
        <f t="shared" si="228"/>
        <v>126395</v>
      </c>
      <c r="F131" s="690">
        <f t="shared" ref="F131" si="259">C131-C130</f>
        <v>100</v>
      </c>
      <c r="G131" s="690">
        <f>SUMIF(F$6:F131,"&gt;0")</f>
        <v>96575</v>
      </c>
      <c r="H131" s="690">
        <f t="shared" ref="H131" si="260">D131-D130</f>
        <v>50</v>
      </c>
      <c r="I131" s="690">
        <f t="shared" ref="I131" si="261">SUM(F131,H131)</f>
        <v>150</v>
      </c>
      <c r="J131" s="699">
        <f t="shared" ref="J131" si="262">I131/4200*80</f>
        <v>2.8571428571428568</v>
      </c>
      <c r="K131" s="690">
        <f t="shared" ref="K131" si="263">G131 - _xlfn.XLOOKUP(A131-30, $A$6:$A$14999,G$6:G$14999,"",-1,2)</f>
        <v>15865</v>
      </c>
    </row>
    <row r="132" spans="1:13" x14ac:dyDescent="0.25">
      <c r="A132" s="691">
        <v>44053.20416666667</v>
      </c>
      <c r="C132" s="688">
        <v>3515</v>
      </c>
      <c r="D132" s="688">
        <v>123105</v>
      </c>
      <c r="E132" s="688">
        <f t="shared" si="228"/>
        <v>126620</v>
      </c>
      <c r="F132" s="690">
        <f t="shared" ref="F132" si="264">C132-C131</f>
        <v>175</v>
      </c>
      <c r="G132" s="690">
        <f>SUMIF(F$6:F132,"&gt;0")</f>
        <v>96750</v>
      </c>
      <c r="H132" s="690">
        <f t="shared" ref="H132" si="265">D132-D131</f>
        <v>50</v>
      </c>
      <c r="I132" s="690">
        <f t="shared" ref="I132" si="266">SUM(F132,H132)</f>
        <v>225</v>
      </c>
      <c r="J132" s="699">
        <f t="shared" ref="J132" si="267">I132/4200*80</f>
        <v>4.2857142857142856</v>
      </c>
      <c r="K132" s="690">
        <f t="shared" ref="K132" si="268">G132 - _xlfn.XLOOKUP(A132-30, $A$6:$A$14999,G$6:G$14999,"",-1,2)</f>
        <v>16040</v>
      </c>
    </row>
    <row r="133" spans="1:13" x14ac:dyDescent="0.25">
      <c r="A133" s="691">
        <v>44056.448611111111</v>
      </c>
      <c r="B133" s="825" t="s">
        <v>582</v>
      </c>
      <c r="C133" s="688">
        <v>4885</v>
      </c>
      <c r="D133" s="688">
        <v>123285</v>
      </c>
      <c r="E133" s="688">
        <f t="shared" si="228"/>
        <v>128170</v>
      </c>
      <c r="F133" s="690">
        <f t="shared" ref="F133" si="269">C133-C132</f>
        <v>1370</v>
      </c>
      <c r="G133" s="690">
        <f>SUMIF(F$6:F133,"&gt;0")</f>
        <v>98120</v>
      </c>
      <c r="H133" s="690">
        <f t="shared" ref="H133" si="270">D133-D132</f>
        <v>180</v>
      </c>
      <c r="I133" s="690">
        <f t="shared" ref="I133" si="271">SUM(F133,H133)</f>
        <v>1550</v>
      </c>
      <c r="J133" s="699">
        <f t="shared" ref="J133" si="272">I133/4200*80</f>
        <v>29.523809523809526</v>
      </c>
      <c r="K133" s="690">
        <f t="shared" ref="K133" si="273">G133 - _xlfn.XLOOKUP(A133-30, $A$6:$A$14999,G$6:G$14999,"",-1,2)</f>
        <v>15730</v>
      </c>
    </row>
    <row r="134" spans="1:13" x14ac:dyDescent="0.25">
      <c r="A134" s="691">
        <v>44057.05</v>
      </c>
      <c r="B134" s="825" t="s">
        <v>584</v>
      </c>
      <c r="C134" s="688">
        <v>85</v>
      </c>
      <c r="D134" s="688">
        <v>118455</v>
      </c>
      <c r="E134" s="688">
        <f t="shared" si="228"/>
        <v>118540</v>
      </c>
      <c r="F134" s="690">
        <f t="shared" ref="F134" si="274">C134-C133</f>
        <v>-4800</v>
      </c>
      <c r="G134" s="690">
        <f>SUMIF(F$6:F134,"&gt;0")</f>
        <v>98120</v>
      </c>
      <c r="H134" s="690">
        <f t="shared" ref="H134" si="275">D134-D133</f>
        <v>-4830</v>
      </c>
      <c r="I134" s="690">
        <f t="shared" ref="I134" si="276">SUM(F134,H134)</f>
        <v>-9630</v>
      </c>
      <c r="J134" s="699">
        <f t="shared" ref="J134" si="277">I134/4200*80</f>
        <v>-183.42857142857142</v>
      </c>
      <c r="K134" s="690">
        <f t="shared" ref="K134" si="278">G134 - _xlfn.XLOOKUP(A134-30, $A$6:$A$14999,G$6:G$14999,"",-1,2)</f>
        <v>15730</v>
      </c>
    </row>
    <row r="135" spans="1:13" x14ac:dyDescent="0.25">
      <c r="A135" s="691">
        <v>44058.041666666664</v>
      </c>
      <c r="C135" s="688">
        <v>145</v>
      </c>
      <c r="D135" s="688">
        <v>118505</v>
      </c>
      <c r="E135" s="688">
        <f t="shared" ref="E135:E137" si="279">SUM(C135:D135)</f>
        <v>118650</v>
      </c>
      <c r="F135" s="690">
        <f t="shared" ref="F135" si="280">C135-C134</f>
        <v>60</v>
      </c>
      <c r="G135" s="690">
        <f>SUMIF(F$6:F135,"&gt;0")</f>
        <v>98180</v>
      </c>
      <c r="H135" s="690">
        <f t="shared" ref="H135" si="281">D135-D134</f>
        <v>50</v>
      </c>
      <c r="I135" s="690">
        <f t="shared" ref="I135" si="282">SUM(F135,H135)</f>
        <v>110</v>
      </c>
      <c r="J135" s="699">
        <f t="shared" ref="J135" si="283">I135/4200*80</f>
        <v>2.0952380952380953</v>
      </c>
      <c r="K135" s="690">
        <f t="shared" ref="K135" si="284">G135 - _xlfn.XLOOKUP(A135-30, $A$6:$A$14999,G$6:G$14999,"",-1,2)</f>
        <v>15790</v>
      </c>
    </row>
    <row r="136" spans="1:13" x14ac:dyDescent="0.25">
      <c r="A136" s="691">
        <v>44059.04583333333</v>
      </c>
      <c r="C136" s="688">
        <v>435</v>
      </c>
      <c r="D136" s="688">
        <v>118605</v>
      </c>
      <c r="E136" s="688">
        <f t="shared" si="279"/>
        <v>119040</v>
      </c>
      <c r="F136" s="690">
        <f t="shared" ref="F136" si="285">C136-C135</f>
        <v>290</v>
      </c>
      <c r="G136" s="690">
        <f>SUMIF(F$6:F136,"&gt;0")</f>
        <v>98470</v>
      </c>
      <c r="H136" s="690">
        <f t="shared" ref="H136" si="286">D136-D135</f>
        <v>100</v>
      </c>
      <c r="I136" s="690">
        <f t="shared" ref="I136" si="287">SUM(F136,H136)</f>
        <v>390</v>
      </c>
      <c r="J136" s="699">
        <f t="shared" ref="J136" si="288">I136/4200*80</f>
        <v>7.4285714285714288</v>
      </c>
      <c r="K136" s="690">
        <f t="shared" ref="K136" si="289">G136 - _xlfn.XLOOKUP(A136-30, $A$6:$A$14999,G$6:G$14999,"",-1,2)</f>
        <v>16080</v>
      </c>
    </row>
    <row r="137" spans="1:13" x14ac:dyDescent="0.25">
      <c r="C137" s="688">
        <v>495</v>
      </c>
      <c r="D137" s="688">
        <v>127030</v>
      </c>
      <c r="E137" s="688">
        <f t="shared" si="279"/>
        <v>127525</v>
      </c>
      <c r="F137" s="690">
        <f t="shared" ref="F137" si="290">C137-C136</f>
        <v>60</v>
      </c>
      <c r="G137" s="690">
        <f>SUMIF(F$6:F137,"&gt;0")</f>
        <v>98530</v>
      </c>
      <c r="H137" s="690">
        <f t="shared" ref="H137" si="291">D137-D136</f>
        <v>8425</v>
      </c>
      <c r="I137" s="690">
        <f t="shared" ref="I137" si="292">SUM(F137,H137)</f>
        <v>8485</v>
      </c>
      <c r="J137" s="699">
        <f t="shared" ref="J137" si="293">I137/4200*80</f>
        <v>161.61904761904762</v>
      </c>
      <c r="K137" s="690" t="e">
        <f t="shared" ref="K137" si="294">G137 - _xlfn.XLOOKUP(A137-30, $A$6:$A$14999,G$6:G$14999,"",-1,2)</f>
        <v>#VALUE!</v>
      </c>
      <c r="L137" s="688">
        <v>8425</v>
      </c>
      <c r="M137" s="688">
        <v>122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3"/>
  <sheetViews>
    <sheetView topLeftCell="A13" workbookViewId="0">
      <selection activeCell="H25" sqref="H25"/>
    </sheetView>
  </sheetViews>
  <sheetFormatPr defaultColWidth="9.140625" defaultRowHeight="17.100000000000001" customHeight="1" x14ac:dyDescent="0.25"/>
  <cols>
    <col min="1" max="2" width="11.5703125" style="778" customWidth="1"/>
    <col min="3" max="3" width="46.5703125" style="776" customWidth="1"/>
    <col min="4" max="4" width="7.7109375" style="834" customWidth="1"/>
    <col min="5" max="5" width="8.42578125" style="845" customWidth="1"/>
    <col min="6" max="7" width="9.140625" style="599"/>
    <col min="8" max="8" width="9.140625" style="834" customWidth="1"/>
    <col min="9" max="16384" width="9.140625" style="776"/>
  </cols>
  <sheetData>
    <row r="1" spans="1:15" s="780" customFormat="1" ht="17.100000000000001" customHeight="1" x14ac:dyDescent="0.25">
      <c r="A1" s="793"/>
      <c r="B1" s="793"/>
      <c r="C1" s="793"/>
      <c r="D1" s="793"/>
      <c r="E1" s="221" t="s">
        <v>468</v>
      </c>
      <c r="F1" s="779" t="s">
        <v>467</v>
      </c>
      <c r="G1" s="779"/>
      <c r="H1" s="779" t="s">
        <v>467</v>
      </c>
      <c r="J1" s="890" t="s">
        <v>44</v>
      </c>
      <c r="K1" s="782" t="s">
        <v>133</v>
      </c>
      <c r="L1" s="782" t="s">
        <v>469</v>
      </c>
      <c r="M1" s="782" t="s">
        <v>389</v>
      </c>
      <c r="N1" s="782" t="s">
        <v>471</v>
      </c>
      <c r="O1" s="785" t="s">
        <v>470</v>
      </c>
    </row>
    <row r="2" spans="1:15" s="780" customFormat="1" ht="17.100000000000001" customHeight="1" x14ac:dyDescent="0.25">
      <c r="A2" s="794"/>
      <c r="B2" s="794"/>
      <c r="C2" s="794"/>
      <c r="D2" s="836"/>
      <c r="E2" s="844">
        <f>SUM(E4:E1048576)</f>
        <v>5935</v>
      </c>
      <c r="F2" s="599">
        <f ca="1">E2/(NOW()-$A$4)</f>
        <v>28.687841897310644</v>
      </c>
      <c r="G2" s="599"/>
      <c r="H2" s="599">
        <f>AVERAGE(H4:H1048576)</f>
        <v>25.498587698850859</v>
      </c>
      <c r="J2" s="890"/>
      <c r="K2" s="846">
        <v>22</v>
      </c>
      <c r="L2" s="846">
        <v>0</v>
      </c>
      <c r="M2" s="846">
        <v>4885</v>
      </c>
      <c r="N2" s="846">
        <v>123255</v>
      </c>
      <c r="O2" s="780">
        <v>0</v>
      </c>
    </row>
    <row r="3" spans="1:15" s="777" customFormat="1" ht="17.100000000000001" customHeight="1" x14ac:dyDescent="0.25">
      <c r="A3" s="783" t="s">
        <v>457</v>
      </c>
      <c r="B3" s="783" t="s">
        <v>459</v>
      </c>
      <c r="C3" s="781" t="s">
        <v>456</v>
      </c>
      <c r="D3" s="835" t="s">
        <v>514</v>
      </c>
      <c r="E3" s="843" t="s">
        <v>458</v>
      </c>
      <c r="F3" s="784" t="s">
        <v>467</v>
      </c>
      <c r="G3" s="835" t="s">
        <v>515</v>
      </c>
      <c r="H3" s="835" t="s">
        <v>467</v>
      </c>
      <c r="J3" s="1179" t="s">
        <v>45</v>
      </c>
      <c r="K3" s="782" t="s">
        <v>133</v>
      </c>
      <c r="L3" s="782" t="s">
        <v>469</v>
      </c>
      <c r="M3" s="782" t="s">
        <v>389</v>
      </c>
      <c r="N3" s="785" t="s">
        <v>471</v>
      </c>
      <c r="O3" s="777" t="s">
        <v>511</v>
      </c>
    </row>
    <row r="4" spans="1:15" ht="17.100000000000001" customHeight="1" x14ac:dyDescent="0.25">
      <c r="A4" s="778">
        <v>43853</v>
      </c>
      <c r="B4" s="778">
        <v>43859</v>
      </c>
      <c r="C4" s="776" t="s">
        <v>460</v>
      </c>
      <c r="D4" s="834">
        <v>1</v>
      </c>
      <c r="E4" s="845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79"/>
      <c r="K4" s="776">
        <v>0</v>
      </c>
      <c r="L4" s="776">
        <v>0</v>
      </c>
      <c r="M4" s="776">
        <v>85</v>
      </c>
      <c r="N4" s="776">
        <v>118455</v>
      </c>
      <c r="O4" s="832">
        <v>8</v>
      </c>
    </row>
    <row r="5" spans="1:15" ht="17.100000000000001" customHeight="1" x14ac:dyDescent="0.25">
      <c r="A5" s="778">
        <v>43859</v>
      </c>
      <c r="B5" s="778">
        <v>43878</v>
      </c>
      <c r="C5" s="776" t="s">
        <v>516</v>
      </c>
      <c r="D5" s="834">
        <v>2</v>
      </c>
      <c r="E5" s="845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78">
        <v>43865</v>
      </c>
      <c r="B6" s="778">
        <v>43878</v>
      </c>
      <c r="C6" s="776" t="s">
        <v>517</v>
      </c>
      <c r="D6" s="834">
        <v>2</v>
      </c>
      <c r="E6" s="845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76" t="s">
        <v>468</v>
      </c>
      <c r="O6" s="776">
        <f>-((K4-K2) + (L4-L2) * 10 + (M4-M2) / 120 + (N4-N2) / 120 + O2)</f>
        <v>102</v>
      </c>
    </row>
    <row r="7" spans="1:15" ht="17.100000000000001" customHeight="1" x14ac:dyDescent="0.25">
      <c r="A7" s="778">
        <v>43875</v>
      </c>
      <c r="B7" s="778">
        <v>43889</v>
      </c>
      <c r="C7" s="776" t="s">
        <v>518</v>
      </c>
      <c r="D7" s="834">
        <v>2</v>
      </c>
      <c r="E7" s="845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76" t="s">
        <v>512</v>
      </c>
      <c r="N7" s="776" t="s">
        <v>513</v>
      </c>
      <c r="O7" s="833">
        <f>O4/O6%</f>
        <v>7.8431372549019605</v>
      </c>
    </row>
    <row r="8" spans="1:15" ht="17.100000000000001" customHeight="1" x14ac:dyDescent="0.25">
      <c r="A8" s="778">
        <v>43889</v>
      </c>
      <c r="B8" s="778">
        <v>43902</v>
      </c>
      <c r="C8" s="776" t="s">
        <v>519</v>
      </c>
      <c r="D8" s="834">
        <v>2</v>
      </c>
      <c r="E8" s="845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78">
        <v>43893</v>
      </c>
      <c r="B9" s="778">
        <v>43902</v>
      </c>
      <c r="C9" s="776" t="s">
        <v>461</v>
      </c>
      <c r="D9" s="834">
        <v>1</v>
      </c>
      <c r="E9" s="845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78">
        <v>43902</v>
      </c>
      <c r="B10" s="778">
        <v>43917</v>
      </c>
      <c r="C10" s="776" t="s">
        <v>520</v>
      </c>
      <c r="D10" s="834">
        <v>2</v>
      </c>
      <c r="E10" s="845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78">
        <v>43917</v>
      </c>
      <c r="B11" s="778">
        <v>43923</v>
      </c>
      <c r="C11" s="776" t="s">
        <v>462</v>
      </c>
      <c r="D11" s="834">
        <v>1</v>
      </c>
      <c r="E11" s="845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78">
        <v>43923</v>
      </c>
      <c r="B12" s="778">
        <v>43934</v>
      </c>
      <c r="C12" s="776" t="s">
        <v>521</v>
      </c>
      <c r="D12" s="834">
        <v>2</v>
      </c>
      <c r="E12" s="845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78">
        <v>43927</v>
      </c>
      <c r="B13" s="778">
        <v>43934</v>
      </c>
      <c r="C13" s="776" t="s">
        <v>463</v>
      </c>
      <c r="D13" s="834">
        <v>1</v>
      </c>
      <c r="E13" s="845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78">
        <v>43934</v>
      </c>
      <c r="B14" s="778">
        <v>43941</v>
      </c>
      <c r="C14" s="776" t="s">
        <v>464</v>
      </c>
      <c r="D14" s="834">
        <v>2</v>
      </c>
      <c r="E14" s="845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78">
        <v>43945</v>
      </c>
      <c r="B15" s="778">
        <v>43951</v>
      </c>
      <c r="C15" s="776" t="s">
        <v>465</v>
      </c>
      <c r="D15" s="834">
        <v>1</v>
      </c>
      <c r="E15" s="845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78">
        <v>43951</v>
      </c>
      <c r="B16" s="778">
        <v>43963</v>
      </c>
      <c r="C16" s="776" t="s">
        <v>466</v>
      </c>
      <c r="D16" s="834">
        <v>3</v>
      </c>
      <c r="E16" s="845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78">
        <v>43963</v>
      </c>
      <c r="B17" s="778">
        <v>43980</v>
      </c>
      <c r="C17" s="776" t="s">
        <v>522</v>
      </c>
      <c r="D17" s="834">
        <v>3</v>
      </c>
      <c r="E17" s="845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78">
        <v>43980</v>
      </c>
      <c r="B18" s="778">
        <v>43985</v>
      </c>
      <c r="C18" s="776" t="s">
        <v>523</v>
      </c>
      <c r="D18" s="834">
        <v>4</v>
      </c>
      <c r="E18" s="845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78">
        <v>43994</v>
      </c>
      <c r="B19" s="778">
        <v>44004</v>
      </c>
      <c r="C19" s="789" t="s">
        <v>475</v>
      </c>
      <c r="D19" s="834">
        <v>2</v>
      </c>
      <c r="E19" s="845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78">
        <v>44011</v>
      </c>
      <c r="B20" s="778">
        <v>44015</v>
      </c>
      <c r="C20" s="776" t="s">
        <v>509</v>
      </c>
      <c r="D20" s="834">
        <v>3</v>
      </c>
      <c r="E20" s="845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78">
        <v>44027</v>
      </c>
      <c r="B21" s="778">
        <v>44030</v>
      </c>
      <c r="C21" s="776" t="s">
        <v>524</v>
      </c>
      <c r="D21" s="834">
        <v>2</v>
      </c>
      <c r="E21" s="845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78">
        <v>44042</v>
      </c>
      <c r="B22" s="778">
        <v>44047</v>
      </c>
      <c r="C22" s="776" t="s">
        <v>531</v>
      </c>
      <c r="D22" s="834">
        <v>4</v>
      </c>
      <c r="E22" s="845">
        <v>217</v>
      </c>
      <c r="F22" s="599">
        <f>E22/(B22-A22)</f>
        <v>43.4</v>
      </c>
      <c r="G22" s="599">
        <f>E22/D22</f>
        <v>54.25</v>
      </c>
      <c r="H22" s="834">
        <f>G22/(B22-A22)</f>
        <v>10.85</v>
      </c>
    </row>
    <row r="23" spans="1:8" ht="17.100000000000001" customHeight="1" x14ac:dyDescent="0.25">
      <c r="A23" s="778">
        <v>44057</v>
      </c>
      <c r="B23" s="778">
        <v>44060</v>
      </c>
      <c r="C23" s="776" t="s">
        <v>583</v>
      </c>
      <c r="D23" s="834">
        <v>2</v>
      </c>
      <c r="E23" s="845">
        <v>102</v>
      </c>
      <c r="F23" s="599">
        <f>E23/(B23-A23)</f>
        <v>34</v>
      </c>
      <c r="G23" s="599">
        <f>E23/D23</f>
        <v>51</v>
      </c>
      <c r="H23" s="834">
        <f>G23/(B23-A23)</f>
        <v>17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795" customWidth="1"/>
    <col min="2" max="4" width="7.7109375" style="795" customWidth="1"/>
    <col min="5" max="5" width="7.7109375" style="800" customWidth="1"/>
    <col min="6" max="7" width="7.28515625" style="795" customWidth="1"/>
    <col min="8" max="16384" width="9.140625" style="795"/>
  </cols>
  <sheetData>
    <row r="1" spans="1:7" ht="43.5" customHeight="1" x14ac:dyDescent="0.25">
      <c r="A1" s="1193" t="s">
        <v>495</v>
      </c>
      <c r="B1" s="1194"/>
      <c r="C1" s="1194"/>
      <c r="D1" s="1194"/>
      <c r="E1" s="1194"/>
      <c r="F1" s="1194"/>
      <c r="G1" s="1195"/>
    </row>
    <row r="2" spans="1:7" s="807" customFormat="1" ht="17.25" customHeight="1" x14ac:dyDescent="0.25">
      <c r="A2" s="1155" t="s">
        <v>486</v>
      </c>
      <c r="B2" s="1156"/>
      <c r="C2" s="1156"/>
      <c r="D2" s="1156"/>
      <c r="E2" s="1157"/>
      <c r="F2" s="1156" t="s">
        <v>491</v>
      </c>
      <c r="G2" s="1157"/>
    </row>
    <row r="3" spans="1:7" s="799" customFormat="1" ht="15" customHeight="1" x14ac:dyDescent="0.25">
      <c r="A3" s="803" t="s">
        <v>479</v>
      </c>
      <c r="B3" s="804" t="s">
        <v>481</v>
      </c>
      <c r="C3" s="804" t="s">
        <v>482</v>
      </c>
      <c r="D3" s="804" t="s">
        <v>483</v>
      </c>
      <c r="E3" s="805" t="s">
        <v>492</v>
      </c>
      <c r="F3" s="804" t="s">
        <v>484</v>
      </c>
      <c r="G3" s="798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08" t="s">
        <v>12</v>
      </c>
      <c r="B5" s="816">
        <f>SUM(D虛空!B:B) / SUM(D虛空!A:A)</f>
        <v>13.080597014925374</v>
      </c>
      <c r="C5" s="816">
        <f>SUM(D虛空!D:D) / SUM(D虛空!C:C)</f>
        <v>4.5104477611940297</v>
      </c>
      <c r="D5" s="821">
        <f>SUM(D虛空!F:F) / SUM(D虛空!E:E)</f>
        <v>0.52054794520547942</v>
      </c>
      <c r="E5" s="823">
        <f>SUM(D虛空!H:H) / SUM(D虛空!G:G)</f>
        <v>0.97777777777777775</v>
      </c>
      <c r="F5" s="822">
        <f>MAX(75*SUBSTITUTE(F$3,"把","")/$B5,20*SUBSTITUTE(F$3,"把","")/$C5,3*SUBSTITUTE(F$3,"把","")/$D5)</f>
        <v>5.7631578947368425</v>
      </c>
      <c r="G5" s="818">
        <f>MAX(75*SUBSTITUTE(G$3,"把","")/$B5,20*SUBSTITUTE(G$3,"把","")/$C5,3*SUBSTITUTE(G$3,"把","")/$D5)</f>
        <v>46.10526315789474</v>
      </c>
    </row>
    <row r="6" spans="1:7" ht="15" customHeight="1" x14ac:dyDescent="0.25">
      <c r="A6" s="806" t="s">
        <v>11</v>
      </c>
      <c r="B6" s="817"/>
      <c r="C6" s="817"/>
      <c r="D6" s="47"/>
      <c r="E6" s="813"/>
      <c r="F6" s="239"/>
      <c r="G6" s="578"/>
    </row>
    <row r="7" spans="1:7" ht="15" customHeight="1" x14ac:dyDescent="0.25">
      <c r="A7" s="819" t="s">
        <v>9</v>
      </c>
      <c r="B7" s="840">
        <f>SUM(D虛空!J:J) / SUM(D虛空!I:I)</f>
        <v>13.717171717171718</v>
      </c>
      <c r="C7" s="840">
        <f>SUM(D虛空!L:L) / SUM(D虛空!K:K)</f>
        <v>4.8383838383838382</v>
      </c>
      <c r="D7" s="841">
        <f>SUM(D虛空!N:N) / SUM(D虛空!M:M)</f>
        <v>0.59595959595959591</v>
      </c>
      <c r="E7" s="842">
        <f>SUM(D虛空!P:P) / SUM(D虛空!O:O)</f>
        <v>1.1717171717171717</v>
      </c>
      <c r="F7" s="822">
        <f>MAX(75*SUBSTITUTE(F$3,"把","")/$B7,20*SUBSTITUTE(F$3,"把","")/$C7,3*SUBSTITUTE(F$3,"把","")/$D7)</f>
        <v>5.4675994108983792</v>
      </c>
      <c r="G7" s="818">
        <f>MAX(75*SUBSTITUTE(G$3,"把","")/$B7,20*SUBSTITUTE(G$3,"把","")/$C7,3*SUBSTITUTE(G$3,"把","")/$D7)</f>
        <v>43.740795287187034</v>
      </c>
    </row>
    <row r="8" spans="1:7" ht="15" customHeight="1" x14ac:dyDescent="0.25">
      <c r="A8" s="801" t="s">
        <v>8</v>
      </c>
      <c r="B8" s="168"/>
      <c r="C8" s="168"/>
      <c r="D8" s="168"/>
      <c r="E8" s="815"/>
      <c r="F8" s="802"/>
      <c r="G8" s="580"/>
    </row>
    <row r="9" spans="1:7" ht="15" customHeight="1" x14ac:dyDescent="0.25">
      <c r="A9" s="1196" t="s">
        <v>487</v>
      </c>
      <c r="B9" s="1197"/>
      <c r="C9" s="1197"/>
      <c r="D9" s="1197"/>
      <c r="E9" s="1197"/>
      <c r="F9" s="1197"/>
      <c r="G9" s="1198"/>
    </row>
    <row r="10" spans="1:7" ht="15" customHeight="1" x14ac:dyDescent="0.25">
      <c r="A10" s="1203" t="s">
        <v>494</v>
      </c>
      <c r="B10" s="1204"/>
      <c r="C10" s="1204"/>
      <c r="D10" s="1204"/>
      <c r="E10" s="1204"/>
      <c r="F10" s="1204"/>
      <c r="G10" s="1205"/>
    </row>
    <row r="11" spans="1:7" s="800" customFormat="1" ht="7.5" customHeight="1" x14ac:dyDescent="0.25">
      <c r="A11" s="1202" t="s">
        <v>493</v>
      </c>
      <c r="B11" s="1200"/>
      <c r="C11" s="1200"/>
      <c r="D11" s="1200"/>
      <c r="E11" s="1200"/>
      <c r="F11" s="1200"/>
      <c r="G11" s="1201"/>
    </row>
    <row r="12" spans="1:7" s="800" customFormat="1" ht="15" customHeight="1" x14ac:dyDescent="0.25">
      <c r="A12" s="1199" t="s">
        <v>490</v>
      </c>
      <c r="B12" s="1200"/>
      <c r="C12" s="1200"/>
      <c r="D12" s="1200"/>
      <c r="E12" s="1200"/>
      <c r="F12" s="1200"/>
      <c r="G12" s="1201"/>
    </row>
    <row r="13" spans="1:7" s="800" customFormat="1" ht="7.5" customHeight="1" x14ac:dyDescent="0.25">
      <c r="A13" s="1202" t="s">
        <v>493</v>
      </c>
      <c r="B13" s="1200"/>
      <c r="C13" s="1200"/>
      <c r="D13" s="1200"/>
      <c r="E13" s="1200"/>
      <c r="F13" s="1200"/>
      <c r="G13" s="1201"/>
    </row>
    <row r="14" spans="1:7" ht="15" customHeight="1" x14ac:dyDescent="0.25">
      <c r="A14" s="1192" t="s">
        <v>489</v>
      </c>
      <c r="B14" s="1190"/>
      <c r="C14" s="1190"/>
      <c r="D14" s="1190"/>
      <c r="E14" s="820"/>
      <c r="F14" s="1190" t="s">
        <v>488</v>
      </c>
      <c r="G14" s="1191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09" customWidth="1"/>
    <col min="2" max="7" width="5.140625" style="265" customWidth="1"/>
    <col min="8" max="8" width="5.140625" style="810" customWidth="1"/>
    <col min="9" max="9" width="5.140625" style="839" customWidth="1"/>
    <col min="10" max="15" width="5.140625" style="262" customWidth="1"/>
    <col min="16" max="16" width="5.140625" style="814" customWidth="1"/>
    <col min="17" max="16384" width="9.140625" style="795"/>
  </cols>
  <sheetData>
    <row r="1" spans="1:16" s="797" customFormat="1" ht="15" customHeight="1" x14ac:dyDescent="0.25">
      <c r="A1" s="1206" t="s">
        <v>480</v>
      </c>
      <c r="B1" s="1207"/>
      <c r="C1" s="1207"/>
      <c r="D1" s="1207"/>
      <c r="E1" s="1207"/>
      <c r="F1" s="1207"/>
      <c r="G1" s="1207"/>
      <c r="H1" s="1208"/>
      <c r="I1" s="1209" t="s">
        <v>527</v>
      </c>
      <c r="J1" s="1210"/>
      <c r="K1" s="1210"/>
      <c r="L1" s="1210"/>
      <c r="M1" s="1210"/>
      <c r="N1" s="1210"/>
      <c r="O1" s="1210"/>
      <c r="P1" s="1211"/>
    </row>
    <row r="2" spans="1:16" s="796" customFormat="1" ht="15" customHeight="1" x14ac:dyDescent="0.25">
      <c r="A2" s="811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2" t="s">
        <v>213</v>
      </c>
      <c r="I2" s="837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38" t="s">
        <v>213</v>
      </c>
    </row>
    <row r="3" spans="1:16" ht="15" customHeight="1" x14ac:dyDescent="0.25">
      <c r="A3" s="809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0">
        <v>84</v>
      </c>
      <c r="I3" s="839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4">
        <v>116</v>
      </c>
    </row>
    <row r="4" spans="1:16" ht="15" customHeight="1" x14ac:dyDescent="0.25">
      <c r="A4" s="809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0">
        <v>90</v>
      </c>
    </row>
    <row r="5" spans="1:16" ht="15" customHeight="1" x14ac:dyDescent="0.25">
      <c r="A5" s="809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0">
        <v>98</v>
      </c>
    </row>
    <row r="6" spans="1:16" ht="15" customHeight="1" x14ac:dyDescent="0.25">
      <c r="A6" s="809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0">
        <v>36</v>
      </c>
    </row>
    <row r="7" spans="1:16" ht="15" customHeight="1" x14ac:dyDescent="0.25">
      <c r="A7" s="809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K6" sqref="K6"/>
    </sheetView>
  </sheetViews>
  <sheetFormatPr defaultRowHeight="15" x14ac:dyDescent="0.25"/>
  <cols>
    <col min="1" max="3" width="9.140625" style="848"/>
    <col min="4" max="4" width="9.140625" style="52"/>
    <col min="5" max="7" width="9.140625" style="848"/>
    <col min="8" max="8" width="9.140625" style="52"/>
    <col min="9" max="10" width="9.140625" style="848"/>
    <col min="11" max="11" width="9.140625" style="52"/>
    <col min="12" max="12" width="9.140625" style="848"/>
    <col min="13" max="13" width="2.28515625" style="848" customWidth="1"/>
    <col min="14" max="14" width="13.85546875" style="848" customWidth="1"/>
    <col min="15" max="15" width="12.140625" style="848" customWidth="1"/>
    <col min="16" max="16384" width="9.140625" style="848"/>
  </cols>
  <sheetData>
    <row r="1" spans="1:15" x14ac:dyDescent="0.25">
      <c r="A1" s="890" t="s">
        <v>535</v>
      </c>
      <c r="B1" s="890"/>
      <c r="C1" s="890"/>
      <c r="D1" s="890"/>
      <c r="E1" s="890" t="s">
        <v>536</v>
      </c>
      <c r="F1" s="890"/>
      <c r="G1" s="890"/>
      <c r="H1" s="890"/>
      <c r="I1" s="890" t="s">
        <v>537</v>
      </c>
      <c r="J1" s="890"/>
      <c r="K1" s="890"/>
      <c r="L1" s="890" t="s">
        <v>538</v>
      </c>
      <c r="N1" s="890" t="s">
        <v>557</v>
      </c>
      <c r="O1" s="890"/>
    </row>
    <row r="2" spans="1:15" x14ac:dyDescent="0.25">
      <c r="A2" s="848" t="s">
        <v>539</v>
      </c>
      <c r="B2" s="848" t="s">
        <v>540</v>
      </c>
      <c r="C2" s="848" t="s">
        <v>541</v>
      </c>
      <c r="D2" s="52" t="s">
        <v>542</v>
      </c>
      <c r="E2" s="848" t="s">
        <v>543</v>
      </c>
      <c r="F2" s="848" t="s">
        <v>540</v>
      </c>
      <c r="G2" s="848" t="s">
        <v>541</v>
      </c>
      <c r="H2" s="52" t="s">
        <v>542</v>
      </c>
      <c r="I2" s="848" t="s">
        <v>541</v>
      </c>
      <c r="J2" s="848" t="s">
        <v>544</v>
      </c>
      <c r="K2" s="52" t="s">
        <v>542</v>
      </c>
      <c r="L2" s="890"/>
      <c r="N2" s="890"/>
      <c r="O2" s="890"/>
    </row>
    <row r="3" spans="1:15" x14ac:dyDescent="0.25">
      <c r="A3" s="849">
        <v>0.02</v>
      </c>
      <c r="B3" s="849">
        <v>0.1</v>
      </c>
      <c r="C3" s="849">
        <v>0.15</v>
      </c>
      <c r="D3" s="850">
        <f>SUM(A3:C3)</f>
        <v>0.27</v>
      </c>
      <c r="E3" s="849">
        <v>0.7</v>
      </c>
      <c r="F3" s="849">
        <v>0.3</v>
      </c>
      <c r="G3" s="849">
        <v>0</v>
      </c>
      <c r="H3" s="850">
        <f>SUM(E3:G3)</f>
        <v>1</v>
      </c>
      <c r="I3" s="849">
        <v>0.2</v>
      </c>
      <c r="J3" s="849">
        <v>0.9</v>
      </c>
      <c r="K3" s="850">
        <f>SUM(I3:J3)*1.1</f>
        <v>1.2100000000000002</v>
      </c>
      <c r="L3" s="851">
        <f>((100*D3)*(1+H3)+(100-100*D3))*(1+K3)/100</f>
        <v>2.8067000000000002</v>
      </c>
      <c r="M3" s="848">
        <f>_xlfn.RANK.EQ(L3,L:L,0)</f>
        <v>1</v>
      </c>
      <c r="N3" s="848" t="s">
        <v>545</v>
      </c>
      <c r="O3" s="848" t="s">
        <v>546</v>
      </c>
    </row>
    <row r="4" spans="1:15" x14ac:dyDescent="0.25">
      <c r="A4" s="849">
        <v>0.02</v>
      </c>
      <c r="B4" s="849">
        <v>0.1</v>
      </c>
      <c r="C4" s="849">
        <v>0.1</v>
      </c>
      <c r="D4" s="850">
        <f>SUM(A4:C4)</f>
        <v>0.22000000000000003</v>
      </c>
      <c r="E4" s="849">
        <v>0.7</v>
      </c>
      <c r="F4" s="849">
        <v>0.3</v>
      </c>
      <c r="G4" s="849">
        <v>0.15</v>
      </c>
      <c r="H4" s="850">
        <f>SUM(E4:G4)</f>
        <v>1.1499999999999999</v>
      </c>
      <c r="I4" s="849">
        <v>0.15</v>
      </c>
      <c r="J4" s="849">
        <v>0.9</v>
      </c>
      <c r="K4" s="850">
        <f>SUM(I4:J4)*1.1</f>
        <v>1.1550000000000002</v>
      </c>
      <c r="L4" s="851">
        <f>((100*D4)*(1+H4)+(100-100*D4))*(1+K4)/100</f>
        <v>2.7002150000000005</v>
      </c>
      <c r="M4" s="848">
        <f>_xlfn.RANK.EQ(L4,L:L,0)</f>
        <v>4</v>
      </c>
      <c r="N4" s="848" t="s">
        <v>547</v>
      </c>
      <c r="O4" s="848" t="s">
        <v>548</v>
      </c>
    </row>
    <row r="5" spans="1:15" x14ac:dyDescent="0.25">
      <c r="A5" s="849">
        <v>0.02</v>
      </c>
      <c r="B5" s="849">
        <v>0.1</v>
      </c>
      <c r="C5" s="849">
        <v>0.08</v>
      </c>
      <c r="D5" s="850">
        <f>SUM(A5:C5)</f>
        <v>0.2</v>
      </c>
      <c r="E5" s="849">
        <v>0.7</v>
      </c>
      <c r="F5" s="849">
        <v>0.3</v>
      </c>
      <c r="G5" s="849">
        <v>0.22</v>
      </c>
      <c r="H5" s="850">
        <f>SUM(E5:G5)</f>
        <v>1.22</v>
      </c>
      <c r="I5" s="849">
        <v>0.15</v>
      </c>
      <c r="J5" s="849">
        <v>0.9</v>
      </c>
      <c r="K5" s="850">
        <f>SUM(I5:J5)*1.1</f>
        <v>1.1550000000000002</v>
      </c>
      <c r="L5" s="851">
        <f>((100*D5)*(1+H5)+(100-100*D5))*(1+K5)/100</f>
        <v>2.6808199999999998</v>
      </c>
      <c r="M5" s="848">
        <f>_xlfn.RANK.EQ(L5,L:L,0)</f>
        <v>5</v>
      </c>
      <c r="N5" s="848" t="s">
        <v>549</v>
      </c>
      <c r="O5" s="848" t="s">
        <v>546</v>
      </c>
    </row>
    <row r="6" spans="1:15" x14ac:dyDescent="0.25">
      <c r="A6" s="849">
        <v>0.02</v>
      </c>
      <c r="B6" s="849">
        <v>0.1</v>
      </c>
      <c r="C6" s="849">
        <v>0.1</v>
      </c>
      <c r="D6" s="850">
        <f>SUM(A6:C6)</f>
        <v>0.22000000000000003</v>
      </c>
      <c r="E6" s="849">
        <v>0.7</v>
      </c>
      <c r="F6" s="849">
        <v>0.3</v>
      </c>
      <c r="G6" s="849">
        <v>0.17</v>
      </c>
      <c r="H6" s="850">
        <f>SUM(E6:G6)</f>
        <v>1.17</v>
      </c>
      <c r="I6" s="849">
        <v>0.2</v>
      </c>
      <c r="J6" s="849">
        <v>0.9</v>
      </c>
      <c r="K6" s="850">
        <f>SUM(I6:J6)*1.1</f>
        <v>1.2100000000000002</v>
      </c>
      <c r="L6" s="851">
        <f>((100*D6)*(1+H6)+(100-100*D6))*(1+K6)/100</f>
        <v>2.7788539999999999</v>
      </c>
      <c r="M6" s="848">
        <f>_xlfn.RANK.EQ(L6,L:L,0)</f>
        <v>3</v>
      </c>
      <c r="N6" s="848" t="s">
        <v>550</v>
      </c>
      <c r="O6" s="848" t="s">
        <v>546</v>
      </c>
    </row>
    <row r="7" spans="1:15" s="853" customFormat="1" x14ac:dyDescent="0.25">
      <c r="A7" s="849">
        <v>0.02</v>
      </c>
      <c r="B7" s="849">
        <v>0.1</v>
      </c>
      <c r="C7" s="849">
        <v>0.15</v>
      </c>
      <c r="D7" s="850">
        <f>SUM(A7:C7)</f>
        <v>0.27</v>
      </c>
      <c r="E7" s="849">
        <v>0.7</v>
      </c>
      <c r="F7" s="849">
        <v>0.3</v>
      </c>
      <c r="G7" s="849">
        <v>0</v>
      </c>
      <c r="H7" s="850">
        <f>SUM(E7:G7)</f>
        <v>1</v>
      </c>
      <c r="I7" s="849">
        <v>0.2</v>
      </c>
      <c r="J7" s="849">
        <v>0.9</v>
      </c>
      <c r="K7" s="850">
        <f>SUM(I7:J7)*1.1</f>
        <v>1.2100000000000002</v>
      </c>
      <c r="L7" s="851">
        <f>((100*D7)*(1+H7)+(100-100*D7))*(1+K7)/100</f>
        <v>2.8067000000000002</v>
      </c>
      <c r="M7" s="853">
        <f>_xlfn.RANK.EQ(L7,L:L,0)</f>
        <v>1</v>
      </c>
      <c r="N7" s="853" t="s">
        <v>558</v>
      </c>
      <c r="O7" s="853" t="s">
        <v>546</v>
      </c>
    </row>
    <row r="9" spans="1:15" x14ac:dyDescent="0.25">
      <c r="N9" s="852" t="s">
        <v>551</v>
      </c>
    </row>
    <row r="10" spans="1:15" x14ac:dyDescent="0.25">
      <c r="N10" s="852" t="s">
        <v>552</v>
      </c>
    </row>
    <row r="11" spans="1:15" x14ac:dyDescent="0.25">
      <c r="N11" s="852" t="s">
        <v>553</v>
      </c>
    </row>
    <row r="12" spans="1:15" x14ac:dyDescent="0.25">
      <c r="N12" s="852" t="s">
        <v>554</v>
      </c>
    </row>
    <row r="13" spans="1:15" x14ac:dyDescent="0.25">
      <c r="N13" s="852" t="s">
        <v>555</v>
      </c>
    </row>
    <row r="14" spans="1:15" x14ac:dyDescent="0.25">
      <c r="N14" s="852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212">
        <v>70</v>
      </c>
      <c r="B1" s="1212"/>
      <c r="C1" s="1212"/>
      <c r="D1" s="1212"/>
      <c r="E1" s="1212"/>
      <c r="F1" s="1212"/>
      <c r="G1" s="1212"/>
      <c r="H1" s="1212"/>
      <c r="I1" s="1212"/>
      <c r="J1" s="1212">
        <v>50</v>
      </c>
      <c r="K1" s="1212"/>
      <c r="L1" s="1212"/>
      <c r="M1" s="1212"/>
      <c r="N1" s="1212"/>
      <c r="O1" s="1212"/>
      <c r="P1" s="1212"/>
      <c r="Q1" s="1212"/>
      <c r="R1" s="1212"/>
    </row>
    <row r="2" spans="1:18" x14ac:dyDescent="0.25">
      <c r="A2" t="s">
        <v>564</v>
      </c>
      <c r="B2">
        <v>819</v>
      </c>
      <c r="C2">
        <v>4548</v>
      </c>
      <c r="D2">
        <v>3.3</v>
      </c>
      <c r="J2" t="s">
        <v>564</v>
      </c>
      <c r="K2">
        <v>805</v>
      </c>
      <c r="L2">
        <v>2450</v>
      </c>
      <c r="M2">
        <v>3.3</v>
      </c>
    </row>
    <row r="3" spans="1:18" x14ac:dyDescent="0.25">
      <c r="A3" t="s">
        <v>566</v>
      </c>
      <c r="B3">
        <v>850</v>
      </c>
      <c r="C3">
        <v>5252</v>
      </c>
      <c r="D3">
        <v>1.6</v>
      </c>
      <c r="J3" t="s">
        <v>566</v>
      </c>
      <c r="K3">
        <v>830</v>
      </c>
      <c r="L3">
        <v>5252</v>
      </c>
      <c r="M3">
        <v>3.3</v>
      </c>
    </row>
    <row r="4" spans="1:18" x14ac:dyDescent="0.25">
      <c r="A4" t="s">
        <v>568</v>
      </c>
      <c r="B4">
        <v>92.4</v>
      </c>
      <c r="C4">
        <v>120</v>
      </c>
      <c r="D4">
        <v>0.75</v>
      </c>
      <c r="J4" t="s">
        <v>568</v>
      </c>
      <c r="K4">
        <v>92.4</v>
      </c>
      <c r="L4">
        <v>120</v>
      </c>
      <c r="M4">
        <v>0.75</v>
      </c>
    </row>
    <row r="5" spans="1:18" x14ac:dyDescent="0.25">
      <c r="A5" t="s">
        <v>567</v>
      </c>
      <c r="B5">
        <f>B4+49.5</f>
        <v>141.9</v>
      </c>
      <c r="C5">
        <v>360</v>
      </c>
      <c r="D5">
        <v>1.5</v>
      </c>
      <c r="J5" t="s">
        <v>567</v>
      </c>
      <c r="K5">
        <f>K4+49.5</f>
        <v>141.9</v>
      </c>
      <c r="L5">
        <v>360</v>
      </c>
      <c r="M5">
        <v>1.5</v>
      </c>
    </row>
    <row r="6" spans="1:18" x14ac:dyDescent="0.25">
      <c r="A6" t="s">
        <v>569</v>
      </c>
      <c r="B6">
        <f>B5 + 118.8</f>
        <v>260.7</v>
      </c>
      <c r="C6">
        <v>480</v>
      </c>
      <c r="D6">
        <v>2.15</v>
      </c>
      <c r="J6" t="s">
        <v>569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565</v>
      </c>
      <c r="B7">
        <f>B6+165</f>
        <v>425.7</v>
      </c>
      <c r="C7">
        <v>960</v>
      </c>
      <c r="D7">
        <v>2.85</v>
      </c>
      <c r="J7" t="s">
        <v>565</v>
      </c>
      <c r="K7">
        <f>K6+165</f>
        <v>425.7</v>
      </c>
      <c r="L7">
        <v>960</v>
      </c>
      <c r="M7">
        <v>2.85</v>
      </c>
    </row>
    <row r="8" spans="1:18" x14ac:dyDescent="0.25">
      <c r="A8" t="s">
        <v>562</v>
      </c>
      <c r="B8">
        <f>B7+123.2</f>
        <v>548.9</v>
      </c>
      <c r="C8">
        <v>1560</v>
      </c>
      <c r="D8">
        <v>4.1500000000000004</v>
      </c>
      <c r="J8" t="s">
        <v>562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570</v>
      </c>
      <c r="B9">
        <v>60.06</v>
      </c>
      <c r="C9">
        <v>180</v>
      </c>
      <c r="D9">
        <v>0.75</v>
      </c>
      <c r="J9" t="s">
        <v>570</v>
      </c>
      <c r="K9">
        <v>92.4</v>
      </c>
      <c r="L9">
        <v>120</v>
      </c>
      <c r="M9">
        <v>0.75</v>
      </c>
    </row>
    <row r="10" spans="1:18" x14ac:dyDescent="0.25">
      <c r="A10" t="s">
        <v>571</v>
      </c>
      <c r="B10">
        <f>B9+32.175</f>
        <v>92.234999999999999</v>
      </c>
      <c r="C10">
        <f>C9+360</f>
        <v>540</v>
      </c>
      <c r="D10">
        <v>1.5</v>
      </c>
      <c r="J10" t="s">
        <v>571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572</v>
      </c>
      <c r="B11">
        <f>B10+77.22</f>
        <v>169.45499999999998</v>
      </c>
      <c r="C11">
        <f>C10+180</f>
        <v>720</v>
      </c>
      <c r="D11">
        <v>2.15</v>
      </c>
      <c r="J11" t="s">
        <v>572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573</v>
      </c>
      <c r="B12">
        <f>B11+107.25</f>
        <v>276.70499999999998</v>
      </c>
      <c r="C12">
        <f>C11+720</f>
        <v>1440</v>
      </c>
      <c r="D12">
        <v>2.85</v>
      </c>
      <c r="J12" t="s">
        <v>573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574</v>
      </c>
      <c r="B13">
        <f>B12+80.08</f>
        <v>356.78499999999997</v>
      </c>
      <c r="C13">
        <f>C12+900</f>
        <v>2340</v>
      </c>
      <c r="D13">
        <v>4.1500000000000004</v>
      </c>
      <c r="J13" t="s">
        <v>574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581</v>
      </c>
      <c r="N15" t="s">
        <v>581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857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857">
        <f>K16/L16</f>
        <v>190.5416309012875</v>
      </c>
    </row>
    <row r="18" spans="1:18" x14ac:dyDescent="0.25">
      <c r="B18" t="s">
        <v>538</v>
      </c>
      <c r="C18" t="s">
        <v>575</v>
      </c>
      <c r="D18" t="s">
        <v>563</v>
      </c>
      <c r="E18" t="s">
        <v>564</v>
      </c>
      <c r="F18" t="s">
        <v>566</v>
      </c>
      <c r="G18" t="s">
        <v>581</v>
      </c>
      <c r="K18" t="s">
        <v>538</v>
      </c>
      <c r="L18" t="s">
        <v>575</v>
      </c>
      <c r="M18" t="s">
        <v>563</v>
      </c>
      <c r="N18" t="s">
        <v>564</v>
      </c>
      <c r="O18" t="s">
        <v>566</v>
      </c>
      <c r="P18" t="s">
        <v>581</v>
      </c>
    </row>
    <row r="19" spans="1:18" x14ac:dyDescent="0.25">
      <c r="A19" t="s">
        <v>562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562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562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565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562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564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579</v>
      </c>
    </row>
    <row r="22" spans="1:18" x14ac:dyDescent="0.25">
      <c r="A22" t="s">
        <v>564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579</v>
      </c>
      <c r="J22" t="s">
        <v>562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565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565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566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576</v>
      </c>
      <c r="J24" s="859" t="s">
        <v>564</v>
      </c>
      <c r="K24" s="860">
        <f t="shared" si="1"/>
        <v>805</v>
      </c>
      <c r="L24" s="860">
        <f t="shared" si="2"/>
        <v>3.3</v>
      </c>
      <c r="M24" s="860"/>
      <c r="N24" s="860">
        <v>0</v>
      </c>
      <c r="O24" s="860">
        <f>O23+M24</f>
        <v>5040</v>
      </c>
      <c r="P24" s="860">
        <f>SUM(K$19:K24) / SUM(L$19:L24)</f>
        <v>172.77669902912621</v>
      </c>
      <c r="Q24" s="860" t="s">
        <v>580</v>
      </c>
      <c r="R24" s="861"/>
    </row>
    <row r="25" spans="1:18" x14ac:dyDescent="0.25">
      <c r="A25" t="s">
        <v>574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862" t="s">
        <v>567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863"/>
    </row>
    <row r="26" spans="1:18" x14ac:dyDescent="0.25">
      <c r="A26" t="s">
        <v>572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862" t="s">
        <v>566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863"/>
    </row>
    <row r="27" spans="1:18" x14ac:dyDescent="0.25">
      <c r="A27" s="859" t="s">
        <v>564</v>
      </c>
      <c r="B27" s="860">
        <f t="shared" si="3"/>
        <v>819</v>
      </c>
      <c r="C27" s="860">
        <f t="shared" si="0"/>
        <v>3.3</v>
      </c>
      <c r="D27" s="860"/>
      <c r="E27" s="860">
        <v>0</v>
      </c>
      <c r="F27" s="860">
        <f>F26+D27</f>
        <v>3760</v>
      </c>
      <c r="G27" s="860">
        <f>SUM(B$19:B27) / SUM(C$19:C27)</f>
        <v>170.6926174496644</v>
      </c>
      <c r="H27" s="860" t="s">
        <v>577</v>
      </c>
      <c r="I27" s="861"/>
      <c r="J27" s="50" t="s">
        <v>562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863"/>
    </row>
    <row r="28" spans="1:18" x14ac:dyDescent="0.25">
      <c r="A28" s="862" t="s">
        <v>574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863"/>
      <c r="J28" s="50" t="s">
        <v>568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863"/>
    </row>
    <row r="29" spans="1:18" x14ac:dyDescent="0.25">
      <c r="A29" s="862" t="s">
        <v>566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576</v>
      </c>
      <c r="I29" s="863"/>
      <c r="J29" s="50" t="s">
        <v>564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579</v>
      </c>
      <c r="R29" s="863"/>
    </row>
    <row r="30" spans="1:18" x14ac:dyDescent="0.25">
      <c r="A30" s="862" t="s">
        <v>574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863"/>
      <c r="J30" s="50" t="s">
        <v>562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863"/>
    </row>
    <row r="31" spans="1:18" x14ac:dyDescent="0.25">
      <c r="A31" s="862" t="s">
        <v>564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578</v>
      </c>
      <c r="I31" s="863"/>
      <c r="J31" s="865" t="s">
        <v>565</v>
      </c>
      <c r="K31" s="865">
        <f>VLOOKUP(J31, $J$2:$L$13, 2, FALSE)</f>
        <v>425.7</v>
      </c>
      <c r="L31" s="865">
        <f t="shared" si="2"/>
        <v>2.85</v>
      </c>
      <c r="M31" s="865">
        <f>VLOOKUP(J31, $J$2:$L$13, 3, FALSE)</f>
        <v>960</v>
      </c>
      <c r="N31" s="865">
        <f>N30+M31</f>
        <v>2520</v>
      </c>
      <c r="O31" s="865">
        <f t="shared" si="4"/>
        <v>4700</v>
      </c>
      <c r="P31" s="865">
        <f>SUM(K$19:K31) / SUM(L$19:L31)</f>
        <v>177.18768472906402</v>
      </c>
      <c r="Q31" s="865"/>
      <c r="R31" s="866"/>
    </row>
    <row r="32" spans="1:18" x14ac:dyDescent="0.25">
      <c r="A32" s="862" t="s">
        <v>574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863"/>
      <c r="J32" t="s">
        <v>564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580</v>
      </c>
    </row>
    <row r="33" spans="1:18" x14ac:dyDescent="0.25">
      <c r="A33" s="862" t="s">
        <v>566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576</v>
      </c>
      <c r="I33" s="863"/>
      <c r="J33" t="s">
        <v>565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862" t="s">
        <v>574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863"/>
      <c r="J34" t="s">
        <v>566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862" t="s">
        <v>564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579</v>
      </c>
      <c r="I35" s="863"/>
      <c r="J35" t="s">
        <v>562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862" t="s">
        <v>574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863"/>
      <c r="J36" t="s">
        <v>564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862" t="s">
        <v>566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576</v>
      </c>
      <c r="I37" s="863"/>
      <c r="J37" t="s">
        <v>562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864" t="s">
        <v>574</v>
      </c>
      <c r="B38" s="865">
        <f t="shared" si="5"/>
        <v>356.78499999999997</v>
      </c>
      <c r="C38" s="865">
        <f t="shared" si="0"/>
        <v>4.1500000000000004</v>
      </c>
      <c r="D38" s="865">
        <f>VLOOKUP(A38, $A$2:$C$13, 3, FALSE)</f>
        <v>2340</v>
      </c>
      <c r="E38" s="865">
        <f>E37+D38</f>
        <v>5380</v>
      </c>
      <c r="F38" s="865">
        <f>F37+D38</f>
        <v>3040</v>
      </c>
      <c r="G38" s="865">
        <f>SUM(B$19:B38) / SUM(C$19:C38)</f>
        <v>180.18423751891075</v>
      </c>
      <c r="H38" s="865"/>
      <c r="I38" s="866"/>
    </row>
    <row r="39" spans="1:18" x14ac:dyDescent="0.25">
      <c r="A39" s="858" t="s">
        <v>564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858" t="s">
        <v>577</v>
      </c>
      <c r="I39" s="858"/>
      <c r="J39" s="858"/>
      <c r="K39" s="858"/>
      <c r="L39" s="858"/>
      <c r="M39" s="858"/>
      <c r="N39" s="858"/>
      <c r="O39" s="858"/>
      <c r="Q39" s="858"/>
      <c r="R39" s="858"/>
    </row>
  </sheetData>
  <mergeCells count="2">
    <mergeCell ref="A1:I1"/>
    <mergeCell ref="J1:R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213" t="str">
        <f>B1&amp; "日"</f>
        <v>1日</v>
      </c>
      <c r="G1" s="1214"/>
      <c r="H1" s="1214"/>
      <c r="I1" s="1213" t="str">
        <f>C1 &amp; "日"</f>
        <v>7日</v>
      </c>
      <c r="J1" s="1214"/>
      <c r="K1" s="1214"/>
      <c r="L1" s="1213" t="s">
        <v>147</v>
      </c>
      <c r="M1" s="1214"/>
      <c r="N1" s="1214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-310 D 16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-313 D 08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-322 D 02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-327 D 14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-314 D 03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-108 D 12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-206 D 12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-259 D 06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-275 D 12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-295 D 01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-307 D 02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-331 D 16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-310 D 18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-316 D 10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-320 D 19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-327 D 15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-329 D 12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-324 D 07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-298 D 13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-287 D 12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-303 D 18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-302 D 19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-313 D 16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-305 D 09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-309 D 08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-309 D 18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-305 D 03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-306 D 11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-318 D 02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-305 D 17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-307 D 00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-317 D 10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-307 D 22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-307 D 04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-316 D 23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-308 D 01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-307 D 11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-297 D 11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-308 D 08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-308 D 01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-296 D 06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-309 D 02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-305 D 09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-303 D 04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-309 D 10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-307 D 22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-310 D 08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-309 D 18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-308 D 18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-316 D 22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-310 D 01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-309 D 03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-321 D 21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-310 D 12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-310 D 04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-312 D 18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-309 D 10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-307 D 06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-313 D 10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-308 D 08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-307 D 23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-299 D 05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-308 D 02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-309 D 05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-298 D 06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-307 D 09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-306 D 12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-295 D 08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-306 D 08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-306 D 17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-283 D 19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-306 D 06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-306 D 23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-287 D 05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-305 D 21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-307 D 04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-293 D 02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-306 D 01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-307 D 17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-299 D 07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-306 D 04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-308 D 06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-291 D 16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-307 D 13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-306 D 09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-308 D 04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-307 D 14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-307 D 07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-308 D 05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-307 D 16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-307 D 16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-292 D 21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-307 D 01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-306 D 08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-301 D 08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-307 D 14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-307 D 13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-318 D 20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-308 D 18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-309 D 16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-318 D 05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-308 D 23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-308 D 18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-322 D 08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-309 D 18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-309 D 15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-327 D 09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-310 D 11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-311 D 03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-330 D 01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-311 D 19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-312 D 01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-331 D 07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-312 D 19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-312 D 06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-338 D 13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-314 D 06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-312 D 18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-338 D 16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-315 D 07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-313 D 07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-338 D 22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-316 D 07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-313 D 13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-339 D 17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-317 D 02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-314 D 02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-340 D 02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-318 D 03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-314 D 09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-338 D 17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-318 D 16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-314 D 10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-338 D 20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-319 D 15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-314 D 18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-339 D 01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-320 D 03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-314 D 23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-334 D 00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-320 D 05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-314 D 06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-331 D 15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-320 D 12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-314 D 12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-330 D 22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-320 D 20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-314 D 20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-325 D 09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-321 D 17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-315 D 09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-328 D 04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-322 D 04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-315 D 22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-330 D 06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-322 D 19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-316 D 13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-333 D 05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-323 D 16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-317 D 00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-339 D 09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-325 D 07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-317 D 13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-342 D 21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-326 D 23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-318 D 20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-342 D 12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-328 D 02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-319 D 06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-341 D 04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-328 D 14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-319 D 12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-341 D 01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-329 D 01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-319 D 18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-340 D 22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-330 D 01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-319 D 21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-340 D 23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-330 D 10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-320 D 01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-337 D 16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-330 D 15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-320 D 03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-331 D 06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-332 D 15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-320 D 14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-331 D 01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-333 D 09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-320 D 18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-330 D 15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-333 D 12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-320 D 19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-331 D 01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-334 D 06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-321 D 00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-328 D 20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-335 D 18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-321 D 00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-328 D 23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-335 D 17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-321 D 15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-330 D 11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-335 D 13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-321 D 22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-331 D 13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-335 D 23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-322 D 07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-336 D 06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-336 D 00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-322 D 22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-336 D 11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-335 D 23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-323 D 01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-326 D 19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-335 D 11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-322 D 04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-324 D 18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-335 D 05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-322 D 08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-323 D 03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-335 D 03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-323 D 00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-335 D 02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-335 D 02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-324 D 02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-337 D 12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-335 D 01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-324 D 06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-340 D 21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-334 D 23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-324 D 20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-340 D 07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-334 D 23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-325 D 00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-340 D 02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-335 D 01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-325 D 02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-340 D 06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-335 D 04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-325 D 09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-340 D 09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-335 D 06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-325 D 11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-326 D 23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-334 D 07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-324 D 07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-303 D 16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-333 D 14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-324 D 10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-307 D 05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-333 D 09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-324 D 17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-312 D 03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-333 D 07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-324 D 20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-321 D 05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-333 D 01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-325 D 00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-335 D 06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-332 D 22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-325 D 06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-335 D 19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-332 D 22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-325 D 09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-336 D 04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-332 D 21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-325 D 11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-337 D 13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-333 D 00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-325 D 19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-338 D 02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-333 D 04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-326 D 00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-334 D 04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-332 D 20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-325 D 11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-327 D 16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-332 D 19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-325 D 12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-324 D 11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-332 D 15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-325 D 11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-324 D 12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-332 D 13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-325 D 13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-287 D 22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-331 D 07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-324 D 05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-309 D 11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-331 D 02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-325 D 02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-341 D 12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-331 D 02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-326 D 17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-273 D 10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-326 D 08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-324 D 17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-282 D 03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-324 D 11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-324 D 05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-287 D 15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-323 D 18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-324 D 07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-320 D 09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-323 D 08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-324 D 08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-330 D 04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-322 D 18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-324 D 20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-325 D 15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-321 D 16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-324 D 11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-323 D 19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-322 D 10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-324 D 21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-326 D 07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-323 D 02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-324 D 23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-328 D 22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-323 D 12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-324 D 19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-328 D 11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-324 D 14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-325 D 05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-328 D 22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-324 D 01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-325 D 01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-329 D 17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-324 D 17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-325 D 08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-325 D 21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-325 D 00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-325 D 04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-328 D 14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-325 D 12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-325 D 10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-329 D 17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-328 D 12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-325 D 23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-329 D 08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-328 D 13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-325 D 23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-328 D 11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-328 D 11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-325 D 21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-327 D 01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-328 D 04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-326 D 01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-326 D 05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-327 D 13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-325 D 21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-326 D 09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-327 D 11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-326 D 00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-327 D 02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-327 D 09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-326 D 03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-327 D 20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-327 D 10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-326 D 04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-321 D 08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-326 D 21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-325 D 18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-321 D 04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-326 D 10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-325 D 20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-321 D 07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-326 D 05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-325 D 18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-322 D 19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-326 D 04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-325 D 20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-326 D 12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-326 D 04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-325 D 21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-327 D 00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-326 D 05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-325 D 23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-327 D 17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-326 D 07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-326 D 00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-325 D 07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-325 D 23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-325 D 17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-330 D 08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-326 D 00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-326 D 03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-329 D 19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-326 D 02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-326 D 02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-327 D 19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-325 D 23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-325 D 22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-327 D 13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-326 D 01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-326 D 00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-326 D 04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-326 D 08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-326 D 05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-329 D 09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-326 D 15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-326 D 09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-330 D 03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-326 D 19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-326 D 10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-329 D 01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-326 D 18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-326 D 06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-329 D 17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-326 D 20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-326 D 07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-328 D 10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-326 D 22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-326 D 09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-327 D 12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-327 D 01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-326 D 11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-328 D 02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-327 D 08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-326 D 14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-329 D 20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-327 D 12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-326 D 15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-326 D 20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-327 D 12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-326 D 12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-326 D 23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-327 D 14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-326 D 14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-327 D 18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-327 D 21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-326 D 19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-328 D 01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-328 D 00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-326 D 18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-329 D 05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-328 D 02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-326 D 19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-328 D 14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-328 D 07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-326 D 20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-327 D 21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-328 D 09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-326 D 21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-326 D 12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-328 D 10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-326 D 20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-326 D 22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-328 D 10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-326 D 22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-327 D 04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-328 D 12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-326 D 23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-327 D 04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-328 D 11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-326 D 22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-327 D 13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-328 D 12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-327 D 01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-327 D 17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-328 D 12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-327 D 01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-327 D 18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-328 D 11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-327 D 00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-326 D 14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-328 D 07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-326 D 22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-327 D 19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-328 D 10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-327 D 04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-329 D 09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-328 D 13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-327 D 07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-329 D 02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-328 D 11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-327 D 06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-329 D 04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-328 D 12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-327 D 07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-330 D 05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-328 D 14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-327 D 10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-330 D 09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-328 D 15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-327 D 12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-330 D 11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-328 D 19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-327 D 16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-330 D 22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-328 D 21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-327 D 17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-327 D 21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-328 D 14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-327 D 08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-324 D 16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-328 D 13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-327 D 10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-324 D 12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-328 D 14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-327 D 12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-325 D 06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-328 D 14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-327 D 12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-325 D 22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-328 D 15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-327 D 13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-325 D 02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-328 D 08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-327 D 07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-326 D 12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-328 D 08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-327 D 08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-323 D 21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-328 D 04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-327 D 06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-324 D 16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-328 D 03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-327 D 07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-325 D 10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-328 D 03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-327 D 08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-326 D 01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-328 D 03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-327 D 09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-326 D 12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-328 D 03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-327 D 10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-327 D 06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-328 D 04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-327 D 12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-329 D 01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-328 D 05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-327 D 13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-327 D 19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-327 D 22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-327 D 06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-327 D 12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-327 D 22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-327 D 07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-328 D 08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-328 D 04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-327 D 16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-328 D 19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-328 D 03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-327 D 14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-328 D 23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-328 D 04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-327 D 16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-329 D 21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-328 D 06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-327 D 18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-329 D 21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-328 D 08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-327 D 20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-330 D 01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-328 D 10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-327 D 22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-330 D 08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-328 D 14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-328 D 01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-330 D 12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-328 D 17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-328 D 04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-331 D 00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-328 D 21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-328 D 08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-331 D 01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-328 D 23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-328 D 10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-331 D 02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-329 D 01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-328 D 11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-331 D 13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-329 D 09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-328 D 18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-331 D 11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-329 D 11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-328 D 19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-332 D 03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-330 D 04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-329 D 15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-332 D 06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-330 D 09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-329 D 19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-332 D 07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-330 D 14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-329 D 22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-332 D 08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-330 D 17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-330 D 01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-332 D 08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-330 D 23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-330 D 07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-332 D 08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-331 D 00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-330 D 07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-331 D 20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-331 D 06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-330 D 16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219">
        <v>43677.583333333336</v>
      </c>
      <c r="C1" s="1219"/>
      <c r="D1" s="233" t="s">
        <v>124</v>
      </c>
      <c r="E1" s="231" t="s">
        <v>77</v>
      </c>
      <c r="F1" s="231" t="s">
        <v>69</v>
      </c>
      <c r="G1" s="1179" t="s">
        <v>70</v>
      </c>
      <c r="H1" s="1179"/>
      <c r="I1" s="1179"/>
      <c r="J1" s="1179"/>
      <c r="K1" s="25"/>
      <c r="L1" s="230" t="s">
        <v>72</v>
      </c>
      <c r="M1" s="230"/>
      <c r="N1" s="890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219">
        <v>43688.583333333336</v>
      </c>
      <c r="C2" s="1219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218" t="str">
        <f ca="1">IF(NOW() &gt; $B$2,"",(NOW()-$B$1)/($B$2-$B$1))</f>
        <v/>
      </c>
      <c r="H2" s="1218"/>
      <c r="I2" s="1218"/>
      <c r="J2" s="1218"/>
      <c r="K2" s="25" t="s">
        <v>74</v>
      </c>
      <c r="L2" s="123">
        <v>100000</v>
      </c>
      <c r="N2" s="890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90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90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215" t="s">
        <v>71</v>
      </c>
      <c r="C5" s="1215"/>
      <c r="D5" s="1216" t="s">
        <v>128</v>
      </c>
      <c r="E5" s="1216"/>
      <c r="F5" s="1216" t="s">
        <v>73</v>
      </c>
      <c r="G5" s="1216"/>
      <c r="H5" s="1216" t="s">
        <v>76</v>
      </c>
      <c r="I5" s="1216"/>
      <c r="J5" s="1179" t="s">
        <v>126</v>
      </c>
      <c r="K5" s="1179"/>
      <c r="L5" s="1217" t="s">
        <v>127</v>
      </c>
      <c r="M5" s="1217"/>
      <c r="N5" s="1179" t="s">
        <v>125</v>
      </c>
      <c r="O5" s="1179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39" t="s">
        <v>204</v>
      </c>
      <c r="C2" s="1239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40" t="s">
        <v>17</v>
      </c>
      <c r="U3" s="1240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45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59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20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46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59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20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51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58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41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52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58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41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47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57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42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48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57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42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53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56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55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54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56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55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49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50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30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33">
        <f ca="1">SUM(MAX(L4,L5),MAX(L6,L7),MAX(L8,L9),MAX(L10,L11),MAX(L12,L13))</f>
        <v>0</v>
      </c>
      <c r="M14" s="1233">
        <f ca="1">SUM(MAX(M4,M5),MAX(M6,M7),MAX(M8,M9),MAX(M10,M11),MAX(M12,M13))</f>
        <v>0</v>
      </c>
      <c r="N14" s="1243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31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34"/>
      <c r="M15" s="1234"/>
      <c r="N15" s="1244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31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21">
        <f ca="1">IFERROR(ROUND(J16/(O16*INPUT_IO_DROP_RATE),0),NA())</f>
        <v>0</v>
      </c>
      <c r="M16" s="1221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32">
        <f>SUM(D迎擊!AK:AK)</f>
        <v>1045</v>
      </c>
      <c r="AD16" s="49"/>
    </row>
    <row r="17" spans="2:27" x14ac:dyDescent="0.25">
      <c r="B17" s="1231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21">
        <f ca="1">IFERROR(ROUND(J17/O17,0),NA())</f>
        <v>0</v>
      </c>
      <c r="M17" s="1221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32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31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21">
        <f ca="1">IFERROR(ROUND(J18/O18,0),NA())</f>
        <v>0</v>
      </c>
      <c r="M18" s="1221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32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35" t="s">
        <v>132</v>
      </c>
      <c r="C20" s="1236"/>
      <c r="D20" s="1236"/>
      <c r="E20" s="1236"/>
      <c r="F20" s="1236"/>
      <c r="G20" s="1236"/>
      <c r="H20" s="1236"/>
      <c r="I20" s="1222">
        <v>1</v>
      </c>
      <c r="J20" s="1226" t="s">
        <v>164</v>
      </c>
      <c r="K20" s="1227"/>
      <c r="L20" s="1222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22"/>
      <c r="N20" s="1222"/>
      <c r="O20" s="1222"/>
      <c r="P20" s="1223"/>
    </row>
    <row r="21" spans="2:27" ht="22.5" customHeight="1" thickBot="1" x14ac:dyDescent="0.3">
      <c r="B21" s="1237"/>
      <c r="C21" s="1238"/>
      <c r="D21" s="1238"/>
      <c r="E21" s="1238"/>
      <c r="F21" s="1238"/>
      <c r="G21" s="1238"/>
      <c r="H21" s="1238"/>
      <c r="I21" s="1224"/>
      <c r="J21" s="1228"/>
      <c r="K21" s="1229"/>
      <c r="L21" s="1224"/>
      <c r="M21" s="1224"/>
      <c r="N21" s="1224"/>
      <c r="O21" s="1224"/>
      <c r="P21" s="1225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67" t="s">
        <v>80</v>
      </c>
      <c r="B1" s="1267"/>
      <c r="C1" s="1262" t="s">
        <v>26</v>
      </c>
      <c r="D1" s="1262" t="s">
        <v>79</v>
      </c>
      <c r="E1" s="1262"/>
      <c r="F1" s="1262" t="s">
        <v>26</v>
      </c>
      <c r="G1" s="1274" t="s">
        <v>80</v>
      </c>
      <c r="H1" s="1274"/>
      <c r="I1" s="1261" t="s">
        <v>26</v>
      </c>
      <c r="J1" s="1261" t="s">
        <v>79</v>
      </c>
      <c r="K1" s="1261"/>
      <c r="L1" s="1261" t="s">
        <v>26</v>
      </c>
      <c r="M1" s="1273" t="s">
        <v>80</v>
      </c>
      <c r="N1" s="1273"/>
      <c r="O1" s="1272" t="s">
        <v>26</v>
      </c>
      <c r="P1" s="1272" t="s">
        <v>79</v>
      </c>
      <c r="Q1" s="1272"/>
      <c r="R1" s="1272" t="s">
        <v>26</v>
      </c>
      <c r="S1" s="1266" t="s">
        <v>80</v>
      </c>
      <c r="T1" s="1266"/>
      <c r="U1" s="1265" t="s">
        <v>26</v>
      </c>
      <c r="V1" s="1265" t="s">
        <v>79</v>
      </c>
      <c r="W1" s="1265"/>
      <c r="X1" s="1265" t="s">
        <v>26</v>
      </c>
      <c r="Y1" s="1264" t="s">
        <v>80</v>
      </c>
      <c r="Z1" s="1264"/>
      <c r="AA1" s="1263" t="s">
        <v>26</v>
      </c>
      <c r="AB1" s="1263" t="s">
        <v>79</v>
      </c>
      <c r="AC1" s="1263"/>
      <c r="AD1" s="1263" t="s">
        <v>26</v>
      </c>
      <c r="AE1" s="1270" t="s">
        <v>88</v>
      </c>
      <c r="AF1" s="1270"/>
      <c r="AG1" s="1271" t="s">
        <v>89</v>
      </c>
      <c r="AH1" s="1271"/>
      <c r="AI1" s="1268" t="s">
        <v>90</v>
      </c>
      <c r="AJ1" s="1268"/>
      <c r="AK1" s="1269" t="s">
        <v>26</v>
      </c>
      <c r="AM1" s="1053" t="s">
        <v>129</v>
      </c>
      <c r="AN1" s="1260"/>
      <c r="AO1" s="1260"/>
      <c r="AP1" s="1260"/>
      <c r="AQ1" s="1260"/>
      <c r="AR1" s="1260"/>
      <c r="AS1" s="1260"/>
      <c r="AT1" s="1260"/>
      <c r="AU1" s="1054"/>
      <c r="AV1" s="239"/>
      <c r="AW1" s="1053" t="s">
        <v>58</v>
      </c>
      <c r="AX1" s="1260"/>
      <c r="AY1" s="1260"/>
      <c r="AZ1" s="1260"/>
      <c r="BA1" s="1260"/>
      <c r="BB1" s="1260"/>
      <c r="BC1" s="1260"/>
      <c r="BD1" s="1260"/>
      <c r="BE1" s="1054"/>
    </row>
    <row r="2" spans="1:57" x14ac:dyDescent="0.25">
      <c r="A2" s="260" t="s">
        <v>28</v>
      </c>
      <c r="B2" s="106" t="s">
        <v>87</v>
      </c>
      <c r="C2" s="1262"/>
      <c r="D2" s="104" t="s">
        <v>28</v>
      </c>
      <c r="E2" s="106" t="s">
        <v>87</v>
      </c>
      <c r="F2" s="1262"/>
      <c r="G2" s="256" t="s">
        <v>28</v>
      </c>
      <c r="H2" s="107" t="s">
        <v>87</v>
      </c>
      <c r="I2" s="1261"/>
      <c r="J2" s="258" t="s">
        <v>28</v>
      </c>
      <c r="K2" s="102" t="s">
        <v>87</v>
      </c>
      <c r="L2" s="1261"/>
      <c r="M2" s="254" t="s">
        <v>28</v>
      </c>
      <c r="N2" s="100" t="s">
        <v>87</v>
      </c>
      <c r="O2" s="1272"/>
      <c r="P2" s="254" t="s">
        <v>28</v>
      </c>
      <c r="Q2" s="100" t="s">
        <v>87</v>
      </c>
      <c r="R2" s="1272"/>
      <c r="S2" s="249" t="s">
        <v>28</v>
      </c>
      <c r="T2" s="98" t="s">
        <v>87</v>
      </c>
      <c r="U2" s="1265"/>
      <c r="V2" s="249" t="s">
        <v>28</v>
      </c>
      <c r="W2" s="98" t="s">
        <v>87</v>
      </c>
      <c r="X2" s="1265"/>
      <c r="Y2" s="251" t="s">
        <v>28</v>
      </c>
      <c r="Z2" s="109" t="s">
        <v>87</v>
      </c>
      <c r="AA2" s="1263"/>
      <c r="AB2" s="251" t="s">
        <v>28</v>
      </c>
      <c r="AC2" s="109" t="s">
        <v>87</v>
      </c>
      <c r="AD2" s="1263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69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81" t="s">
        <v>158</v>
      </c>
      <c r="B1" s="1283" t="s">
        <v>161</v>
      </c>
      <c r="C1" s="1283"/>
      <c r="D1" s="1283"/>
      <c r="E1" s="1283"/>
      <c r="F1" s="1283"/>
      <c r="G1" s="1283"/>
      <c r="H1" s="1283"/>
      <c r="I1" s="328"/>
      <c r="J1" s="1283" t="s">
        <v>159</v>
      </c>
      <c r="K1" s="1283"/>
      <c r="L1" s="1283"/>
      <c r="M1" s="1283"/>
      <c r="N1" s="1283"/>
      <c r="O1" s="423" t="s">
        <v>200</v>
      </c>
      <c r="P1" s="328"/>
      <c r="Q1" s="1284" t="s">
        <v>160</v>
      </c>
      <c r="R1" s="1284"/>
      <c r="S1" s="1284"/>
      <c r="T1" s="1284"/>
      <c r="U1" s="1284"/>
      <c r="V1" s="1284"/>
      <c r="W1" s="1284"/>
    </row>
    <row r="2" spans="1:23" ht="25.5" customHeight="1" x14ac:dyDescent="0.25">
      <c r="A2" s="1281"/>
      <c r="B2" s="1276" t="s">
        <v>51</v>
      </c>
      <c r="C2" s="1276"/>
      <c r="D2" s="1277" t="s">
        <v>53</v>
      </c>
      <c r="E2" s="1277"/>
      <c r="F2" s="1287" t="s">
        <v>55</v>
      </c>
      <c r="G2" s="1287"/>
      <c r="H2" s="1287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81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75">
        <f>FLOOR(C7/MAX(DATA_DRAG_ACCU_EXP),1)</f>
        <v>60</v>
      </c>
      <c r="H3" s="1275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81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75">
        <f>MATCH(C10,DATA_DRAG_ACCU_EXP,0)</f>
        <v>97</v>
      </c>
      <c r="H4" s="1275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81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75">
        <f>INDEX(DATA_DRAG_LV_EXP,G4)-(C9-C10)</f>
        <v>23760</v>
      </c>
      <c r="H5" s="1275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81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85" t="str">
        <f>IF(R7&gt;0,R6/R7,"")</f>
        <v/>
      </c>
      <c r="V6" s="1285"/>
      <c r="W6" s="1285"/>
    </row>
    <row r="7" spans="1:23" ht="25.5" customHeight="1" x14ac:dyDescent="0.25">
      <c r="A7" s="1281"/>
      <c r="B7" s="118" t="s">
        <v>85</v>
      </c>
      <c r="C7" s="119">
        <f>C6-C8</f>
        <v>75540600</v>
      </c>
      <c r="D7" s="82" t="s">
        <v>54</v>
      </c>
      <c r="E7" s="83"/>
      <c r="F7" s="1179" t="s">
        <v>66</v>
      </c>
      <c r="G7" s="1179"/>
      <c r="H7" s="1179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81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79" t="s">
        <v>50</v>
      </c>
      <c r="G8" s="1286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81"/>
      <c r="B9" s="90" t="s">
        <v>82</v>
      </c>
      <c r="C9" s="90">
        <f>MOD(C7,DRAG_EXP_100)</f>
        <v>1139400</v>
      </c>
      <c r="F9" s="1179"/>
      <c r="G9" s="1286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81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81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81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80" t="s">
        <v>162</v>
      </c>
      <c r="B13" s="1282" t="s">
        <v>163</v>
      </c>
      <c r="C13" s="1282"/>
      <c r="D13" s="1282"/>
      <c r="E13" s="1282"/>
      <c r="F13" s="1282"/>
      <c r="G13" s="1282"/>
      <c r="H13" s="1282"/>
      <c r="O13" s="422"/>
    </row>
    <row r="14" spans="1:23" s="239" customFormat="1" ht="25.5" customHeight="1" x14ac:dyDescent="0.25">
      <c r="A14" s="1281"/>
      <c r="B14" s="1276" t="s">
        <v>51</v>
      </c>
      <c r="C14" s="1276"/>
      <c r="D14" s="1277" t="s">
        <v>53</v>
      </c>
      <c r="E14" s="1277"/>
      <c r="F14" s="1278" t="s">
        <v>55</v>
      </c>
      <c r="G14" s="1278"/>
      <c r="H14" s="1278"/>
    </row>
    <row r="15" spans="1:23" ht="25.5" customHeight="1" x14ac:dyDescent="0.25">
      <c r="A15" s="1281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79">
        <f>FLOOR(C19/MAX(DATA_WYRM_ACCU_EXP),1)</f>
        <v>133</v>
      </c>
      <c r="H15" s="1279"/>
    </row>
    <row r="16" spans="1:23" ht="25.5" customHeight="1" x14ac:dyDescent="0.25">
      <c r="A16" s="1281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75">
        <f>MATCH(C22,DATA_WYRM_ACCU_EXP,0)</f>
        <v>48</v>
      </c>
      <c r="H16" s="1275"/>
    </row>
    <row r="17" spans="1:8" ht="25.5" customHeight="1" x14ac:dyDescent="0.25">
      <c r="A17" s="1281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75">
        <f>INDEX(DATA_WYRM_LV_EXP,G16)-(C21-C22)</f>
        <v>530</v>
      </c>
      <c r="H17" s="1275"/>
    </row>
    <row r="18" spans="1:8" ht="25.5" customHeight="1" x14ac:dyDescent="0.25">
      <c r="A18" s="1281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81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72" t="s">
        <v>96</v>
      </c>
      <c r="B1" s="1272"/>
      <c r="C1" s="1272"/>
      <c r="D1" s="209"/>
      <c r="E1" s="1289" t="s">
        <v>97</v>
      </c>
      <c r="F1" s="1289"/>
      <c r="G1" s="1289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88">
        <v>67</v>
      </c>
      <c r="C8" s="1288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91" t="s">
        <v>41</v>
      </c>
      <c r="J24" s="1291"/>
      <c r="K24" s="1290">
        <f>K14+K22</f>
        <v>0</v>
      </c>
      <c r="L24" s="1290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90" t="s">
        <v>96</v>
      </c>
      <c r="B1" s="890"/>
      <c r="C1" s="890"/>
      <c r="D1" s="890"/>
      <c r="E1" s="890"/>
      <c r="F1" s="890"/>
      <c r="G1" s="890" t="s">
        <v>97</v>
      </c>
      <c r="H1" s="890"/>
      <c r="I1" s="890"/>
      <c r="J1" s="890"/>
      <c r="K1" s="890"/>
      <c r="L1" s="890"/>
      <c r="N1" s="890" t="s">
        <v>104</v>
      </c>
      <c r="O1" s="890"/>
    </row>
    <row r="2" spans="1:15" x14ac:dyDescent="0.25">
      <c r="A2" s="1292" t="s">
        <v>102</v>
      </c>
      <c r="B2" s="1292"/>
      <c r="C2" s="1294" t="s">
        <v>95</v>
      </c>
      <c r="D2" s="1294"/>
      <c r="E2" s="1293" t="s">
        <v>103</v>
      </c>
      <c r="F2" s="1293"/>
      <c r="G2" s="1296" t="s">
        <v>99</v>
      </c>
      <c r="H2" s="1296"/>
      <c r="I2" s="1293" t="s">
        <v>100</v>
      </c>
      <c r="J2" s="1293"/>
      <c r="K2" s="1295" t="s">
        <v>101</v>
      </c>
      <c r="L2" s="1295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99" t="s">
        <v>155</v>
      </c>
      <c r="D1" s="1298">
        <f>INDEX(DATA_EVTBLD,B1,3)-B3</f>
        <v>2428</v>
      </c>
      <c r="E1" s="1297" t="s">
        <v>24</v>
      </c>
      <c r="F1" s="1300">
        <f>1-(INDEX(DATA_EVTBLD,B1,3)-B3)/DATA_EVTBLD_MAX</f>
        <v>0.68935516888433979</v>
      </c>
      <c r="G1" s="1300"/>
      <c r="H1" s="1300"/>
      <c r="I1" s="1300"/>
      <c r="J1" s="1300"/>
      <c r="K1" s="1300"/>
      <c r="L1" s="1300"/>
    </row>
    <row r="2" spans="1:12" ht="14.65" customHeight="1" x14ac:dyDescent="0.25">
      <c r="A2" s="312" t="s">
        <v>374</v>
      </c>
      <c r="B2" s="318">
        <v>30</v>
      </c>
      <c r="C2" s="1299"/>
      <c r="D2" s="1298"/>
      <c r="E2" s="1297"/>
      <c r="F2" s="1300"/>
      <c r="G2" s="1300"/>
      <c r="H2" s="1300"/>
      <c r="I2" s="1300"/>
      <c r="J2" s="1300"/>
      <c r="K2" s="1300"/>
      <c r="L2" s="1300"/>
    </row>
    <row r="3" spans="1:12" ht="14.65" customHeight="1" x14ac:dyDescent="0.25">
      <c r="A3" s="312" t="s">
        <v>154</v>
      </c>
      <c r="B3" s="318">
        <v>2122</v>
      </c>
      <c r="C3" s="1299"/>
      <c r="D3" s="1298"/>
      <c r="E3" s="1297"/>
      <c r="F3" s="1300"/>
      <c r="G3" s="1300"/>
      <c r="H3" s="1300"/>
      <c r="I3" s="1300"/>
      <c r="J3" s="1300"/>
      <c r="K3" s="1300"/>
      <c r="L3" s="1300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30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141</vt:i4>
      </vt:variant>
    </vt:vector>
  </HeadingPairs>
  <TitlesOfParts>
    <vt:vector size="175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傷害估算</vt:lpstr>
      <vt:lpstr>Sheet1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2020-08-17T02:10:39Z</dcterms:modified>
</cp:coreProperties>
</file>