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F0FDE952-51D6-4188-974E-F5707F972626}" xr6:coauthVersionLast="45" xr6:coauthVersionMax="45" xr10:uidLastSave="{00000000-0000-0000-0000-000000000000}"/>
  <bookViews>
    <workbookView xWindow="2715" yWindow="255" windowWidth="21600" windowHeight="11385" firstSheet="1" activeTab="11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40" l="1"/>
  <c r="H25" i="40"/>
  <c r="G25" i="40"/>
  <c r="F25" i="40"/>
  <c r="E25" i="40"/>
  <c r="I25" i="40" s="1"/>
  <c r="H193" i="16"/>
  <c r="I193" i="16" s="1"/>
  <c r="J193" i="16" s="1"/>
  <c r="G193" i="16"/>
  <c r="K193" i="16" s="1"/>
  <c r="F193" i="16"/>
  <c r="H192" i="16"/>
  <c r="G192" i="16"/>
  <c r="K192" i="16" s="1"/>
  <c r="F192" i="16"/>
  <c r="I192" i="16" s="1"/>
  <c r="J192" i="16" s="1"/>
  <c r="E193" i="16"/>
  <c r="E192" i="16"/>
  <c r="I191" i="16" l="1"/>
  <c r="J191" i="16" s="1"/>
  <c r="H191" i="16"/>
  <c r="G191" i="16"/>
  <c r="K191" i="16" s="1"/>
  <c r="F191" i="16"/>
  <c r="G24" i="40" l="1"/>
  <c r="F24" i="40"/>
  <c r="E24" i="40"/>
  <c r="I24" i="40" s="1"/>
  <c r="J24" i="40" s="1"/>
  <c r="E191" i="16"/>
  <c r="H24" i="40" l="1"/>
  <c r="J23" i="40"/>
  <c r="H23" i="40"/>
  <c r="G23" i="40"/>
  <c r="F23" i="40"/>
  <c r="E23" i="40"/>
  <c r="I23" i="40"/>
  <c r="I190" i="16" l="1"/>
  <c r="J190" i="16" s="1"/>
  <c r="H190" i="16"/>
  <c r="G190" i="16"/>
  <c r="K190" i="16" s="1"/>
  <c r="F190" i="16"/>
  <c r="E190" i="16"/>
  <c r="I189" i="16" l="1"/>
  <c r="J189" i="16" s="1"/>
  <c r="H189" i="16"/>
  <c r="G189" i="16"/>
  <c r="K189" i="16" s="1"/>
  <c r="F189" i="16"/>
  <c r="E189" i="16"/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149" i="25"/>
  <c r="F216" i="25"/>
  <c r="F204" i="25"/>
  <c r="F54" i="25"/>
  <c r="F71" i="25"/>
  <c r="I19" i="25"/>
  <c r="F180" i="25"/>
  <c r="I85" i="25"/>
  <c r="F214" i="25"/>
  <c r="F200" i="25"/>
  <c r="F118" i="25"/>
  <c r="I47" i="25"/>
  <c r="I126" i="25"/>
  <c r="I36" i="25"/>
  <c r="F93" i="25"/>
  <c r="I146" i="25"/>
  <c r="F5" i="25"/>
  <c r="I174" i="25"/>
  <c r="F27" i="25"/>
  <c r="I84" i="25"/>
  <c r="F153" i="25"/>
  <c r="I152" i="25"/>
  <c r="I70" i="25"/>
  <c r="I208" i="25"/>
  <c r="D8" i="28"/>
  <c r="F193" i="25"/>
  <c r="I82" i="25"/>
  <c r="I147" i="25"/>
  <c r="F90" i="25"/>
  <c r="I12" i="25"/>
  <c r="F76" i="25"/>
  <c r="I90" i="25"/>
  <c r="F166" i="25"/>
  <c r="I198" i="25"/>
  <c r="I95" i="25"/>
  <c r="I197" i="25"/>
  <c r="F210" i="25"/>
  <c r="F133" i="25"/>
  <c r="F36" i="25"/>
  <c r="I111" i="25"/>
  <c r="F175" i="25"/>
  <c r="I217" i="25"/>
  <c r="F18" i="25"/>
  <c r="F39" i="25"/>
  <c r="F50" i="25"/>
  <c r="I160" i="25"/>
  <c r="I156" i="25"/>
  <c r="I180" i="25"/>
  <c r="I81" i="25"/>
  <c r="I80" i="25"/>
  <c r="I88" i="25"/>
  <c r="I46" i="25"/>
  <c r="I33" i="25"/>
  <c r="I222" i="25"/>
  <c r="F150" i="25"/>
  <c r="I122" i="25"/>
  <c r="I178" i="25"/>
  <c r="F37" i="25"/>
  <c r="I140" i="25"/>
  <c r="I189" i="25"/>
  <c r="I138" i="25"/>
  <c r="F69" i="25"/>
  <c r="F105" i="25"/>
  <c r="F60" i="25"/>
  <c r="I172" i="25"/>
  <c r="F107" i="25"/>
  <c r="F78" i="25"/>
  <c r="E7" i="28"/>
  <c r="I83" i="25"/>
  <c r="F164" i="25"/>
  <c r="I179" i="25"/>
  <c r="F119" i="25"/>
  <c r="I220" i="25"/>
  <c r="F91" i="25"/>
  <c r="I139" i="25"/>
  <c r="F48" i="25"/>
  <c r="I58" i="25"/>
  <c r="I63" i="25"/>
  <c r="F147" i="25"/>
  <c r="F64" i="25"/>
  <c r="I49" i="25"/>
  <c r="I87" i="25"/>
  <c r="I55" i="25"/>
  <c r="I214" i="25"/>
  <c r="I124" i="25"/>
  <c r="I89" i="25"/>
  <c r="F208" i="25"/>
  <c r="F34" i="25"/>
  <c r="F108" i="25"/>
  <c r="I150" i="25"/>
  <c r="F211" i="25"/>
  <c r="F79" i="25"/>
  <c r="F89" i="25"/>
  <c r="F143" i="25"/>
  <c r="F3" i="25"/>
  <c r="I112" i="25"/>
  <c r="I16" i="25"/>
  <c r="I43" i="25"/>
  <c r="I143" i="25"/>
  <c r="F58" i="25"/>
  <c r="F103" i="25"/>
  <c r="I120" i="25"/>
  <c r="F52" i="25"/>
  <c r="F203" i="25"/>
  <c r="F136" i="25"/>
  <c r="F94" i="25"/>
  <c r="I97" i="25"/>
  <c r="I61" i="25"/>
  <c r="I209" i="25"/>
  <c r="F213" i="25"/>
  <c r="F116" i="25"/>
  <c r="F11" i="25"/>
  <c r="F12" i="25"/>
  <c r="I192" i="25"/>
  <c r="I171" i="25"/>
  <c r="I186" i="25"/>
  <c r="I221" i="25"/>
  <c r="E8" i="28"/>
  <c r="F163" i="25"/>
  <c r="I35" i="25"/>
  <c r="F137" i="25"/>
  <c r="I165" i="25"/>
  <c r="I104" i="25"/>
  <c r="F55" i="25"/>
  <c r="I219" i="25"/>
  <c r="I161" i="25"/>
  <c r="I64" i="25"/>
  <c r="F17" i="25"/>
  <c r="F132" i="25"/>
  <c r="I77" i="25"/>
  <c r="F155" i="25"/>
  <c r="I66" i="25"/>
  <c r="F81" i="25"/>
  <c r="I98" i="25"/>
  <c r="F125" i="25"/>
  <c r="I169" i="25"/>
  <c r="F88" i="25"/>
  <c r="I86" i="25"/>
  <c r="I71" i="25"/>
  <c r="F201" i="25"/>
  <c r="I188" i="25"/>
  <c r="F114" i="25"/>
  <c r="I59" i="25"/>
  <c r="F26" i="25"/>
  <c r="F109" i="25"/>
  <c r="F154" i="25"/>
  <c r="F4" i="25"/>
  <c r="F21" i="25"/>
  <c r="F96" i="25"/>
  <c r="I39" i="25"/>
  <c r="I212" i="25"/>
  <c r="I9" i="28"/>
  <c r="F139" i="25"/>
  <c r="I79" i="25"/>
  <c r="F104" i="25"/>
  <c r="I31" i="25"/>
  <c r="F120" i="25"/>
  <c r="F7" i="25"/>
  <c r="I119" i="25"/>
  <c r="I162" i="25"/>
  <c r="I27" i="25"/>
  <c r="F182" i="25"/>
  <c r="F220" i="25"/>
  <c r="F212" i="25"/>
  <c r="F67" i="25"/>
  <c r="I213" i="25"/>
  <c r="I218" i="25"/>
  <c r="I11" i="25"/>
  <c r="I181" i="25"/>
  <c r="H9" i="28"/>
  <c r="I67" i="25"/>
  <c r="I106" i="25"/>
  <c r="I131" i="25"/>
  <c r="F45" i="25"/>
  <c r="I103" i="25"/>
  <c r="F6" i="25"/>
  <c r="F14" i="25"/>
  <c r="F15" i="25"/>
  <c r="I13" i="25"/>
  <c r="F178" i="25"/>
  <c r="I193" i="25"/>
  <c r="F31" i="25"/>
  <c r="I195" i="25"/>
  <c r="F111" i="25"/>
  <c r="I128" i="25"/>
  <c r="I23" i="25"/>
  <c r="F102" i="25"/>
  <c r="F70" i="25"/>
  <c r="I6" i="25"/>
  <c r="F8" i="25"/>
  <c r="F135" i="25"/>
  <c r="F128" i="25"/>
  <c r="I123" i="25"/>
  <c r="F113" i="25"/>
  <c r="F190" i="25"/>
  <c r="I204" i="25"/>
  <c r="F199" i="25"/>
  <c r="F44" i="25"/>
  <c r="F122" i="25"/>
  <c r="F66" i="25"/>
  <c r="F97" i="25"/>
  <c r="F184" i="25"/>
  <c r="I129" i="25"/>
  <c r="I116" i="25"/>
  <c r="I15" i="25"/>
  <c r="I8" i="25"/>
  <c r="F165" i="25"/>
  <c r="F87" i="25"/>
  <c r="F59" i="25"/>
  <c r="I38" i="25"/>
  <c r="F112" i="25"/>
  <c r="I24" i="25"/>
  <c r="F140" i="25"/>
  <c r="I7" i="25"/>
  <c r="F124" i="25"/>
  <c r="I121" i="25"/>
  <c r="I40" i="25"/>
  <c r="I191" i="25"/>
  <c r="F188" i="25"/>
  <c r="I18" i="25"/>
  <c r="I113" i="25"/>
  <c r="F206" i="25"/>
  <c r="I163" i="25"/>
  <c r="I137" i="25"/>
  <c r="F222" i="25"/>
  <c r="F57" i="25"/>
  <c r="I158" i="25"/>
  <c r="F198" i="25"/>
  <c r="I196" i="25"/>
  <c r="F99" i="25"/>
  <c r="I92" i="25"/>
  <c r="I50" i="25"/>
  <c r="I101" i="25"/>
  <c r="F215" i="25"/>
  <c r="F172" i="25"/>
  <c r="I130" i="25"/>
  <c r="I107" i="25"/>
  <c r="I30" i="25"/>
  <c r="F19" i="25"/>
  <c r="I26" i="25"/>
  <c r="I105" i="25"/>
  <c r="F115" i="25"/>
  <c r="I184" i="25"/>
  <c r="F217" i="25"/>
  <c r="F77" i="25"/>
  <c r="F157" i="25"/>
  <c r="I127" i="25"/>
  <c r="I194" i="25"/>
  <c r="F85" i="25"/>
  <c r="I25" i="25"/>
  <c r="F145" i="25"/>
  <c r="F192" i="25"/>
  <c r="I164" i="25"/>
  <c r="I91" i="25"/>
  <c r="F61" i="25"/>
  <c r="F181" i="25"/>
  <c r="F10" i="25"/>
  <c r="F162" i="25"/>
  <c r="F28" i="25"/>
  <c r="I182" i="25"/>
  <c r="F101" i="25"/>
  <c r="F29" i="25"/>
  <c r="I51" i="25"/>
  <c r="I65" i="25"/>
  <c r="F179" i="25"/>
  <c r="F43" i="25"/>
  <c r="F117" i="25"/>
  <c r="F218" i="25"/>
  <c r="F169" i="25"/>
  <c r="I170" i="25"/>
  <c r="F221" i="25"/>
  <c r="F186" i="25"/>
  <c r="F134" i="25"/>
  <c r="I45" i="25"/>
  <c r="H8" i="28"/>
  <c r="I141" i="25"/>
  <c r="I216" i="25"/>
  <c r="F30" i="25"/>
  <c r="I148" i="25"/>
  <c r="F74" i="25"/>
  <c r="I134" i="25"/>
  <c r="F82" i="25"/>
  <c r="D9" i="28"/>
  <c r="F98" i="25"/>
  <c r="I109" i="25"/>
  <c r="I52" i="25"/>
  <c r="I54" i="25"/>
  <c r="I145" i="25"/>
  <c r="I72" i="25"/>
  <c r="F191" i="25"/>
  <c r="I211" i="25"/>
  <c r="F22" i="25"/>
  <c r="F161" i="25"/>
  <c r="I93" i="25"/>
  <c r="I14" i="25"/>
  <c r="I153" i="25"/>
  <c r="F219" i="25"/>
  <c r="F123" i="25"/>
  <c r="F167" i="25"/>
  <c r="F56" i="25"/>
  <c r="I202" i="25"/>
  <c r="F13" i="25"/>
  <c r="I7" i="28"/>
  <c r="I21" i="25"/>
  <c r="F141" i="25"/>
  <c r="F168" i="25"/>
  <c r="F35" i="25"/>
  <c r="F53" i="25"/>
  <c r="I142" i="25"/>
  <c r="F138" i="25"/>
  <c r="F92" i="25"/>
  <c r="I185" i="25"/>
  <c r="F142" i="25"/>
  <c r="F176" i="25"/>
  <c r="F151" i="25"/>
  <c r="F195" i="25"/>
  <c r="F75" i="25"/>
  <c r="I115" i="25"/>
  <c r="I8" i="28"/>
  <c r="I155" i="25"/>
  <c r="F47" i="25"/>
  <c r="F49" i="25"/>
  <c r="F23" i="25"/>
  <c r="F51" i="25"/>
  <c r="F68" i="25"/>
  <c r="I4" i="25"/>
  <c r="I5" i="25"/>
  <c r="F183" i="25"/>
  <c r="F174" i="25"/>
  <c r="I32" i="25"/>
  <c r="I135" i="25"/>
  <c r="E9" i="28"/>
  <c r="I144" i="25"/>
  <c r="F20" i="25"/>
  <c r="I175" i="25"/>
  <c r="I60" i="25"/>
  <c r="F84" i="25"/>
  <c r="I117" i="25"/>
  <c r="F202" i="25"/>
  <c r="I136" i="25"/>
  <c r="F24" i="25"/>
  <c r="I56" i="25"/>
  <c r="I167" i="25"/>
  <c r="I10" i="25"/>
  <c r="F72" i="25"/>
  <c r="I96" i="25"/>
  <c r="I201" i="25"/>
  <c r="I99" i="25"/>
  <c r="I34" i="25"/>
  <c r="I20" i="25"/>
  <c r="F42" i="25"/>
  <c r="I102" i="25"/>
  <c r="I29" i="25"/>
  <c r="F144" i="25"/>
  <c r="I73" i="25"/>
  <c r="F187" i="25"/>
  <c r="I110" i="25"/>
  <c r="F156" i="25"/>
  <c r="I133" i="25"/>
  <c r="F170" i="25"/>
  <c r="I44" i="25"/>
  <c r="F121" i="25"/>
  <c r="F40" i="25"/>
  <c r="I9" i="25"/>
  <c r="F160" i="25"/>
  <c r="F146" i="25"/>
  <c r="H7" i="28"/>
  <c r="F63" i="25"/>
  <c r="F25" i="25"/>
  <c r="I125" i="25"/>
  <c r="I114" i="25"/>
  <c r="I206" i="25"/>
  <c r="F32" i="25"/>
  <c r="I22" i="25"/>
  <c r="I53" i="25"/>
  <c r="I159" i="25"/>
  <c r="I118" i="25"/>
  <c r="I149" i="25"/>
  <c r="I151" i="25"/>
  <c r="I48" i="25"/>
  <c r="F9" i="25"/>
  <c r="I75" i="25"/>
  <c r="I154" i="25"/>
  <c r="I3" i="25"/>
  <c r="F65" i="25"/>
  <c r="I157" i="25"/>
  <c r="I37" i="25"/>
  <c r="I207" i="25"/>
  <c r="D7" i="28"/>
  <c r="I69" i="25"/>
  <c r="I187" i="25"/>
  <c r="F152" i="25"/>
  <c r="I215" i="25"/>
  <c r="I68" i="25"/>
  <c r="I57" i="25"/>
  <c r="F46" i="25"/>
  <c r="F106" i="25"/>
  <c r="F16" i="25"/>
  <c r="I203" i="25"/>
  <c r="I74" i="25"/>
  <c r="I28" i="25"/>
  <c r="I199" i="25"/>
  <c r="I176" i="25"/>
  <c r="I210" i="25"/>
  <c r="I166" i="25"/>
  <c r="F95" i="25"/>
  <c r="F126" i="25"/>
  <c r="I132" i="25"/>
  <c r="I168" i="25"/>
  <c r="F62" i="25"/>
  <c r="F127" i="25"/>
  <c r="I183" i="25"/>
  <c r="F41" i="25"/>
  <c r="F38" i="25"/>
  <c r="I17" i="25"/>
  <c r="F129" i="25"/>
  <c r="F73" i="25"/>
  <c r="I76" i="25"/>
  <c r="I100" i="25"/>
  <c r="F80" i="25"/>
  <c r="I78" i="25"/>
  <c r="F196" i="25"/>
  <c r="I173" i="25"/>
  <c r="I200" i="25"/>
  <c r="F100" i="25"/>
  <c r="F83" i="25"/>
  <c r="I190" i="25"/>
  <c r="I205" i="25"/>
  <c r="F33" i="25"/>
  <c r="F197" i="25"/>
  <c r="I94" i="25"/>
  <c r="F207" i="25"/>
  <c r="I177" i="25"/>
  <c r="I41" i="25"/>
  <c r="I108" i="25"/>
  <c r="F110" i="25"/>
  <c r="F194" i="25"/>
  <c r="F171" i="25"/>
  <c r="F148" i="25"/>
  <c r="F209" i="25"/>
  <c r="F86" i="25"/>
  <c r="F177" i="25"/>
  <c r="F185" i="25"/>
  <c r="F130" i="25"/>
  <c r="F131" i="25"/>
  <c r="F158" i="25"/>
  <c r="F159" i="25"/>
  <c r="F173" i="25"/>
  <c r="F189" i="25"/>
  <c r="I62" i="25"/>
  <c r="I42" i="25"/>
  <c r="F205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<sst xmlns="http://schemas.openxmlformats.org/spreadsheetml/2006/main" count="1025" uniqueCount="296">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</sst>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  <c:pt idx="183">
                  <c:v>16965</c:v>
                </c:pt>
                <c:pt idx="184">
                  <c:v>17065</c:v>
                </c:pt>
                <c:pt idx="185">
                  <c:v>16450</c:v>
                </c:pt>
                <c:pt idx="186">
                  <c:v>16450</c:v>
                </c:pt>
                <c:pt idx="18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I10" sqref="I10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 t="s">
        <v>240</v>
      </c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90"/>
    </row>
    <row r="2" spans="1:63" s="198" customFormat="1" ht="15.75" customHeight="1" x14ac:dyDescent="0.25">
      <c r="A2" s="367" t="s">
        <v>234</v>
      </c>
      <c r="B2" s="367"/>
      <c r="C2" s="368"/>
      <c r="D2" s="369" t="s">
        <v>62</v>
      </c>
      <c r="E2" s="367"/>
      <c r="F2" s="367"/>
      <c r="G2" s="367"/>
      <c r="H2" s="368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6"/>
      <c r="U2" s="364" t="s">
        <v>269</v>
      </c>
      <c r="V2" s="365"/>
      <c r="W2" s="365"/>
      <c r="X2" s="365"/>
      <c r="Y2" s="365"/>
      <c r="Z2" s="365"/>
      <c r="AA2" s="366"/>
      <c r="AB2" s="364" t="s">
        <v>254</v>
      </c>
      <c r="AC2" s="365"/>
      <c r="AD2" s="365"/>
      <c r="AE2" s="365"/>
      <c r="AF2" s="365"/>
      <c r="AG2" s="365"/>
      <c r="AH2" s="365"/>
      <c r="AI2" s="365"/>
      <c r="AJ2" s="365"/>
      <c r="AK2" s="366"/>
      <c r="AL2" s="369" t="s">
        <v>239</v>
      </c>
      <c r="AM2" s="367"/>
      <c r="AN2" s="367"/>
      <c r="AO2" s="367"/>
      <c r="AP2" s="367"/>
      <c r="AQ2" s="367"/>
      <c r="AR2" s="368"/>
      <c r="AS2" s="369" t="s">
        <v>232</v>
      </c>
      <c r="AT2" s="367"/>
      <c r="AU2" s="367"/>
      <c r="AV2" s="367"/>
      <c r="AW2" s="367"/>
      <c r="AX2" s="367"/>
      <c r="AY2" s="367"/>
      <c r="AZ2" s="368"/>
      <c r="BA2" s="367" t="s">
        <v>233</v>
      </c>
      <c r="BB2" s="367"/>
      <c r="BC2" s="367"/>
      <c r="BD2" s="367"/>
      <c r="BE2" s="367"/>
      <c r="BF2" s="367"/>
      <c r="BG2" s="367"/>
      <c r="BH2" s="367"/>
      <c r="BI2" s="367"/>
      <c r="BJ2" s="367"/>
      <c r="BK2" s="368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70" t="s">
        <v>238</v>
      </c>
      <c r="AT3" s="371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59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11429</v>
      </c>
      <c r="F4" s="74">
        <v>5354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76" t="s">
        <v>68</v>
      </c>
      <c r="AT4" s="222" t="s">
        <v>229</v>
      </c>
      <c r="AU4" s="208">
        <f>MAX(SUM(BC4:BK4) - E4 + V4,0)</f>
        <v>0</v>
      </c>
      <c r="AV4" s="209">
        <f>MAX(SUM(BC5:BK5) - E5 + V5,0)</f>
        <v>0</v>
      </c>
      <c r="AW4" s="210">
        <f>MAX(SUM(BC6:BK6) - E6 + V6,0)</f>
        <v>0</v>
      </c>
      <c r="AX4" s="211">
        <f>MAX(SUM(BC7:BK7) - E7 + V7,0)</f>
        <v>0</v>
      </c>
      <c r="AY4" s="223">
        <f>MAX(SUM(BC8:BK8) - E8 + V8,0)</f>
        <v>1030</v>
      </c>
      <c r="AZ4" s="228">
        <f>SUM(AU4:AY4)</f>
        <v>1030</v>
      </c>
      <c r="BA4" s="360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12142</v>
      </c>
      <c r="F5" s="71">
        <v>3990</v>
      </c>
      <c r="G5" s="71">
        <v>5389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7">
        <f t="shared" si="2"/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70"/>
      <c r="AT5" s="185" t="s">
        <v>76</v>
      </c>
      <c r="AU5" s="74">
        <f>ROUNDUP(AU4/$AP$4,0)</f>
        <v>0</v>
      </c>
      <c r="AV5" s="71">
        <f>ROUNDUP(AV4/$AP$4,0)</f>
        <v>0</v>
      </c>
      <c r="AW5" s="72">
        <f>ROUNDUP(AW4/$AP$4,0)</f>
        <v>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94</v>
      </c>
      <c r="BA5" s="360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10043</v>
      </c>
      <c r="F6" s="72">
        <v>4205</v>
      </c>
      <c r="G6" s="72">
        <v>1884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7">
        <f t="shared" si="2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70"/>
      <c r="AT6" s="185" t="s">
        <v>236</v>
      </c>
      <c r="AU6" s="204">
        <f>ROUNDUP(AU5/(RECOVER_AP / $B$5)*RECOVER_DIAMS,0)</f>
        <v>0</v>
      </c>
      <c r="AV6" s="207">
        <f>ROUNDUP(AV5/(RECOVER_AP / $B$5)*RECOVER_DIAMS,0)</f>
        <v>0</v>
      </c>
      <c r="AW6" s="205">
        <f>ROUNDUP(AW5/(RECOVER_AP / $B$5)*RECOVER_DIAMS,0)</f>
        <v>0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705</v>
      </c>
      <c r="BA6" s="360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3563</v>
      </c>
      <c r="F7" s="131">
        <v>989</v>
      </c>
      <c r="G7" s="131">
        <v>1657</v>
      </c>
      <c r="H7" s="326">
        <v>3976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7">
        <f t="shared" si="2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70"/>
      <c r="AT7" s="185" t="s">
        <v>116</v>
      </c>
      <c r="AU7" s="74">
        <f>ROUNDUP(AU4/$AP$8,0)</f>
        <v>0</v>
      </c>
      <c r="AV7" s="71">
        <f>ROUNDUP(AV4/$AP$8,0)</f>
        <v>0</v>
      </c>
      <c r="AW7" s="72">
        <f>ROUNDUP(AW4/$AP$8,0)</f>
        <v>0</v>
      </c>
      <c r="AX7" s="131">
        <f>ROUNDUP(AX4/$AP$8,0)</f>
        <v>0</v>
      </c>
      <c r="AY7" s="73">
        <f>ROUNDUP(AY4/$AP$8,0)</f>
        <v>86</v>
      </c>
      <c r="AZ7" s="229">
        <f t="shared" si="3"/>
        <v>86</v>
      </c>
      <c r="BA7" s="360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2070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2"/>
        <v>1840</v>
      </c>
      <c r="X8" s="322">
        <f t="shared" si="2"/>
        <v>480</v>
      </c>
      <c r="Y8" s="322">
        <f t="shared" si="2"/>
        <v>360</v>
      </c>
      <c r="Z8" s="322">
        <f t="shared" si="2"/>
        <v>304</v>
      </c>
      <c r="AA8" s="348">
        <f t="shared" si="2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12.03125</v>
      </c>
      <c r="AQ8" s="257">
        <f>COUNT(D真龍!Q:Q)</f>
        <v>704</v>
      </c>
      <c r="AR8" s="114">
        <f>$C$5/AP8</f>
        <v>3.3246753246753249</v>
      </c>
      <c r="AS8" s="377"/>
      <c r="AT8" s="224" t="s">
        <v>237</v>
      </c>
      <c r="AU8" s="216">
        <f>ROUNDUP(AU7/(RECOVER_AP / $C$5)*RECOVER_DIAMS,0)</f>
        <v>0</v>
      </c>
      <c r="AV8" s="217">
        <f>ROUNDUP(AV7/(RECOVER_AP / $C$5)*RECOVER_DIAMS,0)</f>
        <v>0</v>
      </c>
      <c r="AW8" s="218">
        <f>ROUNDUP(AW7/(RECOVER_AP / $C$5)*RECOVER_DIAMS,0)</f>
        <v>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860</v>
      </c>
      <c r="BA8" s="361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70" t="s">
        <v>235</v>
      </c>
      <c r="E9" s="371"/>
      <c r="F9" s="371"/>
      <c r="G9" s="372">
        <v>2230</v>
      </c>
      <c r="H9" s="373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>$C$4/AM9</f>
        <v>8</v>
      </c>
      <c r="AP9" s="115">
        <f>AVERAGE(D真龍!S:S)+AVERAGE(D真龍!U:U)</f>
        <v>6.936079545454545</v>
      </c>
      <c r="AQ9" s="257">
        <f>COUNT(D真龍!S:S)</f>
        <v>704</v>
      </c>
      <c r="AR9" s="114">
        <f>$C$5/AP9</f>
        <v>5.7669465492525092</v>
      </c>
      <c r="AS9" s="376" t="s">
        <v>71</v>
      </c>
      <c r="AT9" s="222" t="s">
        <v>229</v>
      </c>
      <c r="AU9" s="208">
        <f>MAX(SUM(BC10:BK10) - F4 + W4,0)</f>
        <v>0</v>
      </c>
      <c r="AV9" s="209">
        <f>MAX(SUM(BC11:BK11) - F5 + W5,0)</f>
        <v>0</v>
      </c>
      <c r="AW9" s="210">
        <f>MAX(SUM(BC12:BK12) - F6 + W6,0)</f>
        <v>0</v>
      </c>
      <c r="AX9" s="211">
        <f>MAX(SUM(BC13:BK13) - F7 + W7,0)</f>
        <v>851</v>
      </c>
      <c r="AY9" s="223">
        <f>MAX(SUM(BC14:BK14) - F8 + W8,0)</f>
        <v>1772</v>
      </c>
      <c r="AZ9" s="228">
        <f t="shared" si="3"/>
        <v>2623</v>
      </c>
      <c r="BA9" s="359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82" t="s">
        <v>245</v>
      </c>
      <c r="E10" s="383"/>
      <c r="F10" s="384">
        <v>140138020</v>
      </c>
      <c r="G10" s="384"/>
      <c r="H10" s="385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>$C$4/AM10</f>
        <v>8</v>
      </c>
      <c r="AP10" s="115">
        <f>AVERAGE(D真龍!T:T)+AVERAGE(D真龍!V:V)</f>
        <v>6.9261363636363642</v>
      </c>
      <c r="AQ10" s="257">
        <f>COUNT(D真龍!T:T)</f>
        <v>704</v>
      </c>
      <c r="AR10" s="114">
        <f>$C$5/AP10</f>
        <v>5.7752255947497941</v>
      </c>
      <c r="AS10" s="370"/>
      <c r="AT10" s="185" t="s">
        <v>76</v>
      </c>
      <c r="AU10" s="74">
        <f>ROUNDUP(AU9/$AP$5,0)</f>
        <v>0</v>
      </c>
      <c r="AV10" s="71">
        <f>ROUNDUP(AV9/$AP$5,0)</f>
        <v>0</v>
      </c>
      <c r="AW10" s="72">
        <f>ROUNDUP(AW9/$AP$5,0)</f>
        <v>0</v>
      </c>
      <c r="AX10" s="131">
        <f>ROUNDUP(AX9/$AP$5,0)</f>
        <v>135</v>
      </c>
      <c r="AY10" s="73">
        <f>ROUNDUP(AY9/$AP$5,0)</f>
        <v>281</v>
      </c>
      <c r="AZ10" s="229">
        <f t="shared" si="3"/>
        <v>416</v>
      </c>
      <c r="BA10" s="360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>$C$4/AM11</f>
        <v>40</v>
      </c>
      <c r="AP11" s="298">
        <f>AVERAGE(D真龍!R:R)</f>
        <v>1.1488095238095237</v>
      </c>
      <c r="AQ11" s="269">
        <f>COUNT(D真龍!R:R)</f>
        <v>672</v>
      </c>
      <c r="AR11" s="299">
        <f>$C$5/AP11</f>
        <v>34.818652849740936</v>
      </c>
      <c r="AS11" s="370"/>
      <c r="AT11" s="185" t="s">
        <v>236</v>
      </c>
      <c r="AU11" s="204">
        <f>ROUNDUP(AU10/(RECOVER_AP / $B$5)*RECOVER_DIAMS,0)</f>
        <v>0</v>
      </c>
      <c r="AV11" s="207">
        <f>ROUNDUP(AV10/(RECOVER_AP / $B$5)*RECOVER_DIAMS,0)</f>
        <v>0</v>
      </c>
      <c r="AW11" s="205">
        <f>ROUNDUP(AW10/(RECOVER_AP / $B$5)*RECOVER_DIAMS,0)</f>
        <v>0</v>
      </c>
      <c r="AX11" s="206">
        <f>ROUNDUP(AX10/(RECOVER_AP / $B$5)*RECOVER_DIAMS,0)</f>
        <v>1013</v>
      </c>
      <c r="AY11" s="220">
        <f>ROUNDUP(AY10/(RECOVER_AP / $B$5)*RECOVER_DIAMS,0)</f>
        <v>2108</v>
      </c>
      <c r="AZ11" s="230">
        <f t="shared" si="3"/>
        <v>3121</v>
      </c>
      <c r="BA11" s="360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70"/>
      <c r="AT12" s="185" t="s">
        <v>116</v>
      </c>
      <c r="AU12" s="74">
        <f>ROUNDUP(AU9/$AP$9,0)</f>
        <v>0</v>
      </c>
      <c r="AV12" s="71">
        <f>ROUNDUP(AV9/$AP$9,0)</f>
        <v>0</v>
      </c>
      <c r="AW12" s="72">
        <f>ROUNDUP(AW9/$AP$9,0)</f>
        <v>0</v>
      </c>
      <c r="AX12" s="131">
        <f>ROUNDUP(AX9/$AP$9,0)</f>
        <v>123</v>
      </c>
      <c r="AY12" s="73">
        <f>ROUNDUP(AY9/$AP$9,0)</f>
        <v>256</v>
      </c>
      <c r="AZ12" s="229">
        <f t="shared" si="3"/>
        <v>379</v>
      </c>
      <c r="BA12" s="360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77"/>
      <c r="AT13" s="224" t="s">
        <v>237</v>
      </c>
      <c r="AU13" s="216">
        <f>ROUNDUP(AU10/(RECOVER_AP / $C$5)*RECOVER_DIAMS,0)</f>
        <v>0</v>
      </c>
      <c r="AV13" s="217">
        <f>ROUNDUP(AV10/(RECOVER_AP / $C$5)*RECOVER_DIAMS,0)</f>
        <v>0</v>
      </c>
      <c r="AW13" s="218">
        <f>ROUNDUP(AW10/(RECOVER_AP / $C$5)*RECOVER_DIAMS,0)</f>
        <v>0</v>
      </c>
      <c r="AX13" s="219">
        <f>ROUNDUP(AX10/(RECOVER_AP / $C$5)*RECOVER_DIAMS,0)</f>
        <v>1350</v>
      </c>
      <c r="AY13" s="225">
        <f>ROUNDUP(AY10/(RECOVER_AP / $C$5)*RECOVER_DIAMS,0)</f>
        <v>2810</v>
      </c>
      <c r="AZ13" s="231">
        <f t="shared" si="3"/>
        <v>4160</v>
      </c>
      <c r="BA13" s="360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76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61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70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59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7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60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60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76" t="s">
        <v>70</v>
      </c>
      <c r="AT18" s="222" t="s">
        <v>229</v>
      </c>
      <c r="AU18" s="378">
        <f>MAX(SUM(BC28:BK32) - G9 + SUM(Z4:Z8),0)</f>
        <v>0</v>
      </c>
      <c r="AV18" s="378"/>
      <c r="AW18" s="378"/>
      <c r="AX18" s="378"/>
      <c r="AY18" s="378"/>
      <c r="AZ18" s="379"/>
      <c r="BA18" s="360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70"/>
      <c r="AT19" s="185" t="s">
        <v>243</v>
      </c>
      <c r="AU19" s="380">
        <f>ROUNDUP(AU18/AP6,0)</f>
        <v>0</v>
      </c>
      <c r="AV19" s="380"/>
      <c r="AW19" s="380"/>
      <c r="AX19" s="380"/>
      <c r="AY19" s="380"/>
      <c r="AZ19" s="381"/>
      <c r="BA19" s="360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70"/>
      <c r="AT20" s="224" t="s">
        <v>244</v>
      </c>
      <c r="AU20" s="374">
        <f>ROUNDUP(AU18/AP11,0)</f>
        <v>0</v>
      </c>
      <c r="AV20" s="374"/>
      <c r="AW20" s="374"/>
      <c r="AX20" s="374"/>
      <c r="AY20" s="374"/>
      <c r="AZ20" s="375"/>
      <c r="BA20" s="361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62">
        <f>MAX(SUM(BC34:BK38) - F10 + SUM(AA4:AA8),0)</f>
        <v>659861980</v>
      </c>
      <c r="AV21" s="362"/>
      <c r="AW21" s="362"/>
      <c r="AX21" s="362"/>
      <c r="AY21" s="362"/>
      <c r="AZ21" s="363"/>
      <c r="BA21" s="359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60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60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60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60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61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59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60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60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60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60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61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59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60"/>
      <c r="BB34" s="286" t="s">
        <v>9</v>
      </c>
      <c r="BC34" s="333">
        <f t="shared" ref="BC34:BK38" si="8">IF(ISBLANK(AC4),0,VLOOKUP(AC4,$I$4:$T$10,12,FALSE))</f>
        <v>0</v>
      </c>
      <c r="BD34" s="333">
        <f t="shared" si="8"/>
        <v>0</v>
      </c>
      <c r="BE34" s="333">
        <f t="shared" si="8"/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4">
        <f t="shared" si="8"/>
        <v>25000000</v>
      </c>
    </row>
    <row r="35" spans="53:63" ht="15.75" customHeight="1" x14ac:dyDescent="0.25">
      <c r="BA35" s="360"/>
      <c r="BB35" s="287" t="s">
        <v>7</v>
      </c>
      <c r="BC35" s="335">
        <f t="shared" si="8"/>
        <v>0</v>
      </c>
      <c r="BD35" s="335">
        <f t="shared" si="8"/>
        <v>0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6">
        <f t="shared" si="8"/>
        <v>25000000</v>
      </c>
    </row>
    <row r="36" spans="53:63" ht="15.75" customHeight="1" x14ac:dyDescent="0.25">
      <c r="BA36" s="360"/>
      <c r="BB36" s="192" t="s">
        <v>6</v>
      </c>
      <c r="BC36" s="337">
        <f t="shared" si="8"/>
        <v>0</v>
      </c>
      <c r="BD36" s="337">
        <f t="shared" si="8"/>
        <v>0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8">
        <f t="shared" si="8"/>
        <v>25000000</v>
      </c>
    </row>
    <row r="37" spans="53:63" ht="15.75" customHeight="1" x14ac:dyDescent="0.25">
      <c r="BA37" s="360"/>
      <c r="BB37" s="288" t="s">
        <v>4</v>
      </c>
      <c r="BC37" s="339">
        <f t="shared" si="8"/>
        <v>0</v>
      </c>
      <c r="BD37" s="339">
        <f t="shared" si="8"/>
        <v>0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40">
        <f t="shared" si="8"/>
        <v>0</v>
      </c>
    </row>
    <row r="38" spans="53:63" ht="15.75" customHeight="1" x14ac:dyDescent="0.25">
      <c r="BA38" s="361"/>
      <c r="BB38" s="12" t="s">
        <v>3</v>
      </c>
      <c r="BC38" s="341">
        <f t="shared" si="8"/>
        <v>0</v>
      </c>
      <c r="BD38" s="341">
        <f t="shared" si="8"/>
        <v>0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2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08"/>
  <sheetViews>
    <sheetView workbookViewId="0">
      <pane ySplit="4" topLeftCell="A659" activePane="bottomLeft" state="frozen"/>
      <selection pane="bottomLeft" activeCell="L720" sqref="L720:L721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D1" workbookViewId="0">
      <selection activeCell="M13" sqref="M13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8" t="s">
        <v>240</v>
      </c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90"/>
    </row>
    <row r="2" spans="1:65" s="198" customFormat="1" ht="15.75" customHeight="1" x14ac:dyDescent="0.25">
      <c r="A2" s="364" t="s">
        <v>234</v>
      </c>
      <c r="B2" s="365"/>
      <c r="C2" s="365"/>
      <c r="D2" s="366"/>
      <c r="E2" s="364" t="s">
        <v>62</v>
      </c>
      <c r="F2" s="365"/>
      <c r="G2" s="365"/>
      <c r="H2" s="366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6"/>
      <c r="W2" s="364" t="s">
        <v>269</v>
      </c>
      <c r="X2" s="365"/>
      <c r="Y2" s="365"/>
      <c r="Z2" s="365"/>
      <c r="AA2" s="365"/>
      <c r="AB2" s="365"/>
      <c r="AC2" s="366"/>
      <c r="AD2" s="364" t="s">
        <v>254</v>
      </c>
      <c r="AE2" s="365"/>
      <c r="AF2" s="365"/>
      <c r="AG2" s="365"/>
      <c r="AH2" s="365"/>
      <c r="AI2" s="365"/>
      <c r="AJ2" s="365"/>
      <c r="AK2" s="365"/>
      <c r="AL2" s="365"/>
      <c r="AM2" s="366"/>
      <c r="AN2" s="369" t="s">
        <v>239</v>
      </c>
      <c r="AO2" s="367"/>
      <c r="AP2" s="367"/>
      <c r="AQ2" s="367"/>
      <c r="AR2" s="367"/>
      <c r="AS2" s="367"/>
      <c r="AT2" s="368"/>
      <c r="AU2" s="369" t="s">
        <v>232</v>
      </c>
      <c r="AV2" s="367"/>
      <c r="AW2" s="367"/>
      <c r="AX2" s="367"/>
      <c r="AY2" s="367"/>
      <c r="AZ2" s="367"/>
      <c r="BA2" s="367"/>
      <c r="BB2" s="368"/>
      <c r="BC2" s="367" t="s">
        <v>233</v>
      </c>
      <c r="BD2" s="367"/>
      <c r="BE2" s="367"/>
      <c r="BF2" s="367"/>
      <c r="BG2" s="367"/>
      <c r="BH2" s="367"/>
      <c r="BI2" s="367"/>
      <c r="BJ2" s="367"/>
      <c r="BK2" s="367"/>
      <c r="BL2" s="367"/>
      <c r="BM2" s="368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70" t="s">
        <v>238</v>
      </c>
      <c r="AV3" s="371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59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76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 t="shared" ref="BB4:BB9" si="0">SUM(AW4:BA4)</f>
        <v>0</v>
      </c>
      <c r="BC4" s="360"/>
      <c r="BD4" s="286" t="s">
        <v>9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980</v>
      </c>
      <c r="G5" s="71">
        <v>1921</v>
      </c>
      <c r="H5" s="71">
        <v>148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8</v>
      </c>
      <c r="AF5" s="305">
        <v>8</v>
      </c>
      <c r="AG5" s="305">
        <v>8</v>
      </c>
      <c r="AH5" s="305">
        <v>8</v>
      </c>
      <c r="AI5" s="305">
        <v>8</v>
      </c>
      <c r="AJ5" s="305">
        <v>8</v>
      </c>
      <c r="AK5" s="305">
        <v>8</v>
      </c>
      <c r="AL5" s="305">
        <v>8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70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60"/>
      <c r="BD5" s="287" t="s">
        <v>7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33">
        <f t="shared" si="1"/>
        <v>0</v>
      </c>
      <c r="BL5" s="33">
        <f t="shared" si="1"/>
        <v>0</v>
      </c>
      <c r="BM5" s="194">
        <f t="shared" si="1"/>
        <v>380</v>
      </c>
    </row>
    <row r="6" spans="1:65" ht="15.75" customHeight="1" x14ac:dyDescent="0.25">
      <c r="E6" s="281" t="s">
        <v>6</v>
      </c>
      <c r="F6" s="72">
        <v>3768</v>
      </c>
      <c r="G6" s="72">
        <v>3231</v>
      </c>
      <c r="H6" s="72">
        <v>688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70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60"/>
      <c r="BD6" s="192" t="s">
        <v>6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70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0</v>
      </c>
      <c r="BB7" s="229">
        <f t="shared" si="0"/>
        <v>0</v>
      </c>
      <c r="BC7" s="360"/>
      <c r="BD7" s="288" t="s">
        <v>4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30">
        <f t="shared" si="1"/>
        <v>0</v>
      </c>
      <c r="BL7" s="130">
        <f t="shared" si="1"/>
        <v>0</v>
      </c>
      <c r="BM7" s="196">
        <f t="shared" si="1"/>
        <v>0</v>
      </c>
    </row>
    <row r="8" spans="1:65" ht="15.75" customHeight="1" x14ac:dyDescent="0.25">
      <c r="E8" s="279" t="s">
        <v>3</v>
      </c>
      <c r="F8" s="73">
        <v>1044</v>
      </c>
      <c r="G8" s="73">
        <v>928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7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0"/>
        <v>0</v>
      </c>
      <c r="BC8" s="361"/>
      <c r="BD8" s="12" t="s">
        <v>3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70" t="s">
        <v>235</v>
      </c>
      <c r="F9" s="371"/>
      <c r="G9" s="371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>
        <f>AVERAGE(D咢牙!J:J)</f>
        <v>2.6666666666666665</v>
      </c>
      <c r="AP9" s="256">
        <f>COUNT(D咢牙!J:J)</f>
        <v>18</v>
      </c>
      <c r="AQ9" s="203">
        <f>$D$4/AO9</f>
        <v>15</v>
      </c>
      <c r="AR9" s="115">
        <f>AVERAGE(D咢牙!M:M)</f>
        <v>3.4166666666666665</v>
      </c>
      <c r="AS9" s="257">
        <f>COUNT(D咢牙!M:M)</f>
        <v>24</v>
      </c>
      <c r="AT9" s="114">
        <f>$D$5/AR9</f>
        <v>11.707317073170731</v>
      </c>
      <c r="AU9" s="376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 t="shared" si="0"/>
        <v>0</v>
      </c>
      <c r="BC9" s="359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70" t="s">
        <v>279</v>
      </c>
      <c r="F10" s="371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>
        <f>AVERAGE(D咢牙!K:K)</f>
        <v>4</v>
      </c>
      <c r="AP10" s="256">
        <f>COUNT(D咢牙!K:K)</f>
        <v>18</v>
      </c>
      <c r="AQ10" s="203">
        <f>$D$4/AO10</f>
        <v>10</v>
      </c>
      <c r="AR10" s="115">
        <f>AVERAGE(D咢牙!N:N)</f>
        <v>5.375</v>
      </c>
      <c r="AS10" s="257">
        <f>COUNT(D咢牙!N:N)</f>
        <v>24</v>
      </c>
      <c r="AT10" s="114">
        <f>$D$5/AR10</f>
        <v>7.441860465116279</v>
      </c>
      <c r="AU10" s="370"/>
      <c r="AV10" s="274" t="s">
        <v>76</v>
      </c>
      <c r="AW10" s="74">
        <f>ROUNDUP(AW9/$AR$7,0)</f>
        <v>0</v>
      </c>
      <c r="AX10" s="71">
        <f>ROUNDUP(AX9/$AR$6,0)</f>
        <v>0</v>
      </c>
      <c r="AY10" s="72">
        <f>ROUNDUP(AY9/$AR$6,0)</f>
        <v>0</v>
      </c>
      <c r="AZ10" s="131">
        <f>ROUNDUP(AZ9/$AR$6,0)</f>
        <v>0</v>
      </c>
      <c r="BA10" s="73">
        <f>ROUNDUP(BA9/$AR$6,0)</f>
        <v>0</v>
      </c>
      <c r="BB10" s="229">
        <f t="shared" ref="BB10:BB16" si="2">SUM(AW10:BA10)</f>
        <v>0</v>
      </c>
      <c r="BC10" s="360"/>
      <c r="BD10" s="286" t="s">
        <v>9</v>
      </c>
      <c r="BE10" s="16">
        <f t="shared" ref="BE10:BM14" si="3">IF(ISBLANK(AE4),0,VLOOKUP(AE4,$I$4:$V$15,10,FALSE))</f>
        <v>0</v>
      </c>
      <c r="BF10" s="16">
        <f t="shared" si="3"/>
        <v>0</v>
      </c>
      <c r="BG10" s="16">
        <f t="shared" si="3"/>
        <v>0</v>
      </c>
      <c r="BH10" s="16">
        <f t="shared" si="3"/>
        <v>0</v>
      </c>
      <c r="BI10" s="16">
        <f t="shared" si="3"/>
        <v>0</v>
      </c>
      <c r="BJ10" s="16">
        <f t="shared" si="3"/>
        <v>0</v>
      </c>
      <c r="BK10" s="16">
        <f t="shared" si="3"/>
        <v>0</v>
      </c>
      <c r="BL10" s="16">
        <f t="shared" si="3"/>
        <v>0</v>
      </c>
      <c r="BM10" s="15">
        <f t="shared" si="3"/>
        <v>300</v>
      </c>
    </row>
    <row r="11" spans="1:65" ht="15.75" customHeight="1" x14ac:dyDescent="0.25">
      <c r="E11" s="382" t="s">
        <v>245</v>
      </c>
      <c r="F11" s="383"/>
      <c r="G11" s="384">
        <v>131058819</v>
      </c>
      <c r="H11" s="384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>
        <f>AVERAGE(D咢牙!L:L)</f>
        <v>1.4444444444444444</v>
      </c>
      <c r="AP11" s="296">
        <f>COUNT(D咢牙!L:L)</f>
        <v>18</v>
      </c>
      <c r="AQ11" s="297">
        <f>$D$4/AO11</f>
        <v>27.692307692307693</v>
      </c>
      <c r="AR11" s="298">
        <f>AVERAGE(D咢牙!O:O)</f>
        <v>1.9166666666666667</v>
      </c>
      <c r="AS11" s="269">
        <f>COUNT(D咢牙!O:O)</f>
        <v>24</v>
      </c>
      <c r="AT11" s="299">
        <f>$D$5/AR11</f>
        <v>20.869565217391305</v>
      </c>
      <c r="AU11" s="370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2"/>
        <v>0</v>
      </c>
      <c r="BC11" s="360"/>
      <c r="BD11" s="287" t="s">
        <v>7</v>
      </c>
      <c r="BE11" s="33">
        <f t="shared" si="3"/>
        <v>0</v>
      </c>
      <c r="BF11" s="33">
        <f t="shared" si="3"/>
        <v>0</v>
      </c>
      <c r="BG11" s="33">
        <f t="shared" si="3"/>
        <v>0</v>
      </c>
      <c r="BH11" s="33">
        <f t="shared" si="3"/>
        <v>0</v>
      </c>
      <c r="BI11" s="33">
        <f t="shared" si="3"/>
        <v>0</v>
      </c>
      <c r="BJ11" s="33">
        <f t="shared" si="3"/>
        <v>0</v>
      </c>
      <c r="BK11" s="33">
        <f t="shared" si="3"/>
        <v>0</v>
      </c>
      <c r="BL11" s="33">
        <f t="shared" si="3"/>
        <v>0</v>
      </c>
      <c r="BM11" s="194">
        <f t="shared" si="3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70"/>
      <c r="AV12" s="274" t="s">
        <v>116</v>
      </c>
      <c r="AW12" s="74">
        <f>ROUNDUP(AW9/$AR$9,0)</f>
        <v>0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0</v>
      </c>
      <c r="BB12" s="229">
        <f t="shared" si="2"/>
        <v>0</v>
      </c>
      <c r="BC12" s="360"/>
      <c r="BD12" s="192" t="s">
        <v>6</v>
      </c>
      <c r="BE12" s="193">
        <f t="shared" si="3"/>
        <v>0</v>
      </c>
      <c r="BF12" s="193">
        <f t="shared" si="3"/>
        <v>0</v>
      </c>
      <c r="BG12" s="193">
        <f t="shared" si="3"/>
        <v>0</v>
      </c>
      <c r="BH12" s="193">
        <f t="shared" si="3"/>
        <v>0</v>
      </c>
      <c r="BI12" s="193">
        <f t="shared" si="3"/>
        <v>0</v>
      </c>
      <c r="BJ12" s="193">
        <f t="shared" si="3"/>
        <v>0</v>
      </c>
      <c r="BK12" s="193">
        <f t="shared" si="3"/>
        <v>0</v>
      </c>
      <c r="BL12" s="193">
        <f t="shared" si="3"/>
        <v>0</v>
      </c>
      <c r="BM12" s="195">
        <f t="shared" si="3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77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2"/>
        <v>0</v>
      </c>
      <c r="BC13" s="360"/>
      <c r="BD13" s="288" t="s">
        <v>4</v>
      </c>
      <c r="BE13" s="130">
        <f t="shared" si="3"/>
        <v>0</v>
      </c>
      <c r="BF13" s="130">
        <f t="shared" si="3"/>
        <v>0</v>
      </c>
      <c r="BG13" s="130">
        <f t="shared" si="3"/>
        <v>0</v>
      </c>
      <c r="BH13" s="130">
        <f t="shared" si="3"/>
        <v>0</v>
      </c>
      <c r="BI13" s="130">
        <f t="shared" si="3"/>
        <v>0</v>
      </c>
      <c r="BJ13" s="130">
        <f t="shared" si="3"/>
        <v>0</v>
      </c>
      <c r="BK13" s="130">
        <f t="shared" si="3"/>
        <v>0</v>
      </c>
      <c r="BL13" s="130">
        <f t="shared" si="3"/>
        <v>0</v>
      </c>
      <c r="BM13" s="196">
        <f t="shared" si="3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76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0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2"/>
        <v>98</v>
      </c>
      <c r="BC14" s="361"/>
      <c r="BD14" s="12" t="s">
        <v>3</v>
      </c>
      <c r="BE14" s="13">
        <f t="shared" si="3"/>
        <v>0</v>
      </c>
      <c r="BF14" s="13">
        <f t="shared" si="3"/>
        <v>0</v>
      </c>
      <c r="BG14" s="13">
        <f t="shared" si="3"/>
        <v>0</v>
      </c>
      <c r="BH14" s="13">
        <f t="shared" si="3"/>
        <v>0</v>
      </c>
      <c r="BI14" s="13">
        <f t="shared" si="3"/>
        <v>0</v>
      </c>
      <c r="BJ14" s="13">
        <f t="shared" si="3"/>
        <v>0</v>
      </c>
      <c r="BK14" s="13">
        <f t="shared" si="3"/>
        <v>0</v>
      </c>
      <c r="BL14" s="13">
        <f t="shared" si="3"/>
        <v>0</v>
      </c>
      <c r="BM14" s="113">
        <f t="shared" si="3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70"/>
      <c r="AV15" s="274" t="s">
        <v>116</v>
      </c>
      <c r="AW15" s="74">
        <f>ROUNDUP(AW14/$AR$10,0)</f>
        <v>10</v>
      </c>
      <c r="AX15" s="71">
        <f>ROUNDUP(AX14/$AR$10,0)</f>
        <v>0</v>
      </c>
      <c r="AY15" s="72">
        <f>ROUNDUP(AY14/$AR$10,0)</f>
        <v>0</v>
      </c>
      <c r="AZ15" s="131">
        <f>ROUNDUP(AZ14/$AR$10,0)</f>
        <v>0</v>
      </c>
      <c r="BA15" s="73">
        <f>ROUNDUP(BA14/$AR$10,0)</f>
        <v>10</v>
      </c>
      <c r="BB15" s="229">
        <f t="shared" si="2"/>
        <v>20</v>
      </c>
      <c r="BC15" s="359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7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2"/>
        <v>200</v>
      </c>
      <c r="BC16" s="360"/>
      <c r="BD16" s="286" t="s">
        <v>9</v>
      </c>
      <c r="BE16" s="16">
        <f t="shared" ref="BE16:BM20" si="4">IF(ISBLANK(AE4),0,VLOOKUP(AE4,$I$4:$V$15,11,FALSE))</f>
        <v>0</v>
      </c>
      <c r="BF16" s="16">
        <f t="shared" si="4"/>
        <v>0</v>
      </c>
      <c r="BG16" s="16">
        <f t="shared" si="4"/>
        <v>0</v>
      </c>
      <c r="BH16" s="16">
        <f t="shared" si="4"/>
        <v>0</v>
      </c>
      <c r="BI16" s="16">
        <f t="shared" si="4"/>
        <v>0</v>
      </c>
      <c r="BJ16" s="16">
        <f t="shared" si="4"/>
        <v>0</v>
      </c>
      <c r="BK16" s="16">
        <f t="shared" si="4"/>
        <v>0</v>
      </c>
      <c r="BL16" s="16">
        <f t="shared" si="4"/>
        <v>0</v>
      </c>
      <c r="BM16" s="15">
        <f t="shared" si="4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0</v>
      </c>
      <c r="AX17" s="392"/>
      <c r="AY17" s="392"/>
      <c r="AZ17" s="392"/>
      <c r="BA17" s="392"/>
      <c r="BB17" s="393"/>
      <c r="BC17" s="360"/>
      <c r="BD17" s="287" t="s">
        <v>7</v>
      </c>
      <c r="BE17" s="33">
        <f t="shared" si="4"/>
        <v>0</v>
      </c>
      <c r="BF17" s="33">
        <f t="shared" si="4"/>
        <v>0</v>
      </c>
      <c r="BG17" s="33">
        <f t="shared" si="4"/>
        <v>0</v>
      </c>
      <c r="BH17" s="33">
        <f t="shared" si="4"/>
        <v>0</v>
      </c>
      <c r="BI17" s="33">
        <f t="shared" si="4"/>
        <v>0</v>
      </c>
      <c r="BJ17" s="33">
        <f t="shared" si="4"/>
        <v>0</v>
      </c>
      <c r="BK17" s="33">
        <f t="shared" si="4"/>
        <v>0</v>
      </c>
      <c r="BL17" s="33">
        <f t="shared" si="4"/>
        <v>0</v>
      </c>
      <c r="BM17" s="194">
        <f t="shared" si="4"/>
        <v>49</v>
      </c>
    </row>
    <row r="18" spans="47:65" ht="15.75" customHeight="1" x14ac:dyDescent="0.25">
      <c r="AU18" s="376" t="s">
        <v>70</v>
      </c>
      <c r="AV18" s="222" t="s">
        <v>229</v>
      </c>
      <c r="AW18" s="378">
        <f>MAX(SUM(BE28:BM32) - H9 + SUM(AB4:AB8),0)</f>
        <v>0</v>
      </c>
      <c r="AX18" s="378"/>
      <c r="AY18" s="378"/>
      <c r="AZ18" s="378"/>
      <c r="BA18" s="378"/>
      <c r="BB18" s="379"/>
      <c r="BC18" s="360"/>
      <c r="BD18" s="192" t="s">
        <v>6</v>
      </c>
      <c r="BE18" s="193">
        <f t="shared" si="4"/>
        <v>0</v>
      </c>
      <c r="BF18" s="193">
        <f t="shared" si="4"/>
        <v>0</v>
      </c>
      <c r="BG18" s="193">
        <f t="shared" si="4"/>
        <v>0</v>
      </c>
      <c r="BH18" s="193">
        <f t="shared" si="4"/>
        <v>0</v>
      </c>
      <c r="BI18" s="193">
        <f t="shared" si="4"/>
        <v>0</v>
      </c>
      <c r="BJ18" s="193">
        <f t="shared" si="4"/>
        <v>0</v>
      </c>
      <c r="BK18" s="193">
        <f t="shared" si="4"/>
        <v>0</v>
      </c>
      <c r="BL18" s="193">
        <f t="shared" si="4"/>
        <v>0</v>
      </c>
      <c r="BM18" s="195">
        <f t="shared" si="4"/>
        <v>49</v>
      </c>
    </row>
    <row r="19" spans="47:65" ht="15.75" customHeight="1" x14ac:dyDescent="0.25">
      <c r="AU19" s="377"/>
      <c r="AV19" s="274" t="s">
        <v>244</v>
      </c>
      <c r="AW19" s="380">
        <f>ROUNDUP(AW18/$AR$11,0)</f>
        <v>0</v>
      </c>
      <c r="AX19" s="380"/>
      <c r="AY19" s="380"/>
      <c r="AZ19" s="380"/>
      <c r="BA19" s="380"/>
      <c r="BB19" s="381"/>
      <c r="BC19" s="360"/>
      <c r="BD19" s="288" t="s">
        <v>4</v>
      </c>
      <c r="BE19" s="130">
        <f t="shared" si="4"/>
        <v>0</v>
      </c>
      <c r="BF19" s="130">
        <f t="shared" si="4"/>
        <v>0</v>
      </c>
      <c r="BG19" s="130">
        <f t="shared" si="4"/>
        <v>0</v>
      </c>
      <c r="BH19" s="130">
        <f t="shared" si="4"/>
        <v>0</v>
      </c>
      <c r="BI19" s="130">
        <f t="shared" si="4"/>
        <v>0</v>
      </c>
      <c r="BJ19" s="130">
        <f t="shared" si="4"/>
        <v>0</v>
      </c>
      <c r="BK19" s="130">
        <f t="shared" si="4"/>
        <v>0</v>
      </c>
      <c r="BL19" s="130">
        <f t="shared" si="4"/>
        <v>0</v>
      </c>
      <c r="BM19" s="196">
        <f t="shared" si="4"/>
        <v>0</v>
      </c>
    </row>
    <row r="20" spans="47:65" ht="15.75" customHeight="1" x14ac:dyDescent="0.25">
      <c r="AU20" s="221" t="s">
        <v>94</v>
      </c>
      <c r="AV20" s="197" t="s">
        <v>229</v>
      </c>
      <c r="AW20" s="362">
        <f>MAX(SUM(BE34:BM38) - G11 + SUM(AC4:AC8),0)</f>
        <v>78941181</v>
      </c>
      <c r="AX20" s="362"/>
      <c r="AY20" s="362"/>
      <c r="AZ20" s="362"/>
      <c r="BA20" s="362"/>
      <c r="BB20" s="363"/>
      <c r="BC20" s="361"/>
      <c r="BD20" s="12" t="s">
        <v>3</v>
      </c>
      <c r="BE20" s="13">
        <f t="shared" si="4"/>
        <v>0</v>
      </c>
      <c r="BF20" s="13">
        <f t="shared" si="4"/>
        <v>0</v>
      </c>
      <c r="BG20" s="13">
        <f t="shared" si="4"/>
        <v>0</v>
      </c>
      <c r="BH20" s="13">
        <f t="shared" si="4"/>
        <v>0</v>
      </c>
      <c r="BI20" s="13">
        <f t="shared" si="4"/>
        <v>0</v>
      </c>
      <c r="BJ20" s="13">
        <f t="shared" si="4"/>
        <v>0</v>
      </c>
      <c r="BK20" s="13">
        <f t="shared" si="4"/>
        <v>0</v>
      </c>
      <c r="BL20" s="13">
        <f t="shared" si="4"/>
        <v>0</v>
      </c>
      <c r="BM20" s="113">
        <f t="shared" si="4"/>
        <v>49</v>
      </c>
    </row>
    <row r="21" spans="47:65" ht="15.75" customHeight="1" x14ac:dyDescent="0.25">
      <c r="BC21" s="359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60"/>
      <c r="BD22" s="286" t="s">
        <v>9</v>
      </c>
      <c r="BE22" s="16">
        <f t="shared" ref="BE22:BM26" si="5">IF(ISBLANK(AE4),0,VLOOKUP(AE4,$I$4:$V$15,12,FALSE))</f>
        <v>0</v>
      </c>
      <c r="BF22" s="16">
        <f t="shared" si="5"/>
        <v>0</v>
      </c>
      <c r="BG22" s="16">
        <f t="shared" si="5"/>
        <v>0</v>
      </c>
      <c r="BH22" s="16">
        <f t="shared" si="5"/>
        <v>0</v>
      </c>
      <c r="BI22" s="16">
        <f t="shared" si="5"/>
        <v>0</v>
      </c>
      <c r="BJ22" s="16">
        <f t="shared" si="5"/>
        <v>0</v>
      </c>
      <c r="BK22" s="16">
        <f t="shared" si="5"/>
        <v>0</v>
      </c>
      <c r="BL22" s="16">
        <f t="shared" si="5"/>
        <v>0</v>
      </c>
      <c r="BM22" s="15">
        <f t="shared" si="5"/>
        <v>15</v>
      </c>
    </row>
    <row r="23" spans="47:65" ht="15.75" customHeight="1" x14ac:dyDescent="0.25">
      <c r="BC23" s="360"/>
      <c r="BD23" s="287" t="s">
        <v>7</v>
      </c>
      <c r="BE23" s="33">
        <f t="shared" si="5"/>
        <v>0</v>
      </c>
      <c r="BF23" s="33">
        <f t="shared" si="5"/>
        <v>0</v>
      </c>
      <c r="BG23" s="33">
        <f t="shared" si="5"/>
        <v>0</v>
      </c>
      <c r="BH23" s="33">
        <f t="shared" si="5"/>
        <v>0</v>
      </c>
      <c r="BI23" s="33">
        <f t="shared" si="5"/>
        <v>0</v>
      </c>
      <c r="BJ23" s="33">
        <f t="shared" si="5"/>
        <v>0</v>
      </c>
      <c r="BK23" s="33">
        <f t="shared" si="5"/>
        <v>0</v>
      </c>
      <c r="BL23" s="33">
        <f t="shared" si="5"/>
        <v>0</v>
      </c>
      <c r="BM23" s="194">
        <f t="shared" si="5"/>
        <v>15</v>
      </c>
    </row>
    <row r="24" spans="47:65" ht="15.75" customHeight="1" x14ac:dyDescent="0.25">
      <c r="BC24" s="360"/>
      <c r="BD24" s="192" t="s">
        <v>6</v>
      </c>
      <c r="BE24" s="193">
        <f t="shared" si="5"/>
        <v>0</v>
      </c>
      <c r="BF24" s="193">
        <f t="shared" si="5"/>
        <v>0</v>
      </c>
      <c r="BG24" s="193">
        <f t="shared" si="5"/>
        <v>0</v>
      </c>
      <c r="BH24" s="193">
        <f t="shared" si="5"/>
        <v>0</v>
      </c>
      <c r="BI24" s="193">
        <f t="shared" si="5"/>
        <v>0</v>
      </c>
      <c r="BJ24" s="193">
        <f t="shared" si="5"/>
        <v>0</v>
      </c>
      <c r="BK24" s="193">
        <f t="shared" si="5"/>
        <v>0</v>
      </c>
      <c r="BL24" s="193">
        <f t="shared" si="5"/>
        <v>0</v>
      </c>
      <c r="BM24" s="195">
        <f t="shared" si="5"/>
        <v>15</v>
      </c>
    </row>
    <row r="25" spans="47:65" ht="15.75" customHeight="1" x14ac:dyDescent="0.25">
      <c r="BC25" s="360"/>
      <c r="BD25" s="288" t="s">
        <v>4</v>
      </c>
      <c r="BE25" s="130">
        <f t="shared" si="5"/>
        <v>0</v>
      </c>
      <c r="BF25" s="130">
        <f t="shared" si="5"/>
        <v>0</v>
      </c>
      <c r="BG25" s="130">
        <f t="shared" si="5"/>
        <v>0</v>
      </c>
      <c r="BH25" s="130">
        <f t="shared" si="5"/>
        <v>0</v>
      </c>
      <c r="BI25" s="130">
        <f t="shared" si="5"/>
        <v>0</v>
      </c>
      <c r="BJ25" s="130">
        <f t="shared" si="5"/>
        <v>0</v>
      </c>
      <c r="BK25" s="130">
        <f t="shared" si="5"/>
        <v>0</v>
      </c>
      <c r="BL25" s="130">
        <f t="shared" si="5"/>
        <v>0</v>
      </c>
      <c r="BM25" s="196">
        <f t="shared" si="5"/>
        <v>0</v>
      </c>
    </row>
    <row r="26" spans="47:65" ht="15.75" customHeight="1" x14ac:dyDescent="0.25">
      <c r="BC26" s="361"/>
      <c r="BD26" s="12" t="s">
        <v>3</v>
      </c>
      <c r="BE26" s="13">
        <f t="shared" si="5"/>
        <v>0</v>
      </c>
      <c r="BF26" s="13">
        <f t="shared" si="5"/>
        <v>0</v>
      </c>
      <c r="BG26" s="13">
        <f t="shared" si="5"/>
        <v>0</v>
      </c>
      <c r="BH26" s="13">
        <f t="shared" si="5"/>
        <v>0</v>
      </c>
      <c r="BI26" s="13">
        <f t="shared" si="5"/>
        <v>0</v>
      </c>
      <c r="BJ26" s="13">
        <f t="shared" si="5"/>
        <v>0</v>
      </c>
      <c r="BK26" s="13">
        <f t="shared" si="5"/>
        <v>0</v>
      </c>
      <c r="BL26" s="13">
        <f t="shared" si="5"/>
        <v>0</v>
      </c>
      <c r="BM26" s="113">
        <f t="shared" si="5"/>
        <v>15</v>
      </c>
    </row>
    <row r="27" spans="47:65" ht="15.75" customHeight="1" x14ac:dyDescent="0.25">
      <c r="BC27" s="359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60"/>
      <c r="BD28" s="286" t="s">
        <v>9</v>
      </c>
      <c r="BE28" s="16">
        <f t="shared" ref="BE28:BM32" si="6">IF(ISBLANK(AE4),0,VLOOKUP(AE4,$I$4:$V$15,13,FALSE))</f>
        <v>0</v>
      </c>
      <c r="BF28" s="16">
        <f t="shared" si="6"/>
        <v>0</v>
      </c>
      <c r="BG28" s="16">
        <f t="shared" si="6"/>
        <v>0</v>
      </c>
      <c r="BH28" s="16">
        <f t="shared" si="6"/>
        <v>0</v>
      </c>
      <c r="BI28" s="16">
        <f t="shared" si="6"/>
        <v>0</v>
      </c>
      <c r="BJ28" s="16">
        <f t="shared" si="6"/>
        <v>0</v>
      </c>
      <c r="BK28" s="16">
        <f t="shared" si="6"/>
        <v>0</v>
      </c>
      <c r="BL28" s="16">
        <f t="shared" si="6"/>
        <v>0</v>
      </c>
      <c r="BM28" s="15">
        <f t="shared" si="6"/>
        <v>35</v>
      </c>
    </row>
    <row r="29" spans="47:65" ht="15.75" customHeight="1" x14ac:dyDescent="0.25">
      <c r="BC29" s="360"/>
      <c r="BD29" s="287" t="s">
        <v>7</v>
      </c>
      <c r="BE29" s="33">
        <f t="shared" si="6"/>
        <v>0</v>
      </c>
      <c r="BF29" s="33">
        <f t="shared" si="6"/>
        <v>0</v>
      </c>
      <c r="BG29" s="33">
        <f t="shared" si="6"/>
        <v>0</v>
      </c>
      <c r="BH29" s="33">
        <f t="shared" si="6"/>
        <v>0</v>
      </c>
      <c r="BI29" s="33">
        <f t="shared" si="6"/>
        <v>0</v>
      </c>
      <c r="BJ29" s="33">
        <f t="shared" si="6"/>
        <v>0</v>
      </c>
      <c r="BK29" s="33">
        <f t="shared" si="6"/>
        <v>0</v>
      </c>
      <c r="BL29" s="33">
        <f t="shared" si="6"/>
        <v>0</v>
      </c>
      <c r="BM29" s="194">
        <f t="shared" si="6"/>
        <v>35</v>
      </c>
    </row>
    <row r="30" spans="47:65" ht="15.75" customHeight="1" x14ac:dyDescent="0.25">
      <c r="BC30" s="360"/>
      <c r="BD30" s="192" t="s">
        <v>6</v>
      </c>
      <c r="BE30" s="193">
        <f t="shared" si="6"/>
        <v>0</v>
      </c>
      <c r="BF30" s="193">
        <f t="shared" si="6"/>
        <v>0</v>
      </c>
      <c r="BG30" s="193">
        <f t="shared" si="6"/>
        <v>0</v>
      </c>
      <c r="BH30" s="193">
        <f t="shared" si="6"/>
        <v>0</v>
      </c>
      <c r="BI30" s="193">
        <f t="shared" si="6"/>
        <v>0</v>
      </c>
      <c r="BJ30" s="193">
        <f t="shared" si="6"/>
        <v>0</v>
      </c>
      <c r="BK30" s="193">
        <f t="shared" si="6"/>
        <v>0</v>
      </c>
      <c r="BL30" s="193">
        <f t="shared" si="6"/>
        <v>0</v>
      </c>
      <c r="BM30" s="195">
        <f t="shared" si="6"/>
        <v>35</v>
      </c>
    </row>
    <row r="31" spans="47:65" ht="15.75" customHeight="1" x14ac:dyDescent="0.25">
      <c r="BC31" s="360"/>
      <c r="BD31" s="288" t="s">
        <v>4</v>
      </c>
      <c r="BE31" s="130">
        <f t="shared" si="6"/>
        <v>0</v>
      </c>
      <c r="BF31" s="130">
        <f t="shared" si="6"/>
        <v>0</v>
      </c>
      <c r="BG31" s="130">
        <f t="shared" si="6"/>
        <v>0</v>
      </c>
      <c r="BH31" s="130">
        <f t="shared" si="6"/>
        <v>0</v>
      </c>
      <c r="BI31" s="130">
        <f t="shared" si="6"/>
        <v>0</v>
      </c>
      <c r="BJ31" s="130">
        <f t="shared" si="6"/>
        <v>0</v>
      </c>
      <c r="BK31" s="130">
        <f t="shared" si="6"/>
        <v>0</v>
      </c>
      <c r="BL31" s="130">
        <f t="shared" si="6"/>
        <v>0</v>
      </c>
      <c r="BM31" s="196">
        <f t="shared" si="6"/>
        <v>0</v>
      </c>
    </row>
    <row r="32" spans="47:65" ht="15.75" customHeight="1" x14ac:dyDescent="0.25">
      <c r="BC32" s="361"/>
      <c r="BD32" s="12" t="s">
        <v>3</v>
      </c>
      <c r="BE32" s="13">
        <f t="shared" si="6"/>
        <v>0</v>
      </c>
      <c r="BF32" s="13">
        <f t="shared" si="6"/>
        <v>0</v>
      </c>
      <c r="BG32" s="13">
        <f t="shared" si="6"/>
        <v>0</v>
      </c>
      <c r="BH32" s="13">
        <f t="shared" si="6"/>
        <v>0</v>
      </c>
      <c r="BI32" s="13">
        <f t="shared" si="6"/>
        <v>0</v>
      </c>
      <c r="BJ32" s="13">
        <f t="shared" si="6"/>
        <v>0</v>
      </c>
      <c r="BK32" s="13">
        <f t="shared" si="6"/>
        <v>0</v>
      </c>
      <c r="BL32" s="13">
        <f t="shared" si="6"/>
        <v>0</v>
      </c>
      <c r="BM32" s="113">
        <f t="shared" si="6"/>
        <v>35</v>
      </c>
    </row>
    <row r="33" spans="55:65" ht="15.75" customHeight="1" x14ac:dyDescent="0.25">
      <c r="BC33" s="359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60"/>
      <c r="BD34" s="286" t="s">
        <v>9</v>
      </c>
      <c r="BE34" s="333">
        <f t="shared" ref="BE34:BM38" si="7">IF(ISBLANK(AE4),0,VLOOKUP(AE4,$I$4:$V$15,14,FALSE))</f>
        <v>0</v>
      </c>
      <c r="BF34" s="333">
        <f t="shared" si="7"/>
        <v>0</v>
      </c>
      <c r="BG34" s="333">
        <f t="shared" si="7"/>
        <v>0</v>
      </c>
      <c r="BH34" s="333">
        <f t="shared" si="7"/>
        <v>0</v>
      </c>
      <c r="BI34" s="333">
        <f t="shared" si="7"/>
        <v>0</v>
      </c>
      <c r="BJ34" s="333">
        <f t="shared" si="7"/>
        <v>0</v>
      </c>
      <c r="BK34" s="333">
        <f t="shared" si="7"/>
        <v>0</v>
      </c>
      <c r="BL34" s="333">
        <f t="shared" si="7"/>
        <v>0</v>
      </c>
      <c r="BM34" s="334">
        <f t="shared" si="7"/>
        <v>52500000</v>
      </c>
    </row>
    <row r="35" spans="55:65" ht="15.75" customHeight="1" x14ac:dyDescent="0.25">
      <c r="BC35" s="360"/>
      <c r="BD35" s="287" t="s">
        <v>7</v>
      </c>
      <c r="BE35" s="335">
        <f t="shared" si="7"/>
        <v>0</v>
      </c>
      <c r="BF35" s="335">
        <f t="shared" si="7"/>
        <v>0</v>
      </c>
      <c r="BG35" s="335">
        <f t="shared" si="7"/>
        <v>0</v>
      </c>
      <c r="BH35" s="335">
        <f t="shared" si="7"/>
        <v>0</v>
      </c>
      <c r="BI35" s="335">
        <f t="shared" si="7"/>
        <v>0</v>
      </c>
      <c r="BJ35" s="335">
        <f t="shared" si="7"/>
        <v>0</v>
      </c>
      <c r="BK35" s="335">
        <f t="shared" si="7"/>
        <v>0</v>
      </c>
      <c r="BL35" s="335">
        <f t="shared" si="7"/>
        <v>0</v>
      </c>
      <c r="BM35" s="336">
        <f t="shared" si="7"/>
        <v>52500000</v>
      </c>
    </row>
    <row r="36" spans="55:65" ht="15.75" customHeight="1" x14ac:dyDescent="0.25">
      <c r="BC36" s="360"/>
      <c r="BD36" s="192" t="s">
        <v>6</v>
      </c>
      <c r="BE36" s="337">
        <f t="shared" si="7"/>
        <v>0</v>
      </c>
      <c r="BF36" s="337">
        <f t="shared" si="7"/>
        <v>0</v>
      </c>
      <c r="BG36" s="337">
        <f t="shared" si="7"/>
        <v>0</v>
      </c>
      <c r="BH36" s="337">
        <f t="shared" si="7"/>
        <v>0</v>
      </c>
      <c r="BI36" s="337">
        <f t="shared" si="7"/>
        <v>0</v>
      </c>
      <c r="BJ36" s="337">
        <f t="shared" si="7"/>
        <v>0</v>
      </c>
      <c r="BK36" s="337">
        <f t="shared" si="7"/>
        <v>0</v>
      </c>
      <c r="BL36" s="337">
        <f t="shared" si="7"/>
        <v>0</v>
      </c>
      <c r="BM36" s="338">
        <f t="shared" si="7"/>
        <v>52500000</v>
      </c>
    </row>
    <row r="37" spans="55:65" ht="15.75" customHeight="1" x14ac:dyDescent="0.25">
      <c r="BC37" s="360"/>
      <c r="BD37" s="288" t="s">
        <v>4</v>
      </c>
      <c r="BE37" s="339">
        <f t="shared" si="7"/>
        <v>0</v>
      </c>
      <c r="BF37" s="339">
        <f t="shared" si="7"/>
        <v>0</v>
      </c>
      <c r="BG37" s="339">
        <f t="shared" si="7"/>
        <v>0</v>
      </c>
      <c r="BH37" s="339">
        <f t="shared" si="7"/>
        <v>0</v>
      </c>
      <c r="BI37" s="339">
        <f t="shared" si="7"/>
        <v>0</v>
      </c>
      <c r="BJ37" s="339">
        <f t="shared" si="7"/>
        <v>0</v>
      </c>
      <c r="BK37" s="339">
        <f t="shared" si="7"/>
        <v>0</v>
      </c>
      <c r="BL37" s="339">
        <f t="shared" si="7"/>
        <v>0</v>
      </c>
      <c r="BM37" s="340">
        <f t="shared" si="7"/>
        <v>0</v>
      </c>
    </row>
    <row r="38" spans="55:65" ht="15.75" customHeight="1" x14ac:dyDescent="0.25">
      <c r="BC38" s="361"/>
      <c r="BD38" s="12" t="s">
        <v>3</v>
      </c>
      <c r="BE38" s="341">
        <f t="shared" si="7"/>
        <v>0</v>
      </c>
      <c r="BF38" s="341">
        <f t="shared" si="7"/>
        <v>0</v>
      </c>
      <c r="BG38" s="341">
        <f t="shared" si="7"/>
        <v>0</v>
      </c>
      <c r="BH38" s="341">
        <f t="shared" si="7"/>
        <v>0</v>
      </c>
      <c r="BI38" s="341">
        <f t="shared" si="7"/>
        <v>0</v>
      </c>
      <c r="BJ38" s="341">
        <f t="shared" si="7"/>
        <v>0</v>
      </c>
      <c r="BK38" s="341">
        <f t="shared" si="7"/>
        <v>0</v>
      </c>
      <c r="BL38" s="341">
        <f t="shared" si="7"/>
        <v>0</v>
      </c>
      <c r="BM38" s="342">
        <f t="shared" si="7"/>
        <v>52500000</v>
      </c>
    </row>
  </sheetData>
  <mergeCells count="30"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14" activePane="bottomLeft" state="frozen"/>
      <selection pane="bottomLeft" activeCell="U20" sqref="U20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J5" s="78">
        <v>3</v>
      </c>
      <c r="K5" s="78">
        <v>4</v>
      </c>
      <c r="L5" s="78">
        <v>1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J6" s="78">
        <v>3</v>
      </c>
      <c r="K6" s="78">
        <v>4</v>
      </c>
      <c r="L6" s="78">
        <v>1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J7" s="78">
        <v>3</v>
      </c>
      <c r="K7" s="78">
        <v>4</v>
      </c>
      <c r="L7" s="78">
        <v>2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J8" s="78">
        <v>3</v>
      </c>
      <c r="K8" s="78">
        <v>4</v>
      </c>
      <c r="L8" s="78">
        <v>1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J9" s="78">
        <v>2</v>
      </c>
      <c r="K9" s="78">
        <v>4</v>
      </c>
      <c r="L9" s="78">
        <v>1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J10" s="78">
        <v>2</v>
      </c>
      <c r="K10" s="78">
        <v>4</v>
      </c>
      <c r="L10" s="78">
        <v>1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J11" s="78">
        <v>3</v>
      </c>
      <c r="K11" s="78">
        <v>4</v>
      </c>
      <c r="L11" s="78">
        <v>1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J12" s="78">
        <v>3</v>
      </c>
      <c r="K12" s="78">
        <v>4</v>
      </c>
      <c r="L12" s="78">
        <v>2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J13" s="78">
        <v>2</v>
      </c>
      <c r="K13" s="78">
        <v>4</v>
      </c>
      <c r="L13" s="78">
        <v>1</v>
      </c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J14" s="78">
        <v>3</v>
      </c>
      <c r="K14" s="78">
        <v>4</v>
      </c>
      <c r="L14" s="78">
        <v>2</v>
      </c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J15" s="78">
        <v>3</v>
      </c>
      <c r="K15" s="78">
        <v>4</v>
      </c>
      <c r="L15" s="78">
        <v>2</v>
      </c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J16" s="78">
        <v>3</v>
      </c>
      <c r="K16" s="78">
        <v>4</v>
      </c>
      <c r="L16" s="78">
        <v>2</v>
      </c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0:24" x14ac:dyDescent="0.25">
      <c r="J17" s="78">
        <v>2</v>
      </c>
      <c r="K17" s="78">
        <v>4</v>
      </c>
      <c r="L17" s="78">
        <v>2</v>
      </c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0:24" x14ac:dyDescent="0.25">
      <c r="J18" s="78">
        <v>2</v>
      </c>
      <c r="K18" s="78">
        <v>4</v>
      </c>
      <c r="L18" s="78">
        <v>1</v>
      </c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0:24" x14ac:dyDescent="0.25">
      <c r="J19" s="78">
        <v>3</v>
      </c>
      <c r="K19" s="78">
        <v>4</v>
      </c>
      <c r="L19" s="78">
        <v>1</v>
      </c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0:24" x14ac:dyDescent="0.25">
      <c r="J20" s="78">
        <v>3</v>
      </c>
      <c r="K20" s="78">
        <v>4</v>
      </c>
      <c r="L20" s="78">
        <v>2</v>
      </c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0:24" x14ac:dyDescent="0.25">
      <c r="J21" s="78">
        <v>3</v>
      </c>
      <c r="K21" s="78">
        <v>4</v>
      </c>
      <c r="L21" s="78">
        <v>1</v>
      </c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0:24" x14ac:dyDescent="0.25">
      <c r="J22" s="78">
        <v>2</v>
      </c>
      <c r="K22" s="78">
        <v>4</v>
      </c>
      <c r="L22" s="78">
        <v>2</v>
      </c>
      <c r="M22" s="78">
        <v>4</v>
      </c>
      <c r="N22" s="78">
        <v>6</v>
      </c>
      <c r="O22" s="78">
        <v>1</v>
      </c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0:24" x14ac:dyDescent="0.25">
      <c r="M23" s="78">
        <v>4</v>
      </c>
      <c r="N23" s="78">
        <v>6</v>
      </c>
      <c r="O23" s="78">
        <v>2</v>
      </c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0:24" x14ac:dyDescent="0.25">
      <c r="M24" s="78">
        <v>4</v>
      </c>
      <c r="N24" s="78">
        <v>6</v>
      </c>
      <c r="O24" s="78">
        <v>2</v>
      </c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0:24" x14ac:dyDescent="0.25">
      <c r="M25" s="78">
        <v>4</v>
      </c>
      <c r="N25" s="78">
        <v>6</v>
      </c>
      <c r="O25" s="78">
        <v>2</v>
      </c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0:24" x14ac:dyDescent="0.25">
      <c r="M26" s="78">
        <v>4</v>
      </c>
      <c r="N26" s="78">
        <v>6</v>
      </c>
      <c r="O26" s="78">
        <v>2</v>
      </c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0:24" x14ac:dyDescent="0.25">
      <c r="M27" s="78">
        <v>4</v>
      </c>
      <c r="N27" s="78">
        <v>6</v>
      </c>
      <c r="O27" s="78">
        <v>2</v>
      </c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0:24" x14ac:dyDescent="0.25">
      <c r="M28" s="78">
        <v>4</v>
      </c>
      <c r="N28" s="78">
        <v>6</v>
      </c>
      <c r="O28" s="78">
        <v>2</v>
      </c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0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0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0:24" x14ac:dyDescent="0.25">
      <c r="X31" s="81"/>
    </row>
    <row r="32" spans="10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86" t="s">
        <v>262</v>
      </c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404"/>
    </row>
    <row r="2" spans="1:46" ht="15.75" customHeight="1" x14ac:dyDescent="0.25">
      <c r="A2" s="364" t="s">
        <v>62</v>
      </c>
      <c r="B2" s="365"/>
      <c r="C2" s="365"/>
      <c r="D2" s="366"/>
      <c r="E2" s="364" t="s">
        <v>246</v>
      </c>
      <c r="F2" s="365"/>
      <c r="G2" s="365"/>
      <c r="H2" s="365"/>
      <c r="I2" s="365"/>
      <c r="J2" s="365"/>
      <c r="K2" s="365"/>
      <c r="L2" s="366"/>
      <c r="M2" s="364" t="s">
        <v>254</v>
      </c>
      <c r="N2" s="365"/>
      <c r="O2" s="365"/>
      <c r="P2" s="365"/>
      <c r="Q2" s="365"/>
      <c r="R2" s="365"/>
      <c r="S2" s="365"/>
      <c r="T2" s="365"/>
      <c r="U2" s="365"/>
      <c r="V2" s="366"/>
      <c r="W2" s="364" t="s">
        <v>259</v>
      </c>
      <c r="X2" s="365"/>
      <c r="Y2" s="365"/>
      <c r="Z2" s="365"/>
      <c r="AA2" s="366"/>
      <c r="AB2" s="364" t="s">
        <v>232</v>
      </c>
      <c r="AC2" s="365"/>
      <c r="AD2" s="365"/>
      <c r="AE2" s="365"/>
      <c r="AF2" s="365"/>
      <c r="AG2" s="365"/>
      <c r="AH2" s="365"/>
      <c r="AI2" s="366"/>
      <c r="AJ2" s="364" t="s">
        <v>233</v>
      </c>
      <c r="AK2" s="365"/>
      <c r="AL2" s="365"/>
      <c r="AM2" s="365"/>
      <c r="AN2" s="365"/>
      <c r="AO2" s="365"/>
      <c r="AP2" s="365"/>
      <c r="AQ2" s="365"/>
      <c r="AR2" s="365"/>
      <c r="AS2" s="365"/>
      <c r="AT2" s="366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76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70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0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7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0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76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1"/>
        <v>0</v>
      </c>
      <c r="AJ7" s="400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70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1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77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76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1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70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0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77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0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93"/>
  <sheetViews>
    <sheetView topLeftCell="A172" workbookViewId="0">
      <selection activeCell="D193" sqref="D193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18315.529347946496</v>
      </c>
      <c r="F3" s="97" cm="1">
        <f t="array" ref="F3">SUMIF($H6:$H99999,"&gt;0") / SCOUT_DAYS_FROM_EARLIEST * 30</f>
        <v>53650.621314555814</v>
      </c>
      <c r="G3" s="97"/>
      <c r="H3" s="97" cm="1">
        <f t="array" ref="H3">(SUMIF($F6:$F99999,"&gt;0") + SUMIF($H6:$H99999,"&gt;0")) / SCOUT_DAYS_FROM_EARLIEST * 30</f>
        <v>71966.150662502303</v>
      </c>
      <c r="I3" s="97" cm="1">
        <f t="array" ref="I3">(SUMIF($F6:$F99999,"&lt;0") + SUMIF($H6:$H99999,"&lt;0")) / SCOUT_DAYS_FROM_EARLIEST * 30</f>
        <v>-78257.787778638507</v>
      </c>
      <c r="J3" s="97">
        <f>H3+I3</f>
        <v>-6291.637116136204</v>
      </c>
      <c r="L3" s="10" cm="1">
        <f t="array" ref="L3">SUM(L6:L99999) / SCOUT_DAYS_FROM_EARLIEST * 30</f>
        <v>58165.168212001314</v>
      </c>
      <c r="M3" s="100" cm="1">
        <f t="array" ref="M3">SUM(M6:M99999) / SCOUT_DAYS_FROM_EARLIEST * 30</f>
        <v>1084.625352848421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1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_xlfn.SINGLE(IFERROR(G6 - _xlfn.XLOOKUP(A6-31, $A$6:$A$14999,G$6:G$14999,"",-1,2),NA()))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_xlfn.SINGLE(IFERROR(G44 - _xlfn.XLOOKUP(A44-31, $A$6:$A$14999,G$6:G$14999,"",-1,2),NA()))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5"/>
        <v>6930</v>
      </c>
      <c r="J74" s="91">
        <f t="shared" ref="J74:J105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5"/>
        <v>120</v>
      </c>
      <c r="J75" s="91">
        <f t="shared" si="18"/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5"/>
        <v>-12895</v>
      </c>
      <c r="J76" s="91">
        <f t="shared" si="18"/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5"/>
        <v>665</v>
      </c>
      <c r="J77" s="91">
        <f t="shared" si="18"/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5"/>
        <v>270</v>
      </c>
      <c r="J78" s="91">
        <f t="shared" si="18"/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5"/>
        <v>145</v>
      </c>
      <c r="J79" s="91">
        <f t="shared" si="18"/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5"/>
        <v>-905</v>
      </c>
      <c r="J80" s="91">
        <f t="shared" si="18"/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5"/>
        <v>900</v>
      </c>
      <c r="J81" s="91">
        <f t="shared" si="18"/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5"/>
        <v>470</v>
      </c>
      <c r="J82" s="91">
        <f t="shared" si="18"/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5"/>
        <v>120</v>
      </c>
      <c r="J83" s="91">
        <f t="shared" si="18"/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5"/>
        <v>1150</v>
      </c>
      <c r="J84" s="91">
        <f t="shared" si="18"/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5"/>
        <v>770</v>
      </c>
      <c r="J85" s="91">
        <f t="shared" si="18"/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5"/>
        <v>110</v>
      </c>
      <c r="J86" s="91">
        <f t="shared" si="18"/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5"/>
        <v>475</v>
      </c>
      <c r="J87" s="91">
        <f t="shared" si="18"/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5"/>
        <v>140</v>
      </c>
      <c r="J88" s="91">
        <f t="shared" si="18"/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ref="K108:K140" si="26">_xlfn.SINGLE(IFERROR(G108 - _xlfn.XLOOKUP(A108-31, $A$6:$A$14999,G$6:G$14999,"",-1,2),NA()))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26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26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26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26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26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26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26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26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26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26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26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26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7">SUM(F121,H121)</f>
        <v>-125</v>
      </c>
      <c r="J121" s="91">
        <f t="shared" si="25"/>
        <v>-2.3809523809523809</v>
      </c>
      <c r="K121" s="86">
        <f t="shared" si="26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7"/>
        <v>1075</v>
      </c>
      <c r="J122" s="91">
        <f t="shared" si="25"/>
        <v>20.476190476190474</v>
      </c>
      <c r="K122" s="86">
        <f t="shared" si="26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7"/>
        <v>915</v>
      </c>
      <c r="J123" s="91">
        <f t="shared" si="25"/>
        <v>17.428571428571431</v>
      </c>
      <c r="K123" s="86">
        <f t="shared" si="26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8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7"/>
        <v>-15600</v>
      </c>
      <c r="J124" s="91">
        <f t="shared" si="25"/>
        <v>-297.14285714285717</v>
      </c>
      <c r="K124" s="86">
        <f t="shared" si="26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8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7"/>
        <v>2230</v>
      </c>
      <c r="J125" s="91">
        <f t="shared" si="25"/>
        <v>42.476190476190474</v>
      </c>
      <c r="K125" s="86">
        <f t="shared" si="26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8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7"/>
        <v>475</v>
      </c>
      <c r="J126" s="91">
        <f t="shared" si="25"/>
        <v>9.0476190476190474</v>
      </c>
      <c r="K126" s="86">
        <f t="shared" si="26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8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7"/>
        <v>-445</v>
      </c>
      <c r="J127" s="91">
        <f t="shared" si="25"/>
        <v>-8.4761904761904763</v>
      </c>
      <c r="K127" s="86">
        <f t="shared" si="26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8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7"/>
        <v>50</v>
      </c>
      <c r="J128" s="91">
        <f t="shared" si="25"/>
        <v>0.95238095238095233</v>
      </c>
      <c r="K128" s="86">
        <f t="shared" si="26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8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7"/>
        <v>1130</v>
      </c>
      <c r="J129" s="91">
        <f t="shared" si="25"/>
        <v>21.523809523809522</v>
      </c>
      <c r="K129" s="86">
        <f t="shared" si="26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8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7"/>
        <v>1075</v>
      </c>
      <c r="J130" s="91">
        <f t="shared" si="25"/>
        <v>20.476190476190474</v>
      </c>
      <c r="K130" s="86">
        <f t="shared" si="26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8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7"/>
        <v>150</v>
      </c>
      <c r="J131" s="91">
        <f t="shared" si="25"/>
        <v>2.8571428571428568</v>
      </c>
      <c r="K131" s="86">
        <f t="shared" si="26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8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7"/>
        <v>225</v>
      </c>
      <c r="J132" s="91">
        <f t="shared" si="25"/>
        <v>4.2857142857142856</v>
      </c>
      <c r="K132" s="86">
        <f t="shared" si="26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8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7"/>
        <v>1550</v>
      </c>
      <c r="J133" s="91">
        <f t="shared" si="25"/>
        <v>29.523809523809526</v>
      </c>
      <c r="K133" s="86">
        <f t="shared" si="26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8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7"/>
        <v>-9630</v>
      </c>
      <c r="J134" s="91">
        <f t="shared" si="25"/>
        <v>-183.42857142857142</v>
      </c>
      <c r="K134" s="86">
        <f t="shared" si="26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9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7"/>
        <v>110</v>
      </c>
      <c r="J135" s="91">
        <f t="shared" si="25"/>
        <v>2.0952380952380953</v>
      </c>
      <c r="K135" s="86">
        <f t="shared" si="26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9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7"/>
        <v>390</v>
      </c>
      <c r="J136" s="91">
        <f t="shared" si="25"/>
        <v>7.4285714285714288</v>
      </c>
      <c r="K136" s="86">
        <f t="shared" si="26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9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7"/>
        <v>8990</v>
      </c>
      <c r="J137" s="91">
        <f t="shared" si="25"/>
        <v>171.23809523809524</v>
      </c>
      <c r="K137" s="86">
        <f t="shared" si="26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9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7"/>
        <v>3500</v>
      </c>
      <c r="J138" s="91">
        <f t="shared" ref="J138:J169" si="32">I138/4200*80</f>
        <v>66.666666666666671</v>
      </c>
      <c r="K138" s="86">
        <f t="shared" si="26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9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7"/>
        <v>-295</v>
      </c>
      <c r="J139" s="91">
        <f t="shared" si="32"/>
        <v>-5.6190476190476186</v>
      </c>
      <c r="K139" s="86">
        <f t="shared" si="26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9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7"/>
        <v>700</v>
      </c>
      <c r="J140" s="91">
        <f t="shared" si="32"/>
        <v>13.333333333333332</v>
      </c>
      <c r="K140" s="86">
        <f t="shared" si="26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9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7"/>
        <v>10725</v>
      </c>
      <c r="J141" s="91">
        <f t="shared" si="32"/>
        <v>204.28571428571428</v>
      </c>
      <c r="K141" s="86">
        <f t="shared" ref="K141:K172" si="33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9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7"/>
        <v>1250</v>
      </c>
      <c r="J142" s="91">
        <f t="shared" si="32"/>
        <v>23.80952380952381</v>
      </c>
      <c r="K142" s="86">
        <f t="shared" si="33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9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7"/>
        <v>475</v>
      </c>
      <c r="J143" s="91">
        <f t="shared" si="32"/>
        <v>9.0476190476190474</v>
      </c>
      <c r="K143" s="86">
        <f t="shared" si="33"/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9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7"/>
        <v>180</v>
      </c>
      <c r="J144" s="91">
        <f t="shared" si="32"/>
        <v>3.4285714285714288</v>
      </c>
      <c r="K144" s="86">
        <f t="shared" si="33"/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9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7"/>
        <v>2920</v>
      </c>
      <c r="J145" s="91">
        <f t="shared" si="32"/>
        <v>55.61904761904762</v>
      </c>
      <c r="K145" s="86">
        <f t="shared" si="33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9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7"/>
        <v>-44435</v>
      </c>
      <c r="J146" s="91">
        <f t="shared" si="32"/>
        <v>-846.38095238095229</v>
      </c>
      <c r="K146" s="86">
        <f t="shared" si="33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9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7"/>
        <v>-2415</v>
      </c>
      <c r="J147" s="91">
        <f t="shared" si="32"/>
        <v>-46</v>
      </c>
      <c r="K147" s="86">
        <f t="shared" si="33"/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9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7"/>
        <v>575</v>
      </c>
      <c r="J148" s="91">
        <f t="shared" si="32"/>
        <v>10.952380952380953</v>
      </c>
      <c r="K148" s="86">
        <f t="shared" si="33"/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9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7"/>
        <v>150</v>
      </c>
      <c r="J149" s="91">
        <f t="shared" si="32"/>
        <v>2.8571428571428568</v>
      </c>
      <c r="K149" s="86">
        <f t="shared" si="33"/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9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7"/>
        <v>150</v>
      </c>
      <c r="J150" s="91">
        <f t="shared" si="32"/>
        <v>2.8571428571428568</v>
      </c>
      <c r="K150" s="86">
        <f t="shared" si="33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9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7"/>
        <v>74555</v>
      </c>
      <c r="J151" s="91">
        <f t="shared" si="32"/>
        <v>1420.0952380952381</v>
      </c>
      <c r="K151" s="86">
        <f t="shared" si="33"/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9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7"/>
        <v>875</v>
      </c>
      <c r="J152" s="91">
        <f t="shared" si="32"/>
        <v>16.666666666666668</v>
      </c>
      <c r="K152" s="86">
        <f t="shared" si="33"/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9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4">SUM(F153,H153)</f>
        <v>425</v>
      </c>
      <c r="J153" s="91">
        <f t="shared" si="32"/>
        <v>8.0952380952380949</v>
      </c>
      <c r="K153" s="86">
        <f t="shared" si="33"/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9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4"/>
        <v>100</v>
      </c>
      <c r="J154" s="91">
        <f t="shared" si="32"/>
        <v>1.9047619047619047</v>
      </c>
      <c r="K154" s="86">
        <f t="shared" si="33"/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9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4"/>
        <v>-350</v>
      </c>
      <c r="J155" s="91">
        <f t="shared" si="32"/>
        <v>-6.6666666666666661</v>
      </c>
      <c r="K155" s="86">
        <f t="shared" si="33"/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9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4"/>
        <v>1510</v>
      </c>
      <c r="J156" s="91">
        <f t="shared" si="32"/>
        <v>28.761904761904763</v>
      </c>
      <c r="K156" s="86">
        <f t="shared" si="33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9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4"/>
        <v>-46830</v>
      </c>
      <c r="J157" s="91">
        <f t="shared" si="32"/>
        <v>-892</v>
      </c>
      <c r="K157" s="86">
        <f t="shared" si="33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9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4"/>
        <v>110</v>
      </c>
      <c r="J158" s="91">
        <f t="shared" si="32"/>
        <v>2.0952380952380953</v>
      </c>
      <c r="K158" s="86">
        <f t="shared" si="33"/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9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4"/>
        <v>680</v>
      </c>
      <c r="J159" s="91">
        <f t="shared" si="32"/>
        <v>12.952380952380953</v>
      </c>
      <c r="K159" s="86">
        <f t="shared" si="33"/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9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4"/>
        <v>410</v>
      </c>
      <c r="J160" s="91">
        <f t="shared" si="32"/>
        <v>7.8095238095238093</v>
      </c>
      <c r="K160" s="86">
        <f t="shared" si="33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9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4"/>
        <v>470</v>
      </c>
      <c r="J161" s="91">
        <f t="shared" si="32"/>
        <v>8.9523809523809526</v>
      </c>
      <c r="K161" s="86">
        <f t="shared" si="33"/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9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4"/>
        <v>-360</v>
      </c>
      <c r="J162" s="91">
        <f t="shared" si="32"/>
        <v>-6.8571428571428577</v>
      </c>
      <c r="K162" s="86">
        <f t="shared" si="33"/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9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4"/>
        <v>110</v>
      </c>
      <c r="J163" s="91">
        <f t="shared" si="32"/>
        <v>2.0952380952380953</v>
      </c>
      <c r="K163" s="86">
        <f t="shared" si="33"/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9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4"/>
        <v>110</v>
      </c>
      <c r="J164" s="91">
        <f t="shared" si="32"/>
        <v>2.0952380952380953</v>
      </c>
      <c r="K164" s="86">
        <f t="shared" si="33"/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9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4"/>
        <v>2150</v>
      </c>
      <c r="J165" s="91">
        <f t="shared" si="32"/>
        <v>40.952380952380949</v>
      </c>
      <c r="K165" s="86">
        <f t="shared" si="33"/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9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4"/>
        <v>600</v>
      </c>
      <c r="J166" s="91">
        <f t="shared" si="32"/>
        <v>11.428571428571427</v>
      </c>
      <c r="K166" s="86">
        <f t="shared" si="33"/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9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4"/>
        <v>300</v>
      </c>
      <c r="J167" s="91">
        <f t="shared" si="32"/>
        <v>5.7142857142857135</v>
      </c>
      <c r="K167" s="86">
        <f t="shared" si="33"/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9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4"/>
        <v>155</v>
      </c>
      <c r="J168" s="91">
        <f t="shared" si="32"/>
        <v>2.9523809523809526</v>
      </c>
      <c r="K168" s="86">
        <f t="shared" si="33"/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9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4"/>
        <v>7485</v>
      </c>
      <c r="J169" s="91">
        <f t="shared" si="32"/>
        <v>142.57142857142858</v>
      </c>
      <c r="K169" s="86">
        <f t="shared" si="33"/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9"/>
        <v>140100</v>
      </c>
      <c r="F170" s="86">
        <f t="shared" ref="F170:F189" si="35">C170-C169</f>
        <v>385</v>
      </c>
      <c r="G170" s="86">
        <f>SUMIF(F$6:F170,"&gt;0")</f>
        <v>116995</v>
      </c>
      <c r="H170" s="86">
        <f t="shared" ref="H170:H189" si="36">D170-D169</f>
        <v>-4300</v>
      </c>
      <c r="I170" s="86">
        <f t="shared" si="34"/>
        <v>-3915</v>
      </c>
      <c r="J170" s="91">
        <f t="shared" ref="J170:J190" si="37">I170/4200*80</f>
        <v>-74.571428571428569</v>
      </c>
      <c r="K170" s="86">
        <f t="shared" si="33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9"/>
        <v>137350</v>
      </c>
      <c r="F171" s="86">
        <f t="shared" si="35"/>
        <v>-2750</v>
      </c>
      <c r="G171" s="86">
        <f>SUMIF(F$6:F171,"&gt;0")</f>
        <v>116995</v>
      </c>
      <c r="H171" s="86">
        <f t="shared" si="36"/>
        <v>0</v>
      </c>
      <c r="I171" s="86">
        <f t="shared" si="34"/>
        <v>-2750</v>
      </c>
      <c r="J171" s="91">
        <f t="shared" si="37"/>
        <v>-52.38095238095238</v>
      </c>
      <c r="K171" s="86">
        <f t="shared" si="33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9"/>
        <v>144950</v>
      </c>
      <c r="F172" s="86">
        <f t="shared" si="35"/>
        <v>650</v>
      </c>
      <c r="G172" s="86">
        <f>SUMIF(F$6:F172,"&gt;0")</f>
        <v>117645</v>
      </c>
      <c r="H172" s="86">
        <f t="shared" si="36"/>
        <v>6950</v>
      </c>
      <c r="I172" s="86">
        <f t="shared" si="34"/>
        <v>7600</v>
      </c>
      <c r="J172" s="91">
        <f t="shared" si="37"/>
        <v>144.76190476190476</v>
      </c>
      <c r="K172" s="86">
        <f t="shared" si="33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9"/>
        <v>140270</v>
      </c>
      <c r="F173" s="86">
        <f t="shared" si="35"/>
        <v>-4310</v>
      </c>
      <c r="G173" s="86">
        <f>SUMIF(F$6:F173,"&gt;0")</f>
        <v>117645</v>
      </c>
      <c r="H173" s="86">
        <f t="shared" si="36"/>
        <v>-370</v>
      </c>
      <c r="I173" s="86">
        <f t="shared" si="34"/>
        <v>-4680</v>
      </c>
      <c r="J173" s="91">
        <f t="shared" si="37"/>
        <v>-89.142857142857139</v>
      </c>
      <c r="K173" s="86">
        <f t="shared" ref="K173:K189" si="38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9"/>
        <v>137410</v>
      </c>
      <c r="F174" s="86">
        <f t="shared" si="35"/>
        <v>-90</v>
      </c>
      <c r="G174" s="86">
        <f>SUMIF(F$6:F174,"&gt;0")</f>
        <v>117645</v>
      </c>
      <c r="H174" s="86">
        <f t="shared" si="36"/>
        <v>-2770</v>
      </c>
      <c r="I174" s="86">
        <f t="shared" si="34"/>
        <v>-2860</v>
      </c>
      <c r="J174" s="91">
        <f t="shared" si="37"/>
        <v>-54.476190476190482</v>
      </c>
      <c r="K174" s="86">
        <f t="shared" si="38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9"/>
        <v>145640</v>
      </c>
      <c r="F175" s="86">
        <f t="shared" si="35"/>
        <v>200</v>
      </c>
      <c r="G175" s="86">
        <f>SUMIF(F$6:F175,"&gt;0")</f>
        <v>117845</v>
      </c>
      <c r="H175" s="86">
        <f t="shared" si="36"/>
        <v>8030</v>
      </c>
      <c r="I175" s="86">
        <f t="shared" si="34"/>
        <v>8230</v>
      </c>
      <c r="J175" s="91">
        <f t="shared" si="37"/>
        <v>156.76190476190476</v>
      </c>
      <c r="K175" s="86">
        <f t="shared" si="38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9"/>
        <v>117930</v>
      </c>
      <c r="F176" s="86">
        <f t="shared" si="35"/>
        <v>710</v>
      </c>
      <c r="G176" s="86">
        <f>SUMIF(F$6:F176,"&gt;0")</f>
        <v>118555</v>
      </c>
      <c r="H176" s="86">
        <f t="shared" si="36"/>
        <v>-28420</v>
      </c>
      <c r="I176" s="86">
        <f t="shared" si="34"/>
        <v>-27710</v>
      </c>
      <c r="J176" s="91">
        <f t="shared" si="37"/>
        <v>-527.80952380952374</v>
      </c>
      <c r="K176" s="86">
        <f t="shared" si="38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9"/>
        <v>117840</v>
      </c>
      <c r="F177" s="86">
        <f t="shared" si="35"/>
        <v>-90</v>
      </c>
      <c r="G177" s="86">
        <f>SUMIF(F$6:F177,"&gt;0")</f>
        <v>118555</v>
      </c>
      <c r="H177" s="86">
        <f t="shared" si="36"/>
        <v>0</v>
      </c>
      <c r="I177" s="86">
        <f t="shared" si="34"/>
        <v>-90</v>
      </c>
      <c r="J177" s="91">
        <f t="shared" si="37"/>
        <v>-1.7142857142857144</v>
      </c>
      <c r="K177" s="86">
        <f t="shared" si="38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9"/>
        <v>118840</v>
      </c>
      <c r="F178" s="86">
        <f t="shared" si="35"/>
        <v>1000</v>
      </c>
      <c r="G178" s="86">
        <f>SUMIF(F$6:F178,"&gt;0")</f>
        <v>119555</v>
      </c>
      <c r="H178" s="86">
        <f t="shared" si="36"/>
        <v>0</v>
      </c>
      <c r="I178" s="86">
        <f t="shared" si="34"/>
        <v>1000</v>
      </c>
      <c r="J178" s="91">
        <f t="shared" si="37"/>
        <v>19.047619047619047</v>
      </c>
      <c r="K178" s="86">
        <f t="shared" si="38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9"/>
        <v>116380</v>
      </c>
      <c r="F179" s="86">
        <f t="shared" si="35"/>
        <v>-680</v>
      </c>
      <c r="G179" s="86">
        <f>SUMIF(F$6:F179,"&gt;0")</f>
        <v>119555</v>
      </c>
      <c r="H179" s="86">
        <f t="shared" si="36"/>
        <v>-1780</v>
      </c>
      <c r="I179" s="86">
        <f t="shared" si="34"/>
        <v>-2460</v>
      </c>
      <c r="J179" s="91">
        <f t="shared" si="37"/>
        <v>-46.857142857142861</v>
      </c>
      <c r="K179" s="86">
        <f t="shared" si="38"/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9"/>
        <v>118940</v>
      </c>
      <c r="F180" s="86">
        <f t="shared" si="35"/>
        <v>2540</v>
      </c>
      <c r="G180" s="86">
        <f>SUMIF(F$6:F180,"&gt;0")</f>
        <v>122095</v>
      </c>
      <c r="H180" s="86">
        <f t="shared" si="36"/>
        <v>20</v>
      </c>
      <c r="I180" s="86">
        <f t="shared" si="34"/>
        <v>2560</v>
      </c>
      <c r="J180" s="91">
        <f t="shared" si="37"/>
        <v>48.761904761904766</v>
      </c>
      <c r="K180" s="86">
        <f t="shared" si="38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9"/>
        <v>119085</v>
      </c>
      <c r="F181" s="86">
        <f t="shared" si="35"/>
        <v>125</v>
      </c>
      <c r="G181" s="86">
        <f>SUMIF(F$6:F181,"&gt;0")</f>
        <v>122220</v>
      </c>
      <c r="H181" s="86">
        <f t="shared" si="36"/>
        <v>20</v>
      </c>
      <c r="I181" s="86">
        <f t="shared" si="34"/>
        <v>145</v>
      </c>
      <c r="J181" s="91">
        <f t="shared" si="37"/>
        <v>2.7619047619047619</v>
      </c>
      <c r="K181" s="86">
        <f t="shared" si="38"/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9"/>
        <v>119205</v>
      </c>
      <c r="F182" s="86">
        <f t="shared" si="35"/>
        <v>100</v>
      </c>
      <c r="G182" s="86">
        <f>SUMIF(F$6:F182,"&gt;0")</f>
        <v>122320</v>
      </c>
      <c r="H182" s="86">
        <f t="shared" si="36"/>
        <v>20</v>
      </c>
      <c r="I182" s="86">
        <f t="shared" si="34"/>
        <v>120</v>
      </c>
      <c r="J182" s="91">
        <f t="shared" si="37"/>
        <v>2.2857142857142856</v>
      </c>
      <c r="K182" s="86">
        <f t="shared" si="38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9"/>
        <v>120205</v>
      </c>
      <c r="F183" s="86">
        <f t="shared" si="35"/>
        <v>1000</v>
      </c>
      <c r="G183" s="86">
        <f>SUMIF(F$6:F183,"&gt;0")</f>
        <v>123320</v>
      </c>
      <c r="H183" s="86">
        <f t="shared" si="36"/>
        <v>0</v>
      </c>
      <c r="I183" s="86">
        <f t="shared" si="34"/>
        <v>1000</v>
      </c>
      <c r="J183" s="91">
        <f t="shared" si="37"/>
        <v>19.047619047619047</v>
      </c>
      <c r="K183" s="86">
        <f t="shared" si="38"/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9"/>
        <v>93775</v>
      </c>
      <c r="F184" s="86">
        <f t="shared" si="35"/>
        <v>-1200</v>
      </c>
      <c r="G184" s="86">
        <f>SUMIF(F$6:F184,"&gt;0")</f>
        <v>123320</v>
      </c>
      <c r="H184" s="86">
        <f t="shared" si="36"/>
        <v>-25230</v>
      </c>
      <c r="I184" s="86">
        <f t="shared" si="34"/>
        <v>-26430</v>
      </c>
      <c r="J184" s="91">
        <f t="shared" si="37"/>
        <v>-503.42857142857144</v>
      </c>
      <c r="K184" s="86">
        <f t="shared" si="38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9"/>
        <v>96835</v>
      </c>
      <c r="F185" s="86">
        <f t="shared" si="35"/>
        <v>2460</v>
      </c>
      <c r="G185" s="86">
        <f>SUMIF(F$6:F185,"&gt;0")</f>
        <v>125780</v>
      </c>
      <c r="H185" s="86">
        <f t="shared" si="36"/>
        <v>600</v>
      </c>
      <c r="I185" s="86">
        <f t="shared" ref="I185:I189" si="39">SUM(F185,H185)</f>
        <v>3060</v>
      </c>
      <c r="J185" s="91">
        <f t="shared" si="37"/>
        <v>58.285714285714285</v>
      </c>
      <c r="K185" s="86">
        <f t="shared" si="38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9"/>
        <v>93535</v>
      </c>
      <c r="F186" s="86">
        <f t="shared" si="35"/>
        <v>-3300</v>
      </c>
      <c r="G186" s="86">
        <f>SUMIF(F$6:F186,"&gt;0")</f>
        <v>125780</v>
      </c>
      <c r="H186" s="86">
        <f t="shared" si="36"/>
        <v>0</v>
      </c>
      <c r="I186" s="86">
        <f t="shared" si="39"/>
        <v>-3300</v>
      </c>
      <c r="J186" s="91">
        <f t="shared" si="37"/>
        <v>-62.857142857142854</v>
      </c>
      <c r="K186" s="86">
        <f t="shared" si="38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9"/>
        <v>94130</v>
      </c>
      <c r="F187" s="86">
        <f t="shared" si="35"/>
        <v>575</v>
      </c>
      <c r="G187" s="86">
        <f>SUMIF(F$6:F187,"&gt;0")</f>
        <v>126355</v>
      </c>
      <c r="H187" s="86">
        <f t="shared" si="36"/>
        <v>20</v>
      </c>
      <c r="I187" s="86">
        <f t="shared" si="39"/>
        <v>595</v>
      </c>
      <c r="J187" s="91">
        <f t="shared" si="37"/>
        <v>11.333333333333332</v>
      </c>
      <c r="K187" s="86">
        <f t="shared" si="38"/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9"/>
        <v>89475</v>
      </c>
      <c r="F188" s="86">
        <f t="shared" si="35"/>
        <v>-3425</v>
      </c>
      <c r="G188" s="86">
        <f>SUMIF(F$6:F188,"&gt;0")</f>
        <v>126355</v>
      </c>
      <c r="H188" s="86">
        <f t="shared" si="36"/>
        <v>-1230</v>
      </c>
      <c r="I188" s="86">
        <f t="shared" si="39"/>
        <v>-4655</v>
      </c>
      <c r="J188" s="91">
        <f t="shared" si="37"/>
        <v>-88.666666666666671</v>
      </c>
      <c r="K188" s="86">
        <f t="shared" si="38"/>
        <v>16965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9"/>
        <v>88755</v>
      </c>
      <c r="F189" s="86">
        <f t="shared" si="35"/>
        <v>0</v>
      </c>
      <c r="G189" s="86">
        <f>SUMIF(F$6:F189,"&gt;0")</f>
        <v>126355</v>
      </c>
      <c r="H189" s="86">
        <f t="shared" si="36"/>
        <v>-720</v>
      </c>
      <c r="I189" s="86">
        <f t="shared" si="39"/>
        <v>-720</v>
      </c>
      <c r="J189" s="91">
        <f t="shared" si="37"/>
        <v>-13.714285714285715</v>
      </c>
      <c r="K189" s="86">
        <f t="shared" si="38"/>
        <v>16965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:E193" si="40">SUM(C190:D190)</f>
        <v>88855</v>
      </c>
      <c r="F190" s="86">
        <f t="shared" ref="F190" si="41">C190-C189</f>
        <v>100</v>
      </c>
      <c r="G190" s="86">
        <f>SUMIF(F$6:F190,"&gt;0")</f>
        <v>126455</v>
      </c>
      <c r="H190" s="86">
        <f t="shared" ref="H190" si="42">D190-D189</f>
        <v>0</v>
      </c>
      <c r="I190" s="86">
        <f t="shared" ref="I190" si="43">SUM(F190,H190)</f>
        <v>100</v>
      </c>
      <c r="J190" s="91">
        <f t="shared" si="37"/>
        <v>1.9047619047619047</v>
      </c>
      <c r="K190" s="86">
        <f t="shared" ref="K190" si="44">IFERROR(G190 - _xlfn.XLOOKUP(A190-31, $A$6:$A$14999,G$6:G$14999,"",-1,2),NA())</f>
        <v>17065</v>
      </c>
    </row>
    <row r="191" spans="1:13" x14ac:dyDescent="0.25">
      <c r="A191" s="87">
        <v>44113.240972222222</v>
      </c>
      <c r="B191" s="117" t="s">
        <v>293</v>
      </c>
      <c r="C191" s="84">
        <v>185</v>
      </c>
      <c r="D191" s="84">
        <v>84270</v>
      </c>
      <c r="E191" s="84">
        <f t="shared" si="40"/>
        <v>84455</v>
      </c>
      <c r="F191" s="86">
        <f t="shared" ref="F191" si="45">C191-C190</f>
        <v>60</v>
      </c>
      <c r="G191" s="86">
        <f>SUMIF(F$6:F191,"&gt;0")</f>
        <v>126515</v>
      </c>
      <c r="H191" s="86">
        <f t="shared" ref="H191" si="46">D191-D190</f>
        <v>-4460</v>
      </c>
      <c r="I191" s="86">
        <f t="shared" ref="I191" si="47">SUM(F191,H191)</f>
        <v>-4400</v>
      </c>
      <c r="J191" s="91">
        <f t="shared" ref="J191" si="48">I191/4200*80</f>
        <v>-83.80952380952381</v>
      </c>
      <c r="K191" s="86">
        <f t="shared" ref="K191" si="49">IFERROR(G191 - _xlfn.XLOOKUP(A191-31, $A$6:$A$14999,G$6:G$14999,"",-1,2),NA())</f>
        <v>16450</v>
      </c>
    </row>
    <row r="192" spans="1:13" x14ac:dyDescent="0.25">
      <c r="A192" s="87">
        <v>44114.05972222222</v>
      </c>
      <c r="B192" s="117" t="s">
        <v>295</v>
      </c>
      <c r="C192" s="84">
        <v>5</v>
      </c>
      <c r="D192" s="84">
        <v>83130</v>
      </c>
      <c r="E192" s="84">
        <f t="shared" si="40"/>
        <v>83135</v>
      </c>
      <c r="F192" s="86">
        <f t="shared" ref="F192" si="50">C192-C191</f>
        <v>-180</v>
      </c>
      <c r="G192" s="86">
        <f>SUMIF(F$6:F192,"&gt;0")</f>
        <v>126515</v>
      </c>
      <c r="H192" s="86">
        <f t="shared" ref="H192" si="51">D192-D191</f>
        <v>-1140</v>
      </c>
      <c r="I192" s="86">
        <f t="shared" ref="I192" si="52">SUM(F192,H192)</f>
        <v>-1320</v>
      </c>
      <c r="J192" s="91">
        <f t="shared" ref="J192" si="53">I192/4200*80</f>
        <v>-25.142857142857142</v>
      </c>
      <c r="K192" s="86">
        <f t="shared" ref="K192" si="54">IFERROR(G192 - _xlfn.XLOOKUP(A192-31, $A$6:$A$14999,G$6:G$14999,"",-1,2),NA())</f>
        <v>16450</v>
      </c>
    </row>
    <row r="193" spans="3:11" x14ac:dyDescent="0.25">
      <c r="C193" s="84">
        <v>105</v>
      </c>
      <c r="D193" s="84">
        <v>82650</v>
      </c>
      <c r="E193" s="84">
        <f t="shared" si="40"/>
        <v>82755</v>
      </c>
      <c r="F193" s="86">
        <f t="shared" ref="F193" si="55">C193-C192</f>
        <v>100</v>
      </c>
      <c r="G193" s="86">
        <f>SUMIF(F$6:F193,"&gt;0")</f>
        <v>126615</v>
      </c>
      <c r="H193" s="86">
        <f t="shared" ref="H193" si="56">D193-D192</f>
        <v>-480</v>
      </c>
      <c r="I193" s="86">
        <f t="shared" ref="I193" si="57">SUM(F193,H193)</f>
        <v>-380</v>
      </c>
      <c r="J193" s="91">
        <f t="shared" ref="J193" si="58">I193/4200*80</f>
        <v>-7.2380952380952381</v>
      </c>
      <c r="K193" s="86" t="e">
        <f t="shared" ref="K193" si="59">IFERROR(G193 - _xlfn.XLOOKUP(A193-31, $A$6:$A$14999,G$6:G$14999,"",-1,2),NA())</f>
        <v>#N/A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5"/>
  <sheetViews>
    <sheetView tabSelected="1" topLeftCell="A7" workbookViewId="0">
      <selection activeCell="K21" sqref="K20:K21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4">C5-C4</f>
        <v>1</v>
      </c>
      <c r="G5" s="86">
        <f t="shared" ref="G5:G22" si="5">D5-D4</f>
        <v>0</v>
      </c>
      <c r="H5" s="86">
        <f t="shared" ref="H5:H22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4"/>
        <v>12</v>
      </c>
      <c r="G6" s="86">
        <f t="shared" si="5"/>
        <v>1</v>
      </c>
      <c r="H6" s="86">
        <f t="shared" si="6"/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4"/>
        <v>6</v>
      </c>
      <c r="G7" s="86">
        <f t="shared" si="5"/>
        <v>0</v>
      </c>
      <c r="H7" s="86">
        <f t="shared" si="6"/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4"/>
        <v>3</v>
      </c>
      <c r="G8" s="86">
        <f t="shared" si="5"/>
        <v>0</v>
      </c>
      <c r="H8" s="86">
        <f t="shared" si="6"/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4"/>
        <v>3</v>
      </c>
      <c r="G9" s="86">
        <f t="shared" si="5"/>
        <v>0</v>
      </c>
      <c r="H9" s="86">
        <f t="shared" si="6"/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4"/>
        <v>4</v>
      </c>
      <c r="G10" s="86">
        <f t="shared" si="5"/>
        <v>1</v>
      </c>
      <c r="H10" s="86">
        <f t="shared" si="6"/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4"/>
        <v>5</v>
      </c>
      <c r="G11" s="86">
        <f t="shared" si="5"/>
        <v>1</v>
      </c>
      <c r="H11" s="86">
        <f t="shared" si="6"/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4"/>
        <v>1</v>
      </c>
      <c r="G12" s="86">
        <f t="shared" si="5"/>
        <v>0</v>
      </c>
      <c r="H12" s="86">
        <f t="shared" si="6"/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4"/>
        <v>4</v>
      </c>
      <c r="G13" s="86">
        <f t="shared" si="5"/>
        <v>0</v>
      </c>
      <c r="H13" s="86">
        <f t="shared" si="6"/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4"/>
        <v>1</v>
      </c>
      <c r="G14" s="86">
        <f t="shared" si="5"/>
        <v>0</v>
      </c>
      <c r="H14" s="86">
        <f t="shared" si="6"/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4"/>
        <v>-49</v>
      </c>
      <c r="G15" s="86">
        <f t="shared" si="5"/>
        <v>-3</v>
      </c>
      <c r="H15" s="86">
        <f t="shared" si="6"/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3" si="7">C16+D16*10</f>
        <v>19</v>
      </c>
      <c r="F16" s="86">
        <f t="shared" si="4"/>
        <v>9</v>
      </c>
      <c r="G16" s="86">
        <f t="shared" si="5"/>
        <v>1</v>
      </c>
      <c r="H16" s="86">
        <f t="shared" si="6"/>
        <v>19</v>
      </c>
      <c r="I16" s="84">
        <f t="shared" ref="I16:I23" si="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7"/>
        <v>39</v>
      </c>
      <c r="F17" s="86">
        <f t="shared" si="4"/>
        <v>20</v>
      </c>
      <c r="G17" s="86">
        <f t="shared" si="5"/>
        <v>0</v>
      </c>
      <c r="H17" s="86">
        <f t="shared" si="6"/>
        <v>20</v>
      </c>
      <c r="I17" s="84">
        <f t="shared" si="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7"/>
        <v>44</v>
      </c>
      <c r="F18" s="86">
        <f t="shared" si="4"/>
        <v>5</v>
      </c>
      <c r="G18" s="86">
        <f t="shared" si="5"/>
        <v>0</v>
      </c>
      <c r="H18" s="86">
        <f t="shared" si="6"/>
        <v>5</v>
      </c>
      <c r="I18" s="84">
        <f t="shared" si="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7"/>
        <v>47</v>
      </c>
      <c r="F19" s="86">
        <f t="shared" si="4"/>
        <v>3</v>
      </c>
      <c r="G19" s="86">
        <f t="shared" si="5"/>
        <v>0</v>
      </c>
      <c r="H19" s="86">
        <f t="shared" si="6"/>
        <v>3</v>
      </c>
      <c r="I19" s="84">
        <f t="shared" si="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7"/>
        <v>1</v>
      </c>
      <c r="F20" s="86">
        <f t="shared" si="4"/>
        <v>-36</v>
      </c>
      <c r="G20" s="86">
        <f t="shared" si="5"/>
        <v>-1</v>
      </c>
      <c r="H20" s="86">
        <f t="shared" si="6"/>
        <v>-46</v>
      </c>
      <c r="I20" s="84">
        <f t="shared" si="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7"/>
        <v>2</v>
      </c>
      <c r="F21" s="86">
        <f t="shared" si="4"/>
        <v>1</v>
      </c>
      <c r="G21" s="86">
        <f t="shared" si="5"/>
        <v>0</v>
      </c>
      <c r="H21" s="86">
        <f t="shared" si="6"/>
        <v>1</v>
      </c>
      <c r="I21" s="84">
        <f t="shared" si="8"/>
        <v>240</v>
      </c>
      <c r="J21" s="86">
        <f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7"/>
        <v>3</v>
      </c>
      <c r="F22" s="86">
        <f t="shared" si="4"/>
        <v>1</v>
      </c>
      <c r="G22" s="86">
        <f t="shared" si="5"/>
        <v>0</v>
      </c>
      <c r="H22" s="86">
        <f t="shared" si="6"/>
        <v>1</v>
      </c>
      <c r="I22" s="84">
        <f t="shared" si="8"/>
        <v>360</v>
      </c>
      <c r="J22" s="86">
        <f>I22-I21</f>
        <v>120</v>
      </c>
    </row>
    <row r="23" spans="1:10" x14ac:dyDescent="0.25">
      <c r="A23" s="87">
        <v>44112.307638888888</v>
      </c>
      <c r="C23" s="84">
        <v>4</v>
      </c>
      <c r="D23" s="84">
        <v>0</v>
      </c>
      <c r="E23" s="171">
        <f t="shared" si="7"/>
        <v>4</v>
      </c>
      <c r="F23" s="86">
        <f t="shared" ref="F23" si="9">C23-C22</f>
        <v>1</v>
      </c>
      <c r="G23" s="86">
        <f t="shared" ref="G23" si="10">D23-D22</f>
        <v>0</v>
      </c>
      <c r="H23" s="86">
        <f t="shared" ref="H23" si="11">E23-E22</f>
        <v>1</v>
      </c>
      <c r="I23" s="84">
        <f t="shared" si="8"/>
        <v>480</v>
      </c>
      <c r="J23" s="86">
        <f>I23-I22</f>
        <v>120</v>
      </c>
    </row>
    <row r="24" spans="1:10" x14ac:dyDescent="0.25">
      <c r="A24" s="87">
        <v>44113.241666666669</v>
      </c>
      <c r="C24" s="84">
        <v>5</v>
      </c>
      <c r="D24" s="84">
        <v>0</v>
      </c>
      <c r="E24" s="171">
        <f t="shared" ref="E24:E25" si="12">C24+D24*10</f>
        <v>5</v>
      </c>
      <c r="F24" s="86">
        <f t="shared" ref="F24" si="13">C24-C23</f>
        <v>1</v>
      </c>
      <c r="G24" s="86">
        <f t="shared" ref="G24" si="14">D24-D23</f>
        <v>0</v>
      </c>
      <c r="H24" s="86">
        <f t="shared" ref="H24" si="15">E24-E23</f>
        <v>1</v>
      </c>
      <c r="I24" s="84">
        <f t="shared" ref="I24:I25" si="16">E24*120</f>
        <v>600</v>
      </c>
      <c r="J24" s="86">
        <f>I24-I23</f>
        <v>120</v>
      </c>
    </row>
    <row r="25" spans="1:10" x14ac:dyDescent="0.25">
      <c r="A25" s="87">
        <v>44114.061805555553</v>
      </c>
      <c r="C25" s="84">
        <v>6</v>
      </c>
      <c r="D25" s="84">
        <v>0</v>
      </c>
      <c r="E25" s="171">
        <f t="shared" si="12"/>
        <v>6</v>
      </c>
      <c r="F25" s="86">
        <f t="shared" ref="F25" si="17">C25-C24</f>
        <v>1</v>
      </c>
      <c r="G25" s="86">
        <f t="shared" ref="G25" si="18">D25-D24</f>
        <v>0</v>
      </c>
      <c r="H25" s="86">
        <f t="shared" ref="H25" si="19">E25-E24</f>
        <v>1</v>
      </c>
      <c r="I25" s="84">
        <f t="shared" si="16"/>
        <v>720</v>
      </c>
      <c r="J25" s="86">
        <f>I25-I24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topLeftCell="A16"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28.173147006676508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-364 D 21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-367 D 12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-376 D 06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-381 D 18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-368 D 08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-162 D 17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-260 D 17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-313 D 10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-329 D 17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-349 D 06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-361 D 06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-385 D 20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-364 D 22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-370 D 14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-374 D 23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-381 D 19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-383 D 17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-378 D 11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-352 D 17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-341 D 17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-357 D 22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-357 D 00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-367 D 21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-359 D 13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-363 D 13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-363 D 22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-359 D 08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-360 D 15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-372 D 06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-359 D 22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-361 D 05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-371 D 14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-362 D 03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-361 D 09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-371 D 04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-362 D 06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-361 D 16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-351 D 15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-362 D 12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-362 D 06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-350 D 11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-363 D 07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-359 D 13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-357 D 08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-363 D 14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-362 D 02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-364 D 12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-363 D 22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-362 D 22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-371 D 02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-364 D 05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-363 D 07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-376 D 01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-364 D 17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-364 D 08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-366 D 22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-363 D 15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-361 D 10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-367 D 14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-362 D 12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-362 D 03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-353 D 09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-362 D 07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-363 D 10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-352 D 11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-361 D 13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-360 D 16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-349 D 13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-360 D 13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-360 D 21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-338 D 00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-360 D 11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-361 D 03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-341 D 09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-360 D 01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-361 D 08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-347 D 07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-360 D 05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-361 D 21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-353 D 11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-360 D 08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-362 D 10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-345 D 20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-361 D 17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-360 D 14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-362 D 08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-361 D 18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-361 D 11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-362 D 10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-361 D 20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-361 D 20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-347 D 02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-361 D 06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-360 D 12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-355 D 13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-361 D 18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-361 D 17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-373 D 00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-362 D 23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-363 D 20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-372 D 10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-363 D 03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-362 D 23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-376 D 12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-363 D 22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-363 D 19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-381 D 13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-364 D 15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-365 D 07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-384 D 05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-366 D 00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-366 D 05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-385 D 12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-366 D 23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-366 D 10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-392 D 17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-368 D 11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-366 D 23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-392 D 20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-369 D 11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-367 D 11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-393 D 02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-370 D 11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-367 D 17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-393 D 21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-371 D 07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-368 D 07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-394 D 07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-372 D 07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-368 D 14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-392 D 21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-372 D 20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-368 D 15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-393 D 00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-373 D 19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-368 D 23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-393 D 05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-374 D 07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-369 D 04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-388 D 04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-374 D 09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-368 D 11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-385 D 19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-374 D 17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-368 D 17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-385 D 02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-375 D 00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-369 D 00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-379 D 13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-375 D 22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-369 D 14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-382 D 09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-376 D 08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-370 D 03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-384 D 10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-377 D 00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-370 D 17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-387 D 10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-377 D 20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-371 D 04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-393 D 13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-379 D 12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-371 D 17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-397 D 01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-381 D 04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-373 D 00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-396 D 17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-382 D 06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-373 D 10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-395 D 09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-382 D 18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-373 D 16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-395 D 05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-383 D 06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-373 D 23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-395 D 03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-384 D 06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-374 D 01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-395 D 03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-384 D 14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-374 D 05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-391 D 20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-384 D 19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-374 D 08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-385 D 11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-386 D 20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-374 D 18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-385 D 06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-387 D 13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-374 D 23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-384 D 19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-387 D 16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-375 D 00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-385 D 05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-388 D 11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-375 D 04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-383 D 00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-389 D 22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-375 D 04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-383 D 03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-389 D 21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-375 D 19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-384 D 15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-389 D 18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-376 D 02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-385 D 18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-390 D 03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-376 D 11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-390 D 11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-390 D 05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-377 D 02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-390 D 15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-390 D 03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-377 D 05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-380 D 23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-389 D 15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-376 D 08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-378 D 22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-389 D 09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-376 D 13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-377 D 07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-389 D 08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-377 D 05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-389 D 06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-389 D 06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-378 D 07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-391 D 17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-389 D 06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-378 D 10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-395 D 02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-389 D 03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-379 D 00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-394 D 11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-389 D 04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-379 D 04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-394 D 06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-389 D 06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-379 D 07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-394 D 10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-389 D 08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-379 D 13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-394 D 13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-389 D 10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-379 D 15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-381 D 03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-388 D 12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-378 D 12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-357 D 20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-387 D 18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-378 D 14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-361 D 09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-387 D 13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-378 D 21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-366 D 07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-387 D 11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-379 D 00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-375 D 09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-387 D 05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-379 D 04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-389 D 10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-387 D 02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-379 D 10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-389 D 23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-387 D 02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-379 D 13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-390 D 08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-387 D 01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-379 D 15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-391 D 18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-387 D 04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-379 D 23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-392 D 07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-387 D 09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-380 D 04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-388 D 08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-387 D 01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-379 D 15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-381 D 21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-386 D 23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-379 D 17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-378 D 15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-386 D 20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-379 D 16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-378 D 17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-386 D 18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-379 D 17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-342 D 02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-385 D 11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-378 D 09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-363 D 15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-385 D 07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-379 D 06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-395 D 17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-385 D 07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-380 D 21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-327 D 14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-380 D 13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-378 D 21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-336 D 08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-378 D 16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-378 D 10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-341 D 19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-377 D 23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-378 D 11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-374 D 13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-377 D 12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-378 D 12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-384 D 08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-376 D 22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-379 D 01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-379 D 19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-375 D 20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-378 D 16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-377 D 23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-376 D 14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-379 D 01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-380 D 11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-377 D 06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-379 D 04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-383 D 02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-377 D 16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-378 D 23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-382 D 15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-378 D 19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-379 D 09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-383 D 02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-378 D 05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-379 D 05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-383 D 22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-378 D 21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-379 D 12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-380 D 01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-379 D 04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-379 D 09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-382 D 19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-379 D 17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-379 D 14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-383 D 22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-382 D 17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-380 D 03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-383 D 12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-382 D 18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-380 D 03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-382 D 15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-382 D 15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-380 D 01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-381 D 05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-382 D 08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-380 D 05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-380 D 10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-381 D 17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-380 D 02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-380 D 13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-381 D 16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-380 D 04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-381 D 07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-381 D 14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-380 D 07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-382 D 01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-381 D 14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-380 D 08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-375 D 12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-381 D 02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-379 D 23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-375 D 09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-380 D 15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-380 D 00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-375 D 12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-380 D 09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-379 D 23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-376 D 23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-380 D 08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-380 D 00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-380 D 16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-380 D 08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-380 D 02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-381 D 04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-380 D 10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-380 D 04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-381 D 21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-380 D 11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-380 D 05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-379 D 12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-380 D 03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-379 D 21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-384 D 12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-380 D 04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-380 D 07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-383 D 23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-380 D 06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-380 D 06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-382 D 00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-380 D 04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-380 D 03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-381 D 18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-380 D 06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-380 D 05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-380 D 08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-380 D 13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-380 D 10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-383 D 13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-380 D 20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-380 D 14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-384 D 07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-380 D 23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-380 D 14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-383 D 05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-380 D 22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-380 D 11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-383 D 21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-381 D 00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-380 D 12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-382 D 15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-381 D 02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-380 D 13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-381 D 17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-381 D 05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-380 D 16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-382 D 06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-381 D 12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-380 D 19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-384 D 00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-381 D 16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-380 D 19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-381 D 00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-381 D 16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-380 D 17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-381 D 04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-381 D 18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-380 D 18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-381 D 22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-382 D 01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-380 D 23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-382 D 05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-382 D 04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-380 D 22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-383 D 09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-382 D 06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-381 D 00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-382 D 19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-382 D 11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-381 D 00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-382 D 02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-382 D 13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-381 D 02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-380 D 17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-382 D 14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-381 D 01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-381 D 03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-382 D 14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-381 D 02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-381 D 08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-382 D 17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-381 D 03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-381 D 09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-382 D 15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-381 D 03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-381 D 17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-382 D 17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-381 D 05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-381 D 21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-382 D 17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-381 D 05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-381 D 22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-382 D 16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-381 D 05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-380 D 18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-382 D 11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-381 D 03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-381 D 23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-382 D 14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-381 D 08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-383 D 13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-382 D 18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-381 D 12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-383 D 07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-382 D 16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-381 D 10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-383 D 09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-382 D 17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-381 D 12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-384 D 09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-382 D 18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-381 D 15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-384 D 14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-382 D 19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-381 D 16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-384 D 15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-382 D 23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-381 D 20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-385 D 03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-383 D 02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-381 D 22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-382 D 01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-382 D 18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-381 D 13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-378 D 20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-382 D 17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-381 D 14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-378 D 17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-382 D 18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-381 D 16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-379 D 11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-382 D 19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-381 D 17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-380 D 02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-382 D 19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-381 D 17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-379 D 07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-382 D 13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-381 D 11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-380 D 17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-382 D 12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-381 D 13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-378 D 02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-382 D 08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-381 D 10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-378 D 20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-382 D 08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-381 D 11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-379 D 14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-382 D 07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-381 D 13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-380 D 06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-382 D 07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-381 D 14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-380 D 16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-382 D 07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-381 D 14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-381 D 10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-382 D 09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-381 D 16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-383 D 06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-382 D 09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-381 D 17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-381 D 23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-382 D 02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-381 D 10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-381 D 16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-382 D 03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-381 D 12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-382 D 12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-382 D 09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-381 D 20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-382 D 23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-382 D 07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-381 D 19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-383 D 04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-382 D 09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-381 D 21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-384 D 01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-382 D 11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-381 D 22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-384 D 02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-382 D 13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-382 D 00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-384 D 05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-382 D 14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-382 D 02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-384 D 12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-382 D 18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-382 D 05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-384 D 16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-382 D 21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-382 D 08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-385 D 04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-383 D 02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-382 D 12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-385 D 06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-383 D 04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-382 D 14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-385 D 07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-383 D 06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-382 D 15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-385 D 17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-383 D 13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-382 D 22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-385 D 15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-383 D 15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-382 D 23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-386 D 07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-384 D 09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-383 D 19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-386 D 11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-384 D 14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-383 D 23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-386 D 12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-384 D 18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-384 D 02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-386 D 12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-384 D 22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-384 D 05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-386 D 12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-385 D 03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-384 D 11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-386 D 12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-385 D 05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-384 D 12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-386 D 01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-385 D 10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-384 D 20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8">
        <v>43677.583333333336</v>
      </c>
      <c r="C1" s="428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8">
        <v>43688.583333333336</v>
      </c>
      <c r="C2" s="428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7" t="str">
        <f ca="1">IF(NOW() &gt; $B$2,"",(NOW()-$B$1)/($B$2-$B$1))</f>
        <v/>
      </c>
      <c r="H2" s="427"/>
      <c r="I2" s="427"/>
      <c r="J2" s="427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4" t="s">
        <v>26</v>
      </c>
      <c r="C5" s="424"/>
      <c r="D5" s="425" t="s">
        <v>44</v>
      </c>
      <c r="E5" s="425"/>
      <c r="F5" s="425" t="s">
        <v>28</v>
      </c>
      <c r="G5" s="425"/>
      <c r="H5" s="425" t="s">
        <v>31</v>
      </c>
      <c r="I5" s="425"/>
      <c r="J5" s="391" t="s">
        <v>42</v>
      </c>
      <c r="K5" s="391"/>
      <c r="L5" s="426" t="s">
        <v>43</v>
      </c>
      <c r="M5" s="426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2020-10-10T06:32:26Z</dcterms:modified>
</cp:coreProperties>
</file>